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3612" windowWidth="12120" windowHeight="1812" tabRatio="583"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Gleason!$A$1:$BV$275</definedName>
    <definedName name="_xlnm.Print_Area" localSheetId="4">Summary!$A$1:$O$106</definedName>
    <definedName name="_xlnm.Print_Area" localSheetId="8">Wheatland!$A$1:$BT$236</definedName>
    <definedName name="_xlnm.Print_Area" localSheetId="5">Wilton!$A$1:$BT$236</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BN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BN43" i="15"/>
  <c r="BP43" i="15"/>
  <c r="BR43" i="15"/>
  <c r="BT43" i="15"/>
  <c r="BV43" i="15"/>
  <c r="AV44" i="15"/>
  <c r="BN44" i="15"/>
  <c r="BP44" i="15"/>
  <c r="BR44" i="15"/>
  <c r="BT44" i="15"/>
  <c r="BV44" i="15"/>
  <c r="AV45" i="15"/>
  <c r="BN45" i="15"/>
  <c r="BP45" i="15"/>
  <c r="BR45" i="15"/>
  <c r="BT45" i="15"/>
  <c r="BV45" i="15"/>
  <c r="AV46" i="15"/>
  <c r="BN46" i="15"/>
  <c r="BP46" i="15"/>
  <c r="BR46" i="15"/>
  <c r="BT46" i="15"/>
  <c r="BV46" i="15"/>
  <c r="AV47" i="15"/>
  <c r="BN47" i="15"/>
  <c r="BP47" i="15"/>
  <c r="BR47" i="15"/>
  <c r="BT47" i="15"/>
  <c r="BV47" i="15"/>
  <c r="AV48" i="15"/>
  <c r="BN48" i="15"/>
  <c r="BR48" i="15"/>
  <c r="BT48" i="15"/>
  <c r="BV48" i="15"/>
  <c r="AV49" i="15"/>
  <c r="BN49" i="15"/>
  <c r="BR49" i="15"/>
  <c r="BT49" i="15"/>
  <c r="BV49" i="15"/>
  <c r="AV50" i="15"/>
  <c r="BN50" i="15"/>
  <c r="BP50" i="15"/>
  <c r="BR50" i="15"/>
  <c r="BT50" i="15"/>
  <c r="BV50" i="15"/>
  <c r="AV51" i="15"/>
  <c r="BN51" i="15"/>
  <c r="BP51" i="15"/>
  <c r="BR51" i="15"/>
  <c r="BT51" i="15"/>
  <c r="BV51" i="15"/>
  <c r="AV52" i="15"/>
  <c r="BN52" i="15"/>
  <c r="BR52" i="15"/>
  <c r="BT52" i="15"/>
  <c r="BV52" i="15"/>
  <c r="AV53" i="15"/>
  <c r="BN53" i="15"/>
  <c r="BP53" i="15"/>
  <c r="BR53" i="15"/>
  <c r="BT53" i="15"/>
  <c r="BV53" i="15"/>
  <c r="BN54" i="15"/>
  <c r="BP54" i="15"/>
  <c r="BR54" i="15"/>
  <c r="BT54" i="15"/>
  <c r="BV54" i="15"/>
  <c r="BN55" i="15"/>
  <c r="BR55" i="15"/>
  <c r="BT55" i="15"/>
  <c r="BV55" i="15"/>
  <c r="BN56" i="15"/>
  <c r="BR56" i="15"/>
  <c r="BT56" i="15"/>
  <c r="BV56" i="15"/>
  <c r="R57" i="15"/>
  <c r="BN57" i="15"/>
  <c r="BR57" i="15"/>
  <c r="BT57" i="15"/>
  <c r="BV57" i="15"/>
  <c r="BN58" i="15"/>
  <c r="BR58" i="15"/>
  <c r="BT58" i="15"/>
  <c r="BV58" i="15"/>
  <c r="BN59" i="15"/>
  <c r="BP59" i="15"/>
  <c r="BR59" i="15"/>
  <c r="BT59" i="15"/>
  <c r="BV59" i="15"/>
  <c r="R60" i="15"/>
  <c r="BN60" i="15"/>
  <c r="BR60" i="15"/>
  <c r="BT60" i="15"/>
  <c r="BV60" i="15"/>
  <c r="R61" i="15"/>
  <c r="S61" i="15"/>
  <c r="T61" i="15"/>
  <c r="U61" i="15"/>
  <c r="V61" i="15"/>
  <c r="W61" i="15"/>
  <c r="X61" i="15"/>
  <c r="Y61" i="15"/>
  <c r="Z61" i="15"/>
  <c r="AA61" i="15"/>
  <c r="AB61" i="15"/>
  <c r="AC61" i="15"/>
  <c r="AD61" i="15"/>
  <c r="AE61" i="15"/>
  <c r="AF61" i="15"/>
  <c r="AG61" i="15"/>
  <c r="AH61" i="15"/>
  <c r="AJ61" i="15"/>
  <c r="AL61" i="15"/>
  <c r="AN61" i="15"/>
  <c r="AP61" i="15"/>
  <c r="AR61" i="15"/>
  <c r="AS61" i="15"/>
  <c r="AT61" i="15"/>
  <c r="AU61" i="15"/>
  <c r="AV61" i="15"/>
  <c r="AW61" i="15"/>
  <c r="AX61" i="15"/>
  <c r="AY61" i="15"/>
  <c r="AZ61" i="15"/>
  <c r="BA61" i="15"/>
  <c r="BB61" i="15"/>
  <c r="BC61" i="15"/>
  <c r="BD61" i="15"/>
  <c r="BE61" i="15"/>
  <c r="BF61" i="15"/>
  <c r="BG61" i="15"/>
  <c r="BH61" i="15"/>
  <c r="BI61" i="15"/>
  <c r="BJ61" i="15"/>
  <c r="BK61" i="15"/>
  <c r="BL61" i="15"/>
  <c r="BM61" i="15"/>
  <c r="BN61" i="15"/>
  <c r="BO61" i="15"/>
  <c r="BP61" i="15"/>
  <c r="BQ61" i="15"/>
  <c r="BR61" i="15"/>
  <c r="BS61" i="15"/>
  <c r="BT61" i="15"/>
  <c r="BV61" i="15"/>
  <c r="BN64" i="15"/>
  <c r="BR64" i="15"/>
  <c r="BT64" i="15"/>
  <c r="BV64" i="15"/>
  <c r="BN65" i="15"/>
  <c r="BP65" i="15"/>
  <c r="BR65" i="15"/>
  <c r="BT65" i="15"/>
  <c r="BV65" i="15"/>
  <c r="BN66" i="15"/>
  <c r="BP66" i="15"/>
  <c r="BR66" i="15"/>
  <c r="BT66" i="15"/>
  <c r="BV66" i="15"/>
  <c r="BN67" i="15"/>
  <c r="BR67" i="15"/>
  <c r="BT67" i="15"/>
  <c r="BV67" i="15"/>
  <c r="BN68" i="15"/>
  <c r="BP68" i="15"/>
  <c r="BR68" i="15"/>
  <c r="BT68" i="15"/>
  <c r="BV68" i="15"/>
  <c r="BN69" i="15"/>
  <c r="BP69" i="15"/>
  <c r="BR69" i="15"/>
  <c r="BT69" i="15"/>
  <c r="BV69" i="15"/>
  <c r="AV70" i="15"/>
  <c r="BN70" i="15"/>
  <c r="BP70" i="15"/>
  <c r="BR70" i="15"/>
  <c r="BT70" i="15"/>
  <c r="BV70" i="15"/>
  <c r="BN71" i="15"/>
  <c r="BP71" i="15"/>
  <c r="BR71" i="15"/>
  <c r="BT71" i="15"/>
  <c r="BV71" i="15"/>
  <c r="BN72" i="15"/>
  <c r="BR72" i="15"/>
  <c r="BT72" i="15"/>
  <c r="BV72" i="15"/>
  <c r="BN73" i="15"/>
  <c r="BP73" i="15"/>
  <c r="BR73" i="15"/>
  <c r="BT73" i="15"/>
  <c r="BV73" i="15"/>
  <c r="BN74" i="15"/>
  <c r="BR74" i="15"/>
  <c r="BT74" i="15"/>
  <c r="BV74" i="15"/>
  <c r="BN75" i="15"/>
  <c r="BP75" i="15"/>
  <c r="BR75" i="15"/>
  <c r="BT75" i="15"/>
  <c r="BV75" i="15"/>
  <c r="BN76" i="15"/>
  <c r="BR76" i="15"/>
  <c r="BT76" i="15"/>
  <c r="BV76" i="15"/>
  <c r="BN77" i="15"/>
  <c r="BP77" i="15"/>
  <c r="BR77" i="15"/>
  <c r="BT77" i="15"/>
  <c r="BV77" i="15"/>
  <c r="BN78" i="15"/>
  <c r="BR78" i="15"/>
  <c r="BT78" i="15"/>
  <c r="BV78" i="15"/>
  <c r="BN79" i="15"/>
  <c r="BR79" i="15"/>
  <c r="BT79" i="15"/>
  <c r="BV79" i="15"/>
  <c r="BN80" i="15"/>
  <c r="BP80" i="15"/>
  <c r="BR80" i="15"/>
  <c r="BT80" i="15"/>
  <c r="BV80" i="15"/>
  <c r="BN81" i="15"/>
  <c r="BR81" i="15"/>
  <c r="BT81" i="15"/>
  <c r="BV81" i="15"/>
  <c r="BN82" i="15"/>
  <c r="BP82" i="15"/>
  <c r="BR82" i="15"/>
  <c r="BT82" i="15"/>
  <c r="BV82" i="15"/>
  <c r="BN83" i="15"/>
  <c r="BP83" i="15"/>
  <c r="BR83" i="15"/>
  <c r="BT83" i="15"/>
  <c r="BV83" i="15"/>
  <c r="BN84" i="15"/>
  <c r="BP84" i="15"/>
  <c r="BR84" i="15"/>
  <c r="BT84" i="15"/>
  <c r="BV84" i="15"/>
  <c r="BN85" i="15"/>
  <c r="BR85" i="15"/>
  <c r="BT85" i="15"/>
  <c r="BV85" i="15"/>
  <c r="BN86" i="15"/>
  <c r="BR86" i="15"/>
  <c r="BT86" i="15"/>
  <c r="BV86" i="15"/>
  <c r="BN87" i="15"/>
  <c r="BR87" i="15"/>
  <c r="BT87" i="15"/>
  <c r="BV87" i="15"/>
  <c r="BN88" i="15"/>
  <c r="BP88" i="15"/>
  <c r="BR88" i="15"/>
  <c r="BT88" i="15"/>
  <c r="BV88" i="15"/>
  <c r="R89" i="15"/>
  <c r="S89" i="15"/>
  <c r="T89" i="15"/>
  <c r="U89" i="15"/>
  <c r="V89" i="15"/>
  <c r="W89" i="15"/>
  <c r="X89" i="15"/>
  <c r="Y89" i="15"/>
  <c r="Z89" i="15"/>
  <c r="AA89" i="15"/>
  <c r="AB89" i="15"/>
  <c r="AC89" i="15"/>
  <c r="AD89" i="15"/>
  <c r="AE89" i="15"/>
  <c r="AF89" i="15"/>
  <c r="AG89" i="15"/>
  <c r="AH89" i="15"/>
  <c r="AJ89" i="15"/>
  <c r="AL89" i="15"/>
  <c r="AN89" i="15"/>
  <c r="AP89" i="15"/>
  <c r="AR89" i="15"/>
  <c r="AS89" i="15"/>
  <c r="AT89" i="15"/>
  <c r="AU89" i="15"/>
  <c r="AV89" i="15"/>
  <c r="AW89" i="15"/>
  <c r="AX89" i="15"/>
  <c r="AY89" i="15"/>
  <c r="AZ89" i="15"/>
  <c r="BA89" i="15"/>
  <c r="BB89" i="15"/>
  <c r="BC89" i="15"/>
  <c r="BD89" i="15"/>
  <c r="BE89" i="15"/>
  <c r="BF89" i="15"/>
  <c r="BG89" i="15"/>
  <c r="BH89" i="15"/>
  <c r="BI89" i="15"/>
  <c r="BJ89" i="15"/>
  <c r="BK89" i="15"/>
  <c r="BL89" i="15"/>
  <c r="BM89" i="15"/>
  <c r="BN89" i="15"/>
  <c r="BO89" i="15"/>
  <c r="BP89" i="15"/>
  <c r="BQ89" i="15"/>
  <c r="BR89" i="15"/>
  <c r="BS89" i="15"/>
  <c r="BT89" i="15"/>
  <c r="BV89" i="15"/>
  <c r="R92" i="15"/>
  <c r="AV92" i="15"/>
  <c r="BN92" i="15"/>
  <c r="BP92" i="15"/>
  <c r="BR92" i="15"/>
  <c r="BT92" i="15"/>
  <c r="BV92" i="15"/>
  <c r="AV93" i="15"/>
  <c r="BN93" i="15"/>
  <c r="BP93" i="15"/>
  <c r="BR93" i="15"/>
  <c r="BT93" i="15"/>
  <c r="BV93" i="15"/>
  <c r="BN94" i="15"/>
  <c r="BR94" i="15"/>
  <c r="BT94" i="15"/>
  <c r="BV94" i="15"/>
  <c r="BN95" i="15"/>
  <c r="BR95" i="15"/>
  <c r="BT95" i="15"/>
  <c r="BV95" i="15"/>
  <c r="BN96" i="15"/>
  <c r="BP96" i="15"/>
  <c r="BR96" i="15"/>
  <c r="BT96" i="15"/>
  <c r="BV96" i="15"/>
  <c r="BN97" i="15"/>
  <c r="BP97" i="15"/>
  <c r="BR97" i="15"/>
  <c r="BT97" i="15"/>
  <c r="BV97" i="15"/>
  <c r="BN98" i="15"/>
  <c r="BR98" i="15"/>
  <c r="BT98" i="15"/>
  <c r="BV98" i="15"/>
  <c r="BN99" i="15"/>
  <c r="BP99" i="15"/>
  <c r="BR99" i="15"/>
  <c r="BT99" i="15"/>
  <c r="BV99" i="15"/>
  <c r="BN100" i="15"/>
  <c r="BR100" i="15"/>
  <c r="BT100" i="15"/>
  <c r="BV100" i="15"/>
  <c r="BN101" i="15"/>
  <c r="BR101" i="15"/>
  <c r="BT101" i="15"/>
  <c r="BV101" i="15"/>
  <c r="BN102" i="15"/>
  <c r="BP102" i="15"/>
  <c r="BR102" i="15"/>
  <c r="BT102" i="15"/>
  <c r="BV102" i="15"/>
  <c r="BN103" i="15"/>
  <c r="BR103" i="15"/>
  <c r="BT103" i="15"/>
  <c r="BV103" i="15"/>
  <c r="BN104" i="15"/>
  <c r="BP104" i="15"/>
  <c r="BR104" i="15"/>
  <c r="BT104" i="15"/>
  <c r="BV104" i="15"/>
  <c r="BN105" i="15"/>
  <c r="BR105" i="15"/>
  <c r="BT105" i="15"/>
  <c r="BV105" i="15"/>
  <c r="BN106" i="15"/>
  <c r="BR106" i="15"/>
  <c r="BT106" i="15"/>
  <c r="BV106" i="15"/>
  <c r="BN107" i="15"/>
  <c r="BR107" i="15"/>
  <c r="BT107" i="15"/>
  <c r="BV107" i="15"/>
  <c r="BN108" i="15"/>
  <c r="BP108" i="15"/>
  <c r="BR108" i="15"/>
  <c r="BT108" i="15"/>
  <c r="BV108" i="15"/>
  <c r="BN109" i="15"/>
  <c r="BR109" i="15"/>
  <c r="BT109" i="15"/>
  <c r="BV109" i="15"/>
  <c r="BN110" i="15"/>
  <c r="BP110" i="15"/>
  <c r="BR110" i="15"/>
  <c r="BT110" i="15"/>
  <c r="BV110" i="15"/>
  <c r="BN111" i="15"/>
  <c r="BP111" i="15"/>
  <c r="BR111" i="15"/>
  <c r="BT111" i="15"/>
  <c r="BV111" i="15"/>
  <c r="BN112" i="15"/>
  <c r="BP112" i="15"/>
  <c r="BR112" i="15"/>
  <c r="BT112" i="15"/>
  <c r="BV112" i="15"/>
  <c r="BN113" i="15"/>
  <c r="BR113" i="15"/>
  <c r="BT113" i="15"/>
  <c r="BV113" i="15"/>
  <c r="BN114" i="15"/>
  <c r="BR114" i="15"/>
  <c r="BT114" i="15"/>
  <c r="BV114" i="15"/>
  <c r="BN115" i="15"/>
  <c r="BP115" i="15"/>
  <c r="BR115" i="15"/>
  <c r="BT115" i="15"/>
  <c r="BV115" i="15"/>
  <c r="BN116" i="15"/>
  <c r="BR116" i="15"/>
  <c r="BT116" i="15"/>
  <c r="BV116" i="15"/>
  <c r="BN117" i="15"/>
  <c r="BP117" i="15"/>
  <c r="BR117" i="15"/>
  <c r="BT117" i="15"/>
  <c r="BV117" i="15"/>
  <c r="BN118" i="15"/>
  <c r="BR118" i="15"/>
  <c r="BT118" i="15"/>
  <c r="BV118" i="15"/>
  <c r="BN119" i="15"/>
  <c r="BR119" i="15"/>
  <c r="BT119" i="15"/>
  <c r="BV119" i="15"/>
  <c r="BN120" i="15"/>
  <c r="BR120" i="15"/>
  <c r="BT120" i="15"/>
  <c r="BV120" i="15"/>
  <c r="BR121" i="15"/>
  <c r="BT121" i="15"/>
  <c r="BV121" i="15"/>
  <c r="R122" i="15"/>
  <c r="S122" i="15"/>
  <c r="T122" i="15"/>
  <c r="U122" i="15"/>
  <c r="V122" i="15"/>
  <c r="W122" i="15"/>
  <c r="X122" i="15"/>
  <c r="Y122" i="15"/>
  <c r="Z122" i="15"/>
  <c r="AA122" i="15"/>
  <c r="AB122" i="15"/>
  <c r="AC122" i="15"/>
  <c r="AD122" i="15"/>
  <c r="AE122" i="15"/>
  <c r="AF122" i="15"/>
  <c r="AG122" i="15"/>
  <c r="AH122" i="15"/>
  <c r="AJ122" i="15"/>
  <c r="AL122" i="15"/>
  <c r="AN122" i="15"/>
  <c r="AP122" i="15"/>
  <c r="AR122" i="15"/>
  <c r="AS122" i="15"/>
  <c r="AT122" i="15"/>
  <c r="AU122" i="15"/>
  <c r="AV122" i="15"/>
  <c r="AW122" i="15"/>
  <c r="AX122" i="15"/>
  <c r="AY122" i="15"/>
  <c r="AZ122" i="15"/>
  <c r="BA122" i="15"/>
  <c r="BB122" i="15"/>
  <c r="BC122" i="15"/>
  <c r="BD122" i="15"/>
  <c r="BE122" i="15"/>
  <c r="BF122" i="15"/>
  <c r="BG122" i="15"/>
  <c r="BH122" i="15"/>
  <c r="BI122" i="15"/>
  <c r="BJ122" i="15"/>
  <c r="BK122" i="15"/>
  <c r="BL122" i="15"/>
  <c r="BM122" i="15"/>
  <c r="BN122" i="15"/>
  <c r="BO122" i="15"/>
  <c r="BP122" i="15"/>
  <c r="BQ122" i="15"/>
  <c r="BR122" i="15"/>
  <c r="BS122" i="15"/>
  <c r="BT122" i="15"/>
  <c r="BU122" i="15"/>
  <c r="BV122" i="15"/>
  <c r="BN125" i="15"/>
  <c r="BP125" i="15"/>
  <c r="BR125" i="15"/>
  <c r="BT125" i="15"/>
  <c r="BV125" i="15"/>
  <c r="R127" i="15"/>
  <c r="S127" i="15"/>
  <c r="T127" i="15"/>
  <c r="U127" i="15"/>
  <c r="V127" i="15"/>
  <c r="W127" i="15"/>
  <c r="X127" i="15"/>
  <c r="Y127" i="15"/>
  <c r="Z127" i="15"/>
  <c r="AA127" i="15"/>
  <c r="AB127" i="15"/>
  <c r="AC127" i="15"/>
  <c r="AD127" i="15"/>
  <c r="AE127" i="15"/>
  <c r="AF127" i="15"/>
  <c r="AG127" i="15"/>
  <c r="AH127" i="15"/>
  <c r="AJ127" i="15"/>
  <c r="AL127" i="15"/>
  <c r="AN127" i="15"/>
  <c r="AP127" i="15"/>
  <c r="AR127" i="15"/>
  <c r="AS127" i="15"/>
  <c r="AT127" i="15"/>
  <c r="AU127" i="15"/>
  <c r="AV127" i="15"/>
  <c r="AW127" i="15"/>
  <c r="AX127" i="15"/>
  <c r="AY127" i="15"/>
  <c r="AZ127" i="15"/>
  <c r="BA127" i="15"/>
  <c r="BB127" i="15"/>
  <c r="BC127" i="15"/>
  <c r="BD127" i="15"/>
  <c r="BE127" i="15"/>
  <c r="BF127" i="15"/>
  <c r="BG127" i="15"/>
  <c r="BH127" i="15"/>
  <c r="BI127" i="15"/>
  <c r="BJ127" i="15"/>
  <c r="BK127" i="15"/>
  <c r="BL127" i="15"/>
  <c r="BM127" i="15"/>
  <c r="BN127" i="15"/>
  <c r="BO127" i="15"/>
  <c r="BP127" i="15"/>
  <c r="BQ127" i="15"/>
  <c r="BR127" i="15"/>
  <c r="BS127" i="15"/>
  <c r="BT127" i="15"/>
  <c r="BV127" i="15"/>
  <c r="AV129" i="15"/>
  <c r="BN129" i="15"/>
  <c r="BV129" i="15"/>
  <c r="AR131" i="15"/>
  <c r="AV131" i="15"/>
  <c r="BN131" i="15"/>
  <c r="BR131" i="15"/>
  <c r="BT131" i="15"/>
  <c r="BV131" i="15"/>
  <c r="N133" i="15"/>
  <c r="P133" i="15"/>
  <c r="R133" i="15"/>
  <c r="S133" i="15"/>
  <c r="T133" i="15"/>
  <c r="U133" i="15"/>
  <c r="V133" i="15"/>
  <c r="W133" i="15"/>
  <c r="X133" i="15"/>
  <c r="Y133" i="15"/>
  <c r="Z133" i="15"/>
  <c r="AA133" i="15"/>
  <c r="AB133" i="15"/>
  <c r="AC133" i="15"/>
  <c r="AD133" i="15"/>
  <c r="AE133" i="15"/>
  <c r="AF133" i="15"/>
  <c r="AG133" i="15"/>
  <c r="AH133" i="15"/>
  <c r="AJ133" i="15"/>
  <c r="AL133" i="15"/>
  <c r="AN133" i="15"/>
  <c r="AP133" i="15"/>
  <c r="AR133" i="15"/>
  <c r="AS133" i="15"/>
  <c r="AT133" i="15"/>
  <c r="AU133" i="15"/>
  <c r="AV133" i="15"/>
  <c r="AW133" i="15"/>
  <c r="AX133" i="15"/>
  <c r="AY133" i="15"/>
  <c r="AZ133" i="15"/>
  <c r="BA133" i="15"/>
  <c r="BB133" i="15"/>
  <c r="BC133" i="15"/>
  <c r="BD133" i="15"/>
  <c r="BE133" i="15"/>
  <c r="BF133" i="15"/>
  <c r="BG133" i="15"/>
  <c r="BH133" i="15"/>
  <c r="BI133" i="15"/>
  <c r="BJ133" i="15"/>
  <c r="BK133" i="15"/>
  <c r="BL133" i="15"/>
  <c r="BM133" i="15"/>
  <c r="BN133" i="15"/>
  <c r="BO133" i="15"/>
  <c r="BP133" i="15"/>
  <c r="BQ133" i="15"/>
  <c r="BR133" i="15"/>
  <c r="BS133" i="15"/>
  <c r="BT133" i="15"/>
  <c r="BU133" i="15"/>
  <c r="BV133" i="15"/>
  <c r="BW133" i="15"/>
  <c r="BN136" i="15"/>
  <c r="BR136" i="15"/>
  <c r="BT136" i="15"/>
  <c r="BV136" i="15"/>
  <c r="BN137" i="15"/>
  <c r="BR137" i="15"/>
  <c r="BT137" i="15"/>
  <c r="BV137" i="15"/>
  <c r="BN138" i="15"/>
  <c r="BR138" i="15"/>
  <c r="BT138" i="15"/>
  <c r="BV138" i="15"/>
  <c r="R139" i="15"/>
  <c r="BN139" i="15"/>
  <c r="BR139" i="15"/>
  <c r="BT139" i="15"/>
  <c r="BV139" i="15"/>
  <c r="R140" i="15"/>
  <c r="BN140" i="15"/>
  <c r="BR140" i="15"/>
  <c r="BT140" i="15"/>
  <c r="BV140" i="15"/>
  <c r="R141" i="15"/>
  <c r="BN141" i="15"/>
  <c r="BT141" i="15"/>
  <c r="BV141" i="15"/>
  <c r="BR142" i="15"/>
  <c r="N143" i="15"/>
  <c r="P143" i="15"/>
  <c r="R143" i="15"/>
  <c r="T143" i="15"/>
  <c r="V143" i="15"/>
  <c r="X143" i="15"/>
  <c r="Z143" i="15"/>
  <c r="AB143" i="15"/>
  <c r="AD143" i="15"/>
  <c r="AF143" i="15"/>
  <c r="AH143" i="15"/>
  <c r="AJ143" i="15"/>
  <c r="AL143" i="15"/>
  <c r="AN143" i="15"/>
  <c r="AP143" i="15"/>
  <c r="AR143" i="15"/>
  <c r="AT143" i="15"/>
  <c r="AV143" i="15"/>
  <c r="AX143" i="15"/>
  <c r="AZ143" i="15"/>
  <c r="BB143" i="15"/>
  <c r="BD143" i="15"/>
  <c r="BF143" i="15"/>
  <c r="BH143" i="15"/>
  <c r="BJ143" i="15"/>
  <c r="BL143" i="15"/>
  <c r="BN143" i="15"/>
  <c r="BP143" i="15"/>
  <c r="BR143" i="15"/>
  <c r="BT143" i="15"/>
  <c r="BV143" i="15"/>
  <c r="R146" i="15"/>
  <c r="BN146" i="15"/>
  <c r="BR146" i="15"/>
  <c r="BT146" i="15"/>
  <c r="BV146" i="15"/>
  <c r="N148" i="15"/>
  <c r="P148" i="15"/>
  <c r="R148" i="15"/>
  <c r="T148" i="15"/>
  <c r="V148" i="15"/>
  <c r="X148" i="15"/>
  <c r="Z148" i="15"/>
  <c r="AB148" i="15"/>
  <c r="AD148" i="15"/>
  <c r="AF148" i="15"/>
  <c r="AH148" i="15"/>
  <c r="AJ148" i="15"/>
  <c r="AL148" i="15"/>
  <c r="AN148" i="15"/>
  <c r="AP148" i="15"/>
  <c r="AR148" i="15"/>
  <c r="AT148" i="15"/>
  <c r="AV148" i="15"/>
  <c r="AX148" i="15"/>
  <c r="AZ148" i="15"/>
  <c r="BB148" i="15"/>
  <c r="BD148" i="15"/>
  <c r="BF148" i="15"/>
  <c r="BH148" i="15"/>
  <c r="BJ148" i="15"/>
  <c r="BL148" i="15"/>
  <c r="BN148" i="15"/>
  <c r="BP148" i="15"/>
  <c r="BR148" i="15"/>
  <c r="BT148" i="15"/>
  <c r="BV148" i="15"/>
  <c r="R152" i="15"/>
  <c r="BN152" i="15"/>
  <c r="BR152" i="15"/>
  <c r="BT152" i="15"/>
  <c r="BV152" i="15"/>
  <c r="R153" i="15"/>
  <c r="BN153" i="15"/>
  <c r="BR153" i="15"/>
  <c r="BT153" i="15"/>
  <c r="BV153" i="15"/>
  <c r="R154" i="15"/>
  <c r="BN154" i="15"/>
  <c r="BR154" i="15"/>
  <c r="BT154" i="15"/>
  <c r="BV154" i="15"/>
  <c r="R155" i="15"/>
  <c r="BN155" i="15"/>
  <c r="BR155" i="15"/>
  <c r="BT155" i="15"/>
  <c r="BV155" i="15"/>
  <c r="R156" i="15"/>
  <c r="BN156" i="15"/>
  <c r="BR156" i="15"/>
  <c r="BT156" i="15"/>
  <c r="BV156" i="15"/>
  <c r="R157" i="15"/>
  <c r="BN157" i="15"/>
  <c r="BR157" i="15"/>
  <c r="BT157" i="15"/>
  <c r="BV157" i="15"/>
  <c r="R158" i="15"/>
  <c r="BN158" i="15"/>
  <c r="BR158" i="15"/>
  <c r="BT158" i="15"/>
  <c r="BV158" i="15"/>
  <c r="R159" i="15"/>
  <c r="BN159" i="15"/>
  <c r="BR159" i="15"/>
  <c r="BT159" i="15"/>
  <c r="BV159" i="15"/>
  <c r="R160" i="15"/>
  <c r="BN160" i="15"/>
  <c r="BR160" i="15"/>
  <c r="BT160" i="15"/>
  <c r="BV160" i="15"/>
  <c r="R161" i="15"/>
  <c r="BN161" i="15"/>
  <c r="BR161" i="15"/>
  <c r="BT161" i="15"/>
  <c r="BV161" i="15"/>
  <c r="N163" i="15"/>
  <c r="P163" i="15"/>
  <c r="R163" i="15"/>
  <c r="T163" i="15"/>
  <c r="V163" i="15"/>
  <c r="X163" i="15"/>
  <c r="Z163" i="15"/>
  <c r="AB163" i="15"/>
  <c r="AD163" i="15"/>
  <c r="AF163" i="15"/>
  <c r="AH163" i="15"/>
  <c r="AJ163" i="15"/>
  <c r="AN163" i="15"/>
  <c r="AP163" i="15"/>
  <c r="AR163" i="15"/>
  <c r="AT163" i="15"/>
  <c r="AV163" i="15"/>
  <c r="AX163" i="15"/>
  <c r="AZ163" i="15"/>
  <c r="BB163" i="15"/>
  <c r="BD163" i="15"/>
  <c r="BF163" i="15"/>
  <c r="BH163" i="15"/>
  <c r="BJ163" i="15"/>
  <c r="BL163" i="15"/>
  <c r="BN163" i="15"/>
  <c r="BP163" i="15"/>
  <c r="BR163" i="15"/>
  <c r="BT163" i="15"/>
  <c r="BV163" i="15"/>
  <c r="BN167" i="15"/>
  <c r="BR167" i="15"/>
  <c r="BT167" i="15"/>
  <c r="BV167" i="15"/>
  <c r="R168" i="15"/>
  <c r="BN168" i="15"/>
  <c r="BR168" i="15"/>
  <c r="BT168" i="15"/>
  <c r="BV168" i="15"/>
  <c r="BN169" i="15"/>
  <c r="BR169" i="15"/>
  <c r="BT169" i="15"/>
  <c r="BV169" i="15"/>
  <c r="N170" i="15"/>
  <c r="P170" i="15"/>
  <c r="R170" i="15"/>
  <c r="T170" i="15"/>
  <c r="V170" i="15"/>
  <c r="X170" i="15"/>
  <c r="Z170" i="15"/>
  <c r="AB170" i="15"/>
  <c r="AD170" i="15"/>
  <c r="AF170" i="15"/>
  <c r="AH170" i="15"/>
  <c r="AJ170" i="15"/>
  <c r="AL170" i="15"/>
  <c r="AN170" i="15"/>
  <c r="AP170" i="15"/>
  <c r="AR170" i="15"/>
  <c r="AT170" i="15"/>
  <c r="AV170" i="15"/>
  <c r="AX170" i="15"/>
  <c r="AZ170" i="15"/>
  <c r="BB170" i="15"/>
  <c r="BD170" i="15"/>
  <c r="BF170" i="15"/>
  <c r="BH170" i="15"/>
  <c r="BJ170" i="15"/>
  <c r="BL170" i="15"/>
  <c r="BN170" i="15"/>
  <c r="BP170" i="15"/>
  <c r="BR170" i="15"/>
  <c r="BT170" i="15"/>
  <c r="BV170" i="15"/>
  <c r="BN172" i="15"/>
  <c r="BR172" i="15"/>
  <c r="BT172" i="15"/>
  <c r="BV172" i="15"/>
  <c r="BN174" i="15"/>
  <c r="BR174" i="15"/>
  <c r="BT174" i="15"/>
  <c r="BV174" i="15"/>
  <c r="BN176" i="15"/>
  <c r="BR176" i="15"/>
  <c r="BT176" i="15"/>
  <c r="BV176" i="15"/>
  <c r="BN178" i="15"/>
  <c r="BR178" i="15"/>
  <c r="BT178" i="15"/>
  <c r="BV178" i="15"/>
  <c r="BN181" i="15"/>
  <c r="BR181" i="15"/>
  <c r="BT181" i="15"/>
  <c r="BV181" i="15"/>
  <c r="BN182" i="15"/>
  <c r="BR182" i="15"/>
  <c r="BT182" i="15"/>
  <c r="BV182" i="15"/>
  <c r="BN183" i="15"/>
  <c r="BR183" i="15"/>
  <c r="BT183" i="15"/>
  <c r="BV183" i="15"/>
  <c r="BR184" i="15"/>
  <c r="BT184" i="15"/>
  <c r="BV184" i="15"/>
  <c r="N185" i="15"/>
  <c r="P185" i="15"/>
  <c r="R185" i="15"/>
  <c r="T185" i="15"/>
  <c r="V185" i="15"/>
  <c r="X185" i="15"/>
  <c r="Z185" i="15"/>
  <c r="AB185" i="15"/>
  <c r="AD185" i="15"/>
  <c r="AF185" i="15"/>
  <c r="AH185" i="15"/>
  <c r="AJ185" i="15"/>
  <c r="AL185" i="15"/>
  <c r="AN185" i="15"/>
  <c r="AP185" i="15"/>
  <c r="AR185" i="15"/>
  <c r="AT185" i="15"/>
  <c r="AV185" i="15"/>
  <c r="AX185" i="15"/>
  <c r="AZ185" i="15"/>
  <c r="BB185" i="15"/>
  <c r="BD185" i="15"/>
  <c r="BF185" i="15"/>
  <c r="BH185" i="15"/>
  <c r="BJ185" i="15"/>
  <c r="BL185" i="15"/>
  <c r="BN185" i="15"/>
  <c r="BP185" i="15"/>
  <c r="BR185" i="15"/>
  <c r="BT185" i="15"/>
  <c r="BV185" i="15"/>
  <c r="BN188" i="15"/>
  <c r="BR188" i="15"/>
  <c r="BT188" i="15"/>
  <c r="BV188" i="15"/>
  <c r="BN189" i="15"/>
  <c r="BR189" i="15"/>
  <c r="BT189" i="15"/>
  <c r="BV189" i="15"/>
  <c r="BN190" i="15"/>
  <c r="BR190" i="15"/>
  <c r="BT190" i="15"/>
  <c r="BV190" i="15"/>
  <c r="BN191" i="15"/>
  <c r="BR191" i="15"/>
  <c r="BT191" i="15"/>
  <c r="BV191" i="15"/>
  <c r="BN192" i="15"/>
  <c r="BR192" i="15"/>
  <c r="BT192" i="15"/>
  <c r="BV192" i="15"/>
  <c r="AN193" i="15"/>
  <c r="BN193" i="15"/>
  <c r="BR193" i="15"/>
  <c r="BT193" i="15"/>
  <c r="BV193" i="15"/>
  <c r="BR194" i="15"/>
  <c r="N195" i="15"/>
  <c r="P195" i="15"/>
  <c r="R195" i="15"/>
  <c r="T195" i="15"/>
  <c r="V195" i="15"/>
  <c r="X195" i="15"/>
  <c r="Z195" i="15"/>
  <c r="AB195" i="15"/>
  <c r="AD195" i="15"/>
  <c r="AF195" i="15"/>
  <c r="AH195" i="15"/>
  <c r="AJ195" i="15"/>
  <c r="AL195" i="15"/>
  <c r="AN195" i="15"/>
  <c r="AP195" i="15"/>
  <c r="AR195" i="15"/>
  <c r="AT195" i="15"/>
  <c r="AV195" i="15"/>
  <c r="AX195" i="15"/>
  <c r="AZ195" i="15"/>
  <c r="BB195" i="15"/>
  <c r="BD195" i="15"/>
  <c r="BF195" i="15"/>
  <c r="BH195" i="15"/>
  <c r="BJ195" i="15"/>
  <c r="BL195" i="15"/>
  <c r="BN195" i="15"/>
  <c r="BP195" i="15"/>
  <c r="BR195" i="15"/>
  <c r="BT195" i="15"/>
  <c r="BV195" i="15"/>
  <c r="Q198" i="15"/>
  <c r="BN198" i="15"/>
  <c r="BR198" i="15"/>
  <c r="BT198" i="15"/>
  <c r="BV198" i="15"/>
  <c r="O199" i="15"/>
  <c r="Q199" i="15"/>
  <c r="BN199" i="15"/>
  <c r="BR199" i="15"/>
  <c r="BT199" i="15"/>
  <c r="BV199" i="15"/>
  <c r="M200" i="15"/>
  <c r="O200" i="15"/>
  <c r="Q200" i="15"/>
  <c r="BN200" i="15"/>
  <c r="BR200" i="15"/>
  <c r="BT200" i="15"/>
  <c r="BV200" i="15"/>
  <c r="BR201" i="15"/>
  <c r="BT201" i="15"/>
  <c r="BV201" i="15"/>
  <c r="BR202" i="15"/>
  <c r="BT202" i="15"/>
  <c r="BV202" i="15"/>
  <c r="BR203" i="15"/>
  <c r="BT203" i="15"/>
  <c r="BV203" i="15"/>
  <c r="BR204" i="15"/>
  <c r="BT204" i="15"/>
  <c r="BV204" i="15"/>
  <c r="BR205" i="15"/>
  <c r="BT205" i="15"/>
  <c r="BV205" i="15"/>
  <c r="BR206" i="15"/>
  <c r="BT206" i="15"/>
  <c r="BV206" i="15"/>
  <c r="BR207" i="15"/>
  <c r="BT207" i="15"/>
  <c r="BV207" i="15"/>
  <c r="BR208" i="15"/>
  <c r="BT208" i="15"/>
  <c r="BV208" i="15"/>
  <c r="BR209" i="15"/>
  <c r="BT209" i="15"/>
  <c r="BV209" i="15"/>
  <c r="BR210" i="15"/>
  <c r="BT210" i="15"/>
  <c r="BV210" i="15"/>
  <c r="BR211" i="15"/>
  <c r="BT211" i="15"/>
  <c r="BV211" i="15"/>
  <c r="BR212" i="15"/>
  <c r="BT212" i="15"/>
  <c r="BV212" i="15"/>
  <c r="BR213" i="15"/>
  <c r="BT213" i="15"/>
  <c r="BV213" i="15"/>
  <c r="BR214" i="15"/>
  <c r="BT214" i="15"/>
  <c r="BV214" i="15"/>
  <c r="BR215" i="15"/>
  <c r="BT215" i="15"/>
  <c r="BV215" i="15"/>
  <c r="BR216" i="15"/>
  <c r="BT216" i="15"/>
  <c r="BV216" i="15"/>
  <c r="R217" i="15"/>
  <c r="BR217" i="15"/>
  <c r="BT217" i="15"/>
  <c r="BV217" i="15"/>
  <c r="M218" i="15"/>
  <c r="O218" i="15"/>
  <c r="Q218" i="15"/>
  <c r="R218" i="15"/>
  <c r="T218" i="15"/>
  <c r="V218" i="15"/>
  <c r="X218" i="15"/>
  <c r="Z218" i="15"/>
  <c r="AB218" i="15"/>
  <c r="AD218" i="15"/>
  <c r="AF218" i="15"/>
  <c r="AH218" i="15"/>
  <c r="AJ218" i="15"/>
  <c r="AL218" i="15"/>
  <c r="AN218" i="15"/>
  <c r="AP218" i="15"/>
  <c r="AR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BW218" i="15"/>
  <c r="BN220" i="15"/>
  <c r="BR220" i="15"/>
  <c r="BT220" i="15"/>
  <c r="BV220" i="15"/>
  <c r="R223" i="15"/>
  <c r="BN223" i="15"/>
  <c r="BR223" i="15"/>
  <c r="BT223" i="15"/>
  <c r="BV223" i="15"/>
  <c r="BN224" i="15"/>
  <c r="BR224" i="15"/>
  <c r="BT224" i="15"/>
  <c r="BV224" i="15"/>
  <c r="BN225" i="15"/>
  <c r="BR225" i="15"/>
  <c r="BT225" i="15"/>
  <c r="BV225" i="15"/>
  <c r="N226" i="15"/>
  <c r="P226" i="15"/>
  <c r="R226" i="15"/>
  <c r="T226" i="15"/>
  <c r="V226" i="15"/>
  <c r="X226" i="15"/>
  <c r="Z226" i="15"/>
  <c r="AB226" i="15"/>
  <c r="AD226" i="15"/>
  <c r="AF226" i="15"/>
  <c r="AH226" i="15"/>
  <c r="AJ226" i="15"/>
  <c r="AL226" i="15"/>
  <c r="AN226" i="15"/>
  <c r="AP226" i="15"/>
  <c r="AR226" i="15"/>
  <c r="AT226" i="15"/>
  <c r="AV226" i="15"/>
  <c r="AX226" i="15"/>
  <c r="AZ226" i="15"/>
  <c r="BB226" i="15"/>
  <c r="BD226" i="15"/>
  <c r="BF226" i="15"/>
  <c r="BH226" i="15"/>
  <c r="BJ226" i="15"/>
  <c r="BL226" i="15"/>
  <c r="BN226" i="15"/>
  <c r="BP226" i="15"/>
  <c r="BR226" i="15"/>
  <c r="BT226" i="15"/>
  <c r="BV226" i="15"/>
  <c r="BN228" i="15"/>
  <c r="BR228" i="15"/>
  <c r="BT228" i="15"/>
  <c r="BV228" i="15"/>
  <c r="AL230" i="15"/>
  <c r="BN230" i="15"/>
  <c r="BR230" i="15"/>
  <c r="BT230" i="15"/>
  <c r="BV230" i="15"/>
  <c r="AJ233" i="15"/>
  <c r="BN233" i="15"/>
  <c r="BR233" i="15"/>
  <c r="BT233" i="15"/>
  <c r="BV233" i="15"/>
  <c r="AT234" i="15"/>
  <c r="AV234" i="15"/>
  <c r="BN234" i="15"/>
  <c r="BR234" i="15"/>
  <c r="BT234" i="15"/>
  <c r="BV234" i="15"/>
  <c r="R235" i="15"/>
  <c r="BN235" i="15"/>
  <c r="BR235" i="15"/>
  <c r="BT235" i="15"/>
  <c r="BV235" i="15"/>
  <c r="P236" i="15"/>
  <c r="R236" i="15"/>
  <c r="AR236" i="15"/>
  <c r="AT236" i="15"/>
  <c r="AV236" i="15"/>
  <c r="BN236" i="15"/>
  <c r="BR236" i="15"/>
  <c r="BT236" i="15"/>
  <c r="BV236" i="15"/>
  <c r="AT237" i="15"/>
  <c r="BN237" i="15"/>
  <c r="BR237" i="15"/>
  <c r="BT237" i="15"/>
  <c r="BV237" i="15"/>
  <c r="BN238" i="15"/>
  <c r="BR238" i="15"/>
  <c r="BT238" i="15"/>
  <c r="BV238" i="15"/>
  <c r="N239" i="15"/>
  <c r="P239" i="15"/>
  <c r="R239" i="15"/>
  <c r="S239" i="15"/>
  <c r="T239" i="15"/>
  <c r="U239" i="15"/>
  <c r="V239" i="15"/>
  <c r="W239" i="15"/>
  <c r="X239" i="15"/>
  <c r="Y239" i="15"/>
  <c r="Z239" i="15"/>
  <c r="AA239" i="15"/>
  <c r="AB239" i="15"/>
  <c r="AC239" i="15"/>
  <c r="AD239" i="15"/>
  <c r="AE239" i="15"/>
  <c r="AF239" i="15"/>
  <c r="AG239" i="15"/>
  <c r="AH239" i="15"/>
  <c r="AJ239" i="15"/>
  <c r="AL239" i="15"/>
  <c r="AN239" i="15"/>
  <c r="AP239" i="15"/>
  <c r="AR239" i="15"/>
  <c r="AS239" i="15"/>
  <c r="AT239" i="15"/>
  <c r="AU239" i="15"/>
  <c r="AV239" i="15"/>
  <c r="AW239" i="15"/>
  <c r="AX239" i="15"/>
  <c r="AY239" i="15"/>
  <c r="AZ239" i="15"/>
  <c r="BA239" i="15"/>
  <c r="BB239" i="15"/>
  <c r="BC239" i="15"/>
  <c r="BD239" i="15"/>
  <c r="BE239" i="15"/>
  <c r="BF239" i="15"/>
  <c r="BG239" i="15"/>
  <c r="BH239" i="15"/>
  <c r="BI239" i="15"/>
  <c r="BJ239" i="15"/>
  <c r="BK239" i="15"/>
  <c r="BL239" i="15"/>
  <c r="BM239" i="15"/>
  <c r="BN239" i="15"/>
  <c r="BO239" i="15"/>
  <c r="BP239" i="15"/>
  <c r="BQ239" i="15"/>
  <c r="BR239" i="15"/>
  <c r="BS239" i="15"/>
  <c r="BT239" i="15"/>
  <c r="BU239" i="15"/>
  <c r="BV239" i="15"/>
  <c r="BW239" i="15"/>
  <c r="P242" i="15"/>
  <c r="AT242" i="15"/>
  <c r="BN242" i="15"/>
  <c r="BR242" i="15"/>
  <c r="BT242" i="15"/>
  <c r="BV242" i="15"/>
  <c r="P243" i="15"/>
  <c r="AT243" i="15"/>
  <c r="BN243" i="15"/>
  <c r="BR243" i="15"/>
  <c r="BT243" i="15"/>
  <c r="BV243" i="15"/>
  <c r="BN244" i="15"/>
  <c r="BR244" i="15"/>
  <c r="BT244" i="15"/>
  <c r="BV244" i="15"/>
  <c r="N245" i="15"/>
  <c r="O245" i="15"/>
  <c r="P245" i="15"/>
  <c r="Q245" i="15"/>
  <c r="R245" i="15"/>
  <c r="T245" i="15"/>
  <c r="V245" i="15"/>
  <c r="X245" i="15"/>
  <c r="Z245" i="15"/>
  <c r="AB245" i="15"/>
  <c r="AD245" i="15"/>
  <c r="AF245" i="15"/>
  <c r="AH245" i="15"/>
  <c r="AJ245" i="15"/>
  <c r="AL245" i="15"/>
  <c r="AN245" i="15"/>
  <c r="AP245" i="15"/>
  <c r="AR245" i="15"/>
  <c r="AT245" i="15"/>
  <c r="AV245" i="15"/>
  <c r="AX245" i="15"/>
  <c r="AZ245" i="15"/>
  <c r="BB245" i="15"/>
  <c r="BD245" i="15"/>
  <c r="BF245" i="15"/>
  <c r="BH245" i="15"/>
  <c r="BJ245" i="15"/>
  <c r="BL245" i="15"/>
  <c r="BN245" i="15"/>
  <c r="BP245" i="15"/>
  <c r="BR245" i="15"/>
  <c r="BT245" i="15"/>
  <c r="BV245" i="15"/>
  <c r="P247" i="15"/>
  <c r="AN247" i="15"/>
  <c r="AP247" i="15"/>
  <c r="AR247" i="15"/>
  <c r="AT247" i="15"/>
  <c r="BN247" i="15"/>
  <c r="BR247" i="15"/>
  <c r="BT247" i="15"/>
  <c r="BV247" i="15"/>
  <c r="R249" i="15"/>
  <c r="S249" i="15"/>
  <c r="T249" i="15"/>
  <c r="U249" i="15"/>
  <c r="V249" i="15"/>
  <c r="W249" i="15"/>
  <c r="X249" i="15"/>
  <c r="Y249" i="15"/>
  <c r="Z249" i="15"/>
  <c r="AA249" i="15"/>
  <c r="AB249" i="15"/>
  <c r="AC249" i="15"/>
  <c r="AD249" i="15"/>
  <c r="AE249" i="15"/>
  <c r="AF249" i="15"/>
  <c r="AG249" i="15"/>
  <c r="AH249" i="15"/>
  <c r="AJ249" i="15"/>
  <c r="AL249" i="15"/>
  <c r="AN249" i="15"/>
  <c r="AP249" i="15"/>
  <c r="AR249" i="15"/>
  <c r="AS249" i="15"/>
  <c r="AT249" i="15"/>
  <c r="AU249" i="15"/>
  <c r="AV249" i="15"/>
  <c r="AW249" i="15"/>
  <c r="AX249" i="15"/>
  <c r="AY249" i="15"/>
  <c r="AZ249" i="15"/>
  <c r="BA249" i="15"/>
  <c r="BB249" i="15"/>
  <c r="BC249" i="15"/>
  <c r="BD249" i="15"/>
  <c r="BE249" i="15"/>
  <c r="BF249" i="15"/>
  <c r="BG249" i="15"/>
  <c r="BH249" i="15"/>
  <c r="BI249" i="15"/>
  <c r="BJ249" i="15"/>
  <c r="BK249" i="15"/>
  <c r="BL249" i="15"/>
  <c r="BM249" i="15"/>
  <c r="BN249" i="15"/>
  <c r="BO249" i="15"/>
  <c r="BP249" i="15"/>
  <c r="BQ249" i="15"/>
  <c r="BR249" i="15"/>
  <c r="BS249" i="15"/>
  <c r="BT249" i="15"/>
  <c r="BU249" i="15"/>
  <c r="BV249" i="15"/>
  <c r="BW249" i="15"/>
  <c r="P251" i="15"/>
  <c r="R251" i="15"/>
  <c r="BN251" i="15"/>
  <c r="BR251" i="15"/>
  <c r="BT251" i="15"/>
  <c r="BV251" i="15"/>
  <c r="BN253" i="15"/>
  <c r="BT253" i="15"/>
  <c r="BV253" i="15"/>
  <c r="R255" i="15"/>
  <c r="S255" i="15"/>
  <c r="T255" i="15"/>
  <c r="U255" i="15"/>
  <c r="V255" i="15"/>
  <c r="W255" i="15"/>
  <c r="X255" i="15"/>
  <c r="Y255" i="15"/>
  <c r="Z255" i="15"/>
  <c r="AA255" i="15"/>
  <c r="AB255" i="15"/>
  <c r="AC255" i="15"/>
  <c r="AD255" i="15"/>
  <c r="AE255" i="15"/>
  <c r="AF255" i="15"/>
  <c r="AG255" i="15"/>
  <c r="AH255" i="15"/>
  <c r="AJ255" i="15"/>
  <c r="AL255" i="15"/>
  <c r="AN255" i="15"/>
  <c r="AP255" i="15"/>
  <c r="AR255" i="15"/>
  <c r="AS255" i="15"/>
  <c r="AT255" i="15"/>
  <c r="AU255" i="15"/>
  <c r="AV255" i="15"/>
  <c r="AW255" i="15"/>
  <c r="AX255" i="15"/>
  <c r="AY255" i="15"/>
  <c r="AZ255" i="15"/>
  <c r="BA255" i="15"/>
  <c r="BB255" i="15"/>
  <c r="BC255" i="15"/>
  <c r="BD255" i="15"/>
  <c r="BE255" i="15"/>
  <c r="BF255" i="15"/>
  <c r="BG255" i="15"/>
  <c r="BH255" i="15"/>
  <c r="BI255" i="15"/>
  <c r="BJ255" i="15"/>
  <c r="BK255" i="15"/>
  <c r="BL255" i="15"/>
  <c r="BM255" i="15"/>
  <c r="BN255" i="15"/>
  <c r="BO255" i="15"/>
  <c r="BP255" i="15"/>
  <c r="BQ255" i="15"/>
  <c r="BR255" i="15"/>
  <c r="BS255" i="15"/>
  <c r="BT255" i="15"/>
  <c r="BU255" i="15"/>
  <c r="BV255" i="15"/>
  <c r="AR258" i="15"/>
  <c r="BN258" i="15"/>
  <c r="BT258" i="15"/>
  <c r="BV258" i="15"/>
  <c r="BN259" i="15"/>
  <c r="R261" i="15"/>
  <c r="S261" i="15"/>
  <c r="T261" i="15"/>
  <c r="U261" i="15"/>
  <c r="V261" i="15"/>
  <c r="W261" i="15"/>
  <c r="X261" i="15"/>
  <c r="Y261" i="15"/>
  <c r="Z261" i="15"/>
  <c r="AA261" i="15"/>
  <c r="AB261" i="15"/>
  <c r="AC261" i="15"/>
  <c r="AD261" i="15"/>
  <c r="AE261" i="15"/>
  <c r="AF261" i="15"/>
  <c r="AG261" i="15"/>
  <c r="AH261" i="15"/>
  <c r="AJ261" i="15"/>
  <c r="AL261" i="15"/>
  <c r="AN261" i="15"/>
  <c r="AP261" i="15"/>
  <c r="AR261" i="15"/>
  <c r="AS261" i="15"/>
  <c r="AT261" i="15"/>
  <c r="AU261" i="15"/>
  <c r="AV261" i="15"/>
  <c r="AW261" i="15"/>
  <c r="AX261" i="15"/>
  <c r="AY261" i="15"/>
  <c r="AZ261" i="15"/>
  <c r="BA261" i="15"/>
  <c r="BB261" i="15"/>
  <c r="BC261" i="15"/>
  <c r="BD261" i="15"/>
  <c r="BE261" i="15"/>
  <c r="BF261" i="15"/>
  <c r="BG261" i="15"/>
  <c r="BH261" i="15"/>
  <c r="BI261" i="15"/>
  <c r="BJ261" i="15"/>
  <c r="BK261" i="15"/>
  <c r="BL261" i="15"/>
  <c r="BM261" i="15"/>
  <c r="BN261" i="15"/>
  <c r="BO261" i="15"/>
  <c r="BP261" i="15"/>
  <c r="BQ261" i="15"/>
  <c r="BR261" i="15"/>
  <c r="BS261" i="15"/>
  <c r="BT261" i="15"/>
  <c r="BU261" i="15"/>
  <c r="BV261" i="15"/>
  <c r="BW261" i="15"/>
  <c r="K13" i="19"/>
  <c r="K14" i="19"/>
  <c r="K16" i="19"/>
  <c r="K17" i="19"/>
  <c r="K19" i="19"/>
  <c r="K20" i="19"/>
  <c r="K21" i="19"/>
  <c r="K22" i="19"/>
  <c r="K23" i="19"/>
  <c r="G27" i="19"/>
  <c r="H27" i="19"/>
  <c r="I27" i="19"/>
  <c r="J27" i="19"/>
  <c r="K27" i="19"/>
  <c r="G28" i="19"/>
  <c r="H28" i="19"/>
  <c r="I28" i="19"/>
  <c r="J28" i="19"/>
  <c r="K28" i="19"/>
  <c r="G29" i="19"/>
  <c r="H29" i="19"/>
  <c r="I29" i="19"/>
  <c r="J29" i="19"/>
  <c r="K29" i="19"/>
  <c r="G30" i="19"/>
  <c r="H30" i="19"/>
  <c r="I30" i="19"/>
  <c r="J30" i="19"/>
  <c r="K30" i="19"/>
  <c r="G31" i="19"/>
  <c r="H31" i="19"/>
  <c r="I31" i="19"/>
  <c r="J31" i="19"/>
  <c r="K31" i="19"/>
  <c r="H35" i="19"/>
  <c r="H37" i="19"/>
  <c r="H44"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2" i="5"/>
  <c r="C63" i="5"/>
  <c r="C64" i="5"/>
  <c r="C65" i="5"/>
  <c r="C66" i="5"/>
  <c r="C67" i="5"/>
  <c r="C69" i="5"/>
  <c r="C70" i="5"/>
  <c r="C71" i="5"/>
  <c r="C74" i="5"/>
  <c r="C75" i="5"/>
  <c r="C76" i="5"/>
  <c r="C77" i="5"/>
  <c r="C78" i="5"/>
  <c r="C79" i="5"/>
  <c r="C80" i="5"/>
  <c r="C81" i="5"/>
  <c r="C82" i="5"/>
  <c r="C83" i="5"/>
  <c r="C84" i="5"/>
  <c r="C85" i="5"/>
  <c r="C86" i="5"/>
  <c r="C88" i="5"/>
  <c r="C89" i="5"/>
  <c r="C91" i="5"/>
  <c r="C92" i="5"/>
  <c r="C93" i="5"/>
  <c r="C94" i="5"/>
  <c r="C95" i="5"/>
  <c r="C96" i="5"/>
  <c r="C97" i="5"/>
  <c r="C98" i="5"/>
  <c r="C100" i="5"/>
  <c r="C102" i="5"/>
  <c r="C103" i="5"/>
  <c r="A106" i="5"/>
  <c r="A1" i="13"/>
  <c r="A2" i="13"/>
  <c r="BT2" i="13"/>
  <c r="BP3" i="13"/>
  <c r="BT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BL40" i="13"/>
  <c r="BN40" i="13"/>
  <c r="BP40" i="13"/>
  <c r="BR40" i="13"/>
  <c r="BT40" i="13"/>
  <c r="AT41" i="13"/>
  <c r="BL41" i="13"/>
  <c r="BN41" i="13"/>
  <c r="BP41" i="13"/>
  <c r="BR41" i="13"/>
  <c r="BT41" i="13"/>
  <c r="AT42" i="13"/>
  <c r="BL42" i="13"/>
  <c r="BN42" i="13"/>
  <c r="BP42" i="13"/>
  <c r="BR42" i="13"/>
  <c r="BT42" i="13"/>
  <c r="AT43" i="13"/>
  <c r="BL43" i="13"/>
  <c r="BN43" i="13"/>
  <c r="BP43" i="13"/>
  <c r="BR43" i="13"/>
  <c r="BT43" i="13"/>
  <c r="AT44" i="13"/>
  <c r="BL44" i="13"/>
  <c r="BN44" i="13"/>
  <c r="BP44" i="13"/>
  <c r="BR44" i="13"/>
  <c r="BT44" i="13"/>
  <c r="AT45" i="13"/>
  <c r="BL45" i="13"/>
  <c r="BP45" i="13"/>
  <c r="BR45" i="13"/>
  <c r="BT45" i="13"/>
  <c r="AT46" i="13"/>
  <c r="BL46" i="13"/>
  <c r="BN46" i="13"/>
  <c r="BP46" i="13"/>
  <c r="BR46" i="13"/>
  <c r="BT46" i="13"/>
  <c r="AT47" i="13"/>
  <c r="BL47" i="13"/>
  <c r="BN47" i="13"/>
  <c r="BP47" i="13"/>
  <c r="BR47" i="13"/>
  <c r="BT47" i="13"/>
  <c r="AT48" i="13"/>
  <c r="BL48" i="13"/>
  <c r="BN48" i="13"/>
  <c r="BP48" i="13"/>
  <c r="BR48" i="13"/>
  <c r="BT48" i="13"/>
  <c r="AT49" i="13"/>
  <c r="BL49" i="13"/>
  <c r="BP49" i="13"/>
  <c r="BR49" i="13"/>
  <c r="BT49" i="13"/>
  <c r="R50" i="13"/>
  <c r="AT50" i="13"/>
  <c r="BL50" i="13"/>
  <c r="BN50" i="13"/>
  <c r="BP50" i="13"/>
  <c r="BR50" i="13"/>
  <c r="BT50" i="13"/>
  <c r="BL51" i="13"/>
  <c r="BN51" i="13"/>
  <c r="BP51" i="13"/>
  <c r="BR51" i="13"/>
  <c r="BT51" i="13"/>
  <c r="BL52" i="13"/>
  <c r="BP52" i="13"/>
  <c r="BR52" i="13"/>
  <c r="BT52" i="13"/>
  <c r="BL53" i="13"/>
  <c r="BP53" i="13"/>
  <c r="BR53" i="13"/>
  <c r="BT53" i="13"/>
  <c r="BL54" i="13"/>
  <c r="BP54" i="13"/>
  <c r="BR54" i="13"/>
  <c r="BT54" i="13"/>
  <c r="R55" i="13"/>
  <c r="BL55" i="13"/>
  <c r="BP55" i="13"/>
  <c r="BR55" i="13"/>
  <c r="R56" i="13"/>
  <c r="S56" i="13"/>
  <c r="T56" i="13"/>
  <c r="U56" i="13"/>
  <c r="V56" i="13"/>
  <c r="W56" i="13"/>
  <c r="X56" i="13"/>
  <c r="Y56" i="13"/>
  <c r="Z56" i="13"/>
  <c r="AA56" i="13"/>
  <c r="AB56" i="13"/>
  <c r="AC56" i="13"/>
  <c r="AD56" i="13"/>
  <c r="AE56" i="13"/>
  <c r="AF56" i="13"/>
  <c r="AG56" i="13"/>
  <c r="AH56" i="13"/>
  <c r="AI56" i="13"/>
  <c r="AJ56" i="13"/>
  <c r="AK56" i="13"/>
  <c r="AL56" i="13"/>
  <c r="AM56" i="13"/>
  <c r="AN56" i="13"/>
  <c r="AO56" i="13"/>
  <c r="AP56" i="13"/>
  <c r="AQ56" i="13"/>
  <c r="AR56" i="13"/>
  <c r="AS56" i="13"/>
  <c r="AT56" i="13"/>
  <c r="AU56" i="13"/>
  <c r="AV56" i="13"/>
  <c r="AW56" i="13"/>
  <c r="AX56" i="13"/>
  <c r="AY56" i="13"/>
  <c r="AZ56" i="13"/>
  <c r="BA56" i="13"/>
  <c r="BB56" i="13"/>
  <c r="BC56" i="13"/>
  <c r="BD56" i="13"/>
  <c r="BE56" i="13"/>
  <c r="BF56" i="13"/>
  <c r="BG56" i="13"/>
  <c r="BH56" i="13"/>
  <c r="BI56" i="13"/>
  <c r="BJ56" i="13"/>
  <c r="BK56" i="13"/>
  <c r="BL56" i="13"/>
  <c r="BM56" i="13"/>
  <c r="BN56" i="13"/>
  <c r="BO56" i="13"/>
  <c r="BP56" i="13"/>
  <c r="BQ56" i="13"/>
  <c r="BR56" i="13"/>
  <c r="BS56" i="13"/>
  <c r="BT56" i="13"/>
  <c r="BL58" i="13"/>
  <c r="BL59" i="13"/>
  <c r="BP59" i="13"/>
  <c r="BR59" i="13"/>
  <c r="BT59" i="13"/>
  <c r="BL60" i="13"/>
  <c r="BN60" i="13"/>
  <c r="BP60" i="13"/>
  <c r="BR60" i="13"/>
  <c r="BT60" i="13"/>
  <c r="BL61" i="13"/>
  <c r="BN61" i="13"/>
  <c r="BP61" i="13"/>
  <c r="BR61" i="13"/>
  <c r="BT61" i="13"/>
  <c r="BL62" i="13"/>
  <c r="BP62" i="13"/>
  <c r="BR62" i="13"/>
  <c r="BT62" i="13"/>
  <c r="BL63" i="13"/>
  <c r="BN63" i="13"/>
  <c r="BP63" i="13"/>
  <c r="BR63" i="13"/>
  <c r="BT63" i="13"/>
  <c r="BL64" i="13"/>
  <c r="BP64" i="13"/>
  <c r="BR64" i="13"/>
  <c r="BT64" i="13"/>
  <c r="AT65" i="13"/>
  <c r="BL65" i="13"/>
  <c r="BN65" i="13"/>
  <c r="BP65" i="13"/>
  <c r="BR65" i="13"/>
  <c r="BT65" i="13"/>
  <c r="BL66" i="13"/>
  <c r="BP66" i="13"/>
  <c r="BR66" i="13"/>
  <c r="BT66" i="13"/>
  <c r="BL67" i="13"/>
  <c r="BP67" i="13"/>
  <c r="BR67" i="13"/>
  <c r="BT67" i="13"/>
  <c r="BL68" i="13"/>
  <c r="BN68" i="13"/>
  <c r="BP68" i="13"/>
  <c r="BR68" i="13"/>
  <c r="BT68" i="13"/>
  <c r="BL69" i="13"/>
  <c r="BP69" i="13"/>
  <c r="BR69" i="13"/>
  <c r="BT69" i="13"/>
  <c r="BL70" i="13"/>
  <c r="BN70" i="13"/>
  <c r="BP70" i="13"/>
  <c r="BR70" i="13"/>
  <c r="BT70" i="13"/>
  <c r="BL71" i="13"/>
  <c r="BP71" i="13"/>
  <c r="BR71" i="13"/>
  <c r="BT71" i="13"/>
  <c r="BL72" i="13"/>
  <c r="BP72" i="13"/>
  <c r="BR72" i="13"/>
  <c r="BT72" i="13"/>
  <c r="BL73" i="13"/>
  <c r="BP73" i="13"/>
  <c r="BR73" i="13"/>
  <c r="BT73" i="13"/>
  <c r="BL74" i="13"/>
  <c r="BP74" i="13"/>
  <c r="BR74" i="13"/>
  <c r="BT74" i="13"/>
  <c r="BL75" i="13"/>
  <c r="BN75" i="13"/>
  <c r="BP75" i="13"/>
  <c r="BR75" i="13"/>
  <c r="BT75" i="13"/>
  <c r="BL76" i="13"/>
  <c r="BN76" i="13"/>
  <c r="BP76" i="13"/>
  <c r="BR76" i="13"/>
  <c r="BT76" i="13"/>
  <c r="BL77" i="13"/>
  <c r="BN77" i="13"/>
  <c r="BP77" i="13"/>
  <c r="BR77" i="13"/>
  <c r="BT77" i="13"/>
  <c r="BL78" i="13"/>
  <c r="BN78" i="13"/>
  <c r="BP78" i="13"/>
  <c r="BR78" i="13"/>
  <c r="BT78" i="13"/>
  <c r="BL79" i="13"/>
  <c r="BP79" i="13"/>
  <c r="BR79" i="13"/>
  <c r="BT79" i="13"/>
  <c r="BL80" i="13"/>
  <c r="BP80" i="13"/>
  <c r="BR80" i="13"/>
  <c r="BT80" i="13"/>
  <c r="BL81" i="13"/>
  <c r="BN81" i="13"/>
  <c r="BP81" i="13"/>
  <c r="BR81" i="13"/>
  <c r="BT81" i="13"/>
  <c r="R82" i="13"/>
  <c r="S82" i="13"/>
  <c r="T82" i="13"/>
  <c r="U82" i="13"/>
  <c r="V82" i="13"/>
  <c r="W82" i="13"/>
  <c r="X82" i="13"/>
  <c r="Y82" i="13"/>
  <c r="Z82" i="13"/>
  <c r="AA82" i="13"/>
  <c r="AB82" i="13"/>
  <c r="AC82" i="13"/>
  <c r="AD82" i="13"/>
  <c r="AE82" i="13"/>
  <c r="AF82" i="13"/>
  <c r="AG82" i="13"/>
  <c r="AH82" i="13"/>
  <c r="AI82" i="13"/>
  <c r="AJ82" i="13"/>
  <c r="AK82" i="13"/>
  <c r="AL82" i="13"/>
  <c r="AM82" i="13"/>
  <c r="AN82" i="13"/>
  <c r="AO82" i="13"/>
  <c r="AP82" i="13"/>
  <c r="AQ82" i="13"/>
  <c r="AR82" i="13"/>
  <c r="AS82" i="13"/>
  <c r="AT82" i="13"/>
  <c r="AU82" i="13"/>
  <c r="AV82" i="13"/>
  <c r="AW82" i="13"/>
  <c r="AX82" i="13"/>
  <c r="AY82" i="13"/>
  <c r="AZ82" i="13"/>
  <c r="BA82" i="13"/>
  <c r="BB82" i="13"/>
  <c r="BC82" i="13"/>
  <c r="BD82" i="13"/>
  <c r="BE82" i="13"/>
  <c r="BF82" i="13"/>
  <c r="BG82" i="13"/>
  <c r="BH82" i="13"/>
  <c r="BI82" i="13"/>
  <c r="BJ82" i="13"/>
  <c r="BK82" i="13"/>
  <c r="BL82" i="13"/>
  <c r="BM82" i="13"/>
  <c r="BN82" i="13"/>
  <c r="BO82" i="13"/>
  <c r="BP82" i="13"/>
  <c r="BQ82" i="13"/>
  <c r="BR82" i="13"/>
  <c r="BS82" i="13"/>
  <c r="BT82" i="13"/>
  <c r="BL85" i="13"/>
  <c r="BN85" i="13"/>
  <c r="BP85" i="13"/>
  <c r="BR85" i="13"/>
  <c r="BT85" i="13"/>
  <c r="BL86" i="13"/>
  <c r="BM86" i="13"/>
  <c r="BO86" i="13"/>
  <c r="BP86" i="13"/>
  <c r="BQ86" i="13"/>
  <c r="BR86" i="13"/>
  <c r="BS86" i="13"/>
  <c r="BT86" i="13"/>
  <c r="AT87" i="13"/>
  <c r="BL87" i="13"/>
  <c r="BM87" i="13"/>
  <c r="BN87" i="13"/>
  <c r="BO87" i="13"/>
  <c r="BP87" i="13"/>
  <c r="BQ87" i="13"/>
  <c r="BR87" i="13"/>
  <c r="BS87" i="13"/>
  <c r="BT87" i="13"/>
  <c r="AT88" i="13"/>
  <c r="BL88" i="13"/>
  <c r="BP88" i="13"/>
  <c r="BR88" i="13"/>
  <c r="BT88" i="13"/>
  <c r="BL89" i="13"/>
  <c r="BP89" i="13"/>
  <c r="BR89" i="13"/>
  <c r="BT89" i="13"/>
  <c r="AT90" i="13"/>
  <c r="BL90" i="13"/>
  <c r="BN90" i="13"/>
  <c r="BP90" i="13"/>
  <c r="BR90" i="13"/>
  <c r="BT90" i="13"/>
  <c r="AT91" i="13"/>
  <c r="BL91" i="13"/>
  <c r="BP91" i="13"/>
  <c r="BR91" i="13"/>
  <c r="BT91" i="13"/>
  <c r="BL92" i="13"/>
  <c r="BP92" i="13"/>
  <c r="BR92" i="13"/>
  <c r="BT92" i="13"/>
  <c r="AT93" i="13"/>
  <c r="BL93" i="13"/>
  <c r="BN93" i="13"/>
  <c r="BP93" i="13"/>
  <c r="BR93" i="13"/>
  <c r="BT93" i="13"/>
  <c r="BL94" i="13"/>
  <c r="BP94" i="13"/>
  <c r="BR94" i="13"/>
  <c r="BT94" i="13"/>
  <c r="BL95" i="13"/>
  <c r="BP95" i="13"/>
  <c r="BR95" i="13"/>
  <c r="BT95" i="13"/>
  <c r="BL96" i="13"/>
  <c r="BM96" i="13"/>
  <c r="BN96" i="13"/>
  <c r="BO96" i="13"/>
  <c r="BP96" i="13"/>
  <c r="BQ96" i="13"/>
  <c r="BR96" i="13"/>
  <c r="BS96" i="13"/>
  <c r="BT96" i="13"/>
  <c r="BU96" i="13"/>
  <c r="BV96" i="13"/>
  <c r="BW96" i="13"/>
  <c r="BL97" i="13"/>
  <c r="BP97" i="13"/>
  <c r="BR97" i="13"/>
  <c r="BT97" i="13"/>
  <c r="BL98" i="13"/>
  <c r="BN98" i="13"/>
  <c r="BP98" i="13"/>
  <c r="BR98" i="13"/>
  <c r="BT98" i="13"/>
  <c r="BL99" i="13"/>
  <c r="BP99" i="13"/>
  <c r="BR99" i="13"/>
  <c r="BT99" i="13"/>
  <c r="BL100" i="13"/>
  <c r="BP100" i="13"/>
  <c r="BR100" i="13"/>
  <c r="BT100" i="13"/>
  <c r="BL101" i="13"/>
  <c r="BP101" i="13"/>
  <c r="BR101" i="13"/>
  <c r="BT101" i="13"/>
  <c r="BL102" i="13"/>
  <c r="BN102" i="13"/>
  <c r="BP102" i="13"/>
  <c r="BR102" i="13"/>
  <c r="BT102" i="13"/>
  <c r="BL103" i="13"/>
  <c r="BP103" i="13"/>
  <c r="BR103" i="13"/>
  <c r="BT103" i="13"/>
  <c r="BL104" i="13"/>
  <c r="BN104" i="13"/>
  <c r="BP104" i="13"/>
  <c r="BR104" i="13"/>
  <c r="BT104" i="13"/>
  <c r="BL105" i="13"/>
  <c r="BN105" i="13"/>
  <c r="BP105" i="13"/>
  <c r="BR105" i="13"/>
  <c r="BT105" i="13"/>
  <c r="BL106" i="13"/>
  <c r="BN106" i="13"/>
  <c r="BP106" i="13"/>
  <c r="BR106" i="13"/>
  <c r="BT106" i="13"/>
  <c r="BL107" i="13"/>
  <c r="BP107" i="13"/>
  <c r="BR107" i="13"/>
  <c r="BT107" i="13"/>
  <c r="BL108" i="13"/>
  <c r="BP108" i="13"/>
  <c r="BR108" i="13"/>
  <c r="BT108" i="13"/>
  <c r="AT109" i="13"/>
  <c r="BL109" i="13"/>
  <c r="BN109" i="13"/>
  <c r="BP109" i="13"/>
  <c r="BR109" i="13"/>
  <c r="BT109" i="13"/>
  <c r="BL110" i="13"/>
  <c r="BP110" i="13"/>
  <c r="BR110" i="13"/>
  <c r="BT110" i="13"/>
  <c r="BL111" i="13"/>
  <c r="BN111" i="13"/>
  <c r="BP111" i="13"/>
  <c r="BR111" i="13"/>
  <c r="BT111" i="13"/>
  <c r="BL112" i="13"/>
  <c r="BP112" i="13"/>
  <c r="BR112" i="13"/>
  <c r="BT112" i="13"/>
  <c r="BL113" i="13"/>
  <c r="BP113" i="13"/>
  <c r="BR113" i="13"/>
  <c r="BT113" i="13"/>
  <c r="BL114" i="13"/>
  <c r="BP114" i="13"/>
  <c r="BR114" i="13"/>
  <c r="BT114" i="13"/>
  <c r="R116" i="13"/>
  <c r="S116" i="13"/>
  <c r="T116" i="13"/>
  <c r="U116" i="13"/>
  <c r="V116" i="13"/>
  <c r="W116" i="13"/>
  <c r="X116" i="13"/>
  <c r="Y116" i="13"/>
  <c r="Z116" i="13"/>
  <c r="AA116" i="13"/>
  <c r="AB116" i="13"/>
  <c r="AC116" i="13"/>
  <c r="AD116" i="13"/>
  <c r="AE116" i="13"/>
  <c r="AF116" i="13"/>
  <c r="AG116" i="13"/>
  <c r="AH116" i="13"/>
  <c r="AI116" i="13"/>
  <c r="AJ116" i="13"/>
  <c r="AK116" i="13"/>
  <c r="AL116" i="13"/>
  <c r="AM116" i="13"/>
  <c r="AN116" i="13"/>
  <c r="AO116" i="13"/>
  <c r="AP116" i="13"/>
  <c r="AQ116" i="13"/>
  <c r="AR116" i="13"/>
  <c r="AS116" i="13"/>
  <c r="AT116" i="13"/>
  <c r="AU116" i="13"/>
  <c r="AV116" i="13"/>
  <c r="AW116" i="13"/>
  <c r="AX116" i="13"/>
  <c r="AY116" i="13"/>
  <c r="AZ116" i="13"/>
  <c r="BA116" i="13"/>
  <c r="BB116" i="13"/>
  <c r="BC116" i="13"/>
  <c r="BD116" i="13"/>
  <c r="BE116" i="13"/>
  <c r="BF116" i="13"/>
  <c r="BG116" i="13"/>
  <c r="BH116" i="13"/>
  <c r="BI116" i="13"/>
  <c r="BJ116" i="13"/>
  <c r="BK116" i="13"/>
  <c r="BL116" i="13"/>
  <c r="BM116" i="13"/>
  <c r="BN116" i="13"/>
  <c r="BO116" i="13"/>
  <c r="BP116" i="13"/>
  <c r="BQ116" i="13"/>
  <c r="BR116" i="13"/>
  <c r="BS116" i="13"/>
  <c r="BT116" i="13"/>
  <c r="BU116" i="13"/>
  <c r="BL119" i="13"/>
  <c r="BN119" i="13"/>
  <c r="BP119" i="13"/>
  <c r="BR119" i="13"/>
  <c r="BT119" i="13"/>
  <c r="R121" i="13"/>
  <c r="S121" i="13"/>
  <c r="T121" i="13"/>
  <c r="U121" i="13"/>
  <c r="V121" i="13"/>
  <c r="W121" i="13"/>
  <c r="X121" i="13"/>
  <c r="Y121" i="13"/>
  <c r="Z121" i="13"/>
  <c r="AA121" i="13"/>
  <c r="AB121" i="13"/>
  <c r="AC121" i="13"/>
  <c r="AD121" i="13"/>
  <c r="AE121" i="13"/>
  <c r="AF121" i="13"/>
  <c r="AG121" i="13"/>
  <c r="AH121" i="13"/>
  <c r="AI121" i="13"/>
  <c r="AJ121" i="13"/>
  <c r="AK121" i="13"/>
  <c r="AL121" i="13"/>
  <c r="AM121" i="13"/>
  <c r="AN121" i="13"/>
  <c r="AO121" i="13"/>
  <c r="AP121" i="13"/>
  <c r="AQ121" i="13"/>
  <c r="AR121" i="13"/>
  <c r="AS121" i="13"/>
  <c r="AT121" i="13"/>
  <c r="AU121" i="13"/>
  <c r="AV121" i="13"/>
  <c r="AW121" i="13"/>
  <c r="AX121" i="13"/>
  <c r="AY121" i="13"/>
  <c r="AZ121" i="13"/>
  <c r="BA121" i="13"/>
  <c r="BB121" i="13"/>
  <c r="BC121" i="13"/>
  <c r="BD121" i="13"/>
  <c r="BE121" i="13"/>
  <c r="BF121" i="13"/>
  <c r="BG121" i="13"/>
  <c r="BH121" i="13"/>
  <c r="BI121" i="13"/>
  <c r="BJ121" i="13"/>
  <c r="BK121" i="13"/>
  <c r="BL121" i="13"/>
  <c r="BM121" i="13"/>
  <c r="BN121" i="13"/>
  <c r="BO121" i="13"/>
  <c r="BP121" i="13"/>
  <c r="BQ121" i="13"/>
  <c r="BR121" i="13"/>
  <c r="BS121" i="13"/>
  <c r="BT121" i="13"/>
  <c r="AT123" i="13"/>
  <c r="BL123" i="13"/>
  <c r="BT123" i="13"/>
  <c r="AP125" i="13"/>
  <c r="AT125" i="13"/>
  <c r="BL125" i="13"/>
  <c r="BP125" i="13"/>
  <c r="BT125" i="13"/>
  <c r="N127" i="13"/>
  <c r="P127" i="13"/>
  <c r="R127" i="13"/>
  <c r="S127" i="13"/>
  <c r="T127" i="13"/>
  <c r="U127" i="13"/>
  <c r="V127" i="13"/>
  <c r="W127" i="13"/>
  <c r="X127" i="13"/>
  <c r="Y127" i="13"/>
  <c r="Z127" i="13"/>
  <c r="AA127" i="13"/>
  <c r="AB127" i="13"/>
  <c r="AC127" i="13"/>
  <c r="AD127" i="13"/>
  <c r="AE127" i="13"/>
  <c r="AF127" i="13"/>
  <c r="AG127" i="13"/>
  <c r="AH127" i="13"/>
  <c r="AI127" i="13"/>
  <c r="AJ127" i="13"/>
  <c r="AK127" i="13"/>
  <c r="AL127" i="13"/>
  <c r="AM127" i="13"/>
  <c r="AN127" i="13"/>
  <c r="AO127" i="13"/>
  <c r="AP127" i="13"/>
  <c r="AQ127" i="13"/>
  <c r="AR127" i="13"/>
  <c r="AS127" i="13"/>
  <c r="AT127" i="13"/>
  <c r="AU127" i="13"/>
  <c r="AV127" i="13"/>
  <c r="AW127" i="13"/>
  <c r="AX127" i="13"/>
  <c r="AY127" i="13"/>
  <c r="AZ127" i="13"/>
  <c r="BA127" i="13"/>
  <c r="BB127" i="13"/>
  <c r="BC127" i="13"/>
  <c r="BD127" i="13"/>
  <c r="BE127" i="13"/>
  <c r="BF127" i="13"/>
  <c r="BG127" i="13"/>
  <c r="BH127" i="13"/>
  <c r="BI127" i="13"/>
  <c r="BJ127" i="13"/>
  <c r="BK127" i="13"/>
  <c r="BL127" i="13"/>
  <c r="BM127" i="13"/>
  <c r="BN127" i="13"/>
  <c r="BO127" i="13"/>
  <c r="BP127" i="13"/>
  <c r="BQ127" i="13"/>
  <c r="BR127" i="13"/>
  <c r="BS127" i="13"/>
  <c r="BT127" i="13"/>
  <c r="BU127" i="13"/>
  <c r="AH131" i="13"/>
  <c r="BL131" i="13"/>
  <c r="BP131" i="13"/>
  <c r="BR131" i="13"/>
  <c r="BT131" i="13"/>
  <c r="AH132" i="13"/>
  <c r="BL132" i="13"/>
  <c r="BP132" i="13"/>
  <c r="BR132" i="13"/>
  <c r="BT132" i="13"/>
  <c r="BL133" i="13"/>
  <c r="BP133" i="13"/>
  <c r="BR133" i="13"/>
  <c r="BT133" i="13"/>
  <c r="R134" i="13"/>
  <c r="BL134" i="13"/>
  <c r="BP134" i="13"/>
  <c r="BR134" i="13"/>
  <c r="BT134" i="13"/>
  <c r="R135" i="13"/>
  <c r="BL135" i="13"/>
  <c r="BP135" i="13"/>
  <c r="BR135" i="13"/>
  <c r="BT135" i="13"/>
  <c r="R136" i="13"/>
  <c r="BL136" i="13"/>
  <c r="BP136" i="13"/>
  <c r="BR136" i="13"/>
  <c r="BT136" i="13"/>
  <c r="BP137" i="13"/>
  <c r="BT137" i="13"/>
  <c r="N138" i="13"/>
  <c r="P138" i="13"/>
  <c r="R138" i="13"/>
  <c r="T138" i="13"/>
  <c r="V138" i="13"/>
  <c r="X138" i="13"/>
  <c r="Z138" i="13"/>
  <c r="AB138" i="13"/>
  <c r="AD138" i="13"/>
  <c r="AF138" i="13"/>
  <c r="AH138" i="13"/>
  <c r="AJ138" i="13"/>
  <c r="AL138" i="13"/>
  <c r="AN138" i="13"/>
  <c r="AP138" i="13"/>
  <c r="AR138" i="13"/>
  <c r="AT138" i="13"/>
  <c r="AV138" i="13"/>
  <c r="AX138" i="13"/>
  <c r="AZ138" i="13"/>
  <c r="BB138" i="13"/>
  <c r="BD138" i="13"/>
  <c r="BF138" i="13"/>
  <c r="BH138" i="13"/>
  <c r="BJ138" i="13"/>
  <c r="BL138" i="13"/>
  <c r="BN138" i="13"/>
  <c r="BP138" i="13"/>
  <c r="BR138" i="13"/>
  <c r="BT138" i="13"/>
  <c r="BL141" i="13"/>
  <c r="BP141" i="13"/>
  <c r="BR141" i="13"/>
  <c r="BT141" i="13"/>
  <c r="BT142" i="13"/>
  <c r="N143" i="13"/>
  <c r="P143" i="13"/>
  <c r="R143" i="13"/>
  <c r="T143" i="13"/>
  <c r="V143" i="13"/>
  <c r="X143" i="13"/>
  <c r="Z143" i="13"/>
  <c r="AB143" i="13"/>
  <c r="AD143" i="13"/>
  <c r="AF143" i="13"/>
  <c r="AH143" i="13"/>
  <c r="AJ143" i="13"/>
  <c r="AL143" i="13"/>
  <c r="AN143" i="13"/>
  <c r="AP143" i="13"/>
  <c r="AR143" i="13"/>
  <c r="AT143" i="13"/>
  <c r="AV143" i="13"/>
  <c r="AX143" i="13"/>
  <c r="AZ143" i="13"/>
  <c r="BB143" i="13"/>
  <c r="BD143" i="13"/>
  <c r="BF143" i="13"/>
  <c r="BH143" i="13"/>
  <c r="BJ143" i="13"/>
  <c r="BL143" i="13"/>
  <c r="BN143" i="13"/>
  <c r="BP143" i="13"/>
  <c r="BR143" i="13"/>
  <c r="BT143" i="13"/>
  <c r="BL148" i="13"/>
  <c r="BP148" i="13"/>
  <c r="BR148" i="13"/>
  <c r="BT148" i="13"/>
  <c r="R149" i="13"/>
  <c r="BL149" i="13"/>
  <c r="BP149" i="13"/>
  <c r="BR149" i="13"/>
  <c r="BT149" i="13"/>
  <c r="BL150" i="13"/>
  <c r="BP150" i="13"/>
  <c r="BR150" i="13"/>
  <c r="BT150" i="13"/>
  <c r="N151" i="13"/>
  <c r="P151" i="13"/>
  <c r="R151" i="13"/>
  <c r="T151" i="13"/>
  <c r="V151" i="13"/>
  <c r="X151" i="13"/>
  <c r="Z151" i="13"/>
  <c r="AB151" i="13"/>
  <c r="AD151" i="13"/>
  <c r="AF151" i="13"/>
  <c r="AH151" i="13"/>
  <c r="AJ151" i="13"/>
  <c r="AL151" i="13"/>
  <c r="AN151" i="13"/>
  <c r="AP151" i="13"/>
  <c r="AR151" i="13"/>
  <c r="AT151" i="13"/>
  <c r="AV151" i="13"/>
  <c r="AX151" i="13"/>
  <c r="AZ151" i="13"/>
  <c r="BB151" i="13"/>
  <c r="BD151" i="13"/>
  <c r="BF151" i="13"/>
  <c r="BH151" i="13"/>
  <c r="BJ151" i="13"/>
  <c r="BL151" i="13"/>
  <c r="BN151" i="13"/>
  <c r="BP151" i="13"/>
  <c r="BR151" i="13"/>
  <c r="BT151" i="13"/>
  <c r="BL153" i="13"/>
  <c r="BP153" i="13"/>
  <c r="BR153" i="13"/>
  <c r="BT153" i="13"/>
  <c r="BL155" i="13"/>
  <c r="BP155" i="13"/>
  <c r="BR155" i="13"/>
  <c r="BT155" i="13"/>
  <c r="BL157" i="13"/>
  <c r="BP157" i="13"/>
  <c r="BR157" i="13"/>
  <c r="BT157" i="13"/>
  <c r="BL159" i="13"/>
  <c r="BP159" i="13"/>
  <c r="BR159" i="13"/>
  <c r="BT159" i="13"/>
  <c r="BL162" i="13"/>
  <c r="BP162" i="13"/>
  <c r="BR162" i="13"/>
  <c r="BT162" i="13"/>
  <c r="BL163" i="13"/>
  <c r="BP163" i="13"/>
  <c r="BR163" i="13"/>
  <c r="BT163" i="13"/>
  <c r="R164" i="13"/>
  <c r="AL164" i="13"/>
  <c r="AN164" i="13"/>
  <c r="BL164" i="13"/>
  <c r="BP164" i="13"/>
  <c r="BR164" i="13"/>
  <c r="BT164" i="13"/>
  <c r="BP165" i="13"/>
  <c r="BR165" i="13"/>
  <c r="BT165" i="13"/>
  <c r="N166" i="13"/>
  <c r="P166" i="13"/>
  <c r="R166" i="13"/>
  <c r="T166" i="13"/>
  <c r="V166" i="13"/>
  <c r="X166" i="13"/>
  <c r="Z166" i="13"/>
  <c r="AB166" i="13"/>
  <c r="AD166" i="13"/>
  <c r="AF166" i="13"/>
  <c r="AH166" i="13"/>
  <c r="AJ166" i="13"/>
  <c r="AL166" i="13"/>
  <c r="AN166" i="13"/>
  <c r="AP166" i="13"/>
  <c r="AR166" i="13"/>
  <c r="AT166" i="13"/>
  <c r="AV166" i="13"/>
  <c r="AX166" i="13"/>
  <c r="AZ166" i="13"/>
  <c r="BB166" i="13"/>
  <c r="BD166" i="13"/>
  <c r="BF166" i="13"/>
  <c r="BH166" i="13"/>
  <c r="BJ166" i="13"/>
  <c r="BL166" i="13"/>
  <c r="BN166" i="13"/>
  <c r="BP166" i="13"/>
  <c r="BR166" i="13"/>
  <c r="BT166" i="13"/>
  <c r="BL169" i="13"/>
  <c r="BP169" i="13"/>
  <c r="BR169" i="13"/>
  <c r="BT169" i="13"/>
  <c r="BL170" i="13"/>
  <c r="BP170" i="13"/>
  <c r="BR170" i="13"/>
  <c r="BT170" i="13"/>
  <c r="Z171" i="13"/>
  <c r="AB171" i="13"/>
  <c r="AR171" i="13"/>
  <c r="BL171" i="13"/>
  <c r="BP171" i="13"/>
  <c r="BR171" i="13"/>
  <c r="BT171" i="13"/>
  <c r="N173" i="13"/>
  <c r="P173" i="13"/>
  <c r="R173" i="13"/>
  <c r="T173" i="13"/>
  <c r="V173" i="13"/>
  <c r="X173" i="13"/>
  <c r="Z173" i="13"/>
  <c r="AB173" i="13"/>
  <c r="AD173" i="13"/>
  <c r="AF173" i="13"/>
  <c r="AH173" i="13"/>
  <c r="AJ173" i="13"/>
  <c r="AL173" i="13"/>
  <c r="AN173" i="13"/>
  <c r="AP173" i="13"/>
  <c r="AR173" i="13"/>
  <c r="AT173" i="13"/>
  <c r="AV173" i="13"/>
  <c r="AX173" i="13"/>
  <c r="AZ173" i="13"/>
  <c r="BB173" i="13"/>
  <c r="BD173" i="13"/>
  <c r="BF173" i="13"/>
  <c r="BH173" i="13"/>
  <c r="BJ173" i="13"/>
  <c r="BL173" i="13"/>
  <c r="BN173" i="13"/>
  <c r="BP173" i="13"/>
  <c r="BR173" i="13"/>
  <c r="BT173" i="13"/>
  <c r="BL175" i="13"/>
  <c r="BP175" i="13"/>
  <c r="BR175" i="13"/>
  <c r="BT175" i="13"/>
  <c r="BL177" i="13"/>
  <c r="BP177" i="13"/>
  <c r="BR177" i="13"/>
  <c r="BT177" i="13"/>
  <c r="R180" i="13"/>
  <c r="BL180" i="13"/>
  <c r="BP180" i="13"/>
  <c r="BR180" i="13"/>
  <c r="BT180" i="13"/>
  <c r="BL181" i="13"/>
  <c r="BP181" i="13"/>
  <c r="BR181" i="13"/>
  <c r="BT181" i="13"/>
  <c r="BL182" i="13"/>
  <c r="BP182" i="13"/>
  <c r="BR182" i="13"/>
  <c r="BT182" i="13"/>
  <c r="N183" i="13"/>
  <c r="P183" i="13"/>
  <c r="R183" i="13"/>
  <c r="T183" i="13"/>
  <c r="V183" i="13"/>
  <c r="X183" i="13"/>
  <c r="Z183" i="13"/>
  <c r="AB183" i="13"/>
  <c r="AD183" i="13"/>
  <c r="AF183" i="13"/>
  <c r="AH183" i="13"/>
  <c r="AJ183" i="13"/>
  <c r="AL183" i="13"/>
  <c r="AN183" i="13"/>
  <c r="AP183" i="13"/>
  <c r="AR183" i="13"/>
  <c r="AT183" i="13"/>
  <c r="AV183" i="13"/>
  <c r="AX183" i="13"/>
  <c r="AZ183" i="13"/>
  <c r="BB183" i="13"/>
  <c r="BD183" i="13"/>
  <c r="BF183" i="13"/>
  <c r="BH183" i="13"/>
  <c r="BJ183" i="13"/>
  <c r="BL183" i="13"/>
  <c r="BN183" i="13"/>
  <c r="BP183" i="13"/>
  <c r="BR183" i="13"/>
  <c r="BT183" i="13"/>
  <c r="BL185" i="13"/>
  <c r="BP185" i="13"/>
  <c r="BR185" i="13"/>
  <c r="BT185" i="13"/>
  <c r="AB187" i="13"/>
  <c r="AD187" i="13"/>
  <c r="BL187" i="13"/>
  <c r="BP187" i="13"/>
  <c r="BR187" i="13"/>
  <c r="BT187" i="13"/>
  <c r="BL190" i="13"/>
  <c r="BP190" i="13"/>
  <c r="BR190" i="13"/>
  <c r="BT190" i="13"/>
  <c r="Z191" i="13"/>
  <c r="AD191" i="13"/>
  <c r="BL191" i="13"/>
  <c r="BP191" i="13"/>
  <c r="BR191" i="13"/>
  <c r="BT191" i="13"/>
  <c r="BL192" i="13"/>
  <c r="BP192" i="13"/>
  <c r="BR192" i="13"/>
  <c r="BT192" i="13"/>
  <c r="P193" i="13"/>
  <c r="AD193" i="13"/>
  <c r="AP193" i="13"/>
  <c r="AR193" i="13"/>
  <c r="BL193" i="13"/>
  <c r="BP193" i="13"/>
  <c r="BR193" i="13"/>
  <c r="BT193" i="13"/>
  <c r="AR194" i="13"/>
  <c r="BL194" i="13"/>
  <c r="BP194" i="13"/>
  <c r="BR194" i="13"/>
  <c r="BT194" i="13"/>
  <c r="AH195" i="13"/>
  <c r="BL195" i="13"/>
  <c r="BP195" i="13"/>
  <c r="BR195" i="13"/>
  <c r="BT195" i="13"/>
  <c r="N196" i="13"/>
  <c r="P196" i="13"/>
  <c r="R196" i="13"/>
  <c r="S196" i="13"/>
  <c r="T196" i="13"/>
  <c r="U196" i="13"/>
  <c r="V196" i="13"/>
  <c r="W196" i="13"/>
  <c r="X196" i="13"/>
  <c r="Y196" i="13"/>
  <c r="Z196" i="13"/>
  <c r="AA196" i="13"/>
  <c r="AB196" i="13"/>
  <c r="AC196" i="13"/>
  <c r="AD196" i="13"/>
  <c r="AE196" i="13"/>
  <c r="AF196" i="13"/>
  <c r="AG196" i="13"/>
  <c r="AH196" i="13"/>
  <c r="AI196" i="13"/>
  <c r="AJ196" i="13"/>
  <c r="AK196" i="13"/>
  <c r="AL196" i="13"/>
  <c r="AM196" i="13"/>
  <c r="AN196" i="13"/>
  <c r="AO196" i="13"/>
  <c r="AP196" i="13"/>
  <c r="AQ196" i="13"/>
  <c r="AR196" i="13"/>
  <c r="AS196" i="13"/>
  <c r="AT196" i="13"/>
  <c r="AU196" i="13"/>
  <c r="AV196" i="13"/>
  <c r="AW196" i="13"/>
  <c r="AX196" i="13"/>
  <c r="AY196" i="13"/>
  <c r="AZ196" i="13"/>
  <c r="BA196" i="13"/>
  <c r="BB196" i="13"/>
  <c r="BC196" i="13"/>
  <c r="BD196" i="13"/>
  <c r="BE196" i="13"/>
  <c r="BF196" i="13"/>
  <c r="BG196" i="13"/>
  <c r="BH196" i="13"/>
  <c r="BI196" i="13"/>
  <c r="BJ196" i="13"/>
  <c r="BK196" i="13"/>
  <c r="BL196" i="13"/>
  <c r="BM196" i="13"/>
  <c r="BN196" i="13"/>
  <c r="BO196" i="13"/>
  <c r="BP196" i="13"/>
  <c r="BQ196" i="13"/>
  <c r="BR196" i="13"/>
  <c r="BS196" i="13"/>
  <c r="BT196" i="13"/>
  <c r="P199" i="13"/>
  <c r="BL199" i="13"/>
  <c r="BP199" i="13"/>
  <c r="BR199" i="13"/>
  <c r="BT199" i="13"/>
  <c r="AR200" i="13"/>
  <c r="BL200" i="13"/>
  <c r="BP200" i="13"/>
  <c r="BR200" i="13"/>
  <c r="BT200" i="13"/>
  <c r="AR201" i="13"/>
  <c r="BL201" i="13"/>
  <c r="BP201" i="13"/>
  <c r="BR201" i="13"/>
  <c r="BT201" i="13"/>
  <c r="BL202" i="13"/>
  <c r="BP202" i="13"/>
  <c r="BR202" i="13"/>
  <c r="BT202" i="13"/>
  <c r="N203" i="13"/>
  <c r="O203" i="13"/>
  <c r="P203" i="13"/>
  <c r="Q203" i="13"/>
  <c r="R203" i="13"/>
  <c r="T203" i="13"/>
  <c r="V203" i="13"/>
  <c r="X203" i="13"/>
  <c r="Z203" i="13"/>
  <c r="AB203" i="13"/>
  <c r="AD203" i="13"/>
  <c r="AF203" i="13"/>
  <c r="AH203" i="13"/>
  <c r="AJ203" i="13"/>
  <c r="AL203" i="13"/>
  <c r="AN203" i="13"/>
  <c r="AP203" i="13"/>
  <c r="AR203" i="13"/>
  <c r="AT203" i="13"/>
  <c r="AV203" i="13"/>
  <c r="AX203" i="13"/>
  <c r="AZ203" i="13"/>
  <c r="BB203" i="13"/>
  <c r="BD203" i="13"/>
  <c r="BF203" i="13"/>
  <c r="BH203" i="13"/>
  <c r="BJ203" i="13"/>
  <c r="BL203" i="13"/>
  <c r="BN203" i="13"/>
  <c r="BP203" i="13"/>
  <c r="BR203" i="13"/>
  <c r="BT203" i="13"/>
  <c r="P205" i="13"/>
  <c r="V205" i="13"/>
  <c r="Z205" i="13"/>
  <c r="AF205" i="13"/>
  <c r="AH205" i="13"/>
  <c r="AJ205" i="13"/>
  <c r="AL205" i="13"/>
  <c r="AN205" i="13"/>
  <c r="AP205" i="13"/>
  <c r="AR205" i="13"/>
  <c r="BL205" i="13"/>
  <c r="BN205" i="13"/>
  <c r="BP205" i="13"/>
  <c r="BR205" i="13"/>
  <c r="BT205" i="13"/>
  <c r="R207" i="13"/>
  <c r="S207" i="13"/>
  <c r="T207" i="13"/>
  <c r="U207" i="13"/>
  <c r="V207" i="13"/>
  <c r="W207" i="13"/>
  <c r="X207" i="13"/>
  <c r="Y207" i="13"/>
  <c r="Z207" i="13"/>
  <c r="AA207" i="13"/>
  <c r="AB207" i="13"/>
  <c r="AC207" i="13"/>
  <c r="AD207" i="13"/>
  <c r="AE207" i="13"/>
  <c r="AF207" i="13"/>
  <c r="AG207" i="13"/>
  <c r="AH207" i="13"/>
  <c r="AI207" i="13"/>
  <c r="AJ207" i="13"/>
  <c r="AK207" i="13"/>
  <c r="AL207" i="13"/>
  <c r="AM207" i="13"/>
  <c r="AN207" i="13"/>
  <c r="AO207" i="13"/>
  <c r="AP207" i="13"/>
  <c r="AQ207" i="13"/>
  <c r="AR207" i="13"/>
  <c r="AS207" i="13"/>
  <c r="AT207" i="13"/>
  <c r="AU207" i="13"/>
  <c r="AV207" i="13"/>
  <c r="AW207" i="13"/>
  <c r="AX207" i="13"/>
  <c r="AY207" i="13"/>
  <c r="AZ207" i="13"/>
  <c r="BA207" i="13"/>
  <c r="BB207" i="13"/>
  <c r="BC207" i="13"/>
  <c r="BD207" i="13"/>
  <c r="BE207" i="13"/>
  <c r="BF207" i="13"/>
  <c r="BG207" i="13"/>
  <c r="BH207" i="13"/>
  <c r="BI207" i="13"/>
  <c r="BJ207" i="13"/>
  <c r="BK207" i="13"/>
  <c r="BL207" i="13"/>
  <c r="BM207" i="13"/>
  <c r="BN207" i="13"/>
  <c r="BO207" i="13"/>
  <c r="BP207" i="13"/>
  <c r="BQ207" i="13"/>
  <c r="BR207" i="13"/>
  <c r="BS207" i="13"/>
  <c r="BT207" i="13"/>
  <c r="BU207" i="13"/>
  <c r="P209" i="13"/>
  <c r="R209" i="13"/>
  <c r="BP209" i="13"/>
  <c r="BR209" i="13"/>
  <c r="BT209" i="13"/>
  <c r="R212" i="13"/>
  <c r="S212" i="13"/>
  <c r="T212" i="13"/>
  <c r="U212" i="13"/>
  <c r="V212" i="13"/>
  <c r="W212" i="13"/>
  <c r="X212" i="13"/>
  <c r="Y212" i="13"/>
  <c r="Z212" i="13"/>
  <c r="AA212" i="13"/>
  <c r="AB212" i="13"/>
  <c r="AC212" i="13"/>
  <c r="AD212" i="13"/>
  <c r="AE212" i="13"/>
  <c r="AF212" i="13"/>
  <c r="AG212" i="13"/>
  <c r="AH212" i="13"/>
  <c r="AI212" i="13"/>
  <c r="AJ212" i="13"/>
  <c r="AK212" i="13"/>
  <c r="AL212" i="13"/>
  <c r="AM212" i="13"/>
  <c r="AN212" i="13"/>
  <c r="AO212" i="13"/>
  <c r="AP212" i="13"/>
  <c r="AQ212" i="13"/>
  <c r="AR212" i="13"/>
  <c r="AS212" i="13"/>
  <c r="AT212" i="13"/>
  <c r="AU212" i="13"/>
  <c r="AV212" i="13"/>
  <c r="AW212" i="13"/>
  <c r="AX212" i="13"/>
  <c r="AY212" i="13"/>
  <c r="AZ212" i="13"/>
  <c r="BA212" i="13"/>
  <c r="BB212" i="13"/>
  <c r="BC212" i="13"/>
  <c r="BD212" i="13"/>
  <c r="BE212" i="13"/>
  <c r="BF212" i="13"/>
  <c r="BG212" i="13"/>
  <c r="BH212" i="13"/>
  <c r="BI212" i="13"/>
  <c r="BJ212" i="13"/>
  <c r="BK212" i="13"/>
  <c r="BL212" i="13"/>
  <c r="BM212" i="13"/>
  <c r="BN212" i="13"/>
  <c r="BO212" i="13"/>
  <c r="BP212" i="13"/>
  <c r="BQ212" i="13"/>
  <c r="BR212" i="13"/>
  <c r="BS212" i="13"/>
  <c r="BT212" i="13"/>
  <c r="BR213" i="13"/>
  <c r="P215" i="13"/>
  <c r="AB215" i="13"/>
  <c r="BL215" i="13"/>
  <c r="BP215" i="13"/>
  <c r="BR215" i="13"/>
  <c r="BT215" i="13"/>
  <c r="BL217" i="13"/>
  <c r="BP217" i="13"/>
  <c r="BR217" i="13"/>
  <c r="BT217" i="13"/>
  <c r="BL219" i="13"/>
  <c r="BR219" i="13"/>
  <c r="R221" i="13"/>
  <c r="S221" i="13"/>
  <c r="T221" i="13"/>
  <c r="U221" i="13"/>
  <c r="V221" i="13"/>
  <c r="W221" i="13"/>
  <c r="X221" i="13"/>
  <c r="Y221" i="13"/>
  <c r="Z221" i="13"/>
  <c r="AA221" i="13"/>
  <c r="AB221" i="13"/>
  <c r="AC221" i="13"/>
  <c r="AD221" i="13"/>
  <c r="AE221" i="13"/>
  <c r="AF221" i="13"/>
  <c r="AG221" i="13"/>
  <c r="AH221" i="13"/>
  <c r="AI221" i="13"/>
  <c r="AJ221" i="13"/>
  <c r="AL221" i="13"/>
  <c r="AN221" i="13"/>
  <c r="AO221" i="13"/>
  <c r="AP221" i="13"/>
  <c r="AQ221" i="13"/>
  <c r="AR221" i="13"/>
  <c r="AS221" i="13"/>
  <c r="AT221" i="13"/>
  <c r="AU221" i="13"/>
  <c r="AV221" i="13"/>
  <c r="AW221" i="13"/>
  <c r="AX221" i="13"/>
  <c r="AY221" i="13"/>
  <c r="AZ221" i="13"/>
  <c r="BA221" i="13"/>
  <c r="BB221" i="13"/>
  <c r="BC221" i="13"/>
  <c r="BD221" i="13"/>
  <c r="BE221" i="13"/>
  <c r="BF221" i="13"/>
  <c r="BG221" i="13"/>
  <c r="BH221" i="13"/>
  <c r="BI221" i="13"/>
  <c r="BJ221" i="13"/>
  <c r="BK221" i="13"/>
  <c r="BL221" i="13"/>
  <c r="BM221" i="13"/>
  <c r="BN221" i="13"/>
  <c r="BO221" i="13"/>
  <c r="BP221" i="13"/>
  <c r="BQ221" i="13"/>
  <c r="BR221" i="13"/>
  <c r="BS221" i="13"/>
  <c r="BT221" i="13"/>
  <c r="BU221" i="13"/>
  <c r="BL225" i="13"/>
  <c r="BR225" i="13"/>
  <c r="BL226" i="13"/>
  <c r="BR226" i="13"/>
  <c r="BT226" i="13"/>
  <c r="BL227" i="13"/>
  <c r="BR227" i="13"/>
  <c r="BL228" i="13"/>
  <c r="BR228" i="13"/>
  <c r="BT228" i="13"/>
  <c r="N230" i="13"/>
  <c r="P230" i="13"/>
  <c r="R230" i="13"/>
  <c r="T230" i="13"/>
  <c r="V230" i="13"/>
  <c r="X230" i="13"/>
  <c r="Z230" i="13"/>
  <c r="AA230" i="13"/>
  <c r="AB230" i="13"/>
  <c r="AC230" i="13"/>
  <c r="AD230" i="13"/>
  <c r="BL230" i="13"/>
  <c r="BP230" i="13"/>
  <c r="BR230" i="13"/>
  <c r="BT230" i="13"/>
  <c r="N234" i="13"/>
  <c r="P234" i="13"/>
  <c r="R234" i="13"/>
  <c r="S234" i="13"/>
  <c r="T234" i="13"/>
  <c r="U234" i="13"/>
  <c r="V234" i="13"/>
  <c r="W234" i="13"/>
  <c r="X234" i="13"/>
  <c r="Y234" i="13"/>
  <c r="Z234" i="13"/>
  <c r="AA234" i="13"/>
  <c r="AB234" i="13"/>
  <c r="AC234" i="13"/>
  <c r="AD234" i="13"/>
  <c r="AE234" i="13"/>
  <c r="AF234" i="13"/>
  <c r="AG234" i="13"/>
  <c r="AH234" i="13"/>
  <c r="AI234" i="13"/>
  <c r="AJ234" i="13"/>
  <c r="AK234" i="13"/>
  <c r="AL234" i="13"/>
  <c r="AM234" i="13"/>
  <c r="AN234" i="13"/>
  <c r="AO234" i="13"/>
  <c r="AP234" i="13"/>
  <c r="AQ234" i="13"/>
  <c r="AR234" i="13"/>
  <c r="AS234" i="13"/>
  <c r="AT234" i="13"/>
  <c r="AU234" i="13"/>
  <c r="AV234" i="13"/>
  <c r="AW234" i="13"/>
  <c r="AX234" i="13"/>
  <c r="AY234" i="13"/>
  <c r="AZ234" i="13"/>
  <c r="BA234" i="13"/>
  <c r="BB234" i="13"/>
  <c r="BC234" i="13"/>
  <c r="BD234" i="13"/>
  <c r="BE234" i="13"/>
  <c r="BF234" i="13"/>
  <c r="BG234" i="13"/>
  <c r="BH234" i="13"/>
  <c r="BI234" i="13"/>
  <c r="BJ234" i="13"/>
  <c r="BK234" i="13"/>
  <c r="BL234" i="13"/>
  <c r="BM234" i="13"/>
  <c r="BN234" i="13"/>
  <c r="BO234" i="13"/>
  <c r="BP234" i="13"/>
  <c r="BQ234" i="13"/>
  <c r="BR234" i="13"/>
  <c r="BS234" i="13"/>
  <c r="BT234" i="13"/>
  <c r="N236" i="13"/>
  <c r="P236" i="13"/>
  <c r="R236" i="13"/>
  <c r="S236" i="13"/>
  <c r="T236" i="13"/>
  <c r="U236" i="13"/>
  <c r="V236" i="13"/>
  <c r="W236" i="13"/>
  <c r="X236" i="13"/>
  <c r="Y236" i="13"/>
  <c r="Z236" i="13"/>
  <c r="AA236" i="13"/>
  <c r="AB236" i="13"/>
  <c r="AC236" i="13"/>
  <c r="AD236" i="13"/>
  <c r="AE236" i="13"/>
  <c r="AF236" i="13"/>
  <c r="AG236" i="13"/>
  <c r="AH236" i="13"/>
  <c r="AI236" i="13"/>
  <c r="AJ236" i="13"/>
  <c r="AK236" i="13"/>
  <c r="AL236" i="13"/>
  <c r="AM236" i="13"/>
  <c r="AN236" i="13"/>
  <c r="AO236" i="13"/>
  <c r="AP236" i="13"/>
  <c r="AQ236" i="13"/>
  <c r="AR236" i="13"/>
  <c r="AS236" i="13"/>
  <c r="AT236" i="13"/>
  <c r="AU236" i="13"/>
  <c r="AV236" i="13"/>
  <c r="AW236" i="13"/>
  <c r="AX236" i="13"/>
  <c r="AY236" i="13"/>
  <c r="AZ236" i="13"/>
  <c r="BA236" i="13"/>
  <c r="BB236" i="13"/>
  <c r="BC236" i="13"/>
  <c r="BD236" i="13"/>
  <c r="BE236" i="13"/>
  <c r="BF236" i="13"/>
  <c r="BG236" i="13"/>
  <c r="BH236" i="13"/>
  <c r="BI236" i="13"/>
  <c r="BJ236" i="13"/>
  <c r="BK236" i="13"/>
  <c r="BL236" i="13"/>
  <c r="BM236" i="13"/>
  <c r="BN236" i="13"/>
  <c r="BO236" i="13"/>
  <c r="BP236" i="13"/>
  <c r="BQ236" i="13"/>
  <c r="BR236" i="13"/>
  <c r="BS236" i="13"/>
  <c r="BT236" i="13"/>
  <c r="K12" i="20"/>
  <c r="K13" i="20"/>
  <c r="K15" i="20"/>
  <c r="K16" i="20"/>
  <c r="K17" i="20"/>
  <c r="G21" i="20"/>
  <c r="H21" i="20"/>
  <c r="I21" i="20"/>
  <c r="J21" i="20"/>
  <c r="K21" i="20"/>
  <c r="G22" i="20"/>
  <c r="H22" i="20"/>
  <c r="I22" i="20"/>
  <c r="J22" i="20"/>
  <c r="K22" i="20"/>
  <c r="G23" i="20"/>
  <c r="H23" i="20"/>
  <c r="I23" i="20"/>
  <c r="J23" i="20"/>
  <c r="K23" i="20"/>
  <c r="G24" i="20"/>
  <c r="H24" i="20"/>
  <c r="I24" i="20"/>
  <c r="J24" i="20"/>
  <c r="K24" i="20"/>
  <c r="G25" i="20"/>
  <c r="H25" i="20"/>
  <c r="I25" i="20"/>
  <c r="J25" i="20"/>
  <c r="K25" i="20"/>
  <c r="H29" i="20"/>
  <c r="H31" i="20"/>
  <c r="H40" i="20"/>
  <c r="A1" i="12"/>
  <c r="A2" i="12"/>
  <c r="BT2" i="12"/>
  <c r="BP3" i="12"/>
  <c r="BT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BL39" i="12"/>
  <c r="BN39" i="12"/>
  <c r="BP39" i="12"/>
  <c r="BR39" i="12"/>
  <c r="BT39" i="12"/>
  <c r="AR40" i="12"/>
  <c r="AT40" i="12"/>
  <c r="BL40" i="12"/>
  <c r="BN40" i="12"/>
  <c r="BP40" i="12"/>
  <c r="BR40" i="12"/>
  <c r="BT40" i="12"/>
  <c r="AR41" i="12"/>
  <c r="AT41" i="12"/>
  <c r="BL41" i="12"/>
  <c r="BN41" i="12"/>
  <c r="BP41" i="12"/>
  <c r="BR41" i="12"/>
  <c r="BT41" i="12"/>
  <c r="AR42" i="12"/>
  <c r="AT42" i="12"/>
  <c r="BL42" i="12"/>
  <c r="BN42" i="12"/>
  <c r="BP42" i="12"/>
  <c r="BR42" i="12"/>
  <c r="BT42" i="12"/>
  <c r="AR43" i="12"/>
  <c r="AT43" i="12"/>
  <c r="BL43" i="12"/>
  <c r="BN43" i="12"/>
  <c r="BP43" i="12"/>
  <c r="BR43" i="12"/>
  <c r="BT43" i="12"/>
  <c r="AR44" i="12"/>
  <c r="AT44" i="12"/>
  <c r="BL44" i="12"/>
  <c r="BN44" i="12"/>
  <c r="BP44" i="12"/>
  <c r="BR44" i="12"/>
  <c r="BT44" i="12"/>
  <c r="AR45" i="12"/>
  <c r="AT45" i="12"/>
  <c r="BL45" i="12"/>
  <c r="BN45" i="12"/>
  <c r="BP45" i="12"/>
  <c r="BR45" i="12"/>
  <c r="BT45" i="12"/>
  <c r="AR46" i="12"/>
  <c r="AT46" i="12"/>
  <c r="BL46" i="12"/>
  <c r="BN46" i="12"/>
  <c r="BP46" i="12"/>
  <c r="BR46" i="12"/>
  <c r="BT46" i="12"/>
  <c r="AR47" i="12"/>
  <c r="AT47" i="12"/>
  <c r="BL47" i="12"/>
  <c r="BN47" i="12"/>
  <c r="BP47" i="12"/>
  <c r="BR47" i="12"/>
  <c r="BT47" i="12"/>
  <c r="AR48" i="12"/>
  <c r="AT48" i="12"/>
  <c r="BL48" i="12"/>
  <c r="BN48" i="12"/>
  <c r="BP48" i="12"/>
  <c r="BR48" i="12"/>
  <c r="BT48" i="12"/>
  <c r="AR49" i="12"/>
  <c r="AT49" i="12"/>
  <c r="BL49" i="12"/>
  <c r="BN49" i="12"/>
  <c r="BP49" i="12"/>
  <c r="BR49" i="12"/>
  <c r="BT49" i="12"/>
  <c r="BL50" i="12"/>
  <c r="BP50" i="12"/>
  <c r="BR50" i="12"/>
  <c r="BT50" i="12"/>
  <c r="BL51" i="12"/>
  <c r="BN51" i="12"/>
  <c r="BP51" i="12"/>
  <c r="BR51" i="12"/>
  <c r="BT51" i="12"/>
  <c r="BL52" i="12"/>
  <c r="BP52" i="12"/>
  <c r="BR52" i="12"/>
  <c r="BT52" i="12"/>
  <c r="R53" i="12"/>
  <c r="BL53" i="12"/>
  <c r="BP53" i="12"/>
  <c r="BR53" i="12"/>
  <c r="BT53" i="12"/>
  <c r="R54" i="12"/>
  <c r="BL54" i="12"/>
  <c r="BP54" i="12"/>
  <c r="BR54" i="12"/>
  <c r="R55" i="12"/>
  <c r="S55" i="12"/>
  <c r="T55" i="12"/>
  <c r="U55" i="12"/>
  <c r="V55" i="12"/>
  <c r="W55" i="12"/>
  <c r="X55" i="12"/>
  <c r="Y55" i="12"/>
  <c r="Z55" i="12"/>
  <c r="AA55" i="12"/>
  <c r="AB55" i="12"/>
  <c r="AC55" i="12"/>
  <c r="AD55" i="12"/>
  <c r="AF55" i="12"/>
  <c r="AH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AT58" i="12"/>
  <c r="BL58" i="12"/>
  <c r="BN58" i="12"/>
  <c r="BP58" i="12"/>
  <c r="BR58" i="12"/>
  <c r="BT58" i="12"/>
  <c r="AT59" i="12"/>
  <c r="BL59" i="12"/>
  <c r="BN59" i="12"/>
  <c r="BP59" i="12"/>
  <c r="BR59" i="12"/>
  <c r="BT59" i="12"/>
  <c r="AT60" i="12"/>
  <c r="BL60" i="12"/>
  <c r="BN60" i="12"/>
  <c r="BP60" i="12"/>
  <c r="BR60" i="12"/>
  <c r="BT60" i="12"/>
  <c r="BL61" i="12"/>
  <c r="BN61" i="12"/>
  <c r="BR61" i="12"/>
  <c r="BT61" i="12"/>
  <c r="BL62" i="12"/>
  <c r="BN62" i="12"/>
  <c r="BP62" i="12"/>
  <c r="BR62" i="12"/>
  <c r="BT62" i="12"/>
  <c r="BL63" i="12"/>
  <c r="BN63" i="12"/>
  <c r="BP63" i="12"/>
  <c r="BR63" i="12"/>
  <c r="BT63" i="12"/>
  <c r="AT64" i="12"/>
  <c r="BL64" i="12"/>
  <c r="BN64" i="12"/>
  <c r="BP64" i="12"/>
  <c r="BR64" i="12"/>
  <c r="BT64" i="12"/>
  <c r="BL65" i="12"/>
  <c r="BP65" i="12"/>
  <c r="BR65" i="12"/>
  <c r="BT65" i="12"/>
  <c r="BL66" i="12"/>
  <c r="BP66" i="12"/>
  <c r="BR66" i="12"/>
  <c r="BT66" i="12"/>
  <c r="BL67" i="12"/>
  <c r="BN67" i="12"/>
  <c r="BP67" i="12"/>
  <c r="BR67" i="12"/>
  <c r="BT67" i="12"/>
  <c r="BL68" i="12"/>
  <c r="BP68" i="12"/>
  <c r="BR68" i="12"/>
  <c r="BT68" i="12"/>
  <c r="BL69" i="12"/>
  <c r="BN69" i="12"/>
  <c r="BP69" i="12"/>
  <c r="BR69" i="12"/>
  <c r="BT69" i="12"/>
  <c r="BL70" i="12"/>
  <c r="BN70" i="12"/>
  <c r="BP70" i="12"/>
  <c r="BR70" i="12"/>
  <c r="BT70" i="12"/>
  <c r="BL71" i="12"/>
  <c r="BN71" i="12"/>
  <c r="BP71" i="12"/>
  <c r="BR71" i="12"/>
  <c r="BT71" i="12"/>
  <c r="BL72" i="12"/>
  <c r="BN72" i="12"/>
  <c r="BP72" i="12"/>
  <c r="BR72" i="12"/>
  <c r="BT72" i="12"/>
  <c r="BL73" i="12"/>
  <c r="BN73" i="12"/>
  <c r="BP73" i="12"/>
  <c r="BR73" i="12"/>
  <c r="BT73" i="12"/>
  <c r="BL74" i="12"/>
  <c r="BN74" i="12"/>
  <c r="BP74" i="12"/>
  <c r="BR74" i="12"/>
  <c r="BT74" i="12"/>
  <c r="BL75" i="12"/>
  <c r="BN75" i="12"/>
  <c r="BP75" i="12"/>
  <c r="BR75" i="12"/>
  <c r="BT75" i="12"/>
  <c r="BL76" i="12"/>
  <c r="BN76" i="12"/>
  <c r="BP76" i="12"/>
  <c r="BR76" i="12"/>
  <c r="BT76" i="12"/>
  <c r="BL77" i="12"/>
  <c r="BP77" i="12"/>
  <c r="BR77" i="12"/>
  <c r="BT77" i="12"/>
  <c r="BL78" i="12"/>
  <c r="BP78" i="12"/>
  <c r="BR78" i="12"/>
  <c r="BT78" i="12"/>
  <c r="BL79" i="12"/>
  <c r="BP79" i="12"/>
  <c r="BR79" i="12"/>
  <c r="BT79" i="12"/>
  <c r="BL80" i="12"/>
  <c r="BP80" i="12"/>
  <c r="BR80" i="12"/>
  <c r="BT80" i="12"/>
  <c r="R81" i="12"/>
  <c r="S81" i="12"/>
  <c r="T81" i="12"/>
  <c r="U81" i="12"/>
  <c r="V81" i="12"/>
  <c r="W81" i="12"/>
  <c r="X81" i="12"/>
  <c r="Y81" i="12"/>
  <c r="Z81" i="12"/>
  <c r="AA81" i="12"/>
  <c r="AB81" i="12"/>
  <c r="AC81" i="12"/>
  <c r="AD81" i="12"/>
  <c r="AF81" i="12"/>
  <c r="AH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R84" i="12"/>
  <c r="AT84" i="12"/>
  <c r="BL84" i="12"/>
  <c r="BN84" i="12"/>
  <c r="BP84" i="12"/>
  <c r="BR84" i="12"/>
  <c r="BT84" i="12"/>
  <c r="AT85" i="12"/>
  <c r="BL85" i="12"/>
  <c r="BN85" i="12"/>
  <c r="BP85" i="12"/>
  <c r="BR85" i="12"/>
  <c r="BT85" i="12"/>
  <c r="AT86" i="12"/>
  <c r="BL86" i="12"/>
  <c r="BN86" i="12"/>
  <c r="BP86" i="12"/>
  <c r="BR86" i="12"/>
  <c r="BT86" i="12"/>
  <c r="BL87" i="12"/>
  <c r="BP87" i="12"/>
  <c r="BR87" i="12"/>
  <c r="BT87" i="12"/>
  <c r="AT88" i="12"/>
  <c r="BL88" i="12"/>
  <c r="BN88" i="12"/>
  <c r="BP88" i="12"/>
  <c r="BR88" i="12"/>
  <c r="BT88" i="12"/>
  <c r="AT89" i="12"/>
  <c r="BL89" i="12"/>
  <c r="BN89" i="12"/>
  <c r="BP89" i="12"/>
  <c r="BR89" i="12"/>
  <c r="BT89" i="12"/>
  <c r="BL90" i="12"/>
  <c r="BP90" i="12"/>
  <c r="BR90" i="12"/>
  <c r="BT90" i="12"/>
  <c r="BL91" i="12"/>
  <c r="BN91" i="12"/>
  <c r="BP91" i="12"/>
  <c r="BR91" i="12"/>
  <c r="BT91" i="12"/>
  <c r="AT92" i="12"/>
  <c r="BL92" i="12"/>
  <c r="BN92" i="12"/>
  <c r="BP92" i="12"/>
  <c r="BR92" i="12"/>
  <c r="BT92" i="12"/>
  <c r="AT93" i="12"/>
  <c r="BL93" i="12"/>
  <c r="BN93" i="12"/>
  <c r="BP93" i="12"/>
  <c r="BR93" i="12"/>
  <c r="BT93" i="12"/>
  <c r="BL94" i="12"/>
  <c r="BN94" i="12"/>
  <c r="BP94" i="12"/>
  <c r="BR94" i="12"/>
  <c r="BT94" i="12"/>
  <c r="AT95" i="12"/>
  <c r="BL95" i="12"/>
  <c r="BP95" i="12"/>
  <c r="BR95" i="12"/>
  <c r="BT95" i="12"/>
  <c r="BL96" i="12"/>
  <c r="BN96" i="12"/>
  <c r="BP96" i="12"/>
  <c r="BR96" i="12"/>
  <c r="BT96" i="12"/>
  <c r="BL97" i="12"/>
  <c r="BN97" i="12"/>
  <c r="BP97" i="12"/>
  <c r="BR97" i="12"/>
  <c r="BT97" i="12"/>
  <c r="BL98" i="12"/>
  <c r="BP98" i="12"/>
  <c r="BR98" i="12"/>
  <c r="BT98" i="12"/>
  <c r="BL99" i="12"/>
  <c r="BN99" i="12"/>
  <c r="BP99" i="12"/>
  <c r="BR99" i="12"/>
  <c r="BT99" i="12"/>
  <c r="BL100" i="12"/>
  <c r="BN100" i="12"/>
  <c r="BP100" i="12"/>
  <c r="BR100" i="12"/>
  <c r="BT100" i="12"/>
  <c r="BL101" i="12"/>
  <c r="BP101" i="12"/>
  <c r="BR101" i="12"/>
  <c r="BT101" i="12"/>
  <c r="BL102" i="12"/>
  <c r="BN102" i="12"/>
  <c r="BP102" i="12"/>
  <c r="BR102" i="12"/>
  <c r="BT102" i="12"/>
  <c r="BL103" i="12"/>
  <c r="BN103" i="12"/>
  <c r="BP103" i="12"/>
  <c r="BR103" i="12"/>
  <c r="BT103" i="12"/>
  <c r="BL104" i="12"/>
  <c r="BN104" i="12"/>
  <c r="BP104" i="12"/>
  <c r="BR104" i="12"/>
  <c r="BT104" i="12"/>
  <c r="BL105" i="12"/>
  <c r="BN105" i="12"/>
  <c r="BP105" i="12"/>
  <c r="BR105" i="12"/>
  <c r="BT105" i="12"/>
  <c r="BL106" i="12"/>
  <c r="BN106" i="12"/>
  <c r="BP106" i="12"/>
  <c r="BR106" i="12"/>
  <c r="BT106" i="12"/>
  <c r="AT107" i="12"/>
  <c r="BL107" i="12"/>
  <c r="BN107" i="12"/>
  <c r="BP107" i="12"/>
  <c r="BR107" i="12"/>
  <c r="BT107" i="12"/>
  <c r="BL108" i="12"/>
  <c r="BN108" i="12"/>
  <c r="BP108" i="12"/>
  <c r="BR108" i="12"/>
  <c r="BT108" i="12"/>
  <c r="BL109" i="12"/>
  <c r="BN109" i="12"/>
  <c r="BP109" i="12"/>
  <c r="BR109" i="12"/>
  <c r="BT109" i="12"/>
  <c r="BL110" i="12"/>
  <c r="BP110" i="12"/>
  <c r="BR110" i="12"/>
  <c r="BT110" i="12"/>
  <c r="BL111" i="12"/>
  <c r="BP111" i="12"/>
  <c r="BR111" i="12"/>
  <c r="BT111" i="12"/>
  <c r="BL112" i="12"/>
  <c r="BR112" i="12"/>
  <c r="BT112" i="12"/>
  <c r="BL113" i="12"/>
  <c r="BP113" i="12"/>
  <c r="BR113" i="12"/>
  <c r="BT113" i="12"/>
  <c r="BL114" i="12"/>
  <c r="BR114" i="12"/>
  <c r="BT114" i="12"/>
  <c r="R115" i="12"/>
  <c r="S115" i="12"/>
  <c r="T115" i="12"/>
  <c r="U115" i="12"/>
  <c r="V115" i="12"/>
  <c r="W115" i="12"/>
  <c r="X115" i="12"/>
  <c r="Y115" i="12"/>
  <c r="Z115" i="12"/>
  <c r="AA115" i="12"/>
  <c r="AB115" i="12"/>
  <c r="AC115" i="12"/>
  <c r="AD115" i="12"/>
  <c r="AF115" i="12"/>
  <c r="AH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BM115" i="12"/>
  <c r="BN115" i="12"/>
  <c r="BO115" i="12"/>
  <c r="BP115" i="12"/>
  <c r="BQ115" i="12"/>
  <c r="BR115" i="12"/>
  <c r="BS115" i="12"/>
  <c r="BT115" i="12"/>
  <c r="BU115" i="12"/>
  <c r="AT118" i="12"/>
  <c r="BL118" i="12"/>
  <c r="BN118" i="12"/>
  <c r="BP118" i="12"/>
  <c r="BR118" i="12"/>
  <c r="BT118" i="12"/>
  <c r="R120" i="12"/>
  <c r="S120" i="12"/>
  <c r="T120" i="12"/>
  <c r="U120" i="12"/>
  <c r="V120" i="12"/>
  <c r="W120" i="12"/>
  <c r="X120" i="12"/>
  <c r="Y120" i="12"/>
  <c r="Z120" i="12"/>
  <c r="AA120" i="12"/>
  <c r="AB120" i="12"/>
  <c r="AC120" i="12"/>
  <c r="AD120" i="12"/>
  <c r="AF120" i="12"/>
  <c r="AH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O121" i="12"/>
  <c r="BQ121" i="12"/>
  <c r="BS121" i="12"/>
  <c r="AP122" i="12"/>
  <c r="AR122" i="12"/>
  <c r="AT122" i="12"/>
  <c r="BL122" i="12"/>
  <c r="BO122" i="12"/>
  <c r="BP122" i="12"/>
  <c r="BQ122" i="12"/>
  <c r="BR122" i="12"/>
  <c r="BS122" i="12"/>
  <c r="BT122" i="12"/>
  <c r="N124" i="12"/>
  <c r="P124" i="12"/>
  <c r="R124" i="12"/>
  <c r="S124" i="12"/>
  <c r="T124" i="12"/>
  <c r="U124" i="12"/>
  <c r="V124" i="12"/>
  <c r="W124" i="12"/>
  <c r="X124" i="12"/>
  <c r="Y124" i="12"/>
  <c r="Z124" i="12"/>
  <c r="AA124" i="12"/>
  <c r="AB124" i="12"/>
  <c r="AC124" i="12"/>
  <c r="AD124" i="12"/>
  <c r="AF124" i="12"/>
  <c r="AH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BM124" i="12"/>
  <c r="BN124" i="12"/>
  <c r="BO124" i="12"/>
  <c r="BP124" i="12"/>
  <c r="BQ124" i="12"/>
  <c r="BR124" i="12"/>
  <c r="BS124" i="12"/>
  <c r="BT124" i="12"/>
  <c r="BU124" i="12"/>
  <c r="AH127" i="12"/>
  <c r="BL127" i="12"/>
  <c r="BP127" i="12"/>
  <c r="BR127" i="12"/>
  <c r="BT127" i="12"/>
  <c r="AH128" i="12"/>
  <c r="BL128" i="12"/>
  <c r="BP128" i="12"/>
  <c r="BR128" i="12"/>
  <c r="BT128" i="12"/>
  <c r="BL129" i="12"/>
  <c r="BP129" i="12"/>
  <c r="BR129" i="12"/>
  <c r="BT129" i="12"/>
  <c r="R130" i="12"/>
  <c r="BL130" i="12"/>
  <c r="BP130" i="12"/>
  <c r="BR130" i="12"/>
  <c r="BT130" i="12"/>
  <c r="R131" i="12"/>
  <c r="BL131" i="12"/>
  <c r="BP131" i="12"/>
  <c r="BR131" i="12"/>
  <c r="BT131" i="12"/>
  <c r="R132" i="12"/>
  <c r="BL132" i="12"/>
  <c r="BP132" i="12"/>
  <c r="BR132" i="12"/>
  <c r="BT132" i="12"/>
  <c r="BP133" i="12"/>
  <c r="N134" i="12"/>
  <c r="P134" i="12"/>
  <c r="R134" i="12"/>
  <c r="T134" i="12"/>
  <c r="V134" i="12"/>
  <c r="X134" i="12"/>
  <c r="Z134" i="12"/>
  <c r="AB134" i="12"/>
  <c r="AD134" i="12"/>
  <c r="AF134" i="12"/>
  <c r="AH134" i="12"/>
  <c r="AJ134" i="12"/>
  <c r="AL134" i="12"/>
  <c r="AN134" i="12"/>
  <c r="AP134" i="12"/>
  <c r="AR134" i="12"/>
  <c r="AT134" i="12"/>
  <c r="AV134" i="12"/>
  <c r="AX134" i="12"/>
  <c r="AZ134" i="12"/>
  <c r="BB134" i="12"/>
  <c r="BD134" i="12"/>
  <c r="BF134" i="12"/>
  <c r="BH134" i="12"/>
  <c r="BJ134" i="12"/>
  <c r="BL134" i="12"/>
  <c r="BN134" i="12"/>
  <c r="BP134" i="12"/>
  <c r="BR134" i="12"/>
  <c r="BT134" i="12"/>
  <c r="BL137" i="12"/>
  <c r="BP137" i="12"/>
  <c r="BR137" i="12"/>
  <c r="BT137" i="12"/>
  <c r="BL138" i="12"/>
  <c r="BP138" i="12"/>
  <c r="BR138" i="12"/>
  <c r="BT138" i="12"/>
  <c r="BL139" i="12"/>
  <c r="BP139" i="12"/>
  <c r="BR139" i="12"/>
  <c r="BT139" i="12"/>
  <c r="BL140" i="12"/>
  <c r="BP140" i="12"/>
  <c r="BR140" i="12"/>
  <c r="BT140" i="12"/>
  <c r="BL141" i="12"/>
  <c r="BP141" i="12"/>
  <c r="BR141" i="12"/>
  <c r="BT141" i="12"/>
  <c r="BP142" i="12"/>
  <c r="N143" i="12"/>
  <c r="P143" i="12"/>
  <c r="R143" i="12"/>
  <c r="T143" i="12"/>
  <c r="V143" i="12"/>
  <c r="X143" i="12"/>
  <c r="Z143" i="12"/>
  <c r="AB143" i="12"/>
  <c r="AD143" i="12"/>
  <c r="AF143" i="12"/>
  <c r="AH143" i="12"/>
  <c r="AJ143" i="12"/>
  <c r="AL143" i="12"/>
  <c r="AN143" i="12"/>
  <c r="AP143" i="12"/>
  <c r="AR143" i="12"/>
  <c r="AT143" i="12"/>
  <c r="AV143" i="12"/>
  <c r="AX143" i="12"/>
  <c r="AZ143" i="12"/>
  <c r="BB143" i="12"/>
  <c r="BD143" i="12"/>
  <c r="BF143" i="12"/>
  <c r="BH143" i="12"/>
  <c r="BJ143" i="12"/>
  <c r="BL143" i="12"/>
  <c r="BN143" i="12"/>
  <c r="BP143" i="12"/>
  <c r="BR143" i="12"/>
  <c r="BT143" i="12"/>
  <c r="AJ147" i="12"/>
  <c r="BL149" i="12"/>
  <c r="BP149" i="12"/>
  <c r="BR149" i="12"/>
  <c r="BT149" i="12"/>
  <c r="R150" i="12"/>
  <c r="BL150" i="12"/>
  <c r="BP150" i="12"/>
  <c r="BR150" i="12"/>
  <c r="BT150" i="12"/>
  <c r="BL151" i="12"/>
  <c r="BP151" i="12"/>
  <c r="BR151" i="12"/>
  <c r="BT151" i="12"/>
  <c r="N152" i="12"/>
  <c r="P152" i="12"/>
  <c r="R152" i="12"/>
  <c r="T152" i="12"/>
  <c r="V152" i="12"/>
  <c r="X152" i="12"/>
  <c r="Z152" i="12"/>
  <c r="AB152" i="12"/>
  <c r="AD152" i="12"/>
  <c r="AF152" i="12"/>
  <c r="AH152" i="12"/>
  <c r="AJ152" i="12"/>
  <c r="AL152" i="12"/>
  <c r="AN152" i="12"/>
  <c r="AP152" i="12"/>
  <c r="AR152" i="12"/>
  <c r="AT152" i="12"/>
  <c r="AV152" i="12"/>
  <c r="AX152" i="12"/>
  <c r="AZ152" i="12"/>
  <c r="BB152" i="12"/>
  <c r="BD152" i="12"/>
  <c r="BF152" i="12"/>
  <c r="BH152" i="12"/>
  <c r="BJ152" i="12"/>
  <c r="BL152" i="12"/>
  <c r="BN152" i="12"/>
  <c r="BP152" i="12"/>
  <c r="BR152" i="12"/>
  <c r="BT152" i="12"/>
  <c r="BL154" i="12"/>
  <c r="BP154" i="12"/>
  <c r="BR154" i="12"/>
  <c r="BT154" i="12"/>
  <c r="BL156" i="12"/>
  <c r="BP156" i="12"/>
  <c r="BR156" i="12"/>
  <c r="BT156" i="12"/>
  <c r="BL158" i="12"/>
  <c r="BP158" i="12"/>
  <c r="BR158" i="12"/>
  <c r="BT158" i="12"/>
  <c r="BL160" i="12"/>
  <c r="BP160" i="12"/>
  <c r="BR160" i="12"/>
  <c r="BT160" i="12"/>
  <c r="BL163" i="12"/>
  <c r="BP163" i="12"/>
  <c r="BR163" i="12"/>
  <c r="BT163" i="12"/>
  <c r="BL164" i="12"/>
  <c r="BP164" i="12"/>
  <c r="BR164" i="12"/>
  <c r="BT164" i="12"/>
  <c r="R165" i="12"/>
  <c r="BL165" i="12"/>
  <c r="BP165" i="12"/>
  <c r="BR165" i="12"/>
  <c r="BT165" i="12"/>
  <c r="BP166" i="12"/>
  <c r="BR166" i="12"/>
  <c r="BT166" i="12"/>
  <c r="N167" i="12"/>
  <c r="P167" i="12"/>
  <c r="R167" i="12"/>
  <c r="T167" i="12"/>
  <c r="V167" i="12"/>
  <c r="X167" i="12"/>
  <c r="Z167" i="12"/>
  <c r="AB167" i="12"/>
  <c r="AD167" i="12"/>
  <c r="AF167" i="12"/>
  <c r="AH167" i="12"/>
  <c r="AJ167" i="12"/>
  <c r="AL167" i="12"/>
  <c r="AN167" i="12"/>
  <c r="AP167" i="12"/>
  <c r="AR167" i="12"/>
  <c r="AT167" i="12"/>
  <c r="AV167" i="12"/>
  <c r="AX167" i="12"/>
  <c r="AZ167" i="12"/>
  <c r="BB167" i="12"/>
  <c r="BD167" i="12"/>
  <c r="BF167" i="12"/>
  <c r="BH167" i="12"/>
  <c r="BJ167" i="12"/>
  <c r="BL167" i="12"/>
  <c r="BN167" i="12"/>
  <c r="BP167" i="12"/>
  <c r="BR167" i="12"/>
  <c r="BT167" i="12"/>
  <c r="BL170" i="12"/>
  <c r="BP170" i="12"/>
  <c r="BR170" i="12"/>
  <c r="BT170" i="12"/>
  <c r="BL171" i="12"/>
  <c r="BP171" i="12"/>
  <c r="BR171" i="12"/>
  <c r="BT171" i="12"/>
  <c r="AF172" i="12"/>
  <c r="AH172" i="12"/>
  <c r="AJ172" i="12"/>
  <c r="AP172" i="12"/>
  <c r="BL172" i="12"/>
  <c r="BP172" i="12"/>
  <c r="BR172" i="12"/>
  <c r="BT172" i="12"/>
  <c r="BP173" i="12"/>
  <c r="N174" i="12"/>
  <c r="P174" i="12"/>
  <c r="R174" i="12"/>
  <c r="T174" i="12"/>
  <c r="V174" i="12"/>
  <c r="X174" i="12"/>
  <c r="Z174" i="12"/>
  <c r="AB174" i="12"/>
  <c r="AD174" i="12"/>
  <c r="AF174" i="12"/>
  <c r="AH174" i="12"/>
  <c r="AJ174" i="12"/>
  <c r="AL174" i="12"/>
  <c r="AN174" i="12"/>
  <c r="AP174" i="12"/>
  <c r="AR174" i="12"/>
  <c r="AT174" i="12"/>
  <c r="AV174" i="12"/>
  <c r="AX174" i="12"/>
  <c r="AZ174" i="12"/>
  <c r="BB174" i="12"/>
  <c r="BD174" i="12"/>
  <c r="BF174" i="12"/>
  <c r="BH174" i="12"/>
  <c r="BJ174" i="12"/>
  <c r="BL174" i="12"/>
  <c r="BN174" i="12"/>
  <c r="BP174" i="12"/>
  <c r="BR174" i="12"/>
  <c r="BT174" i="12"/>
  <c r="AP176" i="12"/>
  <c r="BL176" i="12"/>
  <c r="BP176" i="12"/>
  <c r="BR176" i="12"/>
  <c r="BT176" i="12"/>
  <c r="BL178" i="12"/>
  <c r="BP178" i="12"/>
  <c r="BR178" i="12"/>
  <c r="BT178" i="12"/>
  <c r="R181" i="12"/>
  <c r="BL181" i="12"/>
  <c r="BP181" i="12"/>
  <c r="BR181" i="12"/>
  <c r="BT181" i="12"/>
  <c r="BL182" i="12"/>
  <c r="BP182" i="12"/>
  <c r="BR182" i="12"/>
  <c r="BT182" i="12"/>
  <c r="BL183" i="12"/>
  <c r="BP183" i="12"/>
  <c r="BR183" i="12"/>
  <c r="BT183" i="12"/>
  <c r="N184" i="12"/>
  <c r="P184" i="12"/>
  <c r="R184" i="12"/>
  <c r="T184" i="12"/>
  <c r="V184" i="12"/>
  <c r="X184" i="12"/>
  <c r="Z184" i="12"/>
  <c r="AB184" i="12"/>
  <c r="AD184" i="12"/>
  <c r="AF184" i="12"/>
  <c r="AH184" i="12"/>
  <c r="AJ184" i="12"/>
  <c r="AL184" i="12"/>
  <c r="AN184" i="12"/>
  <c r="AP184" i="12"/>
  <c r="AR184" i="12"/>
  <c r="AT184" i="12"/>
  <c r="AV184" i="12"/>
  <c r="AX184" i="12"/>
  <c r="AZ184" i="12"/>
  <c r="BB184" i="12"/>
  <c r="BD184" i="12"/>
  <c r="BF184" i="12"/>
  <c r="BH184" i="12"/>
  <c r="BJ184" i="12"/>
  <c r="BL184" i="12"/>
  <c r="BN184" i="12"/>
  <c r="BP184" i="12"/>
  <c r="BR184" i="12"/>
  <c r="BT184" i="12"/>
  <c r="BL186" i="12"/>
  <c r="BP186" i="12"/>
  <c r="BR186" i="12"/>
  <c r="BT186" i="12"/>
  <c r="BL188" i="12"/>
  <c r="BP188" i="12"/>
  <c r="BR188" i="12"/>
  <c r="BT188" i="12"/>
  <c r="BL191" i="12"/>
  <c r="BP191" i="12"/>
  <c r="BR191" i="12"/>
  <c r="BT191" i="12"/>
  <c r="AT192" i="12"/>
  <c r="BL192" i="12"/>
  <c r="BP192" i="12"/>
  <c r="BR192" i="12"/>
  <c r="BT192" i="12"/>
  <c r="BL193" i="12"/>
  <c r="BP193" i="12"/>
  <c r="BR193" i="12"/>
  <c r="BT193" i="12"/>
  <c r="P194" i="12"/>
  <c r="R194" i="12"/>
  <c r="AF194" i="12"/>
  <c r="AH194" i="12"/>
  <c r="AN194" i="12"/>
  <c r="AP194" i="12"/>
  <c r="AR194" i="12"/>
  <c r="AT194" i="12"/>
  <c r="BL194" i="12"/>
  <c r="BP194" i="12"/>
  <c r="BR194" i="12"/>
  <c r="BT194" i="12"/>
  <c r="AR195" i="12"/>
  <c r="BL195" i="12"/>
  <c r="BP195" i="12"/>
  <c r="BR195" i="12"/>
  <c r="BT195" i="12"/>
  <c r="AF196" i="12"/>
  <c r="AH196" i="12"/>
  <c r="BL196" i="12"/>
  <c r="BP196" i="12"/>
  <c r="BR196" i="12"/>
  <c r="BT196" i="12"/>
  <c r="N197" i="12"/>
  <c r="P197" i="12"/>
  <c r="R197" i="12"/>
  <c r="S197" i="12"/>
  <c r="T197" i="12"/>
  <c r="U197" i="12"/>
  <c r="V197" i="12"/>
  <c r="W197" i="12"/>
  <c r="X197" i="12"/>
  <c r="Y197" i="12"/>
  <c r="Z197" i="12"/>
  <c r="AA197" i="12"/>
  <c r="AB197" i="12"/>
  <c r="AC197" i="12"/>
  <c r="AD197" i="12"/>
  <c r="AF197" i="12"/>
  <c r="AH197" i="12"/>
  <c r="AJ197" i="12"/>
  <c r="AL197" i="12"/>
  <c r="AN197" i="12"/>
  <c r="AO197" i="12"/>
  <c r="AP197" i="12"/>
  <c r="AQ197" i="12"/>
  <c r="AR197" i="12"/>
  <c r="AS197" i="12"/>
  <c r="AT197" i="12"/>
  <c r="AU197" i="12"/>
  <c r="AV197" i="12"/>
  <c r="AW197" i="12"/>
  <c r="AX197" i="12"/>
  <c r="AY197" i="12"/>
  <c r="AZ197" i="12"/>
  <c r="BA197" i="12"/>
  <c r="BB197" i="12"/>
  <c r="BC197" i="12"/>
  <c r="BD197" i="12"/>
  <c r="BE197" i="12"/>
  <c r="BF197" i="12"/>
  <c r="BG197" i="12"/>
  <c r="BH197" i="12"/>
  <c r="BI197" i="12"/>
  <c r="BJ197" i="12"/>
  <c r="BK197" i="12"/>
  <c r="BL197" i="12"/>
  <c r="BM197" i="12"/>
  <c r="BN197" i="12"/>
  <c r="BO197" i="12"/>
  <c r="BP197" i="12"/>
  <c r="BQ197" i="12"/>
  <c r="BR197" i="12"/>
  <c r="BS197" i="12"/>
  <c r="BT197" i="12"/>
  <c r="P200" i="12"/>
  <c r="BL200" i="12"/>
  <c r="BP200" i="12"/>
  <c r="BR200" i="12"/>
  <c r="BT200" i="12"/>
  <c r="BL201" i="12"/>
  <c r="BP201" i="12"/>
  <c r="BR201" i="12"/>
  <c r="BT201" i="12"/>
  <c r="BL202" i="12"/>
  <c r="BP202" i="12"/>
  <c r="BR202" i="12"/>
  <c r="BT202" i="12"/>
  <c r="BL203" i="12"/>
  <c r="BP203" i="12"/>
  <c r="BR203" i="12"/>
  <c r="BT203" i="12"/>
  <c r="N204" i="12"/>
  <c r="O204" i="12"/>
  <c r="P204" i="12"/>
  <c r="Q204" i="12"/>
  <c r="R204" i="12"/>
  <c r="T204" i="12"/>
  <c r="V204" i="12"/>
  <c r="X204" i="12"/>
  <c r="Z204" i="12"/>
  <c r="AB204" i="12"/>
  <c r="AD204" i="12"/>
  <c r="AF204" i="12"/>
  <c r="AH204" i="12"/>
  <c r="AJ204" i="12"/>
  <c r="AL204" i="12"/>
  <c r="AN204" i="12"/>
  <c r="AP204" i="12"/>
  <c r="AR204" i="12"/>
  <c r="AT204" i="12"/>
  <c r="AV204" i="12"/>
  <c r="AX204" i="12"/>
  <c r="AZ204" i="12"/>
  <c r="BB204" i="12"/>
  <c r="BD204" i="12"/>
  <c r="BF204" i="12"/>
  <c r="BH204" i="12"/>
  <c r="BJ204" i="12"/>
  <c r="BL204" i="12"/>
  <c r="BN204" i="12"/>
  <c r="BP204" i="12"/>
  <c r="BR204" i="12"/>
  <c r="BT204" i="12"/>
  <c r="P206" i="12"/>
  <c r="AJ206" i="12"/>
  <c r="AL206" i="12"/>
  <c r="AP206" i="12"/>
  <c r="AR206" i="12"/>
  <c r="BL206" i="12"/>
  <c r="BP206" i="12"/>
  <c r="BR206" i="12"/>
  <c r="BT206" i="12"/>
  <c r="R208" i="12"/>
  <c r="S208" i="12"/>
  <c r="T208" i="12"/>
  <c r="U208" i="12"/>
  <c r="V208" i="12"/>
  <c r="W208" i="12"/>
  <c r="X208" i="12"/>
  <c r="Y208" i="12"/>
  <c r="Z208" i="12"/>
  <c r="AA208" i="12"/>
  <c r="AB208" i="12"/>
  <c r="AC208" i="12"/>
  <c r="AD208" i="12"/>
  <c r="AF208" i="12"/>
  <c r="AH208" i="12"/>
  <c r="AJ208" i="12"/>
  <c r="AL208" i="12"/>
  <c r="AN208" i="12"/>
  <c r="AO208" i="12"/>
  <c r="AP208" i="12"/>
  <c r="AQ208" i="12"/>
  <c r="AR208" i="12"/>
  <c r="AS208" i="12"/>
  <c r="AT208" i="12"/>
  <c r="AU208" i="12"/>
  <c r="AV208" i="12"/>
  <c r="AW208" i="12"/>
  <c r="AX208" i="12"/>
  <c r="AY208" i="12"/>
  <c r="AZ208" i="12"/>
  <c r="BA208" i="12"/>
  <c r="BB208" i="12"/>
  <c r="BC208" i="12"/>
  <c r="BD208" i="12"/>
  <c r="BE208" i="12"/>
  <c r="BF208" i="12"/>
  <c r="BG208" i="12"/>
  <c r="BH208" i="12"/>
  <c r="BI208" i="12"/>
  <c r="BJ208" i="12"/>
  <c r="BK208" i="12"/>
  <c r="BL208" i="12"/>
  <c r="BM208" i="12"/>
  <c r="BN208" i="12"/>
  <c r="BO208" i="12"/>
  <c r="BP208" i="12"/>
  <c r="BQ208" i="12"/>
  <c r="BR208" i="12"/>
  <c r="BS208" i="12"/>
  <c r="BT208" i="12"/>
  <c r="BU208" i="12"/>
  <c r="P210" i="12"/>
  <c r="BL210" i="12"/>
  <c r="BP210" i="12"/>
  <c r="BR210" i="12"/>
  <c r="BT210" i="12"/>
  <c r="R213" i="12"/>
  <c r="S213" i="12"/>
  <c r="T213" i="12"/>
  <c r="U213" i="12"/>
  <c r="V213" i="12"/>
  <c r="W213" i="12"/>
  <c r="X213" i="12"/>
  <c r="Y213" i="12"/>
  <c r="Z213" i="12"/>
  <c r="AA213" i="12"/>
  <c r="AB213" i="12"/>
  <c r="AC213" i="12"/>
  <c r="AD213" i="12"/>
  <c r="AF213" i="12"/>
  <c r="AH213" i="12"/>
  <c r="AJ213" i="12"/>
  <c r="AL213" i="12"/>
  <c r="AN213" i="12"/>
  <c r="AO213" i="12"/>
  <c r="AP213" i="12"/>
  <c r="AQ213" i="12"/>
  <c r="AR213" i="12"/>
  <c r="AS213" i="12"/>
  <c r="AT213" i="12"/>
  <c r="AU213" i="12"/>
  <c r="AV213" i="12"/>
  <c r="AW213" i="12"/>
  <c r="AX213" i="12"/>
  <c r="AY213" i="12"/>
  <c r="AZ213" i="12"/>
  <c r="BA213" i="12"/>
  <c r="BB213" i="12"/>
  <c r="BC213" i="12"/>
  <c r="BD213" i="12"/>
  <c r="BE213" i="12"/>
  <c r="BF213" i="12"/>
  <c r="BG213" i="12"/>
  <c r="BH213" i="12"/>
  <c r="BI213" i="12"/>
  <c r="BJ213" i="12"/>
  <c r="BK213" i="12"/>
  <c r="BL213" i="12"/>
  <c r="BM213" i="12"/>
  <c r="BN213" i="12"/>
  <c r="BO213" i="12"/>
  <c r="BP213" i="12"/>
  <c r="BQ213" i="12"/>
  <c r="BR213" i="12"/>
  <c r="BS213" i="12"/>
  <c r="BT213" i="12"/>
  <c r="BR214" i="12"/>
  <c r="P216" i="12"/>
  <c r="AB216" i="12"/>
  <c r="BL216" i="12"/>
  <c r="BP216" i="12"/>
  <c r="BR216" i="12"/>
  <c r="AJ218" i="12"/>
  <c r="BL218" i="12"/>
  <c r="BP218" i="12"/>
  <c r="BR218" i="12"/>
  <c r="AD220" i="12"/>
  <c r="AJ220" i="12"/>
  <c r="AN220" i="12"/>
  <c r="AP220" i="12"/>
  <c r="BL220" i="12"/>
  <c r="BR220" i="12"/>
  <c r="R222" i="12"/>
  <c r="S222" i="12"/>
  <c r="T222" i="12"/>
  <c r="U222" i="12"/>
  <c r="V222" i="12"/>
  <c r="W222" i="12"/>
  <c r="X222" i="12"/>
  <c r="Y222" i="12"/>
  <c r="Z222" i="12"/>
  <c r="AA222" i="12"/>
  <c r="AB222" i="12"/>
  <c r="AC222" i="12"/>
  <c r="AD222" i="12"/>
  <c r="AF222" i="12"/>
  <c r="AH222" i="12"/>
  <c r="AJ222" i="12"/>
  <c r="AL222" i="12"/>
  <c r="AN222" i="12"/>
  <c r="AO222" i="12"/>
  <c r="AP222" i="12"/>
  <c r="AQ222" i="12"/>
  <c r="AR222" i="12"/>
  <c r="AS222" i="12"/>
  <c r="AT222" i="12"/>
  <c r="AU222" i="12"/>
  <c r="AV222" i="12"/>
  <c r="AW222" i="12"/>
  <c r="AX222" i="12"/>
  <c r="AY222" i="12"/>
  <c r="AZ222" i="12"/>
  <c r="BA222" i="12"/>
  <c r="BB222" i="12"/>
  <c r="BC222" i="12"/>
  <c r="BD222" i="12"/>
  <c r="BE222" i="12"/>
  <c r="BF222" i="12"/>
  <c r="BG222" i="12"/>
  <c r="BH222" i="12"/>
  <c r="BI222" i="12"/>
  <c r="BJ222" i="12"/>
  <c r="BK222" i="12"/>
  <c r="BL222" i="12"/>
  <c r="BM222" i="12"/>
  <c r="BN222" i="12"/>
  <c r="BO222" i="12"/>
  <c r="BP222" i="12"/>
  <c r="BQ222" i="12"/>
  <c r="BR222" i="12"/>
  <c r="BS222" i="12"/>
  <c r="BT222" i="12"/>
  <c r="X226" i="12"/>
  <c r="AH226" i="12"/>
  <c r="BL226" i="12"/>
  <c r="BP226" i="12"/>
  <c r="BR226" i="12"/>
  <c r="X227" i="12"/>
  <c r="Z227" i="12"/>
  <c r="AD227" i="12"/>
  <c r="BL227" i="12"/>
  <c r="BP227" i="12"/>
  <c r="BR227" i="12"/>
  <c r="BL228" i="12"/>
  <c r="BP228" i="12"/>
  <c r="BR228" i="12"/>
  <c r="BL229" i="12"/>
  <c r="BP229" i="12"/>
  <c r="BR229" i="12"/>
  <c r="BP230" i="12"/>
  <c r="N231" i="12"/>
  <c r="P231" i="12"/>
  <c r="R231" i="12"/>
  <c r="T231" i="12"/>
  <c r="V231" i="12"/>
  <c r="X231" i="12"/>
  <c r="Z231" i="12"/>
  <c r="AA231" i="12"/>
  <c r="AB231" i="12"/>
  <c r="AC231" i="12"/>
  <c r="AD231" i="12"/>
  <c r="AF231" i="12"/>
  <c r="AH231" i="12"/>
  <c r="AJ231" i="12"/>
  <c r="AL231" i="12"/>
  <c r="AN231" i="12"/>
  <c r="AO231" i="12"/>
  <c r="AP231" i="12"/>
  <c r="AQ231" i="12"/>
  <c r="AR231" i="12"/>
  <c r="AS231" i="12"/>
  <c r="AT231" i="12"/>
  <c r="AU231" i="12"/>
  <c r="AV231" i="12"/>
  <c r="AW231" i="12"/>
  <c r="AX231" i="12"/>
  <c r="AY231" i="12"/>
  <c r="AZ231" i="12"/>
  <c r="BA231" i="12"/>
  <c r="BB231" i="12"/>
  <c r="BC231" i="12"/>
  <c r="BD231" i="12"/>
  <c r="BE231" i="12"/>
  <c r="BF231" i="12"/>
  <c r="BG231" i="12"/>
  <c r="BH231" i="12"/>
  <c r="BI231" i="12"/>
  <c r="BJ231" i="12"/>
  <c r="BK231" i="12"/>
  <c r="BL231" i="12"/>
  <c r="BP231" i="12"/>
  <c r="BR231" i="12"/>
  <c r="N236" i="12"/>
  <c r="P236" i="12"/>
  <c r="R236" i="12"/>
  <c r="S236" i="12"/>
  <c r="T236" i="12"/>
  <c r="U236" i="12"/>
  <c r="V236" i="12"/>
  <c r="W236" i="12"/>
  <c r="X236" i="12"/>
  <c r="Y236" i="12"/>
  <c r="Z236" i="12"/>
  <c r="AA236" i="12"/>
  <c r="AB236" i="12"/>
  <c r="AC236" i="12"/>
  <c r="AD236" i="12"/>
  <c r="AF236" i="12"/>
  <c r="AH236" i="12"/>
  <c r="AJ236" i="12"/>
  <c r="AL236" i="12"/>
  <c r="AN236" i="12"/>
  <c r="AO236" i="12"/>
  <c r="AP236" i="12"/>
  <c r="AQ236" i="12"/>
  <c r="AR236" i="12"/>
  <c r="AS236" i="12"/>
  <c r="AT236" i="12"/>
  <c r="AU236" i="12"/>
  <c r="AV236" i="12"/>
  <c r="AW236" i="12"/>
  <c r="AX236" i="12"/>
  <c r="AY236" i="12"/>
  <c r="AZ236" i="12"/>
  <c r="BA236" i="12"/>
  <c r="BB236" i="12"/>
  <c r="BC236" i="12"/>
  <c r="BD236" i="12"/>
  <c r="BE236" i="12"/>
  <c r="BF236" i="12"/>
  <c r="BG236" i="12"/>
  <c r="BH236" i="12"/>
  <c r="BI236" i="12"/>
  <c r="BJ236" i="12"/>
  <c r="BK236" i="12"/>
  <c r="BL236" i="12"/>
  <c r="BM236" i="12"/>
  <c r="BN236" i="12"/>
  <c r="BO236" i="12"/>
  <c r="BP236" i="12"/>
  <c r="BQ236" i="12"/>
  <c r="BR236" i="12"/>
  <c r="BS236" i="12"/>
  <c r="BT236"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K52" i="18"/>
  <c r="L52"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acopela</author>
  </authors>
  <commentList>
    <comment ref="AD244"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<sst xmlns="http://schemas.openxmlformats.org/spreadsheetml/2006/main" count="2129" uniqueCount="576">
  <si>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</si>
  <si>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</si>
  <si>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</si>
  <si>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</si>
  <si>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</si>
  <si>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</si>
  <si>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</si>
  <si>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</si>
  <si>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</si>
  <si>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</si>
  <si>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</si>
  <si>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</si>
  <si>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</si>
  <si>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</si>
  <si>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</si>
  <si>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</si>
  <si>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</si>
  <si>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</si>
  <si>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</si>
  <si>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</si>
  <si>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</si>
  <si>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</si>
  <si>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</si>
  <si>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</si>
  <si>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</si>
  <si>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</si>
  <si>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</si>
  <si>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</si>
  <si>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</si>
  <si>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</si>
  <si>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</si>
  <si>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</si>
  <si>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</si>
  <si>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</si>
  <si>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</si>
  <si>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</si>
  <si>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</si>
  <si>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</si>
  <si>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</si>
  <si>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</si>
  <si>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EI Hourly billing</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</si>
  <si>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</si>
  <si>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</si>
  <si>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</si>
  <si>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</si>
  <si>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</si>
  <si>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</si>
  <si>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</si>
  <si>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</si>
  <si>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</si>
  <si>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</si>
  <si>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</si>
  <si>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</si>
  <si>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</si>
  <si>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</si>
  <si>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</si>
  <si>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</si>
  <si>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</si>
  <si>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</si>
  <si>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</si>
  <si>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</si>
  <si>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</si>
  <si>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</si>
  <si>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</si>
  <si>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</si>
  <si>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</si>
  <si>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</si>
  <si>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</si>
  <si>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</si>
  <si>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</si>
  <si>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</si>
  <si>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</si>
  <si>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</si>
  <si>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</si>
  <si>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</si>
  <si>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</si>
  <si>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</si>
  <si>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</si>
  <si>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</si>
  <si>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</si>
  <si>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</si>
  <si>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</si>
  <si>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</si>
  <si>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</si>
  <si>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</si>
  <si>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</si>
  <si>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</si>
  <si>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</si>
  <si>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</si>
  <si>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</si>
  <si>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</si>
  <si>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</si>
  <si>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</si>
  <si>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</si>
  <si>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</si>
  <si>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</si>
  <si>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</si>
  <si>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</si>
  <si>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</si>
  <si>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</si>
  <si>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</si>
  <si>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</si>
  <si>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</si>
  <si>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</si>
  <si>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</si>
  <si>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</si>
  <si>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</si>
  <si>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</si>
  <si>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</si>
  <si>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</si>
  <si>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</si>
  <si>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</si>
  <si>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</si>
  <si>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</si>
  <si>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</si>
  <si>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</si>
  <si>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</si>
  <si>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</si>
  <si>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</si>
  <si>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</si>
  <si>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</si>
  <si>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</si>
  <si>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</si>
  <si>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</si>
  <si>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</si>
  <si>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</si>
  <si>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</si>
  <si>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</si>
  <si>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</si>
  <si>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</si>
  <si>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</si>
  <si>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</si>
  <si>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</si>
  <si>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</si>
  <si>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</si>
  <si>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</si>
  <si>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</si>
  <si>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</si>
  <si>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</si>
  <si>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</si>
  <si>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</si>
  <si>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</si>
  <si>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</si>
  <si>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</si>
  <si>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</si>
  <si>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</si>
  <si>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</si>
  <si>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</si>
  <si>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</si>
  <si>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</si>
  <si>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</si>
  <si>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</si>
  <si>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</si>
  <si>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</si>
  <si>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</si>
  <si>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</si>
  <si>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</si>
  <si>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</si>
  <si>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</si>
  <si>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</si>
  <si>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</si>
  <si>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</si>
  <si>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</si>
  <si>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</si>
  <si>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</si>
  <si>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</si>
  <si>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</si>
  <si>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</si>
  <si>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</si>
  <si>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</si>
  <si>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</si>
  <si>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</si>
  <si>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</si>
  <si>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</si>
  <si>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</si>
  <si>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</si>
  <si>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</si>
  <si>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</si>
  <si>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</si>
  <si>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</si>
  <si>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</si>
  <si>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</si>
  <si>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</si>
  <si>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Mobilization Fee</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</si>
  <si>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</si>
  <si>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</si>
  <si>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</si>
  <si>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</si>
  <si>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</si>
  <si>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</si>
  <si>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</si>
  <si>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</si>
  <si>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</si>
  <si>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</si>
  <si>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</si>
  <si>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</si>
  <si>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</si>
  <si>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</si>
  <si>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</si>
  <si>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</si>
  <si>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</si>
  <si>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</si>
  <si>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</si>
  <si>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</si>
  <si>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</si>
  <si>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</si>
  <si>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</si>
  <si>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</si>
  <si>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</si>
  <si>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</si>
  <si>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</si>
  <si>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</si>
  <si>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</si>
  <si>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</si>
  <si>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</si>
  <si>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</si>
  <si>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</si>
  <si>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</si>
  <si>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</si>
  <si>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</si>
  <si>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</si>
  <si>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</si>
  <si>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</si>
  <si>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</si>
  <si>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</si>
  <si>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</si>
  <si>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</si>
  <si>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</si>
  <si>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</si>
  <si>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</si>
  <si>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</si>
  <si>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</si>
  <si>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</si>
  <si>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</si>
  <si>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</si>
  <si>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</si>
  <si>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</si>
  <si>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</si>
  <si>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</si>
  <si>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</si>
  <si>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</si>
  <si>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</si>
  <si>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</si>
  <si>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</si>
  <si>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</si>
  <si>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</si>
  <si>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</si>
  <si>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</si>
  <si>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</si>
  <si>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</si>
  <si>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</si>
  <si>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</si>
  <si>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</si>
  <si>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</si>
  <si>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</si>
  <si>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</si>
  <si>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</si>
  <si>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</si>
  <si>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</si>
  <si>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</si>
  <si>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</si>
  <si>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</si>
  <si>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</si>
  <si>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</si>
  <si>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</si>
  <si>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</si>
  <si>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</si>
  <si>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</si>
  <si>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</si>
  <si>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</si>
  <si>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</si>
  <si>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</si>
  <si>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</si>
  <si>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TOTAL ILLIONIS PLANT COSTS</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</si>
  <si>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</si>
  <si>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</si>
  <si>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</si>
  <si>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</si>
  <si>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</si>
  <si>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</si>
  <si>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</si>
  <si>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</si>
  <si>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</si>
  <si>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</si>
  <si>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</si>
  <si>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</si>
  <si>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</si>
  <si>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</si>
  <si>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</si>
  <si>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</si>
  <si>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</si>
  <si>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 xml:space="preserve">Grand Total Including </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</si>
  <si>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</si>
  <si>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</si>
  <si>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</si>
  <si>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</si>
  <si>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</si>
  <si>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</si>
  <si>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</si>
  <si>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</si>
  <si>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</si>
  <si>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</si>
  <si>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FIELD STAFF</t>
  </si>
  <si>
    <t>TEMP FACILITIES &amp; INDIRECT SUPPORT</t>
  </si>
  <si>
    <t>INDIRECT SUPPLIES</t>
  </si>
  <si>
    <t>PAYROLL BURDENS</t>
  </si>
  <si>
    <t>HO PROJ MGMT/SUPPORT</t>
  </si>
  <si>
    <t>BUSINESS EXPENSES</t>
  </si>
  <si>
    <t>FIELD NON-PROD LABOR</t>
  </si>
  <si>
    <t>INDIRECT ENGR LABOR</t>
  </si>
  <si>
    <t>DIRECT PROJECT ENGR</t>
  </si>
  <si>
    <t>VENDOR REPS</t>
  </si>
  <si>
    <t>RESERVES</t>
  </si>
  <si>
    <t>General Provisions</t>
  </si>
  <si>
    <t>PIPE, VALVES, SPEC, &amp; HANGERS</t>
  </si>
  <si>
    <t>CONDUIT &amp; WIRE</t>
  </si>
  <si>
    <t>BUS DUCT</t>
  </si>
  <si>
    <t>DRY XFORMERS &amp; PANELS</t>
  </si>
  <si>
    <t>OIL FILLED XFORMERS</t>
  </si>
  <si>
    <t>MOTOR CONTROL CENTER</t>
  </si>
  <si>
    <t>SWITCHGEAR</t>
  </si>
  <si>
    <t>CNTL PANELS &amp; TRMNTN BOX</t>
  </si>
  <si>
    <t>ELECTRICAL DEVICES</t>
  </si>
  <si>
    <t>LIGHT POLE &amp; LIGHT FIXTURES</t>
  </si>
  <si>
    <t>ELEC HEAT TRACE &amp; TEST</t>
  </si>
  <si>
    <t>SPECIAL SYSTEMS</t>
  </si>
  <si>
    <t>CNTL VALVES &amp; MISC EQUIPMENT</t>
  </si>
  <si>
    <t>TUBING, TRAV &amp; STANDS</t>
  </si>
  <si>
    <t>CONDENSER &amp; AUX EQUIPMENT</t>
  </si>
  <si>
    <t>FUEL GAS FILTER</t>
  </si>
  <si>
    <t>PRESSURE REDUCE STAT</t>
  </si>
  <si>
    <t>MINOR SKID MOUNTED SYSTEMS</t>
  </si>
  <si>
    <t>TANKS NON-PRESSURIZE</t>
  </si>
  <si>
    <t>TOTAL General Provisions</t>
  </si>
  <si>
    <t>BOP Procurement</t>
  </si>
  <si>
    <t>TOTAL BOP Procurement</t>
  </si>
  <si>
    <t>SITE PREPARATION/IMPROVEMENTS - S</t>
  </si>
  <si>
    <t>UNDERGROUND ELECTRICAL - L</t>
  </si>
  <si>
    <t>UNDERGROUND ELECTRICAL - M</t>
  </si>
  <si>
    <t>UNDERGROUND ELECTRICAL - S</t>
  </si>
  <si>
    <t>UNDERGROUND PIPING - L</t>
  </si>
  <si>
    <t>UNDERGROUND PIPING - M</t>
  </si>
  <si>
    <t>UNDERGROUND PIPING - S</t>
  </si>
  <si>
    <t>CONCRETE - L</t>
  </si>
  <si>
    <t>CONCRETE - M</t>
  </si>
  <si>
    <t>SPECIAL CONCRETE - L</t>
  </si>
  <si>
    <t>SPECIAL CONCRETE - M</t>
  </si>
  <si>
    <t>STRUCTURAL STEEL - L</t>
  </si>
  <si>
    <t>STRUCTURAL STEEL - M</t>
  </si>
  <si>
    <t>ARCHITECTURAL -S</t>
  </si>
  <si>
    <t>BUILDINGS -S</t>
  </si>
  <si>
    <t>A/G PIPING - L</t>
  </si>
  <si>
    <t>A/G PIPING - S</t>
  </si>
  <si>
    <t>A/G ELECTRICAL - L</t>
  </si>
  <si>
    <t>A/G ELECTRICAL - S</t>
  </si>
  <si>
    <t>INSTRUMENTATION - L</t>
  </si>
  <si>
    <t>INSULATION &amp; PAINTING -S</t>
  </si>
  <si>
    <t>MECHANICAL EQUIPMENT - L</t>
  </si>
  <si>
    <t>MECHANICAL EQUIPMENT - S</t>
  </si>
  <si>
    <t>PLANT STARTUP - L</t>
  </si>
  <si>
    <t>PLANT STARTUP - M</t>
  </si>
  <si>
    <t>PLANT STARTUP - S</t>
  </si>
  <si>
    <t>UNION ADDER ESTIMATE ERROR</t>
  </si>
  <si>
    <t>Construction</t>
  </si>
  <si>
    <t>TOTAL Construction</t>
  </si>
  <si>
    <t>TOTAL SWITCHYARD</t>
  </si>
  <si>
    <t>Switchyard</t>
  </si>
  <si>
    <t>Nepco % Complete</t>
  </si>
  <si>
    <t>INSTRUMENTATION - S</t>
  </si>
  <si>
    <t>ASH TRANSFER EQUIPMENT</t>
  </si>
  <si>
    <t>STEAM WATER SEPARATOR</t>
  </si>
  <si>
    <t>STEAM TURBINE</t>
  </si>
  <si>
    <t>Franchise tax</t>
  </si>
  <si>
    <t>(Increase)</t>
  </si>
  <si>
    <t>CONCRETE - S</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</si>
  <si>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</si>
  <si>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</si>
  <si>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</si>
  <si>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</si>
  <si>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</si>
  <si>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</si>
  <si>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</si>
  <si>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</si>
  <si>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</si>
  <si>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</si>
  <si>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</si>
  <si>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</si>
  <si>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</si>
  <si>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</si>
  <si>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</si>
  <si>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</si>
  <si>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</si>
  <si>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</si>
  <si>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</si>
  <si>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</si>
  <si>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</si>
  <si>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</si>
  <si>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</si>
  <si>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</si>
  <si>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</si>
  <si>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</si>
  <si>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</si>
  <si>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</si>
  <si>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</si>
  <si>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</si>
  <si>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</si>
  <si>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</si>
  <si>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</si>
  <si>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</si>
  <si>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</si>
  <si>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</si>
  <si>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</si>
  <si>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</si>
  <si>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</si>
  <si>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</si>
  <si>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</si>
  <si>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</si>
  <si>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</si>
  <si>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</si>
  <si>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</si>
  <si>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</si>
  <si>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</si>
  <si>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</si>
  <si>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</si>
  <si>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</si>
  <si>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</si>
  <si>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</si>
  <si>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</si>
  <si>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</si>
  <si>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</si>
  <si>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</si>
  <si>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</si>
  <si>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</si>
  <si>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</si>
  <si>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</si>
  <si>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</si>
  <si>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</si>
  <si>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</si>
  <si>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</si>
  <si>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</si>
  <si>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</si>
  <si>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</si>
  <si>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</si>
  <si>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</si>
  <si>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Westinghouse 501F(d) - Change Order No. 1</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</si>
  <si>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</si>
  <si>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</si>
  <si>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</si>
  <si>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</si>
  <si>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</si>
  <si>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</si>
  <si>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</si>
  <si>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</si>
  <si>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</si>
  <si>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</si>
  <si>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</si>
  <si>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</si>
  <si>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</si>
  <si>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</si>
  <si>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</si>
  <si>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</si>
  <si>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</si>
  <si>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</si>
  <si>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</si>
  <si>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</si>
  <si>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</si>
  <si>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</si>
  <si>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</si>
  <si>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</si>
  <si>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</si>
  <si>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</si>
  <si>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</si>
  <si>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</si>
  <si>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</si>
  <si>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</si>
  <si>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</si>
  <si>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</si>
  <si>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</si>
  <si>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</si>
  <si>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</si>
  <si>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</si>
  <si>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</si>
  <si>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</si>
  <si>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</si>
  <si>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</si>
  <si>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</si>
  <si>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</si>
  <si>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</si>
  <si>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</si>
  <si>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</si>
  <si>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</si>
  <si>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</si>
  <si>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</si>
  <si>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</si>
  <si>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</si>
  <si>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 xml:space="preserve">Increase Development , $116 related to GLC consulting costs </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</si>
  <si>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</si>
  <si>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</si>
  <si>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</si>
  <si>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</si>
  <si>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</si>
  <si>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</si>
  <si>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</si>
  <si>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</si>
  <si>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</si>
  <si>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</si>
  <si>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</si>
  <si>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</si>
  <si>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</si>
  <si>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</si>
  <si>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</si>
  <si>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</si>
  <si>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</si>
  <si>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</si>
  <si>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</si>
  <si>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</si>
  <si>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</si>
  <si>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</si>
  <si>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</si>
  <si>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</si>
  <si>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</si>
  <si>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</si>
  <si>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</si>
  <si>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</si>
  <si>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</si>
  <si>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</si>
  <si>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</si>
  <si>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</si>
  <si>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</si>
  <si>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</si>
  <si>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</si>
  <si>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</si>
  <si>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</si>
  <si>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</si>
  <si>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</si>
  <si>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</si>
  <si>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</si>
  <si>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</si>
  <si>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</si>
  <si>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</si>
  <si>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</si>
  <si>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</si>
  <si>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TAXES</t>
  </si>
  <si>
    <t>SITE PREPARATION/IMPROVEMENTS - M</t>
  </si>
  <si>
    <t>BACKCHARGE</t>
  </si>
  <si>
    <t>Decrease  Interest During Construction</t>
  </si>
  <si>
    <t>Backing out Acceleration Scope Change</t>
  </si>
  <si>
    <t>01001</t>
  </si>
  <si>
    <t>Wage Rate Adjustment</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</si>
  <si>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</si>
  <si>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</si>
  <si>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</si>
  <si>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</si>
  <si>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</si>
  <si>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</si>
  <si>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</si>
  <si>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</si>
  <si>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</si>
  <si>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</si>
  <si>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</si>
  <si>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</si>
  <si>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</si>
  <si>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</si>
  <si>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</si>
  <si>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</si>
  <si>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</si>
  <si>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</si>
  <si>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</si>
  <si>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</si>
  <si>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</si>
  <si>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Revision # 43</t>
  </si>
  <si>
    <t xml:space="preserve"> As of 1/31/00</t>
  </si>
  <si>
    <r>
      <t xml:space="preserve">Acceleration Trend - </t>
    </r>
    <r>
      <rPr>
        <sz val="10"/>
        <color indexed="10"/>
        <rFont val="Arial"/>
        <family val="2"/>
      </rPr>
      <t>received 1/27/00</t>
    </r>
  </si>
  <si>
    <t>POWER INTERCONNECTION -Com Ed</t>
  </si>
  <si>
    <t>Decrease in IDC</t>
  </si>
  <si>
    <t>Increase in Power Interconnect cost associated with Com 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</si>
</sst>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3">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s>
  <fills count="12">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54">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0" fontId="6"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0" fontId="6" fillId="7" borderId="23" xfId="0" applyFont="1" applyFill="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164" fontId="6" fillId="0" borderId="0"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164" fontId="6" fillId="0" borderId="0" xfId="0" applyNumberFormat="1"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6" fillId="0" borderId="19" xfId="0" applyFont="1" applyBorder="1" applyAlignment="1">
      <alignment horizontal="center"/>
    </xf>
    <xf numFmtId="0" fontId="6" fillId="0" borderId="17" xfId="0" applyFont="1" applyBorder="1" applyAlignment="1">
      <alignment horizontal="center"/>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131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5% - Swap"/>
      <sheetName val="Summary"/>
      <sheetName val="Calvert City"/>
      <sheetName val="Wilton"/>
      <sheetName val="Gleason"/>
      <sheetName val="Wheatland"/>
    </sheetNames>
    <sheetDataSet>
      <sheetData sheetId="0"/>
      <sheetData sheetId="1"/>
      <sheetData sheetId="2">
        <row r="38">
          <cell r="I38">
            <v>481371.22496666672</v>
          </cell>
          <cell r="J38">
            <v>488494.44316995825</v>
          </cell>
          <cell r="K38">
            <v>500068.5242301845</v>
          </cell>
        </row>
        <row r="64">
          <cell r="X64">
            <v>811034.87</v>
          </cell>
        </row>
      </sheetData>
      <sheetData sheetId="3">
        <row r="40">
          <cell r="K40">
            <v>463711.37538870639</v>
          </cell>
          <cell r="L40">
            <v>505639.68570277008</v>
          </cell>
          <cell r="N40">
            <v>663422.29387704656</v>
          </cell>
          <cell r="O40">
            <v>873819.32529526937</v>
          </cell>
          <cell r="Y40">
            <v>12249106.92276716</v>
          </cell>
        </row>
      </sheetData>
      <sheetData sheetId="4">
        <row r="40">
          <cell r="M40">
            <v>505668.93</v>
          </cell>
          <cell r="N40">
            <v>517447.92267638887</v>
          </cell>
          <cell r="O40">
            <v>557933.42322977481</v>
          </cell>
          <cell r="P40">
            <v>574337.94527365838</v>
          </cell>
          <cell r="Z40">
            <v>11107956.742321296</v>
          </cell>
        </row>
      </sheetData>
      <sheetData sheetId="5">
        <row r="39">
          <cell r="I39">
            <v>431577.41862083337</v>
          </cell>
          <cell r="J39">
            <v>437225.48213836289</v>
          </cell>
          <cell r="K39">
            <v>445286.67641661229</v>
          </cell>
          <cell r="L39">
            <v>454783</v>
          </cell>
          <cell r="M39">
            <v>462626.31550692458</v>
          </cell>
          <cell r="N39">
            <v>491955.34096592036</v>
          </cell>
          <cell r="O39">
            <v>516340</v>
          </cell>
          <cell r="Y39">
            <v>9749192.6603223048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R197" sqref="R197"/>
    </sheetView>
  </sheetViews>
  <sheetFormatPr defaultRowHeight="13.2"/>
  <cols>
    <col min="4" max="4" width="3.109375" customWidth="1"/>
    <col min="5" max="5" width="11.88671875" bestFit="1" customWidth="1"/>
    <col min="6" max="6" width="2.5546875" customWidth="1"/>
    <col min="7" max="7" width="11.88671875" bestFit="1" customWidth="1"/>
    <col min="8" max="8" width="2.5546875" customWidth="1"/>
    <col min="9" max="9" width="11.88671875" bestFit="1" customWidth="1"/>
    <col min="10" max="10" width="2.5546875" customWidth="1"/>
    <col min="11" max="11" width="10.88671875" bestFit="1" customWidth="1"/>
  </cols>
  <sheetData>
    <row r="1" spans="1:11" ht="15.6">
      <c r="A1" s="24" t="s">
        <v>118</v>
      </c>
    </row>
    <row r="2" spans="1:11" ht="15.6">
      <c r="A2" s="24" t="s">
        <v>117</v>
      </c>
    </row>
    <row r="4" spans="1:11">
      <c r="A4" s="21" t="s">
        <v>112</v>
      </c>
    </row>
    <row r="6" spans="1:11">
      <c r="A6" t="s">
        <v>109</v>
      </c>
    </row>
    <row r="7" spans="1:11">
      <c r="A7" t="s">
        <v>115</v>
      </c>
    </row>
    <row r="8" spans="1:11">
      <c r="A8" t="s">
        <v>114</v>
      </c>
    </row>
    <row r="11" spans="1:11">
      <c r="A11" s="21" t="s">
        <v>120</v>
      </c>
    </row>
    <row r="12" spans="1:11">
      <c r="A12" s="21"/>
      <c r="E12" s="8" t="s">
        <v>74</v>
      </c>
      <c r="F12" s="49"/>
      <c r="G12" s="8" t="s">
        <v>75</v>
      </c>
      <c r="H12" s="49"/>
      <c r="I12" s="8" t="s">
        <v>73</v>
      </c>
      <c r="K12" s="8" t="s">
        <v>76</v>
      </c>
    </row>
    <row r="13" spans="1:11">
      <c r="A13" s="21"/>
    </row>
    <row r="14" spans="1:11">
      <c r="A14" t="s">
        <v>110</v>
      </c>
      <c r="E14" s="35">
        <v>-310000</v>
      </c>
      <c r="F14" s="35"/>
      <c r="G14" s="35">
        <v>-300000</v>
      </c>
      <c r="H14" s="35"/>
      <c r="I14" s="35">
        <v>-233000</v>
      </c>
      <c r="K14" s="38">
        <f>SUM(E14:I14)</f>
        <v>-843000</v>
      </c>
    </row>
    <row r="15" spans="1:11">
      <c r="A15" t="s">
        <v>111</v>
      </c>
      <c r="E15" s="35">
        <v>-550000</v>
      </c>
      <c r="F15" s="35"/>
      <c r="G15" s="35">
        <v>-550000</v>
      </c>
      <c r="H15" s="35"/>
      <c r="I15" s="35">
        <v>-350000</v>
      </c>
      <c r="K15" s="38">
        <f>SUM(E15:I15)</f>
        <v>-1450000</v>
      </c>
    </row>
    <row r="16" spans="1:11">
      <c r="A16" t="s">
        <v>116</v>
      </c>
      <c r="E16" s="36">
        <v>-200000</v>
      </c>
      <c r="F16" s="35"/>
      <c r="G16" s="36">
        <v>-200000</v>
      </c>
      <c r="H16" s="35"/>
      <c r="I16" s="36">
        <v>-200000</v>
      </c>
      <c r="K16" s="50">
        <f>SUM(E16:I16)</f>
        <v>-600000</v>
      </c>
    </row>
    <row r="17" spans="1:11">
      <c r="E17" s="51"/>
      <c r="F17" s="35"/>
      <c r="G17" s="51"/>
      <c r="H17" s="35"/>
      <c r="I17" s="51"/>
      <c r="K17" s="52"/>
    </row>
    <row r="18" spans="1:11">
      <c r="A18" s="21" t="s">
        <v>113</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52"/>
  <sheetViews>
    <sheetView showGridLines="0" zoomScale="75" zoomScaleNormal="75" zoomScaleSheetLayoutView="75" workbookViewId="0">
      <pane xSplit="1" ySplit="9" topLeftCell="F44" activePane="bottomRight" state="frozen"/>
      <selection activeCell="A9" sqref="A9"/>
      <selection pane="topRight" activeCell="A9" sqref="A9"/>
      <selection pane="bottomLeft" activeCell="A9" sqref="A9"/>
      <selection pane="bottomRight" activeCell="A9" sqref="A9"/>
    </sheetView>
  </sheetViews>
  <sheetFormatPr defaultRowHeight="15.6"/>
  <cols>
    <col min="1" max="1" width="13.6640625" customWidth="1"/>
    <col min="2" max="2" width="46.6640625" customWidth="1"/>
    <col min="3" max="3" width="11.44140625" bestFit="1" customWidth="1"/>
    <col min="4" max="4" width="9.6640625" customWidth="1"/>
    <col min="5" max="5" width="10.88671875" customWidth="1"/>
    <col min="6" max="6" width="16.6640625" bestFit="1" customWidth="1"/>
    <col min="7" max="7" width="14" bestFit="1" customWidth="1"/>
    <col min="8" max="8" width="14.33203125" customWidth="1"/>
    <col min="9" max="9" width="11.44140625" customWidth="1"/>
    <col min="10" max="10" width="10.44140625" customWidth="1"/>
    <col min="11" max="11" width="15.33203125" customWidth="1"/>
    <col min="12" max="13" width="15.33203125" style="380" customWidth="1"/>
    <col min="14" max="14" width="15.33203125" style="380" hidden="1" customWidth="1"/>
    <col min="15" max="15" width="9.88671875" customWidth="1"/>
    <col min="16" max="16" width="41.109375" bestFit="1" customWidth="1"/>
    <col min="17" max="17" width="1.33203125" customWidth="1"/>
    <col min="18" max="19" width="30.6640625" customWidth="1"/>
  </cols>
  <sheetData>
    <row r="1" spans="1:17" ht="2.25" customHeight="1">
      <c r="C1" s="49"/>
      <c r="H1" s="256"/>
      <c r="I1" s="256"/>
      <c r="J1" s="256"/>
      <c r="K1" s="256"/>
      <c r="L1" s="381"/>
      <c r="M1" s="381"/>
      <c r="N1" s="381"/>
      <c r="O1" s="49"/>
      <c r="P1" s="49"/>
    </row>
    <row r="2" spans="1:17" ht="11.25" customHeight="1">
      <c r="Q2" s="257"/>
    </row>
    <row r="3" spans="1:17" ht="40.5" customHeight="1">
      <c r="A3" s="258"/>
      <c r="B3" s="258" t="s">
        <v>391</v>
      </c>
      <c r="G3" s="351" t="s">
        <v>481</v>
      </c>
      <c r="Q3" s="257"/>
    </row>
    <row r="4" spans="1:17" ht="24.6">
      <c r="A4" s="259"/>
      <c r="B4" s="259" t="s">
        <v>392</v>
      </c>
      <c r="C4" s="257"/>
      <c r="D4" s="257"/>
      <c r="E4" s="257"/>
      <c r="F4" s="257"/>
      <c r="G4" s="257"/>
      <c r="H4" s="260"/>
      <c r="I4" s="260"/>
      <c r="J4" s="260"/>
      <c r="K4" s="260"/>
      <c r="L4" s="382"/>
      <c r="M4" s="382"/>
      <c r="N4" s="382"/>
      <c r="O4" s="257"/>
      <c r="P4" s="257"/>
      <c r="Q4" s="257"/>
    </row>
    <row r="5" spans="1:17" ht="21">
      <c r="A5" s="261"/>
      <c r="B5" s="261" t="s">
        <v>393</v>
      </c>
      <c r="C5" s="257"/>
      <c r="D5" s="257"/>
      <c r="E5" s="257"/>
      <c r="F5" s="257"/>
      <c r="G5" s="257"/>
      <c r="H5" s="260"/>
      <c r="I5" s="260"/>
      <c r="J5" s="260"/>
      <c r="K5" s="260"/>
      <c r="L5" s="382"/>
      <c r="M5" s="382"/>
      <c r="N5" s="382"/>
      <c r="O5" s="257"/>
      <c r="P5" s="257"/>
      <c r="Q5" s="257"/>
    </row>
    <row r="6" spans="1:17" ht="6.75" customHeight="1" thickBot="1">
      <c r="C6" s="49"/>
      <c r="H6" s="256"/>
      <c r="I6" s="256"/>
      <c r="J6" s="256"/>
      <c r="K6" s="256"/>
      <c r="L6" s="381"/>
      <c r="M6" s="381"/>
      <c r="N6" s="381"/>
      <c r="O6" s="49"/>
      <c r="P6" s="49"/>
    </row>
    <row r="7" spans="1:17" ht="25.5" customHeight="1">
      <c r="A7" s="448" t="s">
        <v>394</v>
      </c>
      <c r="B7" s="451" t="s">
        <v>395</v>
      </c>
      <c r="C7" s="451" t="s">
        <v>396</v>
      </c>
      <c r="D7" s="451" t="s">
        <v>397</v>
      </c>
      <c r="E7" s="451" t="s">
        <v>398</v>
      </c>
      <c r="F7" s="451" t="s">
        <v>399</v>
      </c>
      <c r="G7" s="445" t="s">
        <v>400</v>
      </c>
      <c r="H7" s="445" t="s">
        <v>401</v>
      </c>
      <c r="I7" s="445" t="s">
        <v>402</v>
      </c>
      <c r="J7" s="445" t="s">
        <v>403</v>
      </c>
      <c r="K7" s="445" t="s">
        <v>404</v>
      </c>
      <c r="L7" s="383" t="s">
        <v>428</v>
      </c>
      <c r="M7" s="383"/>
      <c r="N7" s="383"/>
      <c r="O7" s="451" t="s">
        <v>405</v>
      </c>
      <c r="P7" s="442" t="s">
        <v>406</v>
      </c>
      <c r="Q7" s="262"/>
    </row>
    <row r="8" spans="1:17">
      <c r="A8" s="449"/>
      <c r="B8" s="452"/>
      <c r="C8" s="452"/>
      <c r="D8" s="452"/>
      <c r="E8" s="452"/>
      <c r="F8" s="452"/>
      <c r="G8" s="446"/>
      <c r="H8" s="446"/>
      <c r="I8" s="446"/>
      <c r="J8" s="446"/>
      <c r="K8" s="446"/>
      <c r="L8" s="384" t="s">
        <v>409</v>
      </c>
      <c r="M8" s="384" t="s">
        <v>561</v>
      </c>
      <c r="N8" s="384" t="s">
        <v>565</v>
      </c>
      <c r="O8" s="452"/>
      <c r="P8" s="443"/>
      <c r="Q8" s="263"/>
    </row>
    <row r="9" spans="1:17" ht="31.8" thickBot="1">
      <c r="A9" s="450"/>
      <c r="B9" s="453"/>
      <c r="C9" s="453"/>
      <c r="D9" s="453"/>
      <c r="E9" s="453"/>
      <c r="F9" s="453"/>
      <c r="G9" s="447"/>
      <c r="H9" s="447"/>
      <c r="I9" s="447"/>
      <c r="J9" s="447"/>
      <c r="K9" s="447"/>
      <c r="L9" s="385"/>
      <c r="M9" s="385" t="s">
        <v>564</v>
      </c>
      <c r="N9" s="385" t="s">
        <v>566</v>
      </c>
      <c r="O9" s="453"/>
      <c r="P9" s="444"/>
      <c r="Q9" s="264"/>
    </row>
    <row r="10" spans="1:17" ht="16.2" thickBot="1">
      <c r="A10" s="265"/>
      <c r="B10" s="266"/>
      <c r="C10" s="266"/>
      <c r="D10" s="266"/>
      <c r="E10" s="266"/>
      <c r="F10" s="266"/>
      <c r="G10" s="266"/>
      <c r="H10" s="265"/>
      <c r="I10" s="265"/>
      <c r="J10" s="265"/>
      <c r="K10" s="265"/>
      <c r="L10" s="386"/>
      <c r="M10" s="386"/>
      <c r="N10" s="386"/>
      <c r="O10" s="266"/>
      <c r="P10" s="266"/>
      <c r="Q10" s="267"/>
    </row>
    <row r="11" spans="1:17" s="30" customFormat="1" ht="18.75" customHeight="1" thickBot="1">
      <c r="A11" s="268" t="s">
        <v>407</v>
      </c>
      <c r="B11" s="269"/>
      <c r="C11" s="270"/>
      <c r="D11" s="270"/>
      <c r="E11" s="270"/>
      <c r="F11" s="270"/>
      <c r="G11" s="270"/>
      <c r="H11" s="271"/>
      <c r="I11" s="271"/>
      <c r="J11" s="271"/>
      <c r="K11" s="271"/>
      <c r="L11" s="387"/>
      <c r="M11" s="387"/>
      <c r="N11" s="387"/>
      <c r="O11" s="270"/>
      <c r="P11" s="267"/>
      <c r="Q11" s="267"/>
    </row>
    <row r="12" spans="1:17" ht="6" customHeight="1">
      <c r="A12" s="272"/>
      <c r="B12" s="273"/>
      <c r="C12" s="274"/>
      <c r="D12" s="274"/>
      <c r="E12" s="274"/>
      <c r="F12" s="274"/>
      <c r="G12" s="274"/>
      <c r="H12" s="275"/>
      <c r="I12" s="276"/>
      <c r="J12" s="276"/>
      <c r="K12" s="276"/>
      <c r="L12" s="388"/>
      <c r="M12" s="388"/>
      <c r="N12" s="388"/>
      <c r="O12" s="274"/>
      <c r="P12" s="277"/>
      <c r="Q12" s="278"/>
    </row>
    <row r="13" spans="1:17" s="333" customFormat="1" ht="134.25" customHeight="1">
      <c r="A13" s="353" t="s">
        <v>408</v>
      </c>
      <c r="B13" s="356" t="s">
        <v>476</v>
      </c>
      <c r="C13" s="336" t="s">
        <v>232</v>
      </c>
      <c r="D13" s="337">
        <v>36383</v>
      </c>
      <c r="E13" s="337">
        <v>36383</v>
      </c>
      <c r="F13" s="336" t="s">
        <v>491</v>
      </c>
      <c r="G13" s="338"/>
      <c r="H13" s="338">
        <v>1225177</v>
      </c>
      <c r="I13" s="339">
        <v>0</v>
      </c>
      <c r="J13" s="339">
        <v>0</v>
      </c>
      <c r="K13" s="339">
        <f>SUM(G13:J13)</f>
        <v>1225177</v>
      </c>
      <c r="L13" s="375">
        <f>-1161792+K13</f>
        <v>63385</v>
      </c>
      <c r="M13" s="375"/>
      <c r="N13" s="375"/>
      <c r="O13" s="336">
        <v>0</v>
      </c>
      <c r="P13" s="390" t="s">
        <v>517</v>
      </c>
      <c r="Q13" s="332"/>
    </row>
    <row r="14" spans="1:17" s="333" customFormat="1" ht="48" customHeight="1">
      <c r="A14" s="353" t="s">
        <v>508</v>
      </c>
      <c r="B14" s="356" t="s">
        <v>509</v>
      </c>
      <c r="C14" s="336" t="s">
        <v>232</v>
      </c>
      <c r="D14" s="337"/>
      <c r="E14" s="337"/>
      <c r="F14" s="336"/>
      <c r="G14" s="338"/>
      <c r="H14" s="338">
        <v>1865140</v>
      </c>
      <c r="I14" s="339"/>
      <c r="J14" s="339"/>
      <c r="K14" s="339">
        <f>SUM(G14:J14)</f>
        <v>1865140</v>
      </c>
      <c r="L14" s="375">
        <v>1707436</v>
      </c>
      <c r="M14" s="375">
        <v>1865140</v>
      </c>
      <c r="N14" s="375"/>
      <c r="O14" s="336"/>
      <c r="P14" s="390" t="s">
        <v>510</v>
      </c>
      <c r="Q14" s="332"/>
    </row>
    <row r="15" spans="1:17" s="333" customFormat="1" ht="91.5" customHeight="1">
      <c r="A15" s="353" t="s">
        <v>512</v>
      </c>
      <c r="B15" s="356" t="s">
        <v>513</v>
      </c>
      <c r="C15" s="336" t="s">
        <v>232</v>
      </c>
      <c r="D15" s="337"/>
      <c r="E15" s="337"/>
      <c r="F15" s="336"/>
      <c r="G15" s="338"/>
      <c r="H15" s="338">
        <v>2415377</v>
      </c>
      <c r="I15" s="339"/>
      <c r="J15" s="339"/>
      <c r="K15" s="339">
        <f>SUM(G15:J15)</f>
        <v>2415377</v>
      </c>
      <c r="L15" s="375">
        <v>0</v>
      </c>
      <c r="M15" s="375">
        <v>2169159</v>
      </c>
      <c r="N15" s="375"/>
      <c r="O15" s="336"/>
      <c r="P15" s="390" t="s">
        <v>514</v>
      </c>
      <c r="Q15" s="332"/>
    </row>
    <row r="16" spans="1:17" s="333" customFormat="1" ht="44.25" customHeight="1">
      <c r="A16" s="353" t="s">
        <v>511</v>
      </c>
      <c r="B16" s="356" t="s">
        <v>515</v>
      </c>
      <c r="C16" s="336" t="s">
        <v>232</v>
      </c>
      <c r="D16" s="337"/>
      <c r="E16" s="337"/>
      <c r="F16" s="336"/>
      <c r="G16" s="338"/>
      <c r="H16" s="338">
        <v>1992155</v>
      </c>
      <c r="I16" s="339"/>
      <c r="J16" s="339"/>
      <c r="K16" s="339">
        <f>SUM(G16:J16)</f>
        <v>1992155</v>
      </c>
      <c r="L16" s="375">
        <v>1258397</v>
      </c>
      <c r="M16" s="375">
        <v>1992155</v>
      </c>
      <c r="N16" s="375"/>
      <c r="O16" s="336"/>
      <c r="P16" s="390" t="s">
        <v>516</v>
      </c>
      <c r="Q16" s="332"/>
    </row>
    <row r="17" spans="1:17" s="333" customFormat="1" ht="44.25" customHeight="1">
      <c r="A17" s="353" t="s">
        <v>562</v>
      </c>
      <c r="B17" s="356" t="s">
        <v>563</v>
      </c>
      <c r="C17" s="336"/>
      <c r="D17" s="337"/>
      <c r="E17" s="337"/>
      <c r="F17" s="336"/>
      <c r="G17" s="338"/>
      <c r="H17" s="338"/>
      <c r="I17" s="339"/>
      <c r="J17" s="339"/>
      <c r="K17" s="339"/>
      <c r="L17" s="375"/>
      <c r="M17" s="375">
        <v>292550</v>
      </c>
      <c r="N17" s="375"/>
      <c r="O17" s="336"/>
      <c r="P17" s="390"/>
      <c r="Q17" s="332"/>
    </row>
    <row r="18" spans="1:17" s="333" customFormat="1">
      <c r="A18" s="353" t="s">
        <v>410</v>
      </c>
      <c r="B18" s="356" t="s">
        <v>411</v>
      </c>
      <c r="C18" s="327" t="s">
        <v>232</v>
      </c>
      <c r="D18" s="328">
        <v>36383</v>
      </c>
      <c r="E18" s="328">
        <v>36383</v>
      </c>
      <c r="F18" s="327" t="s">
        <v>412</v>
      </c>
      <c r="G18" s="329"/>
      <c r="H18" s="329">
        <v>0</v>
      </c>
      <c r="I18" s="330">
        <v>0</v>
      </c>
      <c r="J18" s="330">
        <v>0</v>
      </c>
      <c r="K18" s="330">
        <f t="shared" ref="K18:K41" si="0">SUM(G18:J18)</f>
        <v>0</v>
      </c>
      <c r="L18" s="374"/>
      <c r="M18" s="374"/>
      <c r="N18" s="374"/>
      <c r="O18" s="327">
        <v>0</v>
      </c>
      <c r="P18" s="331" t="s">
        <v>413</v>
      </c>
      <c r="Q18" s="332"/>
    </row>
    <row r="19" spans="1:17" s="333" customFormat="1" ht="51.75" customHeight="1">
      <c r="A19" s="353" t="s">
        <v>414</v>
      </c>
      <c r="B19" s="356" t="s">
        <v>483</v>
      </c>
      <c r="C19" s="336" t="s">
        <v>232</v>
      </c>
      <c r="D19" s="337">
        <v>36383</v>
      </c>
      <c r="E19" s="337"/>
      <c r="F19" s="336" t="s">
        <v>415</v>
      </c>
      <c r="G19" s="338"/>
      <c r="H19" s="338">
        <v>714015</v>
      </c>
      <c r="I19" s="339">
        <v>0</v>
      </c>
      <c r="J19" s="339">
        <v>0</v>
      </c>
      <c r="K19" s="339">
        <f t="shared" si="0"/>
        <v>714015</v>
      </c>
      <c r="L19" s="375">
        <v>381799</v>
      </c>
      <c r="M19" s="375">
        <v>443820</v>
      </c>
      <c r="N19" s="375">
        <f>-256057+698977</f>
        <v>442920</v>
      </c>
      <c r="O19" s="336">
        <v>0</v>
      </c>
      <c r="P19" s="340" t="s">
        <v>416</v>
      </c>
      <c r="Q19" s="332"/>
    </row>
    <row r="20" spans="1:17" s="401" customFormat="1" ht="102.75" customHeight="1">
      <c r="A20" s="391" t="s">
        <v>482</v>
      </c>
      <c r="B20" s="392" t="s">
        <v>484</v>
      </c>
      <c r="C20" s="393" t="s">
        <v>232</v>
      </c>
      <c r="D20" s="394">
        <v>36383</v>
      </c>
      <c r="E20" s="394"/>
      <c r="F20" s="395" t="s">
        <v>415</v>
      </c>
      <c r="G20" s="396"/>
      <c r="H20" s="396">
        <v>3249323</v>
      </c>
      <c r="I20" s="397">
        <v>0</v>
      </c>
      <c r="J20" s="397">
        <v>0</v>
      </c>
      <c r="K20" s="397">
        <f t="shared" si="0"/>
        <v>3249323</v>
      </c>
      <c r="L20" s="398">
        <v>2125513</v>
      </c>
      <c r="M20" s="398">
        <v>2474029</v>
      </c>
      <c r="N20" s="398">
        <f>3184986-1260263</f>
        <v>1924723</v>
      </c>
      <c r="O20" s="395">
        <v>0</v>
      </c>
      <c r="P20" s="399" t="s">
        <v>417</v>
      </c>
      <c r="Q20" s="400"/>
    </row>
    <row r="21" spans="1:17" s="412" customFormat="1" ht="31.5" customHeight="1">
      <c r="A21" s="402"/>
      <c r="B21" s="403" t="s">
        <v>474</v>
      </c>
      <c r="C21" s="404" t="s">
        <v>232</v>
      </c>
      <c r="D21" s="405">
        <v>36383</v>
      </c>
      <c r="E21" s="405"/>
      <c r="F21" s="406" t="s">
        <v>415</v>
      </c>
      <c r="G21" s="407"/>
      <c r="H21" s="407">
        <v>560292</v>
      </c>
      <c r="I21" s="408">
        <v>0</v>
      </c>
      <c r="J21" s="408">
        <v>0</v>
      </c>
      <c r="K21" s="408">
        <f t="shared" si="0"/>
        <v>560292</v>
      </c>
      <c r="L21" s="409">
        <v>0</v>
      </c>
      <c r="M21" s="409"/>
      <c r="N21" s="409"/>
      <c r="O21" s="406">
        <v>0</v>
      </c>
      <c r="P21" s="410" t="s">
        <v>417</v>
      </c>
      <c r="Q21" s="411"/>
    </row>
    <row r="22" spans="1:17" s="333" customFormat="1" ht="109.2">
      <c r="A22" s="353" t="s">
        <v>418</v>
      </c>
      <c r="B22" s="356" t="s">
        <v>475</v>
      </c>
      <c r="C22" s="346" t="s">
        <v>232</v>
      </c>
      <c r="D22" s="347">
        <v>36383</v>
      </c>
      <c r="E22" s="347">
        <v>36454</v>
      </c>
      <c r="F22" s="346" t="s">
        <v>412</v>
      </c>
      <c r="G22" s="348"/>
      <c r="H22" s="348">
        <v>796634</v>
      </c>
      <c r="I22" s="349">
        <v>0</v>
      </c>
      <c r="J22" s="349">
        <v>0</v>
      </c>
      <c r="K22" s="349">
        <f t="shared" si="0"/>
        <v>796634</v>
      </c>
      <c r="L22" s="389">
        <f>K22-28680-15617</f>
        <v>752337</v>
      </c>
      <c r="M22" s="389">
        <v>687700</v>
      </c>
      <c r="N22" s="389"/>
      <c r="O22" s="346">
        <v>0</v>
      </c>
      <c r="P22" s="350"/>
      <c r="Q22" s="332"/>
    </row>
    <row r="23" spans="1:17" s="333" customFormat="1" ht="78">
      <c r="A23" s="353" t="s">
        <v>419</v>
      </c>
      <c r="B23" s="356" t="s">
        <v>489</v>
      </c>
      <c r="C23" s="336" t="s">
        <v>232</v>
      </c>
      <c r="D23" s="337">
        <v>36383</v>
      </c>
      <c r="E23" s="337">
        <v>36454</v>
      </c>
      <c r="F23" s="336" t="s">
        <v>412</v>
      </c>
      <c r="G23" s="338"/>
      <c r="H23" s="338">
        <v>156452</v>
      </c>
      <c r="I23" s="339">
        <v>0</v>
      </c>
      <c r="J23" s="339">
        <v>0</v>
      </c>
      <c r="K23" s="339">
        <f t="shared" si="0"/>
        <v>156452</v>
      </c>
      <c r="L23" s="375">
        <v>156452</v>
      </c>
      <c r="M23" s="375">
        <v>156675</v>
      </c>
      <c r="N23" s="375"/>
      <c r="O23" s="336">
        <v>0</v>
      </c>
      <c r="P23" s="340"/>
      <c r="Q23" s="332"/>
    </row>
    <row r="24" spans="1:17" s="333" customFormat="1">
      <c r="A24" s="354" t="s">
        <v>420</v>
      </c>
      <c r="B24" s="356" t="s">
        <v>421</v>
      </c>
      <c r="C24" s="327" t="s">
        <v>232</v>
      </c>
      <c r="D24" s="328">
        <v>36383</v>
      </c>
      <c r="E24" s="328">
        <v>36383</v>
      </c>
      <c r="F24" s="327" t="s">
        <v>412</v>
      </c>
      <c r="G24" s="329"/>
      <c r="H24" s="329">
        <v>0</v>
      </c>
      <c r="I24" s="330">
        <v>0</v>
      </c>
      <c r="J24" s="330">
        <v>0</v>
      </c>
      <c r="K24" s="363">
        <f t="shared" si="0"/>
        <v>0</v>
      </c>
      <c r="L24" s="374"/>
      <c r="M24" s="374">
        <v>0</v>
      </c>
      <c r="N24" s="374"/>
      <c r="O24" s="327">
        <v>0</v>
      </c>
      <c r="P24" s="331" t="s">
        <v>413</v>
      </c>
      <c r="Q24" s="332"/>
    </row>
    <row r="25" spans="1:17" s="333" customFormat="1" ht="78">
      <c r="A25" s="353" t="s">
        <v>422</v>
      </c>
      <c r="B25" s="356" t="s">
        <v>485</v>
      </c>
      <c r="C25" s="336" t="s">
        <v>232</v>
      </c>
      <c r="D25" s="337">
        <v>36383</v>
      </c>
      <c r="E25" s="337">
        <v>36454</v>
      </c>
      <c r="F25" s="336" t="s">
        <v>412</v>
      </c>
      <c r="G25" s="338"/>
      <c r="H25" s="338">
        <v>496034</v>
      </c>
      <c r="I25" s="339">
        <v>0</v>
      </c>
      <c r="J25" s="339">
        <v>0</v>
      </c>
      <c r="K25" s="364">
        <f t="shared" si="0"/>
        <v>496034</v>
      </c>
      <c r="L25" s="375">
        <v>486308</v>
      </c>
      <c r="M25" s="375">
        <v>486424</v>
      </c>
      <c r="N25" s="375"/>
      <c r="O25" s="336">
        <v>0</v>
      </c>
      <c r="P25" s="340"/>
      <c r="Q25" s="332"/>
    </row>
    <row r="26" spans="1:17" s="333" customFormat="1" ht="46.8">
      <c r="A26" s="353" t="s">
        <v>423</v>
      </c>
      <c r="B26" s="356" t="s">
        <v>477</v>
      </c>
      <c r="C26" s="336" t="s">
        <v>232</v>
      </c>
      <c r="D26" s="337">
        <v>36383</v>
      </c>
      <c r="E26" s="337">
        <v>36454</v>
      </c>
      <c r="F26" s="336" t="s">
        <v>412</v>
      </c>
      <c r="G26" s="338"/>
      <c r="H26" s="338">
        <v>38207</v>
      </c>
      <c r="I26" s="339">
        <v>0</v>
      </c>
      <c r="J26" s="339">
        <v>0</v>
      </c>
      <c r="K26" s="364">
        <f t="shared" si="0"/>
        <v>38207</v>
      </c>
      <c r="L26" s="375">
        <f>K26-78-525-749</f>
        <v>36855</v>
      </c>
      <c r="M26" s="375">
        <v>37261</v>
      </c>
      <c r="N26" s="375"/>
      <c r="O26" s="336">
        <v>0</v>
      </c>
      <c r="P26" s="340"/>
      <c r="Q26" s="332"/>
    </row>
    <row r="27" spans="1:17" s="333" customFormat="1" ht="62.4">
      <c r="A27" s="353" t="s">
        <v>424</v>
      </c>
      <c r="B27" s="356" t="s">
        <v>478</v>
      </c>
      <c r="C27" s="336" t="s">
        <v>232</v>
      </c>
      <c r="D27" s="337">
        <v>36383</v>
      </c>
      <c r="E27" s="337">
        <v>36454</v>
      </c>
      <c r="F27" s="336" t="s">
        <v>412</v>
      </c>
      <c r="G27" s="338"/>
      <c r="H27" s="338">
        <v>67746</v>
      </c>
      <c r="I27" s="339">
        <v>0</v>
      </c>
      <c r="J27" s="339">
        <v>0</v>
      </c>
      <c r="K27" s="364">
        <f t="shared" si="0"/>
        <v>67746</v>
      </c>
      <c r="L27" s="375">
        <f>K27-650-4125-1328</f>
        <v>61643</v>
      </c>
      <c r="M27" s="375">
        <v>64450</v>
      </c>
      <c r="N27" s="375"/>
      <c r="O27" s="336">
        <v>0</v>
      </c>
      <c r="P27" s="340"/>
      <c r="Q27" s="332"/>
    </row>
    <row r="28" spans="1:17">
      <c r="A28" s="355"/>
      <c r="B28" s="357"/>
      <c r="C28" s="280"/>
      <c r="D28" s="281"/>
      <c r="E28" s="281"/>
      <c r="F28" s="280"/>
      <c r="G28" s="282"/>
      <c r="H28" s="282"/>
      <c r="I28" s="283"/>
      <c r="J28" s="283"/>
      <c r="K28" s="365"/>
      <c r="L28" s="376"/>
      <c r="M28" s="376"/>
      <c r="N28" s="376"/>
      <c r="O28" s="280"/>
      <c r="P28" s="284"/>
      <c r="Q28" s="285"/>
    </row>
    <row r="29" spans="1:17" s="333" customFormat="1">
      <c r="A29" s="354" t="s">
        <v>425</v>
      </c>
      <c r="B29" s="356" t="s">
        <v>479</v>
      </c>
      <c r="C29" s="327" t="s">
        <v>238</v>
      </c>
      <c r="D29" s="328">
        <v>36458</v>
      </c>
      <c r="E29" s="328">
        <v>36458</v>
      </c>
      <c r="F29" s="327" t="s">
        <v>409</v>
      </c>
      <c r="G29" s="329"/>
      <c r="H29" s="329">
        <v>0</v>
      </c>
      <c r="I29" s="330">
        <v>5000</v>
      </c>
      <c r="J29" s="330">
        <v>0</v>
      </c>
      <c r="K29" s="363">
        <f t="shared" si="0"/>
        <v>5000</v>
      </c>
      <c r="L29" s="374">
        <v>5000</v>
      </c>
      <c r="M29" s="374">
        <v>5000</v>
      </c>
      <c r="N29" s="374"/>
      <c r="O29" s="327">
        <v>0</v>
      </c>
      <c r="P29" s="331"/>
      <c r="Q29" s="332"/>
    </row>
    <row r="30" spans="1:17" ht="18">
      <c r="A30" s="279"/>
      <c r="B30" s="295" t="s">
        <v>432</v>
      </c>
      <c r="C30" s="280"/>
      <c r="D30" s="280"/>
      <c r="E30" s="280"/>
      <c r="F30" s="280" t="s">
        <v>409</v>
      </c>
      <c r="G30" s="296"/>
      <c r="H30" s="361">
        <f t="shared" ref="H30:M30" si="1">SUM(H13:H29)</f>
        <v>13576552</v>
      </c>
      <c r="I30" s="361">
        <f t="shared" si="1"/>
        <v>5000</v>
      </c>
      <c r="J30" s="361">
        <f t="shared" si="1"/>
        <v>0</v>
      </c>
      <c r="K30" s="361">
        <f t="shared" si="1"/>
        <v>13581552</v>
      </c>
      <c r="L30" s="423">
        <f t="shared" si="1"/>
        <v>7035125</v>
      </c>
      <c r="M30" s="423">
        <f t="shared" si="1"/>
        <v>10674363</v>
      </c>
      <c r="N30" s="423"/>
      <c r="O30" s="280"/>
      <c r="P30" s="284"/>
      <c r="Q30" s="285"/>
    </row>
    <row r="31" spans="1:17">
      <c r="A31" s="279"/>
      <c r="B31" s="295" t="s">
        <v>433</v>
      </c>
      <c r="C31" s="280"/>
      <c r="D31" s="280"/>
      <c r="E31" s="280"/>
      <c r="F31" s="280" t="s">
        <v>412</v>
      </c>
      <c r="G31" s="296"/>
      <c r="H31" s="296">
        <v>0</v>
      </c>
      <c r="I31" s="296">
        <v>0</v>
      </c>
      <c r="J31" s="296">
        <v>0</v>
      </c>
      <c r="K31" s="361">
        <v>0</v>
      </c>
      <c r="L31" s="378"/>
      <c r="M31" s="378"/>
      <c r="N31" s="378"/>
      <c r="O31" s="280"/>
      <c r="P31" s="284"/>
      <c r="Q31" s="285"/>
    </row>
    <row r="32" spans="1:17">
      <c r="A32" s="279"/>
      <c r="B32" s="295" t="s">
        <v>434</v>
      </c>
      <c r="C32" s="280"/>
      <c r="D32" s="280"/>
      <c r="E32" s="280"/>
      <c r="F32" s="280" t="s">
        <v>415</v>
      </c>
      <c r="G32" s="296"/>
      <c r="H32" s="296">
        <v>0</v>
      </c>
      <c r="I32" s="296">
        <v>0</v>
      </c>
      <c r="J32" s="296">
        <v>0</v>
      </c>
      <c r="K32" s="361">
        <v>0</v>
      </c>
      <c r="L32" s="378"/>
      <c r="M32" s="378"/>
      <c r="N32" s="378"/>
      <c r="O32" s="280"/>
      <c r="P32" s="284"/>
      <c r="Q32" s="285"/>
    </row>
    <row r="33" spans="1:17">
      <c r="A33" s="279"/>
      <c r="B33" s="295" t="s">
        <v>435</v>
      </c>
      <c r="C33" s="280"/>
      <c r="D33" s="280"/>
      <c r="E33" s="280"/>
      <c r="F33" s="280" t="s">
        <v>436</v>
      </c>
      <c r="G33" s="296"/>
      <c r="H33" s="296">
        <v>0</v>
      </c>
      <c r="I33" s="296">
        <v>0</v>
      </c>
      <c r="J33" s="296">
        <v>0</v>
      </c>
      <c r="K33" s="361">
        <v>0</v>
      </c>
      <c r="L33" s="378"/>
      <c r="M33" s="378"/>
      <c r="N33" s="378"/>
      <c r="O33" s="280"/>
      <c r="P33" s="284"/>
      <c r="Q33" s="285"/>
    </row>
    <row r="34" spans="1:17" ht="16.2" thickBot="1">
      <c r="A34" s="297"/>
      <c r="B34" s="298"/>
      <c r="C34" s="299"/>
      <c r="D34" s="299"/>
      <c r="E34" s="299"/>
      <c r="F34" s="300"/>
      <c r="G34" s="301"/>
      <c r="H34" s="301"/>
      <c r="I34" s="301"/>
      <c r="J34" s="301"/>
      <c r="K34" s="362"/>
      <c r="L34" s="379"/>
      <c r="M34" s="379"/>
      <c r="N34" s="379"/>
      <c r="O34" s="299"/>
      <c r="P34" s="302"/>
      <c r="Q34" s="303"/>
    </row>
    <row r="35" spans="1:17">
      <c r="A35" s="279"/>
      <c r="B35" s="295"/>
      <c r="C35" s="280"/>
      <c r="D35" s="280"/>
      <c r="E35" s="280"/>
      <c r="F35" s="422"/>
      <c r="G35" s="296"/>
      <c r="H35" s="296"/>
      <c r="I35" s="296"/>
      <c r="J35" s="296"/>
      <c r="K35" s="361"/>
      <c r="L35" s="378"/>
      <c r="M35" s="378"/>
      <c r="N35" s="378"/>
      <c r="O35" s="280"/>
      <c r="P35" s="284"/>
      <c r="Q35" s="285"/>
    </row>
    <row r="36" spans="1:17">
      <c r="A36" s="279"/>
      <c r="B36" s="295"/>
      <c r="C36" s="280"/>
      <c r="D36" s="280"/>
      <c r="E36" s="280"/>
      <c r="F36" s="422"/>
      <c r="G36" s="296"/>
      <c r="H36" s="296"/>
      <c r="I36" s="296"/>
      <c r="J36" s="296"/>
      <c r="K36" s="361"/>
      <c r="L36" s="378"/>
      <c r="M36" s="378"/>
      <c r="N36" s="378"/>
      <c r="O36" s="280"/>
      <c r="P36" s="284"/>
      <c r="Q36" s="285"/>
    </row>
    <row r="37" spans="1:17" s="33" customFormat="1">
      <c r="A37" s="355"/>
      <c r="B37" s="421" t="s">
        <v>518</v>
      </c>
      <c r="C37" s="413"/>
      <c r="D37" s="414"/>
      <c r="E37" s="414"/>
      <c r="F37" s="413"/>
      <c r="G37" s="415"/>
      <c r="H37" s="415"/>
      <c r="I37" s="416"/>
      <c r="J37" s="416"/>
      <c r="K37" s="417"/>
      <c r="L37" s="418"/>
      <c r="M37" s="418"/>
      <c r="N37" s="418"/>
      <c r="O37" s="413"/>
      <c r="P37" s="419"/>
      <c r="Q37" s="420"/>
    </row>
    <row r="38" spans="1:17" s="333" customFormat="1">
      <c r="A38" s="354" t="s">
        <v>426</v>
      </c>
      <c r="B38" s="356" t="s">
        <v>427</v>
      </c>
      <c r="C38" s="327" t="s">
        <v>428</v>
      </c>
      <c r="D38" s="328">
        <v>36210</v>
      </c>
      <c r="E38" s="328">
        <v>36210</v>
      </c>
      <c r="F38" s="327" t="s">
        <v>409</v>
      </c>
      <c r="G38" s="329">
        <v>480000</v>
      </c>
      <c r="H38" s="329">
        <v>0</v>
      </c>
      <c r="I38" s="330">
        <v>0</v>
      </c>
      <c r="J38" s="330">
        <v>0</v>
      </c>
      <c r="K38" s="363">
        <f t="shared" si="0"/>
        <v>480000</v>
      </c>
      <c r="L38" s="374">
        <v>480000</v>
      </c>
      <c r="M38" s="374"/>
      <c r="N38" s="374"/>
      <c r="O38" s="327">
        <v>0</v>
      </c>
      <c r="P38" s="331"/>
      <c r="Q38" s="332"/>
    </row>
    <row r="39" spans="1:17" s="333" customFormat="1" ht="46.8">
      <c r="A39" s="353" t="s">
        <v>429</v>
      </c>
      <c r="B39" s="356" t="s">
        <v>480</v>
      </c>
      <c r="C39" s="336" t="s">
        <v>428</v>
      </c>
      <c r="D39" s="337">
        <v>36416</v>
      </c>
      <c r="E39" s="337">
        <v>36416</v>
      </c>
      <c r="F39" s="336" t="s">
        <v>409</v>
      </c>
      <c r="G39" s="338">
        <v>1832000</v>
      </c>
      <c r="H39" s="338">
        <v>0</v>
      </c>
      <c r="I39" s="339">
        <v>0</v>
      </c>
      <c r="J39" s="339">
        <v>0</v>
      </c>
      <c r="K39" s="364">
        <f t="shared" si="0"/>
        <v>1832000</v>
      </c>
      <c r="L39" s="375">
        <v>1832000</v>
      </c>
      <c r="M39" s="375"/>
      <c r="N39" s="375"/>
      <c r="O39" s="336">
        <v>0</v>
      </c>
      <c r="P39" s="340"/>
      <c r="Q39" s="332"/>
    </row>
    <row r="40" spans="1:17">
      <c r="A40" s="355"/>
      <c r="B40" s="357"/>
      <c r="C40" s="280"/>
      <c r="D40" s="281"/>
      <c r="E40" s="281"/>
      <c r="F40" s="280"/>
      <c r="G40" s="282"/>
      <c r="H40" s="282"/>
      <c r="I40" s="283"/>
      <c r="J40" s="283"/>
      <c r="K40" s="365"/>
      <c r="L40" s="376"/>
      <c r="M40" s="376"/>
      <c r="N40" s="376"/>
      <c r="O40" s="280"/>
      <c r="P40" s="284"/>
      <c r="Q40" s="285"/>
    </row>
    <row r="41" spans="1:17" s="333" customFormat="1">
      <c r="A41" s="354" t="s">
        <v>430</v>
      </c>
      <c r="B41" s="356" t="s">
        <v>431</v>
      </c>
      <c r="C41" s="327" t="s">
        <v>428</v>
      </c>
      <c r="D41" s="328">
        <v>36413</v>
      </c>
      <c r="E41" s="328">
        <v>36413</v>
      </c>
      <c r="F41" s="327" t="s">
        <v>409</v>
      </c>
      <c r="G41" s="329">
        <v>9479079</v>
      </c>
      <c r="H41" s="329">
        <v>0</v>
      </c>
      <c r="I41" s="330">
        <v>0</v>
      </c>
      <c r="J41" s="330">
        <v>0</v>
      </c>
      <c r="K41" s="363">
        <f t="shared" si="0"/>
        <v>9479079</v>
      </c>
      <c r="L41" s="374">
        <v>9479079</v>
      </c>
      <c r="M41" s="374"/>
      <c r="N41" s="374"/>
      <c r="O41" s="327">
        <v>0</v>
      </c>
      <c r="P41" s="331"/>
      <c r="Q41" s="332"/>
    </row>
    <row r="42" spans="1:17">
      <c r="A42" s="286"/>
      <c r="B42" s="326"/>
      <c r="C42" s="280"/>
      <c r="D42" s="281"/>
      <c r="E42" s="281"/>
      <c r="F42" s="280"/>
      <c r="G42" s="282"/>
      <c r="H42" s="282"/>
      <c r="I42" s="283"/>
      <c r="J42" s="283"/>
      <c r="K42" s="365"/>
      <c r="L42" s="376"/>
      <c r="M42" s="376"/>
      <c r="N42" s="376"/>
      <c r="O42" s="280"/>
      <c r="P42" s="284"/>
      <c r="Q42" s="285"/>
    </row>
    <row r="43" spans="1:17" ht="4.5" customHeight="1">
      <c r="A43" s="288"/>
      <c r="B43" s="325"/>
      <c r="C43" s="290"/>
      <c r="D43" s="290"/>
      <c r="E43" s="290"/>
      <c r="F43" s="290"/>
      <c r="G43" s="291"/>
      <c r="H43" s="291"/>
      <c r="I43" s="292"/>
      <c r="J43" s="292"/>
      <c r="K43" s="366"/>
      <c r="L43" s="377"/>
      <c r="M43" s="377"/>
      <c r="N43" s="377"/>
      <c r="O43" s="290"/>
      <c r="P43" s="293"/>
      <c r="Q43" s="294"/>
    </row>
    <row r="44" spans="1:17" ht="4.5" customHeight="1">
      <c r="A44" s="279"/>
      <c r="B44" s="295"/>
      <c r="C44" s="280"/>
      <c r="D44" s="280"/>
      <c r="E44" s="280"/>
      <c r="F44" s="280"/>
      <c r="G44" s="280"/>
      <c r="H44" s="296"/>
      <c r="I44" s="296"/>
      <c r="J44" s="296"/>
      <c r="K44" s="361"/>
      <c r="L44" s="378"/>
      <c r="M44" s="378"/>
      <c r="N44" s="378"/>
      <c r="O44" s="280"/>
      <c r="P44" s="284"/>
      <c r="Q44" s="285"/>
    </row>
    <row r="45" spans="1:17" ht="13.8">
      <c r="A45" s="279"/>
      <c r="B45" s="295" t="s">
        <v>432</v>
      </c>
      <c r="C45" s="280"/>
      <c r="D45" s="280"/>
      <c r="E45" s="280"/>
      <c r="F45" s="280" t="s">
        <v>409</v>
      </c>
      <c r="G45" s="296">
        <f t="shared" ref="G45:L45" si="2">SUM(G38:G41)</f>
        <v>11791079</v>
      </c>
      <c r="H45" s="296">
        <f t="shared" si="2"/>
        <v>0</v>
      </c>
      <c r="I45" s="296">
        <f t="shared" si="2"/>
        <v>0</v>
      </c>
      <c r="J45" s="296">
        <f t="shared" si="2"/>
        <v>0</v>
      </c>
      <c r="K45" s="296">
        <f t="shared" si="2"/>
        <v>11791079</v>
      </c>
      <c r="L45" s="424">
        <f t="shared" si="2"/>
        <v>11791079</v>
      </c>
      <c r="M45" s="424"/>
      <c r="N45" s="424"/>
      <c r="O45" s="280"/>
      <c r="P45" s="284"/>
      <c r="Q45" s="285"/>
    </row>
    <row r="46" spans="1:17">
      <c r="A46" s="279"/>
      <c r="B46" s="295" t="s">
        <v>433</v>
      </c>
      <c r="C46" s="280"/>
      <c r="D46" s="280"/>
      <c r="E46" s="280"/>
      <c r="F46" s="280" t="s">
        <v>412</v>
      </c>
      <c r="G46" s="296">
        <f t="shared" ref="G46:K48" si="3">SUMIF($F$12:$F$43,$F46,G$12:G$43)</f>
        <v>0</v>
      </c>
      <c r="H46" s="296">
        <v>0</v>
      </c>
      <c r="I46" s="296">
        <f t="shared" si="3"/>
        <v>0</v>
      </c>
      <c r="J46" s="296">
        <f t="shared" si="3"/>
        <v>0</v>
      </c>
      <c r="K46" s="361">
        <v>0</v>
      </c>
      <c r="L46" s="378"/>
      <c r="M46" s="378"/>
      <c r="N46" s="378"/>
      <c r="O46" s="280"/>
      <c r="P46" s="284"/>
      <c r="Q46" s="285"/>
    </row>
    <row r="47" spans="1:17">
      <c r="A47" s="279"/>
      <c r="B47" s="295" t="s">
        <v>434</v>
      </c>
      <c r="C47" s="280"/>
      <c r="D47" s="280"/>
      <c r="E47" s="280"/>
      <c r="F47" s="280" t="s">
        <v>415</v>
      </c>
      <c r="G47" s="296">
        <f t="shared" si="3"/>
        <v>0</v>
      </c>
      <c r="H47" s="296">
        <v>0</v>
      </c>
      <c r="I47" s="296">
        <f t="shared" si="3"/>
        <v>0</v>
      </c>
      <c r="J47" s="296">
        <f t="shared" si="3"/>
        <v>0</v>
      </c>
      <c r="K47" s="361">
        <v>0</v>
      </c>
      <c r="L47" s="378"/>
      <c r="M47" s="378"/>
      <c r="N47" s="378"/>
      <c r="O47" s="280"/>
      <c r="P47" s="284"/>
      <c r="Q47" s="285"/>
    </row>
    <row r="48" spans="1:17">
      <c r="A48" s="279"/>
      <c r="B48" s="295" t="s">
        <v>435</v>
      </c>
      <c r="C48" s="280"/>
      <c r="D48" s="280"/>
      <c r="E48" s="280"/>
      <c r="F48" s="280" t="s">
        <v>436</v>
      </c>
      <c r="G48" s="296">
        <f t="shared" si="3"/>
        <v>0</v>
      </c>
      <c r="H48" s="296">
        <f t="shared" si="3"/>
        <v>0</v>
      </c>
      <c r="I48" s="296">
        <f t="shared" si="3"/>
        <v>0</v>
      </c>
      <c r="J48" s="296">
        <f t="shared" si="3"/>
        <v>0</v>
      </c>
      <c r="K48" s="361">
        <f t="shared" si="3"/>
        <v>0</v>
      </c>
      <c r="L48" s="378"/>
      <c r="M48" s="378"/>
      <c r="N48" s="378"/>
      <c r="O48" s="280"/>
      <c r="P48" s="284"/>
      <c r="Q48" s="285"/>
    </row>
    <row r="49" spans="2:14" ht="13.2">
      <c r="L49"/>
      <c r="M49"/>
      <c r="N49"/>
    </row>
    <row r="50" spans="2:14">
      <c r="K50" s="367"/>
    </row>
    <row r="51" spans="2:14">
      <c r="B51" s="24" t="s">
        <v>519</v>
      </c>
      <c r="K51" s="367"/>
    </row>
    <row r="52" spans="2:14">
      <c r="K52" s="426">
        <f>K45+K30</f>
        <v>25372631</v>
      </c>
      <c r="L52" s="425">
        <f>L45+L30</f>
        <v>18826204</v>
      </c>
      <c r="M52" s="425"/>
      <c r="N52" s="425"/>
    </row>
  </sheetData>
  <mergeCells count="13">
    <mergeCell ref="E7:E9"/>
    <mergeCell ref="F7:F9"/>
    <mergeCell ref="G7:G9"/>
    <mergeCell ref="P7:P9"/>
    <mergeCell ref="I7:I9"/>
    <mergeCell ref="J7:J9"/>
    <mergeCell ref="K7:K9"/>
    <mergeCell ref="A7:A9"/>
    <mergeCell ref="O7:O9"/>
    <mergeCell ref="B7:B9"/>
    <mergeCell ref="H7:H9"/>
    <mergeCell ref="C7:C9"/>
    <mergeCell ref="D7:D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N45"/>
  <sheetViews>
    <sheetView showGridLines="0" zoomScale="75" zoomScaleNormal="75" zoomScaleSheetLayoutView="75" workbookViewId="0">
      <pane xSplit="1" ySplit="9" topLeftCell="B10" activePane="bottomRight" state="frozen"/>
      <selection activeCell="A9" sqref="A9"/>
      <selection pane="topRight" activeCell="A9" sqref="A9"/>
      <selection pane="bottomLeft" activeCell="A9" sqref="A9"/>
      <selection pane="bottomRight" activeCell="A9" sqref="A9"/>
    </sheetView>
  </sheetViews>
  <sheetFormatPr defaultRowHeight="13.2"/>
  <cols>
    <col min="1" max="1" width="13"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4.3320312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6"/>
      <c r="I1" s="256"/>
      <c r="J1" s="256"/>
      <c r="K1" s="256"/>
      <c r="L1" s="49"/>
      <c r="M1" s="49"/>
    </row>
    <row r="2" spans="1:14" ht="11.25" customHeight="1">
      <c r="N2" s="257"/>
    </row>
    <row r="3" spans="1:14" ht="40.5" customHeight="1">
      <c r="A3" s="258"/>
      <c r="B3" s="258" t="s">
        <v>391</v>
      </c>
      <c r="G3" s="351" t="s">
        <v>383</v>
      </c>
      <c r="N3" s="257"/>
    </row>
    <row r="4" spans="1:14" ht="24.6">
      <c r="A4" s="259"/>
      <c r="B4" s="259" t="s">
        <v>392</v>
      </c>
      <c r="C4" s="257"/>
      <c r="D4" s="257"/>
      <c r="E4" s="257"/>
      <c r="F4" s="257"/>
      <c r="G4" s="257"/>
      <c r="H4" s="260"/>
      <c r="I4" s="260"/>
      <c r="J4" s="260"/>
      <c r="K4" s="260"/>
      <c r="L4" s="257"/>
      <c r="M4" s="257"/>
      <c r="N4" s="257"/>
    </row>
    <row r="5" spans="1:14" ht="21">
      <c r="A5" s="261"/>
      <c r="B5" s="261" t="s">
        <v>393</v>
      </c>
      <c r="C5" s="257"/>
      <c r="D5" s="257"/>
      <c r="E5" s="257"/>
      <c r="F5" s="257"/>
      <c r="G5" s="257"/>
      <c r="H5" s="260"/>
      <c r="I5" s="260"/>
      <c r="J5" s="260"/>
      <c r="K5" s="260"/>
      <c r="L5" s="257"/>
      <c r="M5" s="257"/>
      <c r="N5" s="257"/>
    </row>
    <row r="6" spans="1:14" ht="6.75" customHeight="1" thickBot="1">
      <c r="C6" s="49"/>
      <c r="H6" s="256"/>
      <c r="I6" s="256"/>
      <c r="J6" s="256"/>
      <c r="K6" s="256"/>
      <c r="L6" s="49"/>
      <c r="M6" s="49"/>
    </row>
    <row r="7" spans="1:14" ht="25.5" customHeight="1">
      <c r="A7" s="448" t="s">
        <v>394</v>
      </c>
      <c r="B7" s="451" t="s">
        <v>395</v>
      </c>
      <c r="C7" s="451" t="s">
        <v>396</v>
      </c>
      <c r="D7" s="451" t="s">
        <v>397</v>
      </c>
      <c r="E7" s="451" t="s">
        <v>398</v>
      </c>
      <c r="F7" s="451" t="s">
        <v>399</v>
      </c>
      <c r="G7" s="445" t="s">
        <v>400</v>
      </c>
      <c r="H7" s="445" t="s">
        <v>401</v>
      </c>
      <c r="I7" s="445" t="s">
        <v>402</v>
      </c>
      <c r="J7" s="445" t="s">
        <v>403</v>
      </c>
      <c r="K7" s="445" t="s">
        <v>404</v>
      </c>
      <c r="L7" s="451" t="s">
        <v>405</v>
      </c>
      <c r="M7" s="442" t="s">
        <v>406</v>
      </c>
      <c r="N7" s="262"/>
    </row>
    <row r="8" spans="1:14" ht="13.8">
      <c r="A8" s="449"/>
      <c r="B8" s="452"/>
      <c r="C8" s="452"/>
      <c r="D8" s="452"/>
      <c r="E8" s="452"/>
      <c r="F8" s="452"/>
      <c r="G8" s="446"/>
      <c r="H8" s="446"/>
      <c r="I8" s="446"/>
      <c r="J8" s="446"/>
      <c r="K8" s="446"/>
      <c r="L8" s="452"/>
      <c r="M8" s="443"/>
      <c r="N8" s="263"/>
    </row>
    <row r="9" spans="1:14" ht="14.4" thickBot="1">
      <c r="A9" s="450"/>
      <c r="B9" s="453"/>
      <c r="C9" s="453"/>
      <c r="D9" s="453"/>
      <c r="E9" s="453"/>
      <c r="F9" s="453"/>
      <c r="G9" s="447"/>
      <c r="H9" s="447"/>
      <c r="I9" s="447"/>
      <c r="J9" s="447"/>
      <c r="K9" s="447"/>
      <c r="L9" s="453"/>
      <c r="M9" s="444"/>
      <c r="N9" s="264"/>
    </row>
    <row r="10" spans="1:14" ht="14.4" thickBot="1">
      <c r="A10" s="265"/>
      <c r="B10" s="266"/>
      <c r="C10" s="266"/>
      <c r="D10" s="266"/>
      <c r="E10" s="266"/>
      <c r="F10" s="266"/>
      <c r="G10" s="266"/>
      <c r="H10" s="265"/>
      <c r="I10" s="265"/>
      <c r="J10" s="265"/>
      <c r="K10" s="265"/>
      <c r="L10" s="266"/>
      <c r="M10" s="266"/>
      <c r="N10" s="267"/>
    </row>
    <row r="11" spans="1:14" s="30" customFormat="1" ht="18.75" customHeight="1" thickBot="1">
      <c r="A11" s="268" t="s">
        <v>439</v>
      </c>
      <c r="B11" s="269"/>
      <c r="C11" s="270"/>
      <c r="D11" s="270"/>
      <c r="E11" s="270"/>
      <c r="F11" s="270"/>
      <c r="G11" s="270"/>
      <c r="H11" s="271"/>
      <c r="I11" s="271"/>
      <c r="J11" s="271"/>
      <c r="K11" s="271"/>
      <c r="L11" s="270"/>
      <c r="M11" s="267"/>
      <c r="N11" s="267"/>
    </row>
    <row r="12" spans="1:14" ht="6" customHeight="1">
      <c r="A12" s="272"/>
      <c r="B12" s="273"/>
      <c r="C12" s="274"/>
      <c r="D12" s="274"/>
      <c r="E12" s="274"/>
      <c r="F12" s="274"/>
      <c r="G12" s="274"/>
      <c r="H12" s="275"/>
      <c r="I12" s="276"/>
      <c r="J12" s="276"/>
      <c r="K12" s="276"/>
      <c r="L12" s="274"/>
      <c r="M12" s="277"/>
      <c r="N12" s="278"/>
    </row>
    <row r="13" spans="1:14" s="335" customFormat="1" ht="93.6">
      <c r="A13" s="352" t="s">
        <v>440</v>
      </c>
      <c r="B13" s="358" t="s">
        <v>487</v>
      </c>
      <c r="C13" s="341" t="s">
        <v>232</v>
      </c>
      <c r="D13" s="342">
        <v>36369</v>
      </c>
      <c r="E13" s="342"/>
      <c r="F13" s="341" t="s">
        <v>415</v>
      </c>
      <c r="G13" s="343"/>
      <c r="H13" s="343">
        <v>3822297</v>
      </c>
      <c r="I13" s="344">
        <v>0</v>
      </c>
      <c r="J13" s="344">
        <v>0</v>
      </c>
      <c r="K13" s="344">
        <f>SUM(G13:J13)</f>
        <v>3822297</v>
      </c>
      <c r="L13" s="341" t="s">
        <v>441</v>
      </c>
      <c r="M13" s="345"/>
      <c r="N13" s="334"/>
    </row>
    <row r="14" spans="1:14" s="335" customFormat="1" ht="140.4">
      <c r="A14" s="352" t="s">
        <v>442</v>
      </c>
      <c r="B14" s="358" t="s">
        <v>486</v>
      </c>
      <c r="C14" s="341" t="s">
        <v>232</v>
      </c>
      <c r="D14" s="342">
        <v>36464</v>
      </c>
      <c r="E14" s="342"/>
      <c r="F14" s="341" t="s">
        <v>415</v>
      </c>
      <c r="G14" s="343"/>
      <c r="H14" s="343">
        <v>2906759</v>
      </c>
      <c r="I14" s="344">
        <v>0</v>
      </c>
      <c r="J14" s="344">
        <v>0</v>
      </c>
      <c r="K14" s="344">
        <f>SUM(G14:J14)</f>
        <v>2906759</v>
      </c>
      <c r="L14" s="341" t="s">
        <v>441</v>
      </c>
      <c r="M14" s="345"/>
      <c r="N14" s="334"/>
    </row>
    <row r="15" spans="1:14" ht="15.6">
      <c r="A15" s="279"/>
      <c r="B15" s="359"/>
      <c r="C15" s="280"/>
      <c r="D15" s="281"/>
      <c r="E15" s="281"/>
      <c r="F15" s="280"/>
      <c r="G15" s="282"/>
      <c r="H15" s="282"/>
      <c r="I15" s="283"/>
      <c r="J15" s="283"/>
      <c r="K15" s="283"/>
      <c r="L15" s="280"/>
      <c r="M15" s="284"/>
      <c r="N15" s="285"/>
    </row>
    <row r="16" spans="1:14" ht="15.6">
      <c r="A16" s="279" t="s">
        <v>443</v>
      </c>
      <c r="B16" s="359" t="s">
        <v>444</v>
      </c>
      <c r="C16" s="280" t="s">
        <v>428</v>
      </c>
      <c r="D16" s="281">
        <v>36350</v>
      </c>
      <c r="E16" s="281">
        <v>36350</v>
      </c>
      <c r="F16" s="280" t="s">
        <v>409</v>
      </c>
      <c r="G16" s="282">
        <v>436901</v>
      </c>
      <c r="H16" s="282">
        <v>0</v>
      </c>
      <c r="I16" s="283">
        <v>0</v>
      </c>
      <c r="J16" s="283">
        <v>0</v>
      </c>
      <c r="K16" s="283">
        <f>SUM(G16:J16)</f>
        <v>436901</v>
      </c>
      <c r="L16" s="280">
        <v>0</v>
      </c>
      <c r="M16" s="284"/>
      <c r="N16" s="285"/>
    </row>
    <row r="17" spans="1:14" ht="15.6">
      <c r="A17" s="279" t="s">
        <v>445</v>
      </c>
      <c r="B17" s="359" t="s">
        <v>446</v>
      </c>
      <c r="C17" s="280" t="s">
        <v>428</v>
      </c>
      <c r="D17" s="281">
        <v>36425</v>
      </c>
      <c r="E17" s="281">
        <v>36425</v>
      </c>
      <c r="F17" s="280" t="s">
        <v>409</v>
      </c>
      <c r="G17" s="282">
        <v>900</v>
      </c>
      <c r="H17" s="282">
        <v>0</v>
      </c>
      <c r="I17" s="283">
        <v>0</v>
      </c>
      <c r="J17" s="283">
        <v>0</v>
      </c>
      <c r="K17" s="283">
        <f>SUM(G17:J17)</f>
        <v>900</v>
      </c>
      <c r="L17" s="280">
        <v>0</v>
      </c>
      <c r="M17" s="284"/>
      <c r="N17" s="285"/>
    </row>
    <row r="18" spans="1:14" ht="15.6">
      <c r="A18" s="279"/>
      <c r="B18" s="359"/>
      <c r="C18" s="280"/>
      <c r="D18" s="281"/>
      <c r="E18" s="281"/>
      <c r="F18" s="280"/>
      <c r="G18" s="282"/>
      <c r="H18" s="282"/>
      <c r="I18" s="283"/>
      <c r="J18" s="283"/>
      <c r="K18" s="283"/>
      <c r="L18" s="280"/>
      <c r="M18" s="284"/>
      <c r="N18" s="285"/>
    </row>
    <row r="19" spans="1:14" ht="15.6">
      <c r="A19" s="279" t="s">
        <v>447</v>
      </c>
      <c r="B19" s="359" t="s">
        <v>448</v>
      </c>
      <c r="C19" s="280" t="s">
        <v>428</v>
      </c>
      <c r="D19" s="281">
        <v>36423</v>
      </c>
      <c r="E19" s="281">
        <v>36423</v>
      </c>
      <c r="F19" s="280" t="s">
        <v>409</v>
      </c>
      <c r="G19" s="282">
        <v>1099800</v>
      </c>
      <c r="H19" s="282">
        <v>0</v>
      </c>
      <c r="I19" s="282">
        <v>0</v>
      </c>
      <c r="J19" s="282">
        <v>0</v>
      </c>
      <c r="K19" s="283">
        <f>SUM(G19:J19)</f>
        <v>1099800</v>
      </c>
      <c r="L19" s="280">
        <v>0</v>
      </c>
      <c r="M19" s="284"/>
      <c r="N19" s="285"/>
    </row>
    <row r="20" spans="1:14" ht="15.6">
      <c r="A20" s="279" t="s">
        <v>449</v>
      </c>
      <c r="B20" s="359" t="s">
        <v>450</v>
      </c>
      <c r="C20" s="280" t="s">
        <v>428</v>
      </c>
      <c r="D20" s="281">
        <v>36425</v>
      </c>
      <c r="E20" s="281">
        <v>36425</v>
      </c>
      <c r="F20" s="280" t="s">
        <v>409</v>
      </c>
      <c r="G20" s="282">
        <v>16100</v>
      </c>
      <c r="H20" s="282">
        <v>0</v>
      </c>
      <c r="I20" s="282">
        <v>0</v>
      </c>
      <c r="J20" s="282">
        <v>0</v>
      </c>
      <c r="K20" s="283">
        <f>SUM(G20:J20)</f>
        <v>16100</v>
      </c>
      <c r="L20" s="280">
        <v>0</v>
      </c>
      <c r="M20" s="284"/>
      <c r="N20" s="285"/>
    </row>
    <row r="21" spans="1:14" ht="15.6">
      <c r="A21" s="279" t="s">
        <v>449</v>
      </c>
      <c r="B21" s="359" t="s">
        <v>451</v>
      </c>
      <c r="C21" s="280" t="s">
        <v>428</v>
      </c>
      <c r="D21" s="281">
        <v>36425</v>
      </c>
      <c r="E21" s="281">
        <v>36425</v>
      </c>
      <c r="F21" s="280" t="s">
        <v>409</v>
      </c>
      <c r="G21" s="282">
        <v>29800</v>
      </c>
      <c r="H21" s="282">
        <v>0</v>
      </c>
      <c r="I21" s="282">
        <v>0</v>
      </c>
      <c r="J21" s="282">
        <v>0</v>
      </c>
      <c r="K21" s="283">
        <f>SUM(G21:J21)</f>
        <v>29800</v>
      </c>
      <c r="L21" s="280">
        <v>0</v>
      </c>
      <c r="M21" s="284"/>
      <c r="N21" s="285"/>
    </row>
    <row r="22" spans="1:14" ht="15.6">
      <c r="A22" s="279" t="s">
        <v>452</v>
      </c>
      <c r="B22" s="359" t="s">
        <v>453</v>
      </c>
      <c r="C22" s="280" t="s">
        <v>428</v>
      </c>
      <c r="D22" s="281">
        <v>36425</v>
      </c>
      <c r="E22" s="281">
        <v>36425</v>
      </c>
      <c r="F22" s="280" t="s">
        <v>409</v>
      </c>
      <c r="G22" s="282">
        <v>22900</v>
      </c>
      <c r="H22" s="282">
        <v>0</v>
      </c>
      <c r="I22" s="282">
        <v>0</v>
      </c>
      <c r="J22" s="282">
        <v>0</v>
      </c>
      <c r="K22" s="283">
        <f>SUM(G22:J22)</f>
        <v>22900</v>
      </c>
      <c r="L22" s="280">
        <v>0</v>
      </c>
      <c r="M22" s="284"/>
      <c r="N22" s="285"/>
    </row>
    <row r="23" spans="1:14" ht="15.6">
      <c r="A23" s="279" t="s">
        <v>452</v>
      </c>
      <c r="B23" s="359" t="s">
        <v>454</v>
      </c>
      <c r="C23" s="280" t="s">
        <v>428</v>
      </c>
      <c r="D23" s="281">
        <v>36425</v>
      </c>
      <c r="E23" s="281">
        <v>36425</v>
      </c>
      <c r="F23" s="280" t="s">
        <v>409</v>
      </c>
      <c r="G23" s="282">
        <v>39315</v>
      </c>
      <c r="H23" s="282">
        <v>0</v>
      </c>
      <c r="I23" s="282">
        <v>0</v>
      </c>
      <c r="J23" s="282">
        <v>0</v>
      </c>
      <c r="K23" s="283">
        <f>SUM(G23:J23)</f>
        <v>39315</v>
      </c>
      <c r="L23" s="280">
        <v>0</v>
      </c>
      <c r="M23" s="284"/>
      <c r="N23" s="285"/>
    </row>
    <row r="24" spans="1:14" ht="15.6">
      <c r="A24" s="286"/>
      <c r="B24" s="360"/>
      <c r="C24" s="280"/>
      <c r="D24" s="281"/>
      <c r="E24" s="281"/>
      <c r="F24" s="280"/>
      <c r="G24" s="282"/>
      <c r="H24" s="282"/>
      <c r="I24" s="283"/>
      <c r="J24" s="283"/>
      <c r="K24" s="283"/>
      <c r="L24" s="280"/>
      <c r="M24" s="284"/>
      <c r="N24" s="285"/>
    </row>
    <row r="25" spans="1:14" ht="4.5" customHeight="1">
      <c r="A25" s="288"/>
      <c r="B25" s="289"/>
      <c r="C25" s="290"/>
      <c r="D25" s="290"/>
      <c r="E25" s="290"/>
      <c r="F25" s="290"/>
      <c r="G25" s="290"/>
      <c r="H25" s="291"/>
      <c r="I25" s="292"/>
      <c r="J25" s="292"/>
      <c r="K25" s="292"/>
      <c r="L25" s="290"/>
      <c r="M25" s="293"/>
      <c r="N25" s="294"/>
    </row>
    <row r="26" spans="1:14" ht="4.5" customHeight="1">
      <c r="A26" s="279"/>
      <c r="B26" s="295"/>
      <c r="C26" s="280"/>
      <c r="D26" s="280"/>
      <c r="E26" s="280"/>
      <c r="F26" s="280"/>
      <c r="G26" s="280"/>
      <c r="H26" s="296"/>
      <c r="I26" s="296"/>
      <c r="J26" s="296"/>
      <c r="K26" s="296"/>
      <c r="L26" s="280"/>
      <c r="M26" s="284"/>
      <c r="N26" s="285"/>
    </row>
    <row r="27" spans="1:14" ht="13.8">
      <c r="A27" s="279"/>
      <c r="B27" s="295" t="s">
        <v>432</v>
      </c>
      <c r="C27" s="280"/>
      <c r="D27" s="280"/>
      <c r="E27" s="280"/>
      <c r="F27" s="280" t="s">
        <v>409</v>
      </c>
      <c r="G27" s="296">
        <f t="shared" ref="G27:K30" si="0">SUMIF($F$12:$F$25,$F27,G$12:G$25)</f>
        <v>1645716</v>
      </c>
      <c r="H27" s="296">
        <f t="shared" si="0"/>
        <v>0</v>
      </c>
      <c r="I27" s="296">
        <f t="shared" si="0"/>
        <v>0</v>
      </c>
      <c r="J27" s="296">
        <f t="shared" si="0"/>
        <v>0</v>
      </c>
      <c r="K27" s="296">
        <f t="shared" si="0"/>
        <v>1645716</v>
      </c>
      <c r="L27" s="280"/>
      <c r="M27" s="284"/>
      <c r="N27" s="285"/>
    </row>
    <row r="28" spans="1:14" ht="13.8">
      <c r="A28" s="279"/>
      <c r="B28" s="295" t="s">
        <v>433</v>
      </c>
      <c r="C28" s="280"/>
      <c r="D28" s="280"/>
      <c r="E28" s="280"/>
      <c r="F28" s="280" t="s">
        <v>412</v>
      </c>
      <c r="G28" s="296">
        <f t="shared" si="0"/>
        <v>0</v>
      </c>
      <c r="H28" s="296">
        <f t="shared" si="0"/>
        <v>0</v>
      </c>
      <c r="I28" s="296">
        <f t="shared" si="0"/>
        <v>0</v>
      </c>
      <c r="J28" s="296">
        <f t="shared" si="0"/>
        <v>0</v>
      </c>
      <c r="K28" s="296">
        <f t="shared" si="0"/>
        <v>0</v>
      </c>
      <c r="L28" s="280"/>
      <c r="M28" s="284"/>
      <c r="N28" s="285"/>
    </row>
    <row r="29" spans="1:14" ht="13.8">
      <c r="A29" s="279"/>
      <c r="B29" s="295" t="s">
        <v>434</v>
      </c>
      <c r="C29" s="280"/>
      <c r="D29" s="280"/>
      <c r="E29" s="280"/>
      <c r="F29" s="280" t="s">
        <v>415</v>
      </c>
      <c r="G29" s="296">
        <f t="shared" si="0"/>
        <v>0</v>
      </c>
      <c r="H29" s="296">
        <f t="shared" si="0"/>
        <v>6729056</v>
      </c>
      <c r="I29" s="296">
        <f t="shared" si="0"/>
        <v>0</v>
      </c>
      <c r="J29" s="296">
        <f t="shared" si="0"/>
        <v>0</v>
      </c>
      <c r="K29" s="296">
        <f t="shared" si="0"/>
        <v>6729056</v>
      </c>
      <c r="L29" s="280"/>
      <c r="M29" s="284"/>
      <c r="N29" s="285"/>
    </row>
    <row r="30" spans="1:14" ht="13.8">
      <c r="A30" s="279"/>
      <c r="B30" s="295" t="s">
        <v>435</v>
      </c>
      <c r="C30" s="280"/>
      <c r="D30" s="280"/>
      <c r="E30" s="280"/>
      <c r="F30" s="280" t="s">
        <v>436</v>
      </c>
      <c r="G30" s="296">
        <f t="shared" si="0"/>
        <v>0</v>
      </c>
      <c r="H30" s="296">
        <f t="shared" si="0"/>
        <v>0</v>
      </c>
      <c r="I30" s="296">
        <f t="shared" si="0"/>
        <v>0</v>
      </c>
      <c r="J30" s="296">
        <f t="shared" si="0"/>
        <v>0</v>
      </c>
      <c r="K30" s="296">
        <f t="shared" si="0"/>
        <v>0</v>
      </c>
      <c r="L30" s="280"/>
      <c r="M30" s="284"/>
      <c r="N30" s="285"/>
    </row>
    <row r="31" spans="1:14" ht="14.4" thickBot="1">
      <c r="A31" s="297"/>
      <c r="B31" s="298" t="s">
        <v>455</v>
      </c>
      <c r="C31" s="299"/>
      <c r="D31" s="299"/>
      <c r="E31" s="299"/>
      <c r="F31" s="300" t="s">
        <v>76</v>
      </c>
      <c r="G31" s="301">
        <f>SUM(G26:G30)</f>
        <v>1645716</v>
      </c>
      <c r="H31" s="301">
        <f>SUM(H26:H30)</f>
        <v>6729056</v>
      </c>
      <c r="I31" s="301">
        <f>SUM(I26:I30)</f>
        <v>0</v>
      </c>
      <c r="J31" s="301">
        <f>SUM(J26:J30)</f>
        <v>0</v>
      </c>
      <c r="K31" s="301">
        <f>SUM(K26:K30)</f>
        <v>8374772</v>
      </c>
      <c r="L31" s="299"/>
      <c r="M31" s="302"/>
      <c r="N31" s="303"/>
    </row>
    <row r="32" spans="1:14" ht="13.8">
      <c r="A32" s="309"/>
      <c r="B32" s="310"/>
      <c r="C32" s="311"/>
      <c r="D32" s="311"/>
      <c r="E32" s="311"/>
      <c r="F32" s="270"/>
      <c r="G32" s="312"/>
      <c r="H32" s="312"/>
      <c r="I32" s="312"/>
      <c r="J32" s="312"/>
      <c r="K32" s="312"/>
      <c r="L32" s="311"/>
      <c r="M32" s="284"/>
      <c r="N32" s="313"/>
    </row>
    <row r="33" spans="1:8" ht="15">
      <c r="A33" s="308" t="s">
        <v>456</v>
      </c>
    </row>
    <row r="34" spans="1:8" ht="15">
      <c r="A34" s="308"/>
    </row>
    <row r="35" spans="1:8" s="122" customFormat="1" ht="15.6">
      <c r="A35" s="122" t="s">
        <v>437</v>
      </c>
      <c r="H35" s="304">
        <f>H24+H25</f>
        <v>0</v>
      </c>
    </row>
    <row r="37" spans="1:8" s="305" customFormat="1" ht="15">
      <c r="A37" s="305" t="s">
        <v>457</v>
      </c>
      <c r="H37" s="306">
        <f>SUM(H13:H14)</f>
        <v>6729056</v>
      </c>
    </row>
    <row r="39" spans="1:8" ht="15">
      <c r="A39" s="431" t="s">
        <v>549</v>
      </c>
      <c r="B39" s="432"/>
    </row>
    <row r="40" spans="1:8" ht="15">
      <c r="A40" s="438" t="s">
        <v>547</v>
      </c>
      <c r="B40" s="437" t="s">
        <v>568</v>
      </c>
      <c r="H40" s="68">
        <v>263743</v>
      </c>
    </row>
    <row r="41" spans="1:8" s="18" customFormat="1" ht="15">
      <c r="A41" s="438" t="s">
        <v>550</v>
      </c>
      <c r="B41" s="437" t="s">
        <v>553</v>
      </c>
      <c r="H41" s="68">
        <v>317897</v>
      </c>
    </row>
    <row r="42" spans="1:8" s="18" customFormat="1" ht="15">
      <c r="A42" s="438" t="s">
        <v>554</v>
      </c>
      <c r="B42" s="437" t="s">
        <v>557</v>
      </c>
      <c r="H42" s="68">
        <v>-739008</v>
      </c>
    </row>
    <row r="43" spans="1:8" s="18" customFormat="1" ht="15">
      <c r="A43" s="438" t="s">
        <v>556</v>
      </c>
      <c r="B43" s="437" t="s">
        <v>569</v>
      </c>
      <c r="H43" s="68">
        <v>421112</v>
      </c>
    </row>
    <row r="44" spans="1:8" s="307" customFormat="1" ht="15">
      <c r="A44" s="435" t="s">
        <v>438</v>
      </c>
      <c r="B44" s="435"/>
      <c r="H44" s="439">
        <f>SUM(H40:H43)</f>
        <v>263744</v>
      </c>
    </row>
    <row r="45" spans="1:8">
      <c r="H45" s="256"/>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14" activePane="bottomRight" state="frozen"/>
      <selection activeCell="A9" sqref="A9"/>
      <selection pane="topRight" activeCell="A9" sqref="A9"/>
      <selection pane="bottomLeft" activeCell="A9" sqref="A9"/>
      <selection pane="bottomRight" activeCell="A9" sqref="A9"/>
    </sheetView>
  </sheetViews>
  <sheetFormatPr defaultRowHeight="13.2"/>
  <cols>
    <col min="1" max="1" width="13.6640625"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4.3320312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6"/>
      <c r="I1" s="256"/>
      <c r="J1" s="256"/>
      <c r="K1" s="256"/>
      <c r="L1" s="49"/>
      <c r="M1" s="49"/>
    </row>
    <row r="2" spans="1:14" ht="11.25" customHeight="1">
      <c r="N2" s="257"/>
    </row>
    <row r="3" spans="1:14" ht="40.5" customHeight="1">
      <c r="A3" s="258"/>
      <c r="B3" s="258" t="s">
        <v>391</v>
      </c>
      <c r="G3" s="351" t="s">
        <v>384</v>
      </c>
      <c r="N3" s="257"/>
    </row>
    <row r="4" spans="1:14" ht="24.6">
      <c r="A4" s="259"/>
      <c r="B4" s="259" t="s">
        <v>392</v>
      </c>
      <c r="C4" s="257"/>
      <c r="D4" s="257"/>
      <c r="E4" s="257"/>
      <c r="F4" s="257"/>
      <c r="G4" s="257"/>
      <c r="H4" s="260"/>
      <c r="I4" s="260"/>
      <c r="J4" s="260"/>
      <c r="K4" s="260"/>
      <c r="L4" s="257"/>
      <c r="M4" s="257"/>
      <c r="N4" s="257"/>
    </row>
    <row r="5" spans="1:14" ht="21">
      <c r="A5" s="261"/>
      <c r="B5" s="261" t="s">
        <v>393</v>
      </c>
      <c r="C5" s="257"/>
      <c r="D5" s="257"/>
      <c r="E5" s="257"/>
      <c r="F5" s="257"/>
      <c r="G5" s="257"/>
      <c r="H5" s="260"/>
      <c r="I5" s="260"/>
      <c r="J5" s="260"/>
      <c r="K5" s="260"/>
      <c r="L5" s="257"/>
      <c r="M5" s="257"/>
      <c r="N5" s="257"/>
    </row>
    <row r="6" spans="1:14" ht="6.75" customHeight="1" thickBot="1">
      <c r="C6" s="49"/>
      <c r="H6" s="256"/>
      <c r="I6" s="256"/>
      <c r="J6" s="256"/>
      <c r="K6" s="256"/>
      <c r="L6" s="49"/>
      <c r="M6" s="49"/>
    </row>
    <row r="7" spans="1:14" ht="25.5" customHeight="1">
      <c r="A7" s="448" t="s">
        <v>394</v>
      </c>
      <c r="B7" s="451" t="s">
        <v>395</v>
      </c>
      <c r="C7" s="451" t="s">
        <v>396</v>
      </c>
      <c r="D7" s="451" t="s">
        <v>397</v>
      </c>
      <c r="E7" s="451" t="s">
        <v>398</v>
      </c>
      <c r="F7" s="451" t="s">
        <v>399</v>
      </c>
      <c r="G7" s="445" t="s">
        <v>400</v>
      </c>
      <c r="H7" s="445" t="s">
        <v>401</v>
      </c>
      <c r="I7" s="445" t="s">
        <v>402</v>
      </c>
      <c r="J7" s="445" t="s">
        <v>403</v>
      </c>
      <c r="K7" s="445" t="s">
        <v>404</v>
      </c>
      <c r="L7" s="451" t="s">
        <v>405</v>
      </c>
      <c r="M7" s="442" t="s">
        <v>406</v>
      </c>
      <c r="N7" s="262"/>
    </row>
    <row r="8" spans="1:14" ht="13.8">
      <c r="A8" s="449"/>
      <c r="B8" s="452"/>
      <c r="C8" s="452"/>
      <c r="D8" s="452"/>
      <c r="E8" s="452"/>
      <c r="F8" s="452"/>
      <c r="G8" s="446"/>
      <c r="H8" s="446"/>
      <c r="I8" s="446"/>
      <c r="J8" s="446"/>
      <c r="K8" s="446"/>
      <c r="L8" s="452"/>
      <c r="M8" s="443"/>
      <c r="N8" s="263"/>
    </row>
    <row r="9" spans="1:14" ht="14.4" thickBot="1">
      <c r="A9" s="450"/>
      <c r="B9" s="453"/>
      <c r="C9" s="453"/>
      <c r="D9" s="453"/>
      <c r="E9" s="453"/>
      <c r="F9" s="453"/>
      <c r="G9" s="447"/>
      <c r="H9" s="447"/>
      <c r="I9" s="447"/>
      <c r="J9" s="447"/>
      <c r="K9" s="447"/>
      <c r="L9" s="453"/>
      <c r="M9" s="444"/>
      <c r="N9" s="264"/>
    </row>
    <row r="10" spans="1:14" ht="14.4" thickBot="1">
      <c r="A10" s="265"/>
      <c r="B10" s="266"/>
      <c r="C10" s="266"/>
      <c r="D10" s="266"/>
      <c r="E10" s="266"/>
      <c r="F10" s="266"/>
      <c r="G10" s="266"/>
      <c r="H10" s="265"/>
      <c r="I10" s="265"/>
      <c r="J10" s="265"/>
      <c r="K10" s="265"/>
      <c r="L10" s="266"/>
      <c r="M10" s="266"/>
      <c r="N10" s="267"/>
    </row>
    <row r="11" spans="1:14" s="30" customFormat="1" ht="18.75" customHeight="1" thickBot="1">
      <c r="A11" s="268" t="s">
        <v>459</v>
      </c>
      <c r="B11" s="269"/>
      <c r="C11" s="270"/>
      <c r="D11" s="270"/>
      <c r="E11" s="270"/>
      <c r="F11" s="270"/>
      <c r="G11" s="270"/>
      <c r="H11" s="271"/>
      <c r="I11" s="271"/>
      <c r="J11" s="271"/>
      <c r="K11" s="271"/>
      <c r="L11" s="270"/>
      <c r="M11" s="267"/>
      <c r="N11" s="267"/>
    </row>
    <row r="12" spans="1:14" s="335" customFormat="1" ht="74.25" customHeight="1">
      <c r="A12" s="352" t="s">
        <v>460</v>
      </c>
      <c r="B12" s="358" t="s">
        <v>488</v>
      </c>
      <c r="C12" s="341" t="s">
        <v>232</v>
      </c>
      <c r="D12" s="342">
        <v>36388</v>
      </c>
      <c r="E12" s="342"/>
      <c r="F12" s="341" t="s">
        <v>415</v>
      </c>
      <c r="G12" s="343"/>
      <c r="H12" s="343">
        <v>3953393</v>
      </c>
      <c r="I12" s="344">
        <v>0</v>
      </c>
      <c r="J12" s="344">
        <v>0</v>
      </c>
      <c r="K12" s="344">
        <f>SUM(G12:J12)</f>
        <v>3953393</v>
      </c>
      <c r="L12" s="341" t="s">
        <v>441</v>
      </c>
      <c r="M12" s="345"/>
      <c r="N12" s="334"/>
    </row>
    <row r="13" spans="1:14" s="335" customFormat="1" ht="89.25" customHeight="1">
      <c r="A13" s="352" t="s">
        <v>461</v>
      </c>
      <c r="B13" s="358" t="s">
        <v>490</v>
      </c>
      <c r="C13" s="341" t="s">
        <v>232</v>
      </c>
      <c r="D13" s="342">
        <v>36464</v>
      </c>
      <c r="E13" s="342"/>
      <c r="F13" s="341" t="s">
        <v>415</v>
      </c>
      <c r="G13" s="343"/>
      <c r="H13" s="343">
        <v>2321129</v>
      </c>
      <c r="I13" s="344">
        <v>0</v>
      </c>
      <c r="J13" s="344">
        <v>0</v>
      </c>
      <c r="K13" s="344">
        <f>SUM(G13:J13)</f>
        <v>2321129</v>
      </c>
      <c r="L13" s="341" t="s">
        <v>441</v>
      </c>
      <c r="M13" s="345"/>
      <c r="N13" s="334"/>
    </row>
    <row r="14" spans="1:14" ht="15.6">
      <c r="A14" s="279"/>
      <c r="B14" s="359"/>
      <c r="C14" s="280"/>
      <c r="D14" s="281"/>
      <c r="E14" s="281"/>
      <c r="F14" s="280"/>
      <c r="G14" s="282"/>
      <c r="H14" s="282"/>
      <c r="I14" s="283"/>
      <c r="J14" s="283"/>
      <c r="K14" s="283"/>
      <c r="L14" s="280"/>
      <c r="M14" s="284"/>
      <c r="N14" s="285"/>
    </row>
    <row r="15" spans="1:14" ht="15.6">
      <c r="A15" s="279" t="s">
        <v>462</v>
      </c>
      <c r="B15" s="359" t="s">
        <v>463</v>
      </c>
      <c r="C15" s="280" t="s">
        <v>428</v>
      </c>
      <c r="D15" s="281">
        <v>36342</v>
      </c>
      <c r="E15" s="281">
        <v>36342</v>
      </c>
      <c r="F15" s="280" t="s">
        <v>409</v>
      </c>
      <c r="G15" s="282">
        <v>-100000</v>
      </c>
      <c r="H15" s="282">
        <v>0</v>
      </c>
      <c r="I15" s="283">
        <v>0</v>
      </c>
      <c r="J15" s="283">
        <v>0</v>
      </c>
      <c r="K15" s="283">
        <f>SUM(G15:J15)</f>
        <v>-100000</v>
      </c>
      <c r="L15" s="280">
        <v>0</v>
      </c>
      <c r="M15" s="284"/>
      <c r="N15" s="285"/>
    </row>
    <row r="16" spans="1:14" ht="15.6">
      <c r="A16" s="279" t="s">
        <v>464</v>
      </c>
      <c r="B16" s="359" t="s">
        <v>465</v>
      </c>
      <c r="C16" s="280" t="s">
        <v>428</v>
      </c>
      <c r="D16" s="281">
        <v>36348</v>
      </c>
      <c r="E16" s="281">
        <v>36348</v>
      </c>
      <c r="F16" s="280" t="s">
        <v>409</v>
      </c>
      <c r="G16" s="282">
        <v>353801</v>
      </c>
      <c r="H16" s="282">
        <v>0</v>
      </c>
      <c r="I16" s="283">
        <v>0</v>
      </c>
      <c r="J16" s="283">
        <v>0</v>
      </c>
      <c r="K16" s="283">
        <f>SUM(G16:J16)</f>
        <v>353801</v>
      </c>
      <c r="L16" s="280">
        <v>0</v>
      </c>
      <c r="M16" s="284"/>
      <c r="N16" s="285"/>
    </row>
    <row r="17" spans="1:14" ht="15.6">
      <c r="A17" s="279" t="s">
        <v>466</v>
      </c>
      <c r="B17" s="359" t="s">
        <v>467</v>
      </c>
      <c r="C17" s="280" t="s">
        <v>428</v>
      </c>
      <c r="D17" s="281">
        <v>36398</v>
      </c>
      <c r="E17" s="281">
        <v>36398</v>
      </c>
      <c r="F17" s="280" t="s">
        <v>409</v>
      </c>
      <c r="G17" s="282">
        <v>-22200</v>
      </c>
      <c r="H17" s="282">
        <v>0</v>
      </c>
      <c r="I17" s="283">
        <v>0</v>
      </c>
      <c r="J17" s="283">
        <v>0</v>
      </c>
      <c r="K17" s="283">
        <f>SUM(G17:J17)</f>
        <v>-22200</v>
      </c>
      <c r="L17" s="280">
        <v>0</v>
      </c>
      <c r="M17" s="284"/>
      <c r="N17" s="285"/>
    </row>
    <row r="18" spans="1:14" ht="13.8">
      <c r="A18" s="286"/>
      <c r="B18" s="287"/>
      <c r="C18" s="280"/>
      <c r="D18" s="281"/>
      <c r="E18" s="281"/>
      <c r="F18" s="280"/>
      <c r="G18" s="282"/>
      <c r="H18" s="282"/>
      <c r="I18" s="283"/>
      <c r="J18" s="283"/>
      <c r="K18" s="283"/>
      <c r="L18" s="280"/>
      <c r="M18" s="284"/>
      <c r="N18" s="285"/>
    </row>
    <row r="19" spans="1:14" ht="4.5" customHeight="1">
      <c r="A19" s="288"/>
      <c r="B19" s="289"/>
      <c r="C19" s="290"/>
      <c r="D19" s="290"/>
      <c r="E19" s="290"/>
      <c r="F19" s="290"/>
      <c r="G19" s="290"/>
      <c r="H19" s="291"/>
      <c r="I19" s="292"/>
      <c r="J19" s="292"/>
      <c r="K19" s="292"/>
      <c r="L19" s="290"/>
      <c r="M19" s="293"/>
      <c r="N19" s="294"/>
    </row>
    <row r="20" spans="1:14" ht="4.5" customHeight="1">
      <c r="A20" s="279"/>
      <c r="B20" s="295"/>
      <c r="C20" s="280"/>
      <c r="D20" s="280"/>
      <c r="E20" s="280"/>
      <c r="F20" s="280"/>
      <c r="G20" s="280"/>
      <c r="H20" s="296"/>
      <c r="I20" s="296"/>
      <c r="J20" s="296"/>
      <c r="K20" s="296"/>
      <c r="L20" s="280"/>
      <c r="M20" s="284"/>
      <c r="N20" s="285"/>
    </row>
    <row r="21" spans="1:14" ht="13.8">
      <c r="A21" s="279"/>
      <c r="B21" s="295" t="s">
        <v>432</v>
      </c>
      <c r="C21" s="280"/>
      <c r="D21" s="280"/>
      <c r="E21" s="280"/>
      <c r="F21" s="280" t="s">
        <v>409</v>
      </c>
      <c r="G21" s="296">
        <f t="shared" ref="G21:K24" si="0">SUMIF($F$12:$F$19,$F21,G$12:G$19)</f>
        <v>231601</v>
      </c>
      <c r="H21" s="296">
        <f t="shared" si="0"/>
        <v>0</v>
      </c>
      <c r="I21" s="296">
        <f t="shared" si="0"/>
        <v>0</v>
      </c>
      <c r="J21" s="296">
        <f t="shared" si="0"/>
        <v>0</v>
      </c>
      <c r="K21" s="296">
        <f t="shared" si="0"/>
        <v>231601</v>
      </c>
      <c r="L21" s="280"/>
      <c r="M21" s="284"/>
      <c r="N21" s="285"/>
    </row>
    <row r="22" spans="1:14" ht="13.8">
      <c r="A22" s="279"/>
      <c r="B22" s="295" t="s">
        <v>433</v>
      </c>
      <c r="C22" s="280"/>
      <c r="D22" s="280"/>
      <c r="E22" s="280"/>
      <c r="F22" s="280" t="s">
        <v>412</v>
      </c>
      <c r="G22" s="296">
        <f t="shared" si="0"/>
        <v>0</v>
      </c>
      <c r="H22" s="296">
        <f t="shared" si="0"/>
        <v>0</v>
      </c>
      <c r="I22" s="296">
        <f t="shared" si="0"/>
        <v>0</v>
      </c>
      <c r="J22" s="296">
        <f t="shared" si="0"/>
        <v>0</v>
      </c>
      <c r="K22" s="296">
        <f t="shared" si="0"/>
        <v>0</v>
      </c>
      <c r="L22" s="280"/>
      <c r="M22" s="284"/>
      <c r="N22" s="285"/>
    </row>
    <row r="23" spans="1:14" ht="13.8">
      <c r="A23" s="279"/>
      <c r="B23" s="295" t="s">
        <v>434</v>
      </c>
      <c r="C23" s="280"/>
      <c r="D23" s="280"/>
      <c r="E23" s="280"/>
      <c r="F23" s="280" t="s">
        <v>415</v>
      </c>
      <c r="G23" s="296">
        <f t="shared" si="0"/>
        <v>0</v>
      </c>
      <c r="H23" s="296">
        <f t="shared" si="0"/>
        <v>6274522</v>
      </c>
      <c r="I23" s="296">
        <f t="shared" si="0"/>
        <v>0</v>
      </c>
      <c r="J23" s="296">
        <f t="shared" si="0"/>
        <v>0</v>
      </c>
      <c r="K23" s="296">
        <f t="shared" si="0"/>
        <v>6274522</v>
      </c>
      <c r="L23" s="280"/>
      <c r="M23" s="284"/>
      <c r="N23" s="285"/>
    </row>
    <row r="24" spans="1:14" ht="13.8">
      <c r="A24" s="279"/>
      <c r="B24" s="295" t="s">
        <v>435</v>
      </c>
      <c r="C24" s="280"/>
      <c r="D24" s="280"/>
      <c r="E24" s="280"/>
      <c r="F24" s="280" t="s">
        <v>436</v>
      </c>
      <c r="G24" s="296">
        <f t="shared" si="0"/>
        <v>0</v>
      </c>
      <c r="H24" s="296">
        <f t="shared" si="0"/>
        <v>0</v>
      </c>
      <c r="I24" s="296">
        <f t="shared" si="0"/>
        <v>0</v>
      </c>
      <c r="J24" s="296">
        <f t="shared" si="0"/>
        <v>0</v>
      </c>
      <c r="K24" s="296">
        <f t="shared" si="0"/>
        <v>0</v>
      </c>
      <c r="L24" s="280"/>
      <c r="M24" s="284"/>
      <c r="N24" s="285"/>
    </row>
    <row r="25" spans="1:14" ht="14.4" thickBot="1">
      <c r="A25" s="279"/>
      <c r="B25" s="295" t="s">
        <v>468</v>
      </c>
      <c r="C25" s="299"/>
      <c r="D25" s="299"/>
      <c r="E25" s="299"/>
      <c r="F25" s="300" t="s">
        <v>76</v>
      </c>
      <c r="G25" s="301">
        <f>SUM(G20:G24)</f>
        <v>231601</v>
      </c>
      <c r="H25" s="301">
        <f>SUM(H20:H24)</f>
        <v>6274522</v>
      </c>
      <c r="I25" s="301">
        <f>SUM(I20:I24)</f>
        <v>0</v>
      </c>
      <c r="J25" s="301">
        <f>SUM(J20:J24)</f>
        <v>0</v>
      </c>
      <c r="K25" s="301">
        <f>SUM(K20:K24)</f>
        <v>6506123</v>
      </c>
      <c r="L25" s="299"/>
      <c r="M25" s="302"/>
      <c r="N25" s="303"/>
    </row>
    <row r="26" spans="1:14">
      <c r="A26" s="30"/>
      <c r="B26" s="30"/>
    </row>
    <row r="27" spans="1:14" ht="15">
      <c r="A27" s="436" t="s">
        <v>456</v>
      </c>
      <c r="B27" s="30"/>
    </row>
    <row r="28" spans="1:14" ht="15">
      <c r="A28" s="436"/>
      <c r="B28" s="30"/>
    </row>
    <row r="29" spans="1:14" s="122" customFormat="1" ht="15.6">
      <c r="A29" s="433" t="s">
        <v>437</v>
      </c>
      <c r="B29" s="433"/>
      <c r="H29" s="304">
        <f>H18+H19</f>
        <v>0</v>
      </c>
    </row>
    <row r="30" spans="1:14">
      <c r="A30" s="30"/>
      <c r="B30" s="30"/>
    </row>
    <row r="31" spans="1:14" s="305" customFormat="1" ht="15">
      <c r="A31" s="434" t="s">
        <v>457</v>
      </c>
      <c r="B31" s="434"/>
      <c r="H31" s="306">
        <f>H23</f>
        <v>6274522</v>
      </c>
    </row>
    <row r="32" spans="1:14">
      <c r="A32" s="30"/>
      <c r="B32" s="30"/>
    </row>
    <row r="33" spans="1:8">
      <c r="A33" s="30"/>
      <c r="B33" s="30"/>
    </row>
    <row r="34" spans="1:8" ht="15">
      <c r="A34" s="431" t="s">
        <v>549</v>
      </c>
      <c r="B34" s="432"/>
    </row>
    <row r="35" spans="1:8" s="18" customFormat="1" ht="15">
      <c r="A35" s="438" t="s">
        <v>547</v>
      </c>
      <c r="B35" s="437" t="s">
        <v>548</v>
      </c>
      <c r="H35" s="68">
        <v>294693</v>
      </c>
    </row>
    <row r="36" spans="1:8" s="18" customFormat="1" ht="15">
      <c r="A36" s="438" t="s">
        <v>550</v>
      </c>
      <c r="B36" s="437" t="s">
        <v>551</v>
      </c>
      <c r="H36" s="68">
        <v>-124695</v>
      </c>
    </row>
    <row r="37" spans="1:8" s="18" customFormat="1" ht="15">
      <c r="A37" s="438" t="s">
        <v>552</v>
      </c>
      <c r="B37" s="437" t="s">
        <v>553</v>
      </c>
      <c r="H37" s="68">
        <v>-95805</v>
      </c>
    </row>
    <row r="38" spans="1:8" s="18" customFormat="1" ht="15">
      <c r="A38" s="438" t="s">
        <v>554</v>
      </c>
      <c r="B38" s="437" t="s">
        <v>555</v>
      </c>
      <c r="H38" s="68">
        <v>-477220</v>
      </c>
    </row>
    <row r="39" spans="1:8" s="18" customFormat="1" ht="15">
      <c r="A39" s="438" t="s">
        <v>556</v>
      </c>
      <c r="B39" s="437" t="s">
        <v>557</v>
      </c>
      <c r="H39" s="68">
        <v>745403</v>
      </c>
    </row>
    <row r="40" spans="1:8" s="307" customFormat="1" ht="15">
      <c r="A40" s="435" t="s">
        <v>438</v>
      </c>
      <c r="B40" s="435"/>
      <c r="H40" s="439">
        <f>SUM(H35:H39)</f>
        <v>342376</v>
      </c>
    </row>
    <row r="41" spans="1:8">
      <c r="A41" s="30"/>
      <c r="B41" s="30"/>
    </row>
    <row r="42" spans="1:8">
      <c r="A42" s="30"/>
      <c r="B42" s="30"/>
    </row>
    <row r="43" spans="1:8">
      <c r="A43" s="30"/>
      <c r="B43" s="30"/>
    </row>
    <row r="44" spans="1:8">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6"/>
  <cols>
    <col min="1" max="1" width="6.109375" style="24" customWidth="1"/>
    <col min="2" max="2" width="22" customWidth="1"/>
    <col min="3" max="18" width="11.33203125" customWidth="1"/>
  </cols>
  <sheetData>
    <row r="1" spans="1:79" ht="17.399999999999999">
      <c r="A1" s="254" t="s">
        <v>388</v>
      </c>
    </row>
    <row r="3" spans="1:79">
      <c r="A3" s="24" t="s">
        <v>382</v>
      </c>
    </row>
    <row r="4" spans="1:79">
      <c r="C4" s="250">
        <v>36281</v>
      </c>
      <c r="D4" s="250">
        <v>36312</v>
      </c>
      <c r="E4" s="250">
        <v>36342</v>
      </c>
      <c r="F4" s="250">
        <v>36373</v>
      </c>
      <c r="G4" s="250">
        <v>36404</v>
      </c>
      <c r="H4" s="250">
        <v>36434</v>
      </c>
      <c r="I4" s="250">
        <v>36465</v>
      </c>
      <c r="J4" s="250">
        <v>36495</v>
      </c>
      <c r="K4" s="250">
        <v>36526</v>
      </c>
      <c r="L4" s="250">
        <v>36557</v>
      </c>
      <c r="M4" s="250">
        <v>36586</v>
      </c>
      <c r="N4" s="250">
        <v>36617</v>
      </c>
      <c r="O4" s="250">
        <v>36647</v>
      </c>
      <c r="P4" s="250">
        <v>36678</v>
      </c>
      <c r="Q4" s="250">
        <v>36708</v>
      </c>
      <c r="R4" s="250">
        <v>36739</v>
      </c>
    </row>
    <row r="5" spans="1:79">
      <c r="B5" t="s">
        <v>385</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386</v>
      </c>
      <c r="C6" s="25">
        <f>C5</f>
        <v>14.023999999999999</v>
      </c>
      <c r="D6" s="25">
        <f>C6+D5</f>
        <v>71.542000000000002</v>
      </c>
      <c r="E6" s="25">
        <f t="shared" ref="E6:R6" si="0">D6+E5</f>
        <v>157.702</v>
      </c>
      <c r="F6" s="25">
        <f t="shared" si="0"/>
        <v>332.73900000000003</v>
      </c>
      <c r="G6" s="25">
        <f t="shared" si="0"/>
        <v>577.20900000000006</v>
      </c>
      <c r="H6" s="25">
        <f t="shared" si="0"/>
        <v>3031.3</v>
      </c>
      <c r="I6" s="255">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387</v>
      </c>
      <c r="C7" s="251">
        <v>2.0000000000000001E-4</v>
      </c>
      <c r="D7" s="251">
        <f>D6/$R$6</f>
        <v>1.2244702564139164E-3</v>
      </c>
      <c r="E7" s="251">
        <f t="shared" ref="E7:R7" si="1">E6/$R$6</f>
        <v>2.699133493290479E-3</v>
      </c>
      <c r="F7" s="251">
        <f t="shared" si="1"/>
        <v>5.6949625206020264E-3</v>
      </c>
      <c r="G7" s="251">
        <f t="shared" si="1"/>
        <v>9.8791654166003225E-3</v>
      </c>
      <c r="H7" s="251">
        <f t="shared" si="1"/>
        <v>5.1881925138624933E-2</v>
      </c>
      <c r="I7" s="251">
        <f t="shared" si="1"/>
        <v>0.17513626728675091</v>
      </c>
      <c r="J7" s="251">
        <f t="shared" si="1"/>
        <v>0.37651168171701183</v>
      </c>
      <c r="K7" s="251">
        <f t="shared" si="1"/>
        <v>0.6103514923836707</v>
      </c>
      <c r="L7" s="251">
        <f t="shared" si="1"/>
        <v>0.79114359637673037</v>
      </c>
      <c r="M7" s="251">
        <f t="shared" si="1"/>
        <v>0.88363708982740963</v>
      </c>
      <c r="N7" s="251">
        <f t="shared" si="1"/>
        <v>0.93968509264884992</v>
      </c>
      <c r="O7" s="251">
        <f t="shared" si="1"/>
        <v>0.9867631687931957</v>
      </c>
      <c r="P7" s="251">
        <f t="shared" si="1"/>
        <v>1</v>
      </c>
      <c r="Q7" s="251">
        <f t="shared" si="1"/>
        <v>1</v>
      </c>
      <c r="R7" s="251">
        <f t="shared" si="1"/>
        <v>1</v>
      </c>
      <c r="S7" s="251"/>
      <c r="T7" s="251"/>
      <c r="U7" s="251"/>
      <c r="V7" s="251"/>
      <c r="W7" s="251"/>
      <c r="X7" s="251"/>
      <c r="Y7" s="251"/>
      <c r="Z7" s="251"/>
      <c r="AA7" s="251"/>
      <c r="AB7" s="251"/>
      <c r="AC7" s="251"/>
      <c r="AD7" s="251"/>
      <c r="AE7" s="251"/>
      <c r="AF7" s="251"/>
      <c r="AG7" s="251"/>
      <c r="AH7" s="251"/>
      <c r="AI7" s="251"/>
      <c r="AJ7" s="251"/>
      <c r="AK7" s="251"/>
      <c r="AL7" s="251"/>
      <c r="AM7" s="251"/>
      <c r="AN7" s="251"/>
      <c r="AO7" s="251"/>
      <c r="AP7" s="251"/>
      <c r="AQ7" s="251"/>
      <c r="AR7" s="251"/>
      <c r="AS7" s="251"/>
      <c r="AT7" s="251"/>
      <c r="AU7" s="251"/>
      <c r="AV7" s="251"/>
      <c r="AW7" s="251"/>
      <c r="AX7" s="251"/>
      <c r="AY7" s="251"/>
      <c r="AZ7" s="251"/>
      <c r="BA7" s="251"/>
      <c r="BB7" s="251"/>
      <c r="BC7" s="251"/>
      <c r="BD7" s="251"/>
      <c r="BE7" s="251"/>
      <c r="BF7" s="251"/>
      <c r="BG7" s="251"/>
      <c r="BH7" s="251"/>
      <c r="BI7" s="251"/>
      <c r="BJ7" s="251"/>
      <c r="BK7" s="251"/>
      <c r="BL7" s="251"/>
      <c r="BM7" s="251"/>
      <c r="BN7" s="251"/>
      <c r="BO7" s="251"/>
      <c r="BP7" s="251"/>
      <c r="BQ7" s="251"/>
      <c r="BR7" s="251"/>
      <c r="BS7" s="251"/>
      <c r="BT7" s="251"/>
      <c r="BU7" s="251"/>
      <c r="BV7" s="251"/>
      <c r="BW7" s="251"/>
      <c r="BX7" s="251"/>
      <c r="BY7" s="251"/>
      <c r="BZ7" s="251"/>
      <c r="CA7" s="251"/>
    </row>
    <row r="9" spans="1:79">
      <c r="B9" t="s">
        <v>389</v>
      </c>
      <c r="H9" s="252">
        <f>865.389</f>
        <v>865.38900000000001</v>
      </c>
      <c r="I9" s="252">
        <f>4488.545-865</f>
        <v>3623.5450000000001</v>
      </c>
    </row>
    <row r="10" spans="1:79">
      <c r="B10" t="s">
        <v>45</v>
      </c>
      <c r="G10" s="252">
        <f>G9</f>
        <v>0</v>
      </c>
      <c r="H10" s="252">
        <f t="shared" ref="H10:R10" si="2">H9+G10</f>
        <v>865.38900000000001</v>
      </c>
      <c r="I10" s="252">
        <f t="shared" si="2"/>
        <v>4488.9340000000002</v>
      </c>
      <c r="J10" s="252">
        <f t="shared" si="2"/>
        <v>4488.9340000000002</v>
      </c>
      <c r="K10" s="252">
        <f t="shared" si="2"/>
        <v>4488.9340000000002</v>
      </c>
      <c r="L10" s="252">
        <f t="shared" si="2"/>
        <v>4488.9340000000002</v>
      </c>
      <c r="M10" s="252">
        <f t="shared" si="2"/>
        <v>4488.9340000000002</v>
      </c>
      <c r="N10" s="252">
        <f t="shared" si="2"/>
        <v>4488.9340000000002</v>
      </c>
      <c r="O10" s="252">
        <f t="shared" si="2"/>
        <v>4488.9340000000002</v>
      </c>
      <c r="P10" s="252">
        <f t="shared" si="2"/>
        <v>4488.9340000000002</v>
      </c>
      <c r="Q10" s="252">
        <f t="shared" si="2"/>
        <v>4488.9340000000002</v>
      </c>
      <c r="R10" s="252">
        <f t="shared" si="2"/>
        <v>4488.9340000000002</v>
      </c>
    </row>
    <row r="11" spans="1:79" s="251" customFormat="1">
      <c r="A11" s="253"/>
      <c r="G11" s="251">
        <f>G10/$R$15</f>
        <v>0</v>
      </c>
      <c r="H11" s="251">
        <f>H10/$R$6</f>
        <v>1.4811482635763365E-2</v>
      </c>
      <c r="I11" s="251">
        <f t="shared" ref="I11:R11" si="3">I10/$R$6</f>
        <v>7.6829920410460259E-2</v>
      </c>
      <c r="J11" s="251">
        <f t="shared" si="3"/>
        <v>7.6829920410460259E-2</v>
      </c>
      <c r="K11" s="251">
        <f t="shared" si="3"/>
        <v>7.6829920410460259E-2</v>
      </c>
      <c r="L11" s="251">
        <f t="shared" si="3"/>
        <v>7.6829920410460259E-2</v>
      </c>
      <c r="M11" s="251">
        <f t="shared" si="3"/>
        <v>7.6829920410460259E-2</v>
      </c>
      <c r="N11" s="251">
        <f t="shared" si="3"/>
        <v>7.6829920410460259E-2</v>
      </c>
      <c r="O11" s="251">
        <f t="shared" si="3"/>
        <v>7.6829920410460259E-2</v>
      </c>
      <c r="P11" s="251">
        <f t="shared" si="3"/>
        <v>7.6829920410460259E-2</v>
      </c>
      <c r="Q11" s="251">
        <f t="shared" si="3"/>
        <v>7.6829920410460259E-2</v>
      </c>
      <c r="R11" s="251">
        <f t="shared" si="3"/>
        <v>7.6829920410460259E-2</v>
      </c>
    </row>
    <row r="12" spans="1:79">
      <c r="A12" s="24" t="s">
        <v>383</v>
      </c>
    </row>
    <row r="14" spans="1:79">
      <c r="B14" t="s">
        <v>385</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386</v>
      </c>
      <c r="C15" s="25">
        <v>0</v>
      </c>
      <c r="D15" s="25">
        <v>0</v>
      </c>
      <c r="E15" s="25">
        <f>E14</f>
        <v>25.337</v>
      </c>
      <c r="F15" s="25">
        <f>F14+E15</f>
        <v>90.545000000000002</v>
      </c>
      <c r="G15" s="25">
        <f t="shared" ref="G15:R15" si="4">G14+F15</f>
        <v>260.27100000000002</v>
      </c>
      <c r="H15" s="25">
        <f t="shared" si="4"/>
        <v>1267.2249999999999</v>
      </c>
      <c r="I15" s="255">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387</v>
      </c>
      <c r="C16" s="251">
        <v>2.0000000000000001E-4</v>
      </c>
      <c r="D16" s="251">
        <f>D15/$R$6</f>
        <v>0</v>
      </c>
      <c r="E16" s="251">
        <f>E15/$R$15</f>
        <v>6.0699927153858588E-4</v>
      </c>
      <c r="F16" s="251">
        <f t="shared" ref="F16:R16" si="5">F15/$R$15</f>
        <v>2.1691892900288614E-3</v>
      </c>
      <c r="G16" s="251">
        <f t="shared" si="5"/>
        <v>6.2353201800773297E-3</v>
      </c>
      <c r="H16" s="251">
        <f t="shared" si="5"/>
        <v>3.0358947463215238E-2</v>
      </c>
      <c r="I16" s="251">
        <f t="shared" si="5"/>
        <v>0.14503662682524718</v>
      </c>
      <c r="J16" s="251">
        <f t="shared" si="5"/>
        <v>0.29386136320628048</v>
      </c>
      <c r="K16" s="251">
        <f t="shared" si="5"/>
        <v>0.4764746875649909</v>
      </c>
      <c r="L16" s="251">
        <f t="shared" si="5"/>
        <v>0.64572854178996053</v>
      </c>
      <c r="M16" s="251">
        <f t="shared" si="5"/>
        <v>0.77950550821233811</v>
      </c>
      <c r="N16" s="251">
        <f t="shared" si="5"/>
        <v>0.86166401075038179</v>
      </c>
      <c r="O16" s="251">
        <f t="shared" si="5"/>
        <v>0.92926550309128342</v>
      </c>
      <c r="P16" s="251">
        <f t="shared" si="5"/>
        <v>0.97671082003213072</v>
      </c>
      <c r="Q16" s="251">
        <f t="shared" si="5"/>
        <v>0.99995088808830346</v>
      </c>
      <c r="R16" s="251">
        <f t="shared" si="5"/>
        <v>1</v>
      </c>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251"/>
      <c r="AZ16" s="251"/>
      <c r="BA16" s="251"/>
      <c r="BB16" s="251"/>
      <c r="BC16" s="251"/>
      <c r="BD16" s="251"/>
      <c r="BE16" s="251"/>
      <c r="BF16" s="251"/>
      <c r="BG16" s="251"/>
      <c r="BH16" s="251"/>
      <c r="BI16" s="251"/>
      <c r="BJ16" s="251"/>
      <c r="BK16" s="251"/>
      <c r="BL16" s="251"/>
      <c r="BM16" s="251"/>
      <c r="BN16" s="251"/>
      <c r="BO16" s="251"/>
      <c r="BP16" s="251"/>
      <c r="BQ16" s="251"/>
      <c r="BR16" s="251"/>
      <c r="BS16" s="251"/>
      <c r="BT16" s="251"/>
      <c r="BU16" s="251"/>
      <c r="BV16" s="251"/>
      <c r="BW16" s="251"/>
      <c r="BX16" s="251"/>
      <c r="BY16" s="251"/>
      <c r="BZ16" s="251"/>
      <c r="CA16" s="251"/>
    </row>
    <row r="18" spans="1:79">
      <c r="B18" t="s">
        <v>389</v>
      </c>
      <c r="G18" s="252">
        <v>0</v>
      </c>
      <c r="H18" s="252">
        <f>884.52-175.093</f>
        <v>709.42700000000002</v>
      </c>
      <c r="I18" s="252">
        <f>2628.807-709</f>
        <v>1919.8069999999998</v>
      </c>
    </row>
    <row r="19" spans="1:79">
      <c r="B19" t="s">
        <v>45</v>
      </c>
      <c r="G19" s="252">
        <f>G18</f>
        <v>0</v>
      </c>
      <c r="H19" s="252">
        <f>H18+G19</f>
        <v>709.42700000000002</v>
      </c>
      <c r="I19" s="252">
        <f t="shared" ref="I19:R19" si="6">I18+H19</f>
        <v>2629.2339999999999</v>
      </c>
      <c r="J19" s="252">
        <f t="shared" si="6"/>
        <v>2629.2339999999999</v>
      </c>
      <c r="K19" s="252">
        <f t="shared" si="6"/>
        <v>2629.2339999999999</v>
      </c>
      <c r="L19" s="252">
        <f t="shared" si="6"/>
        <v>2629.2339999999999</v>
      </c>
      <c r="M19" s="252">
        <f t="shared" si="6"/>
        <v>2629.2339999999999</v>
      </c>
      <c r="N19" s="252">
        <f t="shared" si="6"/>
        <v>2629.2339999999999</v>
      </c>
      <c r="O19" s="252">
        <f t="shared" si="6"/>
        <v>2629.2339999999999</v>
      </c>
      <c r="P19" s="252">
        <f t="shared" si="6"/>
        <v>2629.2339999999999</v>
      </c>
      <c r="Q19" s="252">
        <f t="shared" si="6"/>
        <v>2629.2339999999999</v>
      </c>
      <c r="R19" s="252">
        <f t="shared" si="6"/>
        <v>2629.2339999999999</v>
      </c>
    </row>
    <row r="20" spans="1:79" s="251" customFormat="1">
      <c r="A20" s="253"/>
      <c r="G20" s="251">
        <f>G19/$R$15</f>
        <v>0</v>
      </c>
      <c r="H20" s="251">
        <f t="shared" ref="H20:R20" si="7">H19/$R$15</f>
        <v>1.6995763989809544E-2</v>
      </c>
      <c r="I20" s="251">
        <f t="shared" si="7"/>
        <v>6.2988638067035654E-2</v>
      </c>
      <c r="J20" s="251">
        <f t="shared" si="7"/>
        <v>6.2988638067035654E-2</v>
      </c>
      <c r="K20" s="251">
        <f t="shared" si="7"/>
        <v>6.2988638067035654E-2</v>
      </c>
      <c r="L20" s="251">
        <f t="shared" si="7"/>
        <v>6.2988638067035654E-2</v>
      </c>
      <c r="M20" s="251">
        <f t="shared" si="7"/>
        <v>6.2988638067035654E-2</v>
      </c>
      <c r="N20" s="251">
        <f t="shared" si="7"/>
        <v>6.2988638067035654E-2</v>
      </c>
      <c r="O20" s="251">
        <f t="shared" si="7"/>
        <v>6.2988638067035654E-2</v>
      </c>
      <c r="P20" s="251">
        <f t="shared" si="7"/>
        <v>6.2988638067035654E-2</v>
      </c>
      <c r="Q20" s="251">
        <f t="shared" si="7"/>
        <v>6.2988638067035654E-2</v>
      </c>
      <c r="R20" s="251">
        <f t="shared" si="7"/>
        <v>6.2988638067035654E-2</v>
      </c>
    </row>
    <row r="21" spans="1:79" s="251" customFormat="1">
      <c r="A21" s="253"/>
    </row>
    <row r="23" spans="1:79">
      <c r="A23" s="24" t="s">
        <v>384</v>
      </c>
    </row>
    <row r="25" spans="1:79">
      <c r="B25" t="s">
        <v>385</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386</v>
      </c>
      <c r="C26" s="25">
        <f>C25</f>
        <v>0</v>
      </c>
      <c r="D26" s="25">
        <f t="shared" ref="D26:R26" si="8">C26+D25</f>
        <v>0</v>
      </c>
      <c r="E26" s="25">
        <f t="shared" si="8"/>
        <v>33</v>
      </c>
      <c r="F26" s="25">
        <f t="shared" si="8"/>
        <v>138.708</v>
      </c>
      <c r="G26" s="25">
        <f t="shared" si="8"/>
        <v>252.24700000000001</v>
      </c>
      <c r="H26" s="25">
        <f t="shared" si="8"/>
        <v>926.9380000000001</v>
      </c>
      <c r="I26" s="255">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387</v>
      </c>
      <c r="C27" s="251">
        <v>0</v>
      </c>
      <c r="D27" s="251">
        <f>D26/$R$6</f>
        <v>0</v>
      </c>
      <c r="E27" s="251">
        <f>E26/$R$26</f>
        <v>8.6973095900647025E-4</v>
      </c>
      <c r="F27" s="251">
        <f t="shared" ref="F27:R27" si="9">F26/$R$26</f>
        <v>3.6557164200566507E-3</v>
      </c>
      <c r="G27" s="251">
        <f t="shared" si="9"/>
        <v>6.648091673227427E-3</v>
      </c>
      <c r="H27" s="251">
        <f t="shared" si="9"/>
        <v>2.442989926301635E-2</v>
      </c>
      <c r="I27" s="251">
        <f t="shared" si="9"/>
        <v>0.11741230898072597</v>
      </c>
      <c r="J27" s="251">
        <f t="shared" si="9"/>
        <v>0.2688716068369077</v>
      </c>
      <c r="K27" s="251">
        <f t="shared" si="9"/>
        <v>0.4672780067073653</v>
      </c>
      <c r="L27" s="251">
        <f t="shared" si="9"/>
        <v>0.65031391489413759</v>
      </c>
      <c r="M27" s="251">
        <f t="shared" si="9"/>
        <v>0.78330371152679235</v>
      </c>
      <c r="N27" s="251">
        <f t="shared" si="9"/>
        <v>0.87024855434901338</v>
      </c>
      <c r="O27" s="251">
        <f t="shared" si="9"/>
        <v>0.94764451555036799</v>
      </c>
      <c r="P27" s="251">
        <f t="shared" si="9"/>
        <v>0.9823592206029883</v>
      </c>
      <c r="Q27" s="251">
        <f t="shared" si="9"/>
        <v>0.99989194251721436</v>
      </c>
      <c r="R27" s="251">
        <f t="shared" si="9"/>
        <v>1</v>
      </c>
      <c r="S27" s="251"/>
      <c r="T27" s="251"/>
      <c r="U27" s="251"/>
      <c r="V27" s="251"/>
      <c r="W27" s="251"/>
      <c r="X27" s="251"/>
      <c r="Y27" s="251"/>
      <c r="Z27" s="251"/>
      <c r="AA27" s="251"/>
      <c r="AB27" s="251"/>
      <c r="AC27" s="251"/>
      <c r="AD27" s="251"/>
      <c r="AE27" s="251"/>
      <c r="AF27" s="251"/>
      <c r="AG27" s="251"/>
      <c r="AH27" s="251"/>
      <c r="AI27" s="251"/>
      <c r="AJ27" s="251"/>
      <c r="AK27" s="251"/>
      <c r="AL27" s="251"/>
      <c r="AM27" s="251"/>
      <c r="AN27" s="251"/>
      <c r="AO27" s="251"/>
      <c r="AP27" s="251"/>
      <c r="AQ27" s="251"/>
      <c r="AR27" s="251"/>
      <c r="AS27" s="251"/>
      <c r="AT27" s="251"/>
      <c r="AU27" s="251"/>
      <c r="AV27" s="251"/>
      <c r="AW27" s="251"/>
      <c r="AX27" s="251"/>
      <c r="AY27" s="251"/>
      <c r="AZ27" s="251"/>
      <c r="BA27" s="251"/>
      <c r="BB27" s="251"/>
      <c r="BC27" s="251"/>
      <c r="BD27" s="251"/>
      <c r="BE27" s="251"/>
      <c r="BF27" s="251"/>
      <c r="BG27" s="251"/>
      <c r="BH27" s="251"/>
      <c r="BI27" s="251"/>
      <c r="BJ27" s="251"/>
      <c r="BK27" s="251"/>
      <c r="BL27" s="251"/>
      <c r="BM27" s="251"/>
      <c r="BN27" s="251"/>
      <c r="BO27" s="251"/>
      <c r="BP27" s="251"/>
      <c r="BQ27" s="251"/>
      <c r="BR27" s="251"/>
      <c r="BS27" s="251"/>
      <c r="BT27" s="251"/>
      <c r="BU27" s="251"/>
      <c r="BV27" s="251"/>
      <c r="BW27" s="251"/>
      <c r="BX27" s="251"/>
      <c r="BY27" s="251"/>
      <c r="BZ27" s="251"/>
      <c r="CA27" s="251"/>
    </row>
    <row r="29" spans="1:79">
      <c r="B29" t="s">
        <v>389</v>
      </c>
      <c r="G29" s="252">
        <v>0</v>
      </c>
      <c r="H29" s="252">
        <f>1018.28-214.458</f>
        <v>803.822</v>
      </c>
      <c r="I29" s="252">
        <f>2301.095-804</f>
        <v>1497.0949999999998</v>
      </c>
    </row>
    <row r="30" spans="1:79">
      <c r="B30" t="s">
        <v>45</v>
      </c>
      <c r="G30" s="252">
        <f>G29</f>
        <v>0</v>
      </c>
      <c r="H30" s="252">
        <f>H29+G30</f>
        <v>803.822</v>
      </c>
      <c r="I30" s="252">
        <f t="shared" ref="I30:R30" si="10">I29+H30</f>
        <v>2300.9169999999999</v>
      </c>
      <c r="J30" s="252">
        <f t="shared" si="10"/>
        <v>2300.9169999999999</v>
      </c>
      <c r="K30" s="252">
        <f t="shared" si="10"/>
        <v>2300.9169999999999</v>
      </c>
      <c r="L30" s="252">
        <f t="shared" si="10"/>
        <v>2300.9169999999999</v>
      </c>
      <c r="M30" s="252">
        <f t="shared" si="10"/>
        <v>2300.9169999999999</v>
      </c>
      <c r="N30" s="252">
        <f t="shared" si="10"/>
        <v>2300.9169999999999</v>
      </c>
      <c r="O30" s="252">
        <f t="shared" si="10"/>
        <v>2300.9169999999999</v>
      </c>
      <c r="P30" s="252">
        <f t="shared" si="10"/>
        <v>2300.9169999999999</v>
      </c>
      <c r="Q30" s="252">
        <f t="shared" si="10"/>
        <v>2300.9169999999999</v>
      </c>
      <c r="R30" s="252">
        <f t="shared" si="10"/>
        <v>2300.9169999999999</v>
      </c>
    </row>
    <row r="31" spans="1:79" s="251" customFormat="1">
      <c r="A31" s="253"/>
      <c r="G31" s="251">
        <f>G30/$R$26</f>
        <v>0</v>
      </c>
      <c r="H31" s="251">
        <f t="shared" ref="H31:R31" si="11">H30/$R$26</f>
        <v>2.1185117543348453E-2</v>
      </c>
      <c r="I31" s="251">
        <f t="shared" si="11"/>
        <v>6.0641780272857285E-2</v>
      </c>
      <c r="J31" s="251">
        <f t="shared" si="11"/>
        <v>6.0641780272857285E-2</v>
      </c>
      <c r="K31" s="251">
        <f t="shared" si="11"/>
        <v>6.0641780272857285E-2</v>
      </c>
      <c r="L31" s="251">
        <f t="shared" si="11"/>
        <v>6.0641780272857285E-2</v>
      </c>
      <c r="M31" s="251">
        <f t="shared" si="11"/>
        <v>6.0641780272857285E-2</v>
      </c>
      <c r="N31" s="251">
        <f t="shared" si="11"/>
        <v>6.0641780272857285E-2</v>
      </c>
      <c r="O31" s="251">
        <f t="shared" si="11"/>
        <v>6.0641780272857285E-2</v>
      </c>
      <c r="P31" s="251">
        <f t="shared" si="11"/>
        <v>6.0641780272857285E-2</v>
      </c>
      <c r="Q31" s="251">
        <f t="shared" si="11"/>
        <v>6.0641780272857285E-2</v>
      </c>
      <c r="R31" s="251">
        <f t="shared" si="11"/>
        <v>6.0641780272857285E-2</v>
      </c>
    </row>
    <row r="32" spans="1:79" s="251" customFormat="1">
      <c r="A32" s="253"/>
    </row>
    <row r="33" spans="1:79" s="251" customFormat="1">
      <c r="A33" s="253"/>
    </row>
    <row r="34" spans="1:79" s="251" customFormat="1">
      <c r="A34" s="253"/>
    </row>
    <row r="36" spans="1:79">
      <c r="A36" s="24" t="s">
        <v>390</v>
      </c>
    </row>
    <row r="37" spans="1:79">
      <c r="B37" t="s">
        <v>385</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386</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387</v>
      </c>
      <c r="C39" s="251">
        <f>C38/$R$38</f>
        <v>1.0154146371527588E-4</v>
      </c>
      <c r="D39" s="251">
        <f t="shared" ref="D39:R39" si="14">D38/$R$38</f>
        <v>5.1800337971465117E-4</v>
      </c>
      <c r="E39" s="251">
        <f t="shared" si="14"/>
        <v>1.5642410353383118E-3</v>
      </c>
      <c r="F39" s="251">
        <f t="shared" si="14"/>
        <v>4.0691307955130719E-3</v>
      </c>
      <c r="G39" s="251">
        <f t="shared" si="14"/>
        <v>7.8902220928448695E-3</v>
      </c>
      <c r="H39" s="251">
        <f t="shared" si="14"/>
        <v>3.7835222590560227E-2</v>
      </c>
      <c r="I39" s="251">
        <f t="shared" si="14"/>
        <v>0.15018093263893953</v>
      </c>
      <c r="J39" s="251">
        <f t="shared" si="14"/>
        <v>0.32196064112689354</v>
      </c>
      <c r="K39" s="251">
        <f t="shared" si="14"/>
        <v>0.53058374003740227</v>
      </c>
      <c r="L39" s="251">
        <f t="shared" si="14"/>
        <v>0.70850506347543407</v>
      </c>
      <c r="M39" s="251">
        <f t="shared" si="14"/>
        <v>0.82460109569205564</v>
      </c>
      <c r="N39" s="251">
        <f t="shared" si="14"/>
        <v>0.89702867260428387</v>
      </c>
      <c r="O39" s="251">
        <f t="shared" si="14"/>
        <v>0.95863868057265322</v>
      </c>
      <c r="P39" s="251">
        <f t="shared" si="14"/>
        <v>0.98811490618550557</v>
      </c>
      <c r="Q39" s="251">
        <f t="shared" si="14"/>
        <v>0.99995547062165946</v>
      </c>
      <c r="R39" s="251">
        <f t="shared" si="14"/>
        <v>1</v>
      </c>
      <c r="S39" s="251"/>
      <c r="T39" s="251"/>
      <c r="U39" s="251"/>
      <c r="V39" s="251"/>
      <c r="W39" s="251"/>
      <c r="X39" s="251"/>
      <c r="Y39" s="251"/>
      <c r="Z39" s="251"/>
      <c r="AA39" s="251"/>
      <c r="AB39" s="251"/>
      <c r="AC39" s="251"/>
      <c r="AD39" s="251"/>
      <c r="AE39" s="251"/>
      <c r="AF39" s="251"/>
      <c r="AG39" s="251"/>
      <c r="AH39" s="251"/>
      <c r="AI39" s="251"/>
      <c r="AJ39" s="251"/>
      <c r="AK39" s="251"/>
      <c r="AL39" s="251"/>
      <c r="AM39" s="251"/>
      <c r="AN39" s="251"/>
      <c r="AO39" s="251"/>
      <c r="AP39" s="251"/>
      <c r="AQ39" s="251"/>
      <c r="AR39" s="251"/>
      <c r="AS39" s="251"/>
      <c r="AT39" s="251"/>
      <c r="AU39" s="251"/>
      <c r="AV39" s="251"/>
      <c r="AW39" s="251"/>
      <c r="AX39" s="251"/>
      <c r="AY39" s="251"/>
      <c r="AZ39" s="251"/>
      <c r="BA39" s="251"/>
      <c r="BB39" s="251"/>
      <c r="BC39" s="251"/>
      <c r="BD39" s="251"/>
      <c r="BE39" s="251"/>
      <c r="BF39" s="251"/>
      <c r="BG39" s="251"/>
      <c r="BH39" s="251"/>
      <c r="BI39" s="251"/>
      <c r="BJ39" s="251"/>
      <c r="BK39" s="251"/>
      <c r="BL39" s="251"/>
      <c r="BM39" s="251"/>
      <c r="BN39" s="251"/>
      <c r="BO39" s="251"/>
      <c r="BP39" s="251"/>
      <c r="BQ39" s="251"/>
      <c r="BR39" s="251"/>
      <c r="BS39" s="251"/>
      <c r="BT39" s="251"/>
      <c r="BU39" s="251"/>
      <c r="BV39" s="251"/>
      <c r="BW39" s="251"/>
      <c r="BX39" s="251"/>
      <c r="BY39" s="251"/>
      <c r="BZ39" s="251"/>
      <c r="CA39" s="251"/>
    </row>
    <row r="41" spans="1:79">
      <c r="B41" t="s">
        <v>389</v>
      </c>
      <c r="G41" s="252">
        <f>G29+G18+G9</f>
        <v>0</v>
      </c>
      <c r="H41" s="252">
        <f t="shared" ref="H41:R41" si="15">H29+H18+H9</f>
        <v>2378.6379999999999</v>
      </c>
      <c r="I41" s="252">
        <f t="shared" si="15"/>
        <v>7040.4470000000001</v>
      </c>
      <c r="J41" s="252">
        <f t="shared" si="15"/>
        <v>0</v>
      </c>
      <c r="K41" s="252">
        <f t="shared" si="15"/>
        <v>0</v>
      </c>
      <c r="L41" s="252">
        <f t="shared" si="15"/>
        <v>0</v>
      </c>
      <c r="M41" s="252">
        <f t="shared" si="15"/>
        <v>0</v>
      </c>
      <c r="N41" s="252">
        <f t="shared" si="15"/>
        <v>0</v>
      </c>
      <c r="O41" s="252">
        <f t="shared" si="15"/>
        <v>0</v>
      </c>
      <c r="P41" s="252">
        <f t="shared" si="15"/>
        <v>0</v>
      </c>
      <c r="Q41" s="252">
        <f t="shared" si="15"/>
        <v>0</v>
      </c>
      <c r="R41" s="252">
        <f t="shared" si="15"/>
        <v>0</v>
      </c>
    </row>
    <row r="42" spans="1:79">
      <c r="B42" t="s">
        <v>45</v>
      </c>
      <c r="G42" s="252">
        <f>G41</f>
        <v>0</v>
      </c>
      <c r="H42" s="252">
        <f>H41+G42</f>
        <v>2378.6379999999999</v>
      </c>
      <c r="I42" s="252">
        <f t="shared" ref="I42:R42" si="16">I41+H42</f>
        <v>9419.0849999999991</v>
      </c>
      <c r="J42" s="252">
        <f t="shared" si="16"/>
        <v>9419.0849999999991</v>
      </c>
      <c r="K42" s="252">
        <f t="shared" si="16"/>
        <v>9419.0849999999991</v>
      </c>
      <c r="L42" s="252">
        <f t="shared" si="16"/>
        <v>9419.0849999999991</v>
      </c>
      <c r="M42" s="252">
        <f t="shared" si="16"/>
        <v>9419.0849999999991</v>
      </c>
      <c r="N42" s="252">
        <f t="shared" si="16"/>
        <v>9419.0849999999991</v>
      </c>
      <c r="O42" s="252">
        <f t="shared" si="16"/>
        <v>9419.0849999999991</v>
      </c>
      <c r="P42" s="252">
        <f t="shared" si="16"/>
        <v>9419.0849999999991</v>
      </c>
      <c r="Q42" s="252">
        <f t="shared" si="16"/>
        <v>9419.0849999999991</v>
      </c>
      <c r="R42" s="252">
        <f t="shared" si="16"/>
        <v>9419.0849999999991</v>
      </c>
    </row>
    <row r="43" spans="1:79" s="251" customFormat="1">
      <c r="A43" s="253"/>
      <c r="G43" s="251">
        <f>G42/$R$38</f>
        <v>0</v>
      </c>
      <c r="H43" s="251">
        <f t="shared" ref="H43:R43" si="17">H42/$R$38</f>
        <v>1.7222645762177437E-2</v>
      </c>
      <c r="I43" s="251">
        <f t="shared" si="17"/>
        <v>6.8199349526426076E-2</v>
      </c>
      <c r="J43" s="251">
        <f t="shared" si="17"/>
        <v>6.8199349526426076E-2</v>
      </c>
      <c r="K43" s="251">
        <f t="shared" si="17"/>
        <v>6.8199349526426076E-2</v>
      </c>
      <c r="L43" s="251">
        <f t="shared" si="17"/>
        <v>6.8199349526426076E-2</v>
      </c>
      <c r="M43" s="251">
        <f t="shared" si="17"/>
        <v>6.8199349526426076E-2</v>
      </c>
      <c r="N43" s="251">
        <f t="shared" si="17"/>
        <v>6.8199349526426076E-2</v>
      </c>
      <c r="O43" s="251">
        <f t="shared" si="17"/>
        <v>6.8199349526426076E-2</v>
      </c>
      <c r="P43" s="251">
        <f t="shared" si="17"/>
        <v>6.8199349526426076E-2</v>
      </c>
      <c r="Q43" s="251">
        <f t="shared" si="17"/>
        <v>6.8199349526426076E-2</v>
      </c>
      <c r="R43" s="251">
        <f t="shared" si="17"/>
        <v>6.8199349526426076E-2</v>
      </c>
    </row>
    <row r="45" spans="1:79" s="4" customFormat="1" ht="13.8" thickBot="1">
      <c r="A45" s="21"/>
      <c r="G45" s="4" t="s">
        <v>500</v>
      </c>
      <c r="I45" s="368">
        <v>19947.871999999999</v>
      </c>
      <c r="J45" s="20">
        <f>I45+10717.074</f>
        <v>30664.946</v>
      </c>
    </row>
    <row r="46" spans="1:79" ht="16.2" thickBot="1">
      <c r="D46" t="s">
        <v>473</v>
      </c>
      <c r="I46" s="35">
        <f>I45-I42</f>
        <v>10528.787</v>
      </c>
      <c r="J46" s="369">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3.2"/>
  <cols>
    <col min="4" max="4" width="10.44140625" customWidth="1"/>
    <col min="5" max="5" width="14.88671875" bestFit="1" customWidth="1"/>
    <col min="6" max="6" width="2.88671875" customWidth="1"/>
  </cols>
  <sheetData>
    <row r="1" spans="1:5" ht="17.399999999999999">
      <c r="A1" s="43" t="s">
        <v>74</v>
      </c>
    </row>
    <row r="2" spans="1:5" ht="17.399999999999999">
      <c r="A2" s="43" t="s">
        <v>82</v>
      </c>
    </row>
    <row r="5" spans="1:5">
      <c r="A5" s="21" t="s">
        <v>83</v>
      </c>
    </row>
    <row r="6" spans="1:5">
      <c r="A6" t="s">
        <v>85</v>
      </c>
      <c r="E6" s="25">
        <v>26785396</v>
      </c>
    </row>
    <row r="7" spans="1:5">
      <c r="B7" t="s">
        <v>84</v>
      </c>
      <c r="E7" s="36">
        <f>32000000-E6</f>
        <v>5214604</v>
      </c>
    </row>
    <row r="8" spans="1:5">
      <c r="E8" s="35">
        <f>SUM(E6:E7)</f>
        <v>32000000</v>
      </c>
    </row>
    <row r="10" spans="1:5">
      <c r="A10" s="21" t="s">
        <v>86</v>
      </c>
    </row>
    <row r="11" spans="1:5">
      <c r="B11" t="s">
        <v>98</v>
      </c>
      <c r="E11" s="40">
        <v>1347000</v>
      </c>
    </row>
    <row r="12" spans="1:5">
      <c r="B12" t="s">
        <v>88</v>
      </c>
      <c r="E12" s="40">
        <v>500000</v>
      </c>
    </row>
    <row r="13" spans="1:5">
      <c r="B13" t="s">
        <v>95</v>
      </c>
      <c r="E13" s="41">
        <f>E11*0.1</f>
        <v>134700</v>
      </c>
    </row>
    <row r="14" spans="1:5">
      <c r="E14" s="40">
        <f>SUM(E11:E13)</f>
        <v>1981700</v>
      </c>
    </row>
    <row r="15" spans="1:5">
      <c r="E15" s="33"/>
    </row>
    <row r="16" spans="1:5">
      <c r="A16" s="21" t="s">
        <v>89</v>
      </c>
      <c r="E16" s="33"/>
    </row>
    <row r="17" spans="1:7">
      <c r="B17" t="s">
        <v>90</v>
      </c>
      <c r="E17" s="40">
        <v>27502700</v>
      </c>
    </row>
    <row r="18" spans="1:7">
      <c r="B18" t="s">
        <v>106</v>
      </c>
      <c r="E18" s="40">
        <f>3600000-E19</f>
        <v>2700000</v>
      </c>
    </row>
    <row r="19" spans="1:7">
      <c r="B19" t="s">
        <v>107</v>
      </c>
      <c r="E19" s="40">
        <v>900000</v>
      </c>
    </row>
    <row r="20" spans="1:7">
      <c r="B20" t="s">
        <v>91</v>
      </c>
      <c r="E20" s="44">
        <v>-700000</v>
      </c>
      <c r="G20" t="s">
        <v>101</v>
      </c>
    </row>
    <row r="21" spans="1:7">
      <c r="B21" t="s">
        <v>96</v>
      </c>
      <c r="E21" s="40">
        <v>1307660</v>
      </c>
    </row>
    <row r="22" spans="1:7">
      <c r="B22" t="s">
        <v>91</v>
      </c>
      <c r="E22" s="40">
        <v>-200500</v>
      </c>
      <c r="G22" t="s">
        <v>101</v>
      </c>
    </row>
    <row r="23" spans="1:7">
      <c r="B23" t="s">
        <v>100</v>
      </c>
      <c r="E23" s="40">
        <f>254805*5</f>
        <v>1274025</v>
      </c>
    </row>
    <row r="24" spans="1:7">
      <c r="B24" t="s">
        <v>91</v>
      </c>
      <c r="E24" s="40">
        <v>-100000</v>
      </c>
      <c r="G24" t="s">
        <v>101</v>
      </c>
    </row>
    <row r="25" spans="1:7">
      <c r="B25" t="s">
        <v>99</v>
      </c>
      <c r="E25" s="41">
        <f>E23*0.07</f>
        <v>89181.750000000015</v>
      </c>
    </row>
    <row r="26" spans="1:7">
      <c r="E26" s="42">
        <f>SUM(E17:E25)</f>
        <v>32773066.75</v>
      </c>
    </row>
    <row r="29" spans="1:7">
      <c r="A29" s="21" t="s">
        <v>92</v>
      </c>
    </row>
    <row r="30" spans="1:7">
      <c r="B30" s="37" t="s">
        <v>93</v>
      </c>
      <c r="E30" s="35">
        <f>27500000/4</f>
        <v>6875000</v>
      </c>
    </row>
    <row r="31" spans="1:7">
      <c r="B31" t="s">
        <v>94</v>
      </c>
      <c r="E31" s="35">
        <f>2000000/4</f>
        <v>500000</v>
      </c>
    </row>
    <row r="32" spans="1:7">
      <c r="B32" t="s">
        <v>87</v>
      </c>
      <c r="E32" s="36">
        <v>0</v>
      </c>
    </row>
    <row r="33" spans="1:7">
      <c r="E33" s="20">
        <f>SUM(E30:E32)</f>
        <v>7375000</v>
      </c>
    </row>
    <row r="34" spans="1:7">
      <c r="E34" s="20"/>
    </row>
    <row r="35" spans="1:7">
      <c r="A35" s="21" t="s">
        <v>97</v>
      </c>
      <c r="E35" s="46">
        <v>0</v>
      </c>
      <c r="G35" t="s">
        <v>108</v>
      </c>
    </row>
    <row r="36" spans="1:7" ht="8.25" customHeight="1">
      <c r="E36" s="30"/>
    </row>
    <row r="37" spans="1:7">
      <c r="A37" s="21" t="s">
        <v>103</v>
      </c>
      <c r="E37" s="47">
        <f>E35+E33+E26+E14+E8</f>
        <v>74129766.75</v>
      </c>
    </row>
    <row r="39" spans="1:7">
      <c r="A39" s="21" t="s">
        <v>102</v>
      </c>
      <c r="E39" s="48">
        <v>10870000</v>
      </c>
    </row>
    <row r="40" spans="1:7" ht="8.25" customHeight="1"/>
    <row r="41" spans="1:7" ht="13.8" thickBot="1">
      <c r="A41" s="21" t="s">
        <v>104</v>
      </c>
      <c r="E41" s="45">
        <f>E37+E39</f>
        <v>84999766.75</v>
      </c>
    </row>
    <row r="42" spans="1:7" ht="13.8"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ColWidth="9.109375" defaultRowHeight="13.2"/>
  <cols>
    <col min="1" max="1" width="11.33203125" style="35" customWidth="1"/>
    <col min="2" max="2" width="5.5546875" style="35" customWidth="1"/>
    <col min="3" max="3" width="11.33203125" style="35" bestFit="1" customWidth="1"/>
    <col min="4" max="4" width="3.33203125" style="35" customWidth="1"/>
    <col min="5" max="5" width="10.33203125" style="35" bestFit="1" customWidth="1"/>
    <col min="6" max="6" width="2.6640625" style="35" customWidth="1"/>
    <col min="7" max="7" width="13.44140625" style="35" bestFit="1" customWidth="1"/>
    <col min="8" max="8" width="2.33203125" style="35" customWidth="1"/>
    <col min="9" max="16384" width="9.109375" style="35"/>
  </cols>
  <sheetData>
    <row r="1" spans="1:7" ht="17.399999999999999">
      <c r="A1" s="34" t="s">
        <v>71</v>
      </c>
    </row>
    <row r="3" spans="1:7">
      <c r="C3" s="7" t="s">
        <v>78</v>
      </c>
      <c r="E3" s="7" t="s">
        <v>77</v>
      </c>
    </row>
    <row r="4" spans="1:7">
      <c r="C4" s="7" t="s">
        <v>79</v>
      </c>
      <c r="E4" s="7" t="s">
        <v>80</v>
      </c>
      <c r="G4" s="7" t="s">
        <v>119</v>
      </c>
    </row>
    <row r="5" spans="1:7">
      <c r="C5" s="7"/>
    </row>
    <row r="6" spans="1:7">
      <c r="A6" s="9" t="s">
        <v>73</v>
      </c>
      <c r="C6" s="35">
        <v>395276</v>
      </c>
      <c r="E6" s="35">
        <v>587051</v>
      </c>
      <c r="G6" s="35">
        <f>E6-C6</f>
        <v>191775</v>
      </c>
    </row>
    <row r="7" spans="1:7">
      <c r="A7" s="9"/>
      <c r="G7" s="35">
        <f t="shared" ref="G7:G14" si="0">E7-C7</f>
        <v>0</v>
      </c>
    </row>
    <row r="8" spans="1:7">
      <c r="A8" s="9" t="s">
        <v>75</v>
      </c>
      <c r="C8" s="35">
        <v>395276</v>
      </c>
      <c r="E8" s="35">
        <v>620100</v>
      </c>
      <c r="G8" s="35">
        <f t="shared" si="0"/>
        <v>224824</v>
      </c>
    </row>
    <row r="9" spans="1:7">
      <c r="A9" s="9"/>
    </row>
    <row r="10" spans="1:7">
      <c r="A10" s="9" t="s">
        <v>74</v>
      </c>
      <c r="C10" s="35">
        <v>395276</v>
      </c>
      <c r="E10" s="35">
        <v>641831</v>
      </c>
      <c r="G10" s="35">
        <f t="shared" si="0"/>
        <v>246555</v>
      </c>
    </row>
    <row r="11" spans="1:7">
      <c r="A11" s="9"/>
    </row>
    <row r="12" spans="1:7">
      <c r="A12" s="9" t="s">
        <v>72</v>
      </c>
      <c r="C12" s="36">
        <v>395276</v>
      </c>
      <c r="E12" s="36">
        <v>225000</v>
      </c>
      <c r="F12" s="35" t="s">
        <v>81</v>
      </c>
      <c r="G12" s="36">
        <f t="shared" si="0"/>
        <v>-170276</v>
      </c>
    </row>
    <row r="14" spans="1:7" s="9" customFormat="1">
      <c r="A14" s="9" t="s">
        <v>76</v>
      </c>
      <c r="C14" s="9">
        <f>SUM(C6:C12)</f>
        <v>1581104</v>
      </c>
      <c r="E14" s="9">
        <f>SUM(E6:E12)</f>
        <v>2073982</v>
      </c>
      <c r="G14" s="9">
        <f t="shared" si="0"/>
        <v>492878</v>
      </c>
    </row>
    <row r="16" spans="1:7">
      <c r="E16" s="35" t="s">
        <v>105</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3.2"/>
  <cols>
    <col min="1" max="1" width="2" bestFit="1" customWidth="1"/>
    <col min="2" max="3" width="4.6640625" customWidth="1"/>
  </cols>
  <sheetData>
    <row r="1" spans="1:4">
      <c r="B1" s="85" t="s">
        <v>133</v>
      </c>
    </row>
    <row r="3" spans="1:4">
      <c r="A3">
        <v>1</v>
      </c>
      <c r="B3" t="s">
        <v>141</v>
      </c>
    </row>
    <row r="5" spans="1:4">
      <c r="A5">
        <v>2</v>
      </c>
      <c r="B5" t="s">
        <v>134</v>
      </c>
    </row>
    <row r="6" spans="1:4">
      <c r="C6" t="s">
        <v>189</v>
      </c>
    </row>
    <row r="8" spans="1:4">
      <c r="A8">
        <v>3</v>
      </c>
      <c r="B8" t="s">
        <v>135</v>
      </c>
    </row>
    <row r="9" spans="1:4">
      <c r="C9" t="s">
        <v>136</v>
      </c>
    </row>
    <row r="10" spans="1:4">
      <c r="C10" t="s">
        <v>137</v>
      </c>
    </row>
    <row r="11" spans="1:4">
      <c r="C11" t="s">
        <v>138</v>
      </c>
    </row>
    <row r="12" spans="1:4">
      <c r="D12" t="s">
        <v>190</v>
      </c>
    </row>
    <row r="13" spans="1:4">
      <c r="D13" t="s">
        <v>139</v>
      </c>
    </row>
    <row r="15" spans="1:4">
      <c r="A15">
        <v>4</v>
      </c>
      <c r="B15" t="s">
        <v>134</v>
      </c>
    </row>
    <row r="16" spans="1:4">
      <c r="C16" t="s">
        <v>140</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06"/>
  <sheetViews>
    <sheetView tabSelected="1" zoomScale="90" zoomScaleNormal="90" zoomScaleSheetLayoutView="100" workbookViewId="0">
      <selection activeCell="A9" sqref="A9"/>
    </sheetView>
  </sheetViews>
  <sheetFormatPr defaultRowHeight="13.2"/>
  <cols>
    <col min="1" max="1" width="28.109375" style="175" customWidth="1"/>
    <col min="2" max="2" width="3.109375" style="175" customWidth="1"/>
    <col min="3" max="3" width="15" style="175" customWidth="1"/>
    <col min="4" max="4" width="2.44140625" style="175" customWidth="1"/>
    <col min="5" max="5" width="16.33203125" style="175" bestFit="1" customWidth="1"/>
    <col min="6" max="6" width="2.44140625" style="175" customWidth="1"/>
    <col min="7" max="7" width="15.6640625" style="175" bestFit="1" customWidth="1"/>
    <col min="8" max="8" width="2.44140625" style="175" customWidth="1"/>
    <col min="9" max="9" width="20.33203125" style="175" bestFit="1" customWidth="1"/>
    <col min="10" max="10" width="2.6640625" style="175" customWidth="1"/>
    <col min="11" max="11" width="17.109375" style="175" bestFit="1" customWidth="1"/>
    <col min="12" max="12" width="2.6640625" style="175" customWidth="1"/>
    <col min="13" max="13" width="13.33203125" style="175" bestFit="1" customWidth="1"/>
    <col min="14" max="14" width="2.6640625" style="175" customWidth="1"/>
    <col min="15" max="15" width="19.109375" style="175" bestFit="1" customWidth="1"/>
    <col min="16" max="18" width="0" hidden="1" customWidth="1"/>
    <col min="47" max="58" width="0" hidden="1" customWidth="1"/>
  </cols>
  <sheetData>
    <row r="1" spans="1:29" ht="15.6">
      <c r="A1" s="174" t="s">
        <v>128</v>
      </c>
    </row>
    <row r="2" spans="1:29" ht="15.6">
      <c r="A2" s="174" t="s">
        <v>171</v>
      </c>
      <c r="G2" s="176"/>
      <c r="J2" s="177" t="s">
        <v>125</v>
      </c>
      <c r="O2" s="176">
        <f ca="1">NOW()</f>
        <v>36558.409746990743</v>
      </c>
    </row>
    <row r="3" spans="1:29" ht="15.6">
      <c r="A3" s="178" t="s">
        <v>191</v>
      </c>
      <c r="G3" s="176"/>
      <c r="J3" s="177"/>
      <c r="O3" s="176"/>
    </row>
    <row r="4" spans="1:29" ht="15.6">
      <c r="A4" s="174" t="s">
        <v>187</v>
      </c>
      <c r="J4" s="177" t="s">
        <v>126</v>
      </c>
      <c r="O4" s="98" t="s">
        <v>571</v>
      </c>
    </row>
    <row r="5" spans="1:29" ht="15.6">
      <c r="A5" s="178" t="s">
        <v>570</v>
      </c>
      <c r="I5" s="26"/>
      <c r="O5" s="179"/>
    </row>
    <row r="6" spans="1:29" ht="16.2" thickBot="1">
      <c r="A6" s="174"/>
      <c r="I6" s="26"/>
      <c r="O6" s="179"/>
    </row>
    <row r="7" spans="1:29" ht="16.2" thickBot="1">
      <c r="A7" s="174"/>
      <c r="G7" s="165" t="s">
        <v>123</v>
      </c>
      <c r="H7" s="166"/>
      <c r="I7" s="166"/>
      <c r="J7" s="166"/>
      <c r="K7" s="167"/>
      <c r="L7" s="174"/>
      <c r="M7" s="174"/>
    </row>
    <row r="8" spans="1:29">
      <c r="A8" s="226" t="s">
        <v>275</v>
      </c>
      <c r="C8" s="180"/>
      <c r="E8" s="27" t="s">
        <v>44</v>
      </c>
      <c r="G8" s="86" t="s">
        <v>45</v>
      </c>
      <c r="H8" s="181"/>
      <c r="I8" s="87" t="s">
        <v>52</v>
      </c>
      <c r="J8" s="181"/>
      <c r="K8" s="88" t="s">
        <v>129</v>
      </c>
      <c r="M8" s="27" t="s">
        <v>142</v>
      </c>
      <c r="O8" s="27" t="s">
        <v>46</v>
      </c>
    </row>
    <row r="9" spans="1:29">
      <c r="A9" s="29" t="s">
        <v>287</v>
      </c>
      <c r="C9" s="29" t="s">
        <v>48</v>
      </c>
      <c r="E9" s="151" t="s">
        <v>289</v>
      </c>
      <c r="G9" s="89" t="str">
        <f>+O4</f>
        <v xml:space="preserve"> As of 1/31/00</v>
      </c>
      <c r="H9" s="182"/>
      <c r="I9" s="53" t="str">
        <f>+O4</f>
        <v xml:space="preserve"> As of 1/31/00</v>
      </c>
      <c r="J9" s="182"/>
      <c r="K9" s="90" t="str">
        <f>+O4</f>
        <v xml:space="preserve"> As of 1/31/00</v>
      </c>
      <c r="M9" s="28" t="s">
        <v>144</v>
      </c>
      <c r="O9" s="28" t="s">
        <v>47</v>
      </c>
    </row>
    <row r="10" spans="1:29">
      <c r="A10" s="180"/>
      <c r="C10" s="27"/>
      <c r="E10" s="180"/>
      <c r="G10" s="183"/>
      <c r="H10" s="182"/>
      <c r="I10" s="180"/>
      <c r="J10" s="182"/>
      <c r="K10" s="184"/>
      <c r="M10" s="180"/>
      <c r="O10" s="180"/>
    </row>
    <row r="11" spans="1:29">
      <c r="A11" s="185" t="s">
        <v>256</v>
      </c>
      <c r="C11" s="186">
        <v>608</v>
      </c>
      <c r="E11" s="188">
        <f>Wilton!R213/1000</f>
        <v>242742.22575000001</v>
      </c>
      <c r="F11" s="187"/>
      <c r="G11" s="189">
        <f>Wilton!BL213/1000</f>
        <v>164881.41074857814</v>
      </c>
      <c r="H11" s="182"/>
      <c r="I11" s="188">
        <f>K11-G11</f>
        <v>89854.919664189016</v>
      </c>
      <c r="J11" s="182"/>
      <c r="K11" s="190">
        <f>Wilton!BR213/1000</f>
        <v>254736.33041276716</v>
      </c>
      <c r="M11" s="188">
        <f>+E11-K11</f>
        <v>-11994.104662767146</v>
      </c>
      <c r="O11" s="191">
        <f>+G11/K11</f>
        <v>0.64726303657357875</v>
      </c>
    </row>
    <row r="12" spans="1:29">
      <c r="A12" s="192"/>
      <c r="C12" s="186"/>
      <c r="E12" s="193"/>
      <c r="F12" s="187"/>
      <c r="G12" s="194"/>
      <c r="H12" s="182"/>
      <c r="I12" s="193"/>
      <c r="J12" s="182"/>
      <c r="K12" s="195"/>
      <c r="M12" s="193"/>
      <c r="O12" s="196"/>
    </row>
    <row r="13" spans="1:29">
      <c r="A13" s="185" t="str">
        <f>Gleason!A3</f>
        <v>Gleason, TN</v>
      </c>
      <c r="C13" s="186">
        <v>509</v>
      </c>
      <c r="E13" s="188">
        <f>Gleason!R255/1000</f>
        <v>173641.71</v>
      </c>
      <c r="F13" s="187"/>
      <c r="G13" s="189">
        <f>Gleason!BN255/1000</f>
        <v>114244.80388117982</v>
      </c>
      <c r="H13" s="182"/>
      <c r="I13" s="188">
        <f>K13-G13</f>
        <v>61675.193711141488</v>
      </c>
      <c r="J13" s="182"/>
      <c r="K13" s="190">
        <f>Gleason!BT255/1000</f>
        <v>175919.99759232131</v>
      </c>
      <c r="M13" s="188">
        <f>+E13-K13</f>
        <v>-2278.2875923213142</v>
      </c>
      <c r="O13" s="191">
        <f>+G13/K13</f>
        <v>0.64941340066370301</v>
      </c>
    </row>
    <row r="14" spans="1:29">
      <c r="A14" s="192"/>
      <c r="C14" s="186"/>
      <c r="E14" s="193"/>
      <c r="F14" s="187"/>
      <c r="G14" s="194"/>
      <c r="H14" s="182"/>
      <c r="I14" s="193"/>
      <c r="J14" s="182"/>
      <c r="K14" s="195"/>
      <c r="M14" s="193"/>
      <c r="O14" s="196"/>
    </row>
    <row r="15" spans="1:29">
      <c r="A15" s="185" t="s">
        <v>196</v>
      </c>
      <c r="C15" s="186">
        <v>470</v>
      </c>
      <c r="E15" s="188">
        <f>Wheatland!R212/1000</f>
        <v>161517.94809999998</v>
      </c>
      <c r="F15" s="187"/>
      <c r="G15" s="189">
        <f>Wheatland!BL212/1000</f>
        <v>104602.37686364868</v>
      </c>
      <c r="H15" s="182"/>
      <c r="I15" s="188">
        <f>K15-G15</f>
        <v>57399.404196673626</v>
      </c>
      <c r="J15" s="182"/>
      <c r="K15" s="190">
        <f>Wheatland!BR212/1000</f>
        <v>162001.7810603223</v>
      </c>
      <c r="M15" s="188">
        <f>+E15-K15</f>
        <v>-483.83296032232465</v>
      </c>
      <c r="O15" s="191">
        <f>+G15/K15</f>
        <v>0.64568658553636138</v>
      </c>
      <c r="AC15" t="s">
        <v>155</v>
      </c>
    </row>
    <row r="16" spans="1:29" ht="8.25" customHeight="1">
      <c r="A16" s="192"/>
      <c r="B16" s="182"/>
      <c r="C16" s="197"/>
      <c r="D16" s="182"/>
      <c r="E16" s="197"/>
      <c r="F16" s="182"/>
      <c r="G16" s="198"/>
      <c r="H16" s="182"/>
      <c r="I16" s="197"/>
      <c r="J16" s="182"/>
      <c r="K16" s="199"/>
      <c r="L16" s="182"/>
      <c r="M16" s="197"/>
      <c r="N16" s="182"/>
      <c r="O16" s="192"/>
    </row>
    <row r="17" spans="1:29">
      <c r="A17" s="200" t="s">
        <v>269</v>
      </c>
      <c r="B17" s="201"/>
      <c r="C17" s="202">
        <f>SUM(C11:C15)</f>
        <v>1587</v>
      </c>
      <c r="D17" s="182"/>
      <c r="E17" s="203">
        <f>SUM(E11:E15)</f>
        <v>577901.88384999998</v>
      </c>
      <c r="F17" s="204"/>
      <c r="G17" s="205">
        <f>SUM(G11:G15)</f>
        <v>383728.59149340668</v>
      </c>
      <c r="H17" s="204"/>
      <c r="I17" s="203">
        <f>SUM(I11:I15)</f>
        <v>208929.51757200414</v>
      </c>
      <c r="J17" s="182"/>
      <c r="K17" s="206">
        <f>SUM(K11:K15)</f>
        <v>592658.1090654108</v>
      </c>
      <c r="L17" s="182"/>
      <c r="M17" s="203">
        <f>SUM(M10:M15)</f>
        <v>-14756.225215410785</v>
      </c>
      <c r="N17" s="182"/>
      <c r="O17" s="207">
        <f>+G17/K17</f>
        <v>0.64747041443257314</v>
      </c>
    </row>
    <row r="18" spans="1:29" ht="13.8" thickBot="1">
      <c r="A18" s="208" t="s">
        <v>51</v>
      </c>
      <c r="B18" s="201"/>
      <c r="C18" s="208"/>
      <c r="D18" s="182"/>
      <c r="E18" s="209">
        <f>E17/C17</f>
        <v>364.14737482671705</v>
      </c>
      <c r="F18" s="204"/>
      <c r="G18" s="210"/>
      <c r="H18" s="211"/>
      <c r="I18" s="212"/>
      <c r="J18" s="213"/>
      <c r="K18" s="214">
        <f>+K17/C17</f>
        <v>373.44556336824877</v>
      </c>
      <c r="L18" s="182"/>
      <c r="M18" s="209"/>
      <c r="N18" s="182"/>
      <c r="O18" s="215"/>
    </row>
    <row r="19" spans="1:29" s="33" customFormat="1">
      <c r="A19" s="216"/>
      <c r="B19" s="216"/>
      <c r="C19" s="216"/>
      <c r="D19" s="217"/>
      <c r="E19" s="204"/>
      <c r="F19" s="204"/>
      <c r="G19" s="204"/>
      <c r="H19" s="204"/>
      <c r="I19" s="204"/>
      <c r="J19" s="217"/>
      <c r="K19" s="204"/>
      <c r="L19" s="217"/>
      <c r="M19" s="204"/>
      <c r="N19" s="217"/>
      <c r="O19" s="218"/>
    </row>
    <row r="20" spans="1:29" ht="16.2" hidden="1" thickBot="1">
      <c r="A20" s="174"/>
      <c r="C20"/>
      <c r="G20" s="165" t="s">
        <v>123</v>
      </c>
      <c r="H20" s="166"/>
      <c r="I20" s="166"/>
      <c r="J20" s="166"/>
      <c r="K20" s="167"/>
      <c r="L20" s="174"/>
      <c r="M20" s="174"/>
      <c r="O20"/>
    </row>
    <row r="21" spans="1:29" hidden="1">
      <c r="A21" s="226" t="s">
        <v>274</v>
      </c>
      <c r="C21"/>
      <c r="E21" s="27" t="s">
        <v>44</v>
      </c>
      <c r="G21" s="86" t="s">
        <v>45</v>
      </c>
      <c r="H21" s="181"/>
      <c r="I21" s="87" t="s">
        <v>52</v>
      </c>
      <c r="J21" s="181"/>
      <c r="K21" s="88" t="s">
        <v>129</v>
      </c>
      <c r="M21" s="27" t="s">
        <v>142</v>
      </c>
      <c r="O21"/>
    </row>
    <row r="22" spans="1:29" hidden="1">
      <c r="A22" s="29" t="s">
        <v>49</v>
      </c>
      <c r="C22"/>
      <c r="E22" s="151" t="str">
        <f>E9</f>
        <v>as of 7/22/99</v>
      </c>
      <c r="G22" s="89" t="str">
        <f>G9</f>
        <v xml:space="preserve"> As of 1/31/00</v>
      </c>
      <c r="H22" s="182"/>
      <c r="I22" s="53" t="str">
        <f>I9</f>
        <v xml:space="preserve"> As of 1/31/00</v>
      </c>
      <c r="J22" s="182"/>
      <c r="K22" s="90" t="str">
        <f>K9</f>
        <v xml:space="preserve"> As of 1/31/00</v>
      </c>
      <c r="M22" s="28" t="s">
        <v>144</v>
      </c>
      <c r="O22"/>
    </row>
    <row r="23" spans="1:29" hidden="1">
      <c r="A23" s="180"/>
      <c r="C23"/>
      <c r="E23" s="180"/>
      <c r="G23" s="183"/>
      <c r="H23" s="182"/>
      <c r="I23" s="180"/>
      <c r="J23" s="182"/>
      <c r="K23" s="184"/>
      <c r="M23" s="180"/>
      <c r="O23"/>
    </row>
    <row r="24" spans="1:29" hidden="1">
      <c r="A24" s="185" t="s">
        <v>256</v>
      </c>
      <c r="C24"/>
      <c r="E24" s="188">
        <v>1500</v>
      </c>
      <c r="F24" s="187"/>
      <c r="G24" s="189">
        <v>0</v>
      </c>
      <c r="H24" s="182"/>
      <c r="I24" s="188">
        <f>K24-G24</f>
        <v>1500</v>
      </c>
      <c r="J24" s="182"/>
      <c r="K24" s="190">
        <v>1500</v>
      </c>
      <c r="M24" s="188">
        <f>+E24-K24</f>
        <v>0</v>
      </c>
      <c r="O24"/>
    </row>
    <row r="25" spans="1:29" hidden="1">
      <c r="A25" s="192"/>
      <c r="C25"/>
      <c r="E25" s="193"/>
      <c r="F25" s="187"/>
      <c r="G25" s="194"/>
      <c r="H25" s="182"/>
      <c r="I25" s="193"/>
      <c r="J25" s="182"/>
      <c r="K25" s="195"/>
      <c r="M25" s="193"/>
      <c r="O25"/>
    </row>
    <row r="26" spans="1:29" hidden="1">
      <c r="A26" s="185" t="str">
        <f>+'Calvert City'!$A$3</f>
        <v>Calvert City, KY</v>
      </c>
      <c r="C26"/>
      <c r="E26" s="188">
        <v>1500</v>
      </c>
      <c r="F26" s="187"/>
      <c r="G26" s="189">
        <v>0</v>
      </c>
      <c r="H26" s="182"/>
      <c r="I26" s="188">
        <f>K26-G26</f>
        <v>1500</v>
      </c>
      <c r="J26" s="182"/>
      <c r="K26" s="190">
        <v>1500</v>
      </c>
      <c r="M26" s="188">
        <f>+E26-K26</f>
        <v>0</v>
      </c>
      <c r="O26"/>
    </row>
    <row r="27" spans="1:29" hidden="1">
      <c r="A27" s="192"/>
      <c r="C27"/>
      <c r="E27" s="193"/>
      <c r="F27" s="187"/>
      <c r="G27" s="194"/>
      <c r="H27" s="182"/>
      <c r="I27" s="193"/>
      <c r="J27" s="182"/>
      <c r="K27" s="195"/>
      <c r="M27" s="193"/>
      <c r="O27"/>
    </row>
    <row r="28" spans="1:29" hidden="1">
      <c r="A28" s="185" t="s">
        <v>196</v>
      </c>
      <c r="C28"/>
      <c r="E28" s="188">
        <v>1500</v>
      </c>
      <c r="F28" s="187"/>
      <c r="G28" s="189">
        <v>0</v>
      </c>
      <c r="H28" s="182"/>
      <c r="I28" s="188">
        <f>K28-G28</f>
        <v>1500</v>
      </c>
      <c r="J28" s="182"/>
      <c r="K28" s="190">
        <v>1500</v>
      </c>
      <c r="M28" s="188">
        <f>+E28-K28</f>
        <v>0</v>
      </c>
      <c r="O28"/>
      <c r="AC28" t="s">
        <v>155</v>
      </c>
    </row>
    <row r="29" spans="1:29" ht="8.25" hidden="1" customHeight="1">
      <c r="A29" s="192"/>
      <c r="B29" s="182"/>
      <c r="C29"/>
      <c r="D29" s="182"/>
      <c r="E29" s="197"/>
      <c r="F29" s="182"/>
      <c r="G29" s="198"/>
      <c r="H29" s="182"/>
      <c r="I29" s="197"/>
      <c r="J29" s="182"/>
      <c r="K29" s="199"/>
      <c r="L29" s="182"/>
      <c r="M29" s="197"/>
      <c r="N29" s="182"/>
      <c r="O29"/>
    </row>
    <row r="30" spans="1:29" hidden="1">
      <c r="A30" s="225" t="s">
        <v>269</v>
      </c>
      <c r="B30" s="201"/>
      <c r="C30"/>
      <c r="D30" s="182"/>
      <c r="E30" s="222">
        <f>SUM(E24:E28)</f>
        <v>4500</v>
      </c>
      <c r="F30" s="204"/>
      <c r="G30" s="224">
        <f>SUM(G24:G28)</f>
        <v>0</v>
      </c>
      <c r="H30" s="204"/>
      <c r="I30" s="222">
        <f>SUM(I24:I28)</f>
        <v>4500</v>
      </c>
      <c r="J30" s="182"/>
      <c r="K30" s="223">
        <f>SUM(K24:K28)</f>
        <v>4500</v>
      </c>
      <c r="L30" s="182"/>
      <c r="M30" s="222">
        <f>SUM(M23:M28)</f>
        <v>0</v>
      </c>
      <c r="N30" s="182"/>
      <c r="O30"/>
    </row>
    <row r="31" spans="1:29" s="33" customFormat="1" hidden="1">
      <c r="A31" s="216"/>
      <c r="B31" s="216"/>
      <c r="C31"/>
      <c r="D31" s="217"/>
      <c r="E31" s="204"/>
      <c r="F31" s="204"/>
      <c r="G31" s="204"/>
      <c r="H31" s="204"/>
      <c r="I31" s="204"/>
      <c r="J31" s="217"/>
      <c r="K31" s="204"/>
      <c r="L31" s="217"/>
      <c r="M31" s="204"/>
      <c r="N31" s="217"/>
      <c r="O31"/>
    </row>
    <row r="32" spans="1:29" s="33" customFormat="1" ht="13.8" thickBot="1">
      <c r="A32" s="216"/>
      <c r="B32" s="216"/>
      <c r="C32" s="216"/>
      <c r="D32" s="217"/>
      <c r="E32" s="204"/>
      <c r="F32" s="204"/>
      <c r="G32" s="204"/>
      <c r="H32" s="204"/>
      <c r="I32" s="204"/>
      <c r="J32" s="217"/>
      <c r="K32" s="204"/>
      <c r="L32" s="217"/>
      <c r="M32" s="204"/>
      <c r="N32" s="217"/>
      <c r="O32" s="218"/>
    </row>
    <row r="33" spans="1:29" ht="16.2" thickBot="1">
      <c r="A33" s="135" t="s">
        <v>202</v>
      </c>
      <c r="G33" s="165" t="s">
        <v>123</v>
      </c>
      <c r="H33" s="166"/>
      <c r="I33" s="166"/>
      <c r="J33" s="166"/>
      <c r="K33" s="167"/>
      <c r="L33" s="174"/>
      <c r="M33" s="174"/>
    </row>
    <row r="34" spans="1:29">
      <c r="A34" s="192"/>
      <c r="E34" s="27" t="s">
        <v>44</v>
      </c>
      <c r="G34" s="86" t="s">
        <v>45</v>
      </c>
      <c r="H34" s="181"/>
      <c r="I34" s="87" t="s">
        <v>52</v>
      </c>
      <c r="J34" s="181"/>
      <c r="K34" s="88" t="s">
        <v>129</v>
      </c>
    </row>
    <row r="35" spans="1:29">
      <c r="A35" s="29" t="s">
        <v>49</v>
      </c>
      <c r="E35" s="151">
        <v>36433</v>
      </c>
      <c r="G35" s="89" t="str">
        <f>O4</f>
        <v xml:space="preserve"> As of 1/31/00</v>
      </c>
      <c r="H35" s="182"/>
      <c r="I35" s="53" t="str">
        <f>O4</f>
        <v xml:space="preserve"> As of 1/31/00</v>
      </c>
      <c r="J35" s="182"/>
      <c r="K35" s="90" t="str">
        <f>O4</f>
        <v xml:space="preserve"> As of 1/31/00</v>
      </c>
    </row>
    <row r="36" spans="1:29">
      <c r="A36" s="180"/>
      <c r="E36" s="180"/>
      <c r="G36" s="183"/>
      <c r="H36" s="182"/>
      <c r="I36" s="180"/>
      <c r="J36" s="182"/>
      <c r="K36" s="184"/>
    </row>
    <row r="37" spans="1:29">
      <c r="A37" s="185" t="s">
        <v>198</v>
      </c>
      <c r="E37" s="188"/>
      <c r="F37" s="187"/>
      <c r="G37" s="189">
        <f>Wilton!BL231/1000</f>
        <v>299.52427</v>
      </c>
      <c r="H37" s="182"/>
      <c r="I37" s="188"/>
      <c r="J37" s="182"/>
      <c r="K37" s="190">
        <f>+I37+G37</f>
        <v>299.52427</v>
      </c>
    </row>
    <row r="38" spans="1:29">
      <c r="A38" s="192"/>
      <c r="E38" s="193"/>
      <c r="F38" s="187"/>
      <c r="G38" s="194"/>
      <c r="H38" s="182"/>
      <c r="I38" s="193"/>
      <c r="J38" s="182"/>
      <c r="K38" s="195"/>
    </row>
    <row r="39" spans="1:29">
      <c r="A39" s="185" t="s">
        <v>297</v>
      </c>
      <c r="E39" s="188">
        <v>1513</v>
      </c>
      <c r="F39" s="187"/>
      <c r="G39" s="189">
        <f>'Calvert City'!BN205/1000</f>
        <v>1401.0854433333327</v>
      </c>
      <c r="H39" s="182"/>
      <c r="I39" s="188">
        <f>E39-G39</f>
        <v>111.91455666666729</v>
      </c>
      <c r="J39" s="182"/>
      <c r="K39" s="190">
        <f>+I39+G39</f>
        <v>1513</v>
      </c>
    </row>
    <row r="40" spans="1:29">
      <c r="A40" s="192"/>
      <c r="E40" s="193"/>
      <c r="F40" s="187"/>
      <c r="G40" s="194"/>
      <c r="H40" s="182"/>
      <c r="I40" s="193"/>
      <c r="J40" s="182"/>
      <c r="K40" s="195"/>
    </row>
    <row r="41" spans="1:29">
      <c r="A41" s="185" t="s">
        <v>201</v>
      </c>
      <c r="E41" s="188"/>
      <c r="F41" s="187"/>
      <c r="G41" s="189">
        <f>Wheatland!BL230/1000</f>
        <v>15.1</v>
      </c>
      <c r="H41" s="182"/>
      <c r="I41" s="188"/>
      <c r="J41" s="182"/>
      <c r="K41" s="190">
        <f>+I41+G41</f>
        <v>15.1</v>
      </c>
      <c r="AC41" t="s">
        <v>155</v>
      </c>
    </row>
    <row r="42" spans="1:29" ht="8.25" customHeight="1">
      <c r="A42" s="192"/>
      <c r="B42" s="182"/>
      <c r="D42" s="182"/>
      <c r="E42" s="197"/>
      <c r="F42" s="182"/>
      <c r="G42" s="198"/>
      <c r="H42" s="182"/>
      <c r="I42" s="197"/>
      <c r="J42" s="182"/>
      <c r="K42" s="199"/>
      <c r="L42" s="182"/>
    </row>
    <row r="43" spans="1:29" ht="13.8" thickBot="1">
      <c r="A43" s="208" t="s">
        <v>50</v>
      </c>
      <c r="B43" s="201"/>
      <c r="D43" s="182"/>
      <c r="E43" s="209">
        <f>SUM(E37:E41)</f>
        <v>1513</v>
      </c>
      <c r="F43" s="204"/>
      <c r="G43" s="210">
        <f>SUM(G37:G41)</f>
        <v>1715.7097133333327</v>
      </c>
      <c r="H43" s="211"/>
      <c r="I43" s="212">
        <f>SUM(I37:I41)</f>
        <v>111.91455666666729</v>
      </c>
      <c r="J43" s="213"/>
      <c r="K43" s="214">
        <f>SUM(K37:K41)</f>
        <v>1827.6242699999998</v>
      </c>
      <c r="L43" s="182"/>
    </row>
    <row r="44" spans="1:29" ht="13.8" thickBot="1"/>
    <row r="45" spans="1:29" ht="13.8" thickBot="1">
      <c r="A45" s="440" t="s">
        <v>207</v>
      </c>
      <c r="B45" s="441"/>
      <c r="C45" s="441"/>
      <c r="D45" s="441"/>
      <c r="E45" s="441"/>
      <c r="F45" s="441"/>
      <c r="G45" s="441"/>
      <c r="H45" s="441"/>
      <c r="I45" s="441"/>
      <c r="J45" s="441"/>
      <c r="K45" s="441"/>
      <c r="L45" s="221"/>
      <c r="M45" s="221"/>
      <c r="N45" s="221"/>
      <c r="O45" s="221"/>
      <c r="P45" s="163"/>
      <c r="Q45" s="164"/>
    </row>
    <row r="46" spans="1:29">
      <c r="A46" s="95"/>
      <c r="B46"/>
      <c r="C46" s="33"/>
      <c r="D46" s="33"/>
      <c r="E46" s="33"/>
      <c r="F46" s="33"/>
      <c r="G46" s="33"/>
      <c r="H46" s="33"/>
      <c r="I46" s="33"/>
      <c r="J46" s="33"/>
      <c r="K46" s="33"/>
      <c r="L46" s="33"/>
      <c r="M46"/>
      <c r="N46"/>
      <c r="O46"/>
    </row>
    <row r="47" spans="1:29">
      <c r="A47" s="152" t="s">
        <v>206</v>
      </c>
      <c r="B47"/>
      <c r="C47" s="154" t="s">
        <v>208</v>
      </c>
      <c r="D47" s="33"/>
      <c r="E47" s="153" t="s">
        <v>270</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206</v>
      </c>
      <c r="B49"/>
      <c r="C49" s="147">
        <v>36363</v>
      </c>
      <c r="D49" s="33"/>
      <c r="E49" s="33" t="s">
        <v>288</v>
      </c>
      <c r="F49" s="33"/>
      <c r="G49"/>
      <c r="H49" s="33"/>
      <c r="I49" s="33"/>
      <c r="J49" s="33"/>
      <c r="K49" s="33"/>
      <c r="L49"/>
      <c r="M49"/>
      <c r="N49"/>
      <c r="O49"/>
    </row>
    <row r="50" spans="1:15" ht="13.8" thickBot="1">
      <c r="A50"/>
      <c r="B50"/>
      <c r="C50"/>
      <c r="D50"/>
      <c r="E50"/>
      <c r="F50"/>
      <c r="G50"/>
      <c r="H50"/>
      <c r="I50"/>
      <c r="J50"/>
      <c r="K50"/>
      <c r="L50"/>
      <c r="M50"/>
      <c r="N50"/>
      <c r="O50"/>
    </row>
    <row r="51" spans="1:15" s="233" customFormat="1" hidden="1">
      <c r="O51" s="232"/>
    </row>
    <row r="52" spans="1:15" hidden="1"/>
    <row r="53" spans="1:15" ht="13.8" hidden="1" thickBot="1"/>
    <row r="54" spans="1:15" ht="13.8" thickBot="1">
      <c r="A54" s="440" t="s">
        <v>143</v>
      </c>
      <c r="B54" s="441"/>
      <c r="C54" s="441"/>
      <c r="D54" s="441"/>
      <c r="E54" s="441"/>
      <c r="F54" s="441"/>
      <c r="G54" s="441"/>
      <c r="H54" s="441"/>
      <c r="I54" s="441"/>
      <c r="J54" s="441"/>
      <c r="K54" s="441"/>
      <c r="L54" s="163"/>
      <c r="M54" s="163"/>
      <c r="N54" s="163"/>
      <c r="O54" s="164"/>
    </row>
    <row r="56" spans="1:15">
      <c r="J56" s="219"/>
    </row>
    <row r="57" spans="1:15">
      <c r="A57" s="227" t="s">
        <v>256</v>
      </c>
      <c r="C57" s="228">
        <f>Wilton!BT196/1000</f>
        <v>-207.06</v>
      </c>
      <c r="E57" s="219" t="s">
        <v>282</v>
      </c>
      <c r="F57" s="219"/>
      <c r="G57" s="219"/>
      <c r="H57" s="219"/>
      <c r="I57" s="219"/>
      <c r="J57" s="219"/>
    </row>
    <row r="58" spans="1:15">
      <c r="A58" s="182"/>
      <c r="C58" s="228">
        <f>Wilton!BT124/1000</f>
        <v>-10411.332</v>
      </c>
      <c r="E58" s="175" t="s">
        <v>470</v>
      </c>
    </row>
    <row r="59" spans="1:15">
      <c r="A59" s="182"/>
      <c r="C59" s="228">
        <f>Wilton!BT12/1000</f>
        <v>-1832</v>
      </c>
      <c r="E59" s="175" t="s">
        <v>376</v>
      </c>
    </row>
    <row r="60" spans="1:15">
      <c r="A60" s="182"/>
      <c r="C60" s="228">
        <f>Wilton!BT15/1000</f>
        <v>-37.448</v>
      </c>
      <c r="E60" s="175" t="s">
        <v>379</v>
      </c>
    </row>
    <row r="61" spans="1:15">
      <c r="A61" s="182"/>
      <c r="C61" s="228">
        <v>-3000</v>
      </c>
      <c r="E61" s="175" t="s">
        <v>377</v>
      </c>
    </row>
    <row r="62" spans="1:15">
      <c r="A62" s="182"/>
      <c r="C62" s="228">
        <f>(Wilton!BT167+Wilton!BT134)/1000</f>
        <v>-210.81814000000014</v>
      </c>
      <c r="E62" s="175" t="s">
        <v>499</v>
      </c>
    </row>
    <row r="63" spans="1:15">
      <c r="A63" s="182"/>
      <c r="C63" s="228">
        <f>Wilton!BT176/1000</f>
        <v>-200</v>
      </c>
      <c r="E63" s="175" t="s">
        <v>575</v>
      </c>
    </row>
    <row r="64" spans="1:15">
      <c r="A64" s="182"/>
      <c r="C64" s="228">
        <f>Wilton!BT206/1000</f>
        <v>559.01707723283948</v>
      </c>
      <c r="E64" s="175" t="s">
        <v>574</v>
      </c>
    </row>
    <row r="65" spans="1:12">
      <c r="A65" s="182"/>
      <c r="C65" s="228">
        <f>(Wilton!BT197-Wilton!BT196-Wilton!BT195)/1000</f>
        <v>-284.06969000000004</v>
      </c>
      <c r="E65" s="175" t="s">
        <v>495</v>
      </c>
    </row>
    <row r="66" spans="1:12">
      <c r="A66" s="182"/>
      <c r="C66" s="228">
        <f>-Wilton!BR195/1000</f>
        <v>-191.01289000000003</v>
      </c>
      <c r="E66" s="175" t="s">
        <v>496</v>
      </c>
    </row>
    <row r="67" spans="1:12">
      <c r="A67" s="182"/>
      <c r="C67" s="228">
        <f>Wilton!BT204/1000</f>
        <v>-252.20846</v>
      </c>
      <c r="E67" s="175" t="s">
        <v>505</v>
      </c>
    </row>
    <row r="68" spans="1:12">
      <c r="A68" s="182"/>
      <c r="C68" s="315">
        <v>4408.0720000000001</v>
      </c>
      <c r="E68" s="182" t="s">
        <v>378</v>
      </c>
      <c r="F68" s="182"/>
      <c r="G68" s="182"/>
      <c r="H68" s="182"/>
      <c r="I68" s="182"/>
    </row>
    <row r="69" spans="1:12">
      <c r="A69" s="182"/>
      <c r="C69" s="315">
        <f>Wilton!BT186/1000</f>
        <v>-116.24850000000001</v>
      </c>
      <c r="E69" s="182" t="s">
        <v>492</v>
      </c>
      <c r="F69" s="182"/>
      <c r="G69" s="182"/>
      <c r="H69" s="182"/>
      <c r="I69" s="182"/>
    </row>
    <row r="70" spans="1:12">
      <c r="A70" s="182"/>
      <c r="C70" s="315">
        <f>Wilton!BT156/1000</f>
        <v>-218.55581000000004</v>
      </c>
      <c r="E70" s="182" t="s">
        <v>498</v>
      </c>
      <c r="F70" s="182"/>
      <c r="G70" s="182"/>
      <c r="H70" s="182"/>
      <c r="I70" s="182"/>
    </row>
    <row r="71" spans="1:12" ht="13.8" thickBot="1">
      <c r="A71" s="182"/>
      <c r="C71" s="322">
        <f>SUM(C57:C70)</f>
        <v>-11993.664412767159</v>
      </c>
      <c r="D71" s="316"/>
      <c r="E71" s="317" t="s">
        <v>472</v>
      </c>
      <c r="F71" s="316"/>
      <c r="G71" s="316"/>
      <c r="H71" s="316"/>
      <c r="I71" s="316"/>
      <c r="J71" s="316"/>
      <c r="K71" s="316"/>
      <c r="L71" s="182"/>
    </row>
    <row r="72" spans="1:12" ht="13.8" thickTop="1">
      <c r="A72" s="182"/>
      <c r="C72" s="228"/>
    </row>
    <row r="73" spans="1:12">
      <c r="A73" s="182"/>
      <c r="C73" s="228"/>
    </row>
    <row r="74" spans="1:12">
      <c r="A74" s="227" t="s">
        <v>298</v>
      </c>
      <c r="C74" s="228">
        <f>Gleason!BV238/1000</f>
        <v>-32.203279999999999</v>
      </c>
      <c r="E74" s="219" t="s">
        <v>282</v>
      </c>
      <c r="F74" s="219"/>
      <c r="G74" s="219"/>
      <c r="H74" s="219"/>
      <c r="I74" s="219"/>
    </row>
    <row r="75" spans="1:12">
      <c r="A75" s="227"/>
      <c r="C75" s="315">
        <f>Gleason!BV133/1000</f>
        <v>-3860.0135599999994</v>
      </c>
      <c r="D75" s="182"/>
      <c r="E75" s="175" t="s">
        <v>470</v>
      </c>
      <c r="F75" s="217"/>
      <c r="G75" s="217"/>
      <c r="H75" s="217"/>
      <c r="I75" s="217"/>
      <c r="J75" s="182"/>
      <c r="K75" s="182"/>
    </row>
    <row r="76" spans="1:12">
      <c r="A76" s="227"/>
      <c r="C76" s="315">
        <f>Gleason!BV16/1000</f>
        <v>-1981.0440000000001</v>
      </c>
      <c r="E76" s="175" t="s">
        <v>376</v>
      </c>
      <c r="F76" s="217"/>
      <c r="G76" s="217"/>
      <c r="H76" s="217"/>
      <c r="I76" s="217"/>
      <c r="J76" s="182"/>
      <c r="K76" s="182"/>
    </row>
    <row r="77" spans="1:12">
      <c r="A77" s="227"/>
      <c r="C77" s="315">
        <f>Gleason!BV33/1000</f>
        <v>-138.80000000000001</v>
      </c>
      <c r="E77" s="175" t="s">
        <v>538</v>
      </c>
      <c r="F77" s="217"/>
      <c r="G77" s="217"/>
      <c r="H77" s="217"/>
      <c r="I77" s="217"/>
      <c r="J77" s="182"/>
      <c r="K77" s="182"/>
    </row>
    <row r="78" spans="1:12">
      <c r="A78" s="227"/>
      <c r="C78" s="315">
        <f>Gleason!BV218/1000</f>
        <v>-1690.117</v>
      </c>
      <c r="E78" s="175" t="s">
        <v>501</v>
      </c>
      <c r="F78" s="217"/>
      <c r="G78" s="217"/>
      <c r="H78" s="217"/>
      <c r="I78" s="217"/>
      <c r="J78" s="182"/>
      <c r="K78" s="182"/>
    </row>
    <row r="79" spans="1:12">
      <c r="A79" s="227"/>
      <c r="C79" s="315">
        <f>Gleason!BV237/1000</f>
        <v>-191.01290000000003</v>
      </c>
      <c r="E79" s="175" t="s">
        <v>496</v>
      </c>
      <c r="F79" s="217"/>
      <c r="G79" s="217"/>
      <c r="H79" s="217"/>
      <c r="I79" s="217"/>
      <c r="J79" s="182"/>
      <c r="K79" s="182"/>
    </row>
    <row r="80" spans="1:12">
      <c r="A80" s="227"/>
      <c r="C80" s="315">
        <f>Gleason!BV247/1000</f>
        <v>232.08725767870433</v>
      </c>
      <c r="E80" s="175" t="s">
        <v>574</v>
      </c>
      <c r="F80" s="217"/>
      <c r="G80" s="217"/>
      <c r="H80" s="217"/>
      <c r="I80" s="217"/>
      <c r="J80" s="182"/>
      <c r="K80" s="182"/>
    </row>
    <row r="81" spans="1:15">
      <c r="A81" s="227"/>
      <c r="C81" s="315">
        <f>Gleason!BV245/1000</f>
        <v>-252.20846000000003</v>
      </c>
      <c r="E81" s="175" t="s">
        <v>506</v>
      </c>
      <c r="F81" s="217"/>
      <c r="G81" s="217"/>
      <c r="H81" s="217"/>
      <c r="I81" s="217"/>
      <c r="J81" s="182"/>
      <c r="K81" s="182"/>
    </row>
    <row r="82" spans="1:15">
      <c r="A82" s="227"/>
      <c r="C82" s="315">
        <f>Gleason!BV185/1000</f>
        <v>-14.5</v>
      </c>
      <c r="E82" s="175" t="s">
        <v>539</v>
      </c>
      <c r="F82" s="217"/>
      <c r="G82" s="217"/>
      <c r="H82" s="217"/>
      <c r="I82" s="217"/>
      <c r="J82" s="182"/>
      <c r="K82" s="182"/>
    </row>
    <row r="83" spans="1:15">
      <c r="A83" s="227"/>
      <c r="C83" s="315">
        <f>Gleason!BV195/1000</f>
        <v>-23.038399999999964</v>
      </c>
      <c r="E83" s="175" t="s">
        <v>540</v>
      </c>
      <c r="F83" s="217"/>
      <c r="G83" s="217"/>
      <c r="H83" s="217"/>
      <c r="I83" s="217"/>
      <c r="J83" s="182"/>
      <c r="K83" s="182"/>
    </row>
    <row r="84" spans="1:15">
      <c r="A84" s="227"/>
      <c r="C84" s="315">
        <f>Gleason!BV251/1000</f>
        <v>5423.4979999999996</v>
      </c>
      <c r="D84" s="182"/>
      <c r="E84" s="182" t="s">
        <v>378</v>
      </c>
      <c r="F84" s="217"/>
      <c r="G84" s="217"/>
      <c r="H84" s="217"/>
      <c r="I84" s="217"/>
      <c r="J84" s="182"/>
      <c r="K84" s="182"/>
    </row>
    <row r="85" spans="1:15" s="30" customFormat="1">
      <c r="A85" s="227"/>
      <c r="B85" s="182"/>
      <c r="C85" s="247">
        <f>Gleason!BV141/1000</f>
        <v>250</v>
      </c>
      <c r="D85" s="248"/>
      <c r="E85" s="370" t="s">
        <v>502</v>
      </c>
      <c r="F85" s="314"/>
      <c r="G85" s="314"/>
      <c r="H85" s="314"/>
      <c r="I85" s="314"/>
      <c r="J85" s="248"/>
      <c r="K85" s="248"/>
      <c r="L85" s="182"/>
      <c r="M85" s="182"/>
      <c r="N85" s="182"/>
      <c r="O85" s="182"/>
    </row>
    <row r="86" spans="1:15">
      <c r="A86" s="227"/>
      <c r="C86" s="323">
        <f>SUM(C74:C85)</f>
        <v>-2277.3523423212964</v>
      </c>
      <c r="D86" s="182"/>
      <c r="E86" s="324" t="s">
        <v>469</v>
      </c>
      <c r="F86" s="217"/>
      <c r="G86" s="217"/>
      <c r="H86" s="217"/>
      <c r="I86" s="217"/>
      <c r="J86" s="182"/>
      <c r="K86" s="182"/>
    </row>
    <row r="87" spans="1:15">
      <c r="A87" s="182"/>
      <c r="C87" s="228"/>
      <c r="E87" s="219"/>
      <c r="F87" s="219"/>
      <c r="G87" s="219"/>
      <c r="H87" s="219"/>
      <c r="I87" s="219"/>
    </row>
    <row r="88" spans="1:15">
      <c r="A88" s="182"/>
      <c r="C88" s="228">
        <f>Gleason!BT129/1000</f>
        <v>-3387.761</v>
      </c>
      <c r="E88" s="175" t="s">
        <v>572</v>
      </c>
    </row>
    <row r="89" spans="1:15" ht="13.8" thickBot="1">
      <c r="A89" s="182"/>
      <c r="C89" s="321">
        <f>SUM(C86:C88)</f>
        <v>-5665.1133423212959</v>
      </c>
      <c r="D89" s="316"/>
      <c r="E89" s="317" t="s">
        <v>472</v>
      </c>
      <c r="F89" s="316"/>
      <c r="G89" s="318"/>
      <c r="H89" s="319"/>
      <c r="I89" s="320"/>
      <c r="J89" s="316"/>
      <c r="K89" s="316"/>
    </row>
    <row r="90" spans="1:15" ht="13.8" thickTop="1">
      <c r="A90" s="182"/>
      <c r="C90" s="228"/>
      <c r="E90" s="219"/>
      <c r="F90" s="219"/>
      <c r="G90" s="219"/>
      <c r="H90" s="219"/>
      <c r="I90" s="219"/>
    </row>
    <row r="91" spans="1:15">
      <c r="A91" s="227" t="s">
        <v>196</v>
      </c>
      <c r="C91" s="228">
        <f>Wheatland!BT195/1000</f>
        <v>-159.23316999999997</v>
      </c>
      <c r="E91" s="219" t="s">
        <v>282</v>
      </c>
    </row>
    <row r="92" spans="1:15">
      <c r="C92" s="228">
        <f>Wheatland!BT127/1000</f>
        <v>-2702.085</v>
      </c>
      <c r="E92" s="175" t="s">
        <v>471</v>
      </c>
    </row>
    <row r="93" spans="1:15">
      <c r="A93" s="231"/>
      <c r="B93" s="232"/>
      <c r="C93" s="228">
        <f>Wheatland!BT12/1000</f>
        <v>-297.80099999999999</v>
      </c>
      <c r="D93" s="232"/>
      <c r="E93" s="175" t="s">
        <v>376</v>
      </c>
      <c r="F93" s="232"/>
      <c r="G93" s="232"/>
      <c r="H93" s="232"/>
      <c r="I93" s="232"/>
      <c r="J93" s="232"/>
      <c r="K93" s="232"/>
      <c r="L93" s="232"/>
      <c r="M93" s="232"/>
      <c r="N93" s="232"/>
    </row>
    <row r="94" spans="1:15">
      <c r="C94" s="228">
        <f>Wheatland!BT32/1000</f>
        <v>-78.48</v>
      </c>
      <c r="E94" s="175" t="s">
        <v>379</v>
      </c>
    </row>
    <row r="95" spans="1:15">
      <c r="C95" s="228">
        <f>Wheatland!BT166/1000</f>
        <v>-606.26886000000013</v>
      </c>
      <c r="E95" s="175" t="s">
        <v>458</v>
      </c>
    </row>
    <row r="96" spans="1:15">
      <c r="C96" s="228">
        <f>Wheatland!BT194/1000</f>
        <v>-195.04080999999999</v>
      </c>
      <c r="E96" s="175" t="s">
        <v>507</v>
      </c>
    </row>
    <row r="97" spans="1:15">
      <c r="C97" s="228">
        <f>Wheatland!BT203/1000</f>
        <v>-52.208460000000024</v>
      </c>
      <c r="E97" s="175" t="s">
        <v>506</v>
      </c>
    </row>
    <row r="98" spans="1:15">
      <c r="C98" s="228">
        <f>Wheatland!BT205/1000</f>
        <v>283.1323396776952</v>
      </c>
      <c r="E98" s="175" t="s">
        <v>545</v>
      </c>
    </row>
    <row r="99" spans="1:15">
      <c r="A99" s="231"/>
      <c r="B99" s="232"/>
      <c r="C99" s="247">
        <v>3324.1521000000002</v>
      </c>
      <c r="D99" s="429"/>
      <c r="E99" s="248" t="s">
        <v>378</v>
      </c>
      <c r="F99" s="429"/>
      <c r="G99" s="429"/>
      <c r="H99" s="429"/>
      <c r="I99" s="429"/>
      <c r="J99" s="428"/>
      <c r="K99" s="428"/>
      <c r="L99" s="232"/>
      <c r="M99" s="232"/>
    </row>
    <row r="100" spans="1:15" ht="14.25" customHeight="1">
      <c r="C100" s="430">
        <f>SUM(C91:C99)</f>
        <v>-483.83286032230444</v>
      </c>
      <c r="D100" s="182"/>
      <c r="E100" s="428" t="s">
        <v>472</v>
      </c>
      <c r="F100" s="182"/>
      <c r="G100" s="182"/>
      <c r="H100" s="182"/>
      <c r="I100" s="182"/>
      <c r="J100" s="182"/>
      <c r="K100" s="182"/>
    </row>
    <row r="102" spans="1:15">
      <c r="C102" s="228">
        <f>Wheatland!BR123/1000</f>
        <v>-3953.393</v>
      </c>
      <c r="E102" s="175" t="s">
        <v>572</v>
      </c>
    </row>
    <row r="103" spans="1:15" ht="13.8" thickBot="1">
      <c r="A103"/>
      <c r="B103"/>
      <c r="C103" s="321">
        <f>C100+C102</f>
        <v>-4437.2258603223045</v>
      </c>
      <c r="D103" s="316"/>
      <c r="E103" s="317" t="s">
        <v>472</v>
      </c>
      <c r="F103" s="316"/>
      <c r="G103" s="318"/>
      <c r="H103" s="319"/>
      <c r="I103" s="320"/>
      <c r="J103" s="316"/>
      <c r="K103" s="316"/>
      <c r="L103"/>
      <c r="M103"/>
      <c r="N103"/>
      <c r="O103"/>
    </row>
    <row r="104" spans="1:15" ht="13.8" thickTop="1">
      <c r="A104"/>
      <c r="B104"/>
      <c r="C104"/>
      <c r="D104"/>
      <c r="E104"/>
      <c r="F104"/>
      <c r="G104"/>
      <c r="H104"/>
      <c r="I104"/>
      <c r="J104"/>
      <c r="K104"/>
      <c r="L104"/>
      <c r="M104"/>
      <c r="N104"/>
      <c r="O104"/>
    </row>
    <row r="105" spans="1:15">
      <c r="B105" s="26"/>
      <c r="C105" s="177"/>
    </row>
    <row r="106" spans="1:15">
      <c r="A106" s="220" t="str">
        <f ca="1">CELL("FILENAME")</f>
        <v>O:\Fin_Ops\Engysvc\PowerPlants\2000 Plants\Weekly Report\[2000 Weekly Report - 013100.xls]Summary</v>
      </c>
      <c r="B106" s="177"/>
      <c r="C106" s="177"/>
    </row>
  </sheetData>
  <mergeCells count="2">
    <mergeCell ref="A54:K54"/>
    <mergeCell ref="A45:K45"/>
  </mergeCells>
  <printOptions horizontalCentered="1"/>
  <pageMargins left="0.25" right="0.25" top="0.5" bottom="0.5" header="0.5" footer="0.5"/>
  <pageSetup scale="46"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87"/>
  <sheetViews>
    <sheetView zoomScale="80" zoomScaleNormal="66" workbookViewId="0">
      <pane xSplit="19" ySplit="8" topLeftCell="T9" activePane="bottomRight" state="frozen"/>
      <selection activeCell="C35" sqref="C35"/>
      <selection pane="topRight" activeCell="C35" sqref="C35"/>
      <selection pane="bottomLeft" activeCell="C35" sqref="C35"/>
      <selection pane="bottomRight" activeCell="R7" sqref="R7"/>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10937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9.109375" style="6" hidden="1" customWidth="1"/>
    <col min="35" max="35" width="1.44140625" style="6" hidden="1" customWidth="1"/>
    <col min="36" max="36" width="19.44140625" style="6" hidden="1" customWidth="1"/>
    <col min="37" max="37" width="1" hidden="1" customWidth="1"/>
    <col min="38" max="38" width="19.44140625" style="6" hidden="1" customWidth="1"/>
    <col min="39" max="39" width="0.88671875" hidden="1" customWidth="1"/>
    <col min="40" max="40" width="17.88671875" style="6" hidden="1" customWidth="1"/>
    <col min="41" max="41" width="0.88671875" style="6" hidden="1" customWidth="1"/>
    <col min="42" max="42" width="17.88671875" style="6" hidden="1" customWidth="1"/>
    <col min="43" max="43" width="0.5546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2.5546875" style="6" bestFit="1" customWidth="1"/>
    <col min="69" max="69" width="1.6640625" style="6" customWidth="1"/>
    <col min="70" max="70" width="20.88671875" style="6" customWidth="1"/>
    <col min="71" max="71" width="1.6640625" style="6" customWidth="1"/>
    <col min="72" max="72" width="22.3320312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- 013100.xls]Summary</v>
      </c>
    </row>
    <row r="3" spans="1:74" s="18" customFormat="1" ht="15.6">
      <c r="A3" s="99" t="s">
        <v>256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36558.409747106482</v>
      </c>
      <c r="BR3" s="23"/>
      <c r="BT3" s="78" t="str">
        <f>Summary!A5</f>
        <v>Revision # 43</v>
      </c>
    </row>
    <row r="4" spans="1:74" s="18" customFormat="1" ht="15.6">
      <c r="A4" s="94"/>
      <c r="B4" s="19">
        <f>Summary!C11</f>
        <v>608</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c r="AJ4" s="82" t="s">
        <v>123</v>
      </c>
      <c r="AK4"/>
      <c r="AL4" s="82" t="s">
        <v>123</v>
      </c>
      <c r="AM4"/>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c r="AJ5" s="82" t="s">
        <v>124</v>
      </c>
      <c r="AK5"/>
      <c r="AL5" s="82" t="s">
        <v>124</v>
      </c>
      <c r="AM5"/>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t="s">
        <v>373</v>
      </c>
    </row>
    <row r="6" spans="1:74"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1/31/00</v>
      </c>
      <c r="U7" s="96"/>
      <c r="V7" s="82" t="str">
        <f>+Summary!$O$4</f>
        <v xml:space="preserve"> As of 1/31/00</v>
      </c>
      <c r="W7" s="69"/>
      <c r="X7" s="82" t="str">
        <f>+Summary!$O$4</f>
        <v xml:space="preserve"> As of 1/31/00</v>
      </c>
      <c r="Y7" s="69"/>
      <c r="Z7" s="82" t="str">
        <f>+Summary!$O$4</f>
        <v xml:space="preserve"> As of 1/31/00</v>
      </c>
      <c r="AA7" s="69"/>
      <c r="AB7" s="82" t="str">
        <f>+Summary!$O$4</f>
        <v xml:space="preserve"> As of 1/31/00</v>
      </c>
      <c r="AC7" s="69"/>
      <c r="AD7" s="82" t="str">
        <f>+Summary!$O$4</f>
        <v xml:space="preserve"> As of 1/31/00</v>
      </c>
      <c r="AE7" s="69"/>
      <c r="AF7" s="82" t="str">
        <f>+Summary!$O$4</f>
        <v xml:space="preserve"> As of 1/31/00</v>
      </c>
      <c r="AG7" s="69"/>
      <c r="AH7" s="82" t="str">
        <f>+Summary!$O$4</f>
        <v xml:space="preserve"> As of 1/31/00</v>
      </c>
      <c r="AI7"/>
      <c r="AJ7" s="82" t="str">
        <f>+Summary!$O$4</f>
        <v xml:space="preserve"> As of 1/31/00</v>
      </c>
      <c r="AK7"/>
      <c r="AL7" s="82" t="str">
        <f>+Summary!$O$4</f>
        <v xml:space="preserve"> As of 1/31/00</v>
      </c>
      <c r="AM7"/>
      <c r="AN7" s="82" t="str">
        <f>+Summary!$O$4</f>
        <v xml:space="preserve"> As of 1/31/00</v>
      </c>
      <c r="AO7" s="69"/>
      <c r="AP7" s="82" t="str">
        <f>+Summary!$O$4</f>
        <v xml:space="preserve"> As of 1/31/00</v>
      </c>
      <c r="AQ7" s="69"/>
      <c r="AR7" s="82" t="str">
        <f>+Summary!$O$4</f>
        <v xml:space="preserve"> As of 1/31/00</v>
      </c>
      <c r="AS7" s="69"/>
      <c r="AT7" s="82" t="str">
        <f>+Summary!$O$4</f>
        <v xml:space="preserve"> As of 1/31/00</v>
      </c>
      <c r="AU7" s="82"/>
      <c r="AV7" s="82" t="str">
        <f>+Summary!$O$4</f>
        <v xml:space="preserve"> As of 1/31/00</v>
      </c>
      <c r="AW7" s="82"/>
      <c r="AX7" s="82" t="str">
        <f>+Summary!$O$4</f>
        <v xml:space="preserve"> As of 1/31/00</v>
      </c>
      <c r="AY7" s="82"/>
      <c r="AZ7" s="82" t="str">
        <f>+Summary!$O$4</f>
        <v xml:space="preserve"> As of 1/31/00</v>
      </c>
      <c r="BA7" s="82"/>
      <c r="BB7" s="82" t="str">
        <f>+Summary!$O$4</f>
        <v xml:space="preserve"> As of 1/31/00</v>
      </c>
      <c r="BC7" s="82"/>
      <c r="BD7" s="82" t="str">
        <f>+Summary!$O$4</f>
        <v xml:space="preserve"> As of 1/31/00</v>
      </c>
      <c r="BE7" s="82"/>
      <c r="BF7" s="82" t="str">
        <f>+Summary!$O$4</f>
        <v xml:space="preserve"> As of 1/31/00</v>
      </c>
      <c r="BG7" s="82"/>
      <c r="BH7" s="82" t="str">
        <f>+Summary!$O$4</f>
        <v xml:space="preserve"> As of 1/31/00</v>
      </c>
      <c r="BI7" s="82"/>
      <c r="BJ7" s="82" t="str">
        <f>+Summary!$O$4</f>
        <v xml:space="preserve"> As of 1/31/00</v>
      </c>
      <c r="BL7" s="71" t="str">
        <f>+Summary!$O$4</f>
        <v xml:space="preserve"> As of 1/31/00</v>
      </c>
      <c r="BN7" s="64" t="str">
        <f>+Summary!$O$4</f>
        <v xml:space="preserve"> As of 1/31/00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265</v>
      </c>
      <c r="C9"/>
      <c r="D9"/>
      <c r="E9"/>
      <c r="F9"/>
      <c r="G9"/>
      <c r="H9"/>
      <c r="I9"/>
      <c r="J9" s="49" t="s">
        <v>0</v>
      </c>
      <c r="K9"/>
      <c r="L9" s="134" t="s">
        <v>204</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0</v>
      </c>
      <c r="AX9" s="6">
        <v>0</v>
      </c>
      <c r="AZ9" s="6">
        <v>0</v>
      </c>
      <c r="BB9" s="6">
        <v>0</v>
      </c>
      <c r="BD9" s="6">
        <v>0</v>
      </c>
      <c r="BF9" s="6">
        <v>0</v>
      </c>
      <c r="BH9" s="6">
        <v>0</v>
      </c>
      <c r="BJ9" s="6">
        <v>0</v>
      </c>
      <c r="BK9" s="6"/>
      <c r="BL9" s="6">
        <f>SUM(T9:BK9)</f>
        <v>121636002.06999999</v>
      </c>
      <c r="BM9" s="6"/>
      <c r="BN9" s="6">
        <f>142064940-R9-192000</f>
        <v>1832000</v>
      </c>
      <c r="BO9" s="6"/>
      <c r="BP9" s="6">
        <f>IF(+R9-BL9+BN9&gt;0,R9-BL9+BN9,0)</f>
        <v>20236937.930000007</v>
      </c>
      <c r="BR9" s="6">
        <f>+BL9+BP9</f>
        <v>141872940</v>
      </c>
      <c r="BT9" s="6">
        <f>+R9-BR9</f>
        <v>-1832000</v>
      </c>
      <c r="BU9" s="6"/>
    </row>
    <row r="10" spans="1:74">
      <c r="A10" s="93"/>
      <c r="B10" s="17" t="s">
        <v>122</v>
      </c>
      <c r="C10"/>
      <c r="D10"/>
      <c r="E10"/>
      <c r="F10"/>
      <c r="G10"/>
      <c r="H10"/>
      <c r="I10"/>
      <c r="J10" s="49" t="s">
        <v>0</v>
      </c>
      <c r="K10"/>
      <c r="L10" s="134" t="s">
        <v>204</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170</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0</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121636002.06999999</v>
      </c>
      <c r="BM12" s="6"/>
      <c r="BN12" s="101">
        <f>SUM(BN9:BN11)</f>
        <v>1832000</v>
      </c>
      <c r="BO12" s="6"/>
      <c r="BP12" s="101">
        <f>SUM(BP9:BP11)</f>
        <v>20428937.930000007</v>
      </c>
      <c r="BR12" s="101">
        <f>SUM(BR9:BR11)</f>
        <v>142064940</v>
      </c>
      <c r="BT12" s="101">
        <f>SUM(BT9:BT11)</f>
        <v>-1832000</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223</v>
      </c>
      <c r="C15"/>
      <c r="D15"/>
      <c r="E15"/>
      <c r="F15"/>
      <c r="G15"/>
      <c r="H15"/>
      <c r="I15"/>
      <c r="J15" s="49" t="s">
        <v>0</v>
      </c>
      <c r="K15"/>
      <c r="L15" s="134" t="s">
        <v>204</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V15" s="6">
        <v>0</v>
      </c>
      <c r="AX15" s="6">
        <v>0</v>
      </c>
      <c r="AZ15" s="6">
        <v>0</v>
      </c>
      <c r="BB15" s="6">
        <v>0</v>
      </c>
      <c r="BD15" s="6">
        <v>0</v>
      </c>
      <c r="BF15" s="6">
        <v>0</v>
      </c>
      <c r="BH15" s="6">
        <v>0</v>
      </c>
      <c r="BJ15" s="6">
        <v>0</v>
      </c>
      <c r="BK15" s="6"/>
      <c r="BL15" s="6">
        <f>SUM(T15:BK15)</f>
        <v>5324443.2</v>
      </c>
      <c r="BM15" s="6"/>
      <c r="BN15" s="6">
        <f>5916048-5878600</f>
        <v>37448</v>
      </c>
      <c r="BO15" s="6"/>
      <c r="BP15" s="6">
        <f t="shared" ref="BP15:BP30" si="1">IF(+R15-BL15+BN15&gt;0,R15-BL15+BN15,0)</f>
        <v>591604.79999999981</v>
      </c>
      <c r="BR15" s="6">
        <f t="shared" si="0"/>
        <v>5916048</v>
      </c>
      <c r="BT15" s="6">
        <f>+R15-BR15</f>
        <v>-37448</v>
      </c>
      <c r="BU15" s="6"/>
    </row>
    <row r="16" spans="1:74">
      <c r="A16" s="57"/>
      <c r="B16" s="17" t="s">
        <v>226</v>
      </c>
      <c r="C16"/>
      <c r="D16"/>
      <c r="E16"/>
      <c r="F16"/>
      <c r="G16"/>
      <c r="H16"/>
      <c r="I16"/>
      <c r="J16" s="49" t="s">
        <v>0</v>
      </c>
      <c r="K16"/>
      <c r="L16" s="134" t="s">
        <v>204</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227</v>
      </c>
      <c r="C17"/>
      <c r="D17"/>
      <c r="E17"/>
      <c r="F17"/>
      <c r="G17"/>
      <c r="H17"/>
      <c r="I17"/>
      <c r="J17" s="49" t="s">
        <v>0</v>
      </c>
      <c r="K17"/>
      <c r="L17" s="134" t="s">
        <v>204</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224</v>
      </c>
      <c r="C18"/>
      <c r="D18"/>
      <c r="E18"/>
      <c r="F18"/>
      <c r="G18"/>
      <c r="H18"/>
      <c r="I18"/>
      <c r="J18" s="49" t="s">
        <v>0</v>
      </c>
      <c r="K18"/>
      <c r="L18" s="134" t="s">
        <v>204</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225</v>
      </c>
      <c r="C19"/>
      <c r="D19"/>
      <c r="E19"/>
      <c r="F19"/>
      <c r="G19"/>
      <c r="H19"/>
      <c r="I19"/>
      <c r="J19" s="49" t="s">
        <v>0</v>
      </c>
      <c r="K19"/>
      <c r="L19" s="134" t="s">
        <v>204</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204</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204</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204</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204</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204</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204</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204</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204</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122</v>
      </c>
      <c r="C29"/>
      <c r="D29"/>
      <c r="E29"/>
      <c r="F29"/>
      <c r="G29"/>
      <c r="H29"/>
      <c r="I29"/>
      <c r="J29" s="49" t="s">
        <v>0</v>
      </c>
      <c r="K29"/>
      <c r="L29" s="134" t="s">
        <v>204</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228</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0</v>
      </c>
      <c r="BA31" s="12"/>
      <c r="BB31" s="101">
        <f>SUM(BB14:BB30)</f>
        <v>0</v>
      </c>
      <c r="BC31" s="12"/>
      <c r="BD31" s="101">
        <f>SUM(BD14:BD30)</f>
        <v>0</v>
      </c>
      <c r="BE31" s="12"/>
      <c r="BF31" s="101">
        <f>SUM(BF14:BF30)</f>
        <v>0</v>
      </c>
      <c r="BG31" s="12"/>
      <c r="BH31" s="101">
        <f>SUM(BH14:BH30)</f>
        <v>0</v>
      </c>
      <c r="BI31" s="12"/>
      <c r="BJ31" s="101">
        <f>SUM(BJ14:BJ30)</f>
        <v>0</v>
      </c>
      <c r="BK31" s="6"/>
      <c r="BL31" s="101">
        <f>SUM(BL14:BL30)</f>
        <v>5324443.2</v>
      </c>
      <c r="BM31" s="6"/>
      <c r="BN31" s="101">
        <f>SUM(BN14:BN30)</f>
        <v>37448</v>
      </c>
      <c r="BO31" s="6"/>
      <c r="BP31" s="101">
        <f>SUM(BP14:BP30)</f>
        <v>591604.79999999981</v>
      </c>
      <c r="BR31" s="101">
        <f>SUM(BR14:BR30)</f>
        <v>5916048</v>
      </c>
      <c r="BT31" s="101">
        <f>SUM(BT14:BT30)</f>
        <v>-37448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0</v>
      </c>
      <c r="AW33" s="115"/>
      <c r="AX33" s="115">
        <f>+AX31+AX12</f>
        <v>0</v>
      </c>
      <c r="AY33" s="115"/>
      <c r="AZ33" s="115">
        <f>+AZ31+AZ12</f>
        <v>0</v>
      </c>
      <c r="BA33" s="115"/>
      <c r="BB33" s="115">
        <f>+BB31+BB12</f>
        <v>0</v>
      </c>
      <c r="BC33" s="115"/>
      <c r="BD33" s="115">
        <f>+BD31+BD12</f>
        <v>0</v>
      </c>
      <c r="BE33" s="115"/>
      <c r="BF33" s="115">
        <f>+BF31+BF12</f>
        <v>0</v>
      </c>
      <c r="BG33" s="115"/>
      <c r="BH33" s="115">
        <f>+BH31+BH12</f>
        <v>0</v>
      </c>
      <c r="BI33" s="115"/>
      <c r="BJ33" s="115">
        <f>+BJ31+BJ12</f>
        <v>0</v>
      </c>
      <c r="BK33" s="115"/>
      <c r="BL33" s="115">
        <f>+BL31+BL12</f>
        <v>126960445.27</v>
      </c>
      <c r="BM33" s="115"/>
      <c r="BN33" s="115">
        <f>+BN31+BN12</f>
        <v>1869448</v>
      </c>
      <c r="BO33" s="115"/>
      <c r="BP33" s="115">
        <f>+BP31+BP12</f>
        <v>21020542.730000008</v>
      </c>
      <c r="BQ33" s="115"/>
      <c r="BR33" s="115">
        <f>+BR31+BR12</f>
        <v>147980988</v>
      </c>
      <c r="BS33" s="115"/>
      <c r="BT33" s="115">
        <f>+BT31+BT12</f>
        <v>-1869448</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236</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4" t="s">
        <v>313</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5" t="s">
        <v>301</v>
      </c>
      <c r="C39"/>
      <c r="D39"/>
      <c r="E39"/>
      <c r="F39"/>
      <c r="G39"/>
      <c r="H39"/>
      <c r="I39"/>
      <c r="J39" s="49" t="s">
        <v>231</v>
      </c>
      <c r="K39"/>
      <c r="L39" s="134" t="s">
        <v>204</v>
      </c>
      <c r="M39" s="6"/>
      <c r="O39" s="6"/>
      <c r="Q39" s="6"/>
      <c r="R39" s="237">
        <v>1538981</v>
      </c>
      <c r="S39" s="6"/>
      <c r="T39" s="6"/>
      <c r="U39" s="6"/>
      <c r="V39" s="6"/>
      <c r="X39" s="6"/>
      <c r="Z39" s="6"/>
      <c r="AB39" s="6"/>
      <c r="AD39" s="6"/>
      <c r="AI39"/>
      <c r="AP39" s="6">
        <v>11510</v>
      </c>
      <c r="AR39" s="6">
        <f>54708-11510</f>
        <v>43198</v>
      </c>
      <c r="AT39" s="6">
        <f>303957-54708</f>
        <v>249249</v>
      </c>
      <c r="BJ39" s="6"/>
      <c r="BK39" s="6"/>
      <c r="BL39" s="6">
        <f t="shared" ref="BL39:BL54" si="5">SUM(T39:BK39)</f>
        <v>303957</v>
      </c>
      <c r="BM39" s="6"/>
      <c r="BN39" s="6">
        <f>2097363-1538981</f>
        <v>558382</v>
      </c>
      <c r="BO39" s="6"/>
      <c r="BP39" s="6">
        <f t="shared" ref="BP39:BP54" si="6">IF(+R39-BL39+BN39&gt;0,R39-BL39+BN39,0)</f>
        <v>1793406</v>
      </c>
      <c r="BR39" s="6">
        <f t="shared" ref="BR39:BR54" si="7">+BL39+BP39</f>
        <v>2097363</v>
      </c>
      <c r="BT39" s="6">
        <f>+R39-BR39</f>
        <v>-558382</v>
      </c>
      <c r="BU39" s="6"/>
    </row>
    <row r="40" spans="1:73">
      <c r="A40" s="57"/>
      <c r="B40" s="235" t="s">
        <v>302</v>
      </c>
      <c r="C40"/>
      <c r="D40"/>
      <c r="E40"/>
      <c r="F40"/>
      <c r="G40"/>
      <c r="H40"/>
      <c r="I40"/>
      <c r="J40" s="49" t="s">
        <v>231</v>
      </c>
      <c r="K40"/>
      <c r="L40" s="134" t="s">
        <v>204</v>
      </c>
      <c r="M40" s="6"/>
      <c r="O40" s="6"/>
      <c r="Q40" s="6"/>
      <c r="R40" s="237">
        <v>1608142</v>
      </c>
      <c r="S40" s="6"/>
      <c r="T40" s="6"/>
      <c r="U40" s="6"/>
      <c r="V40" s="6"/>
      <c r="X40" s="6"/>
      <c r="Z40" s="6"/>
      <c r="AB40" s="6"/>
      <c r="AD40" s="6"/>
      <c r="AI40"/>
      <c r="AP40" s="6">
        <v>87721</v>
      </c>
      <c r="AR40" s="6">
        <f>175242-87721</f>
        <v>87521</v>
      </c>
      <c r="AT40" s="6">
        <f>601600-175242</f>
        <v>426358</v>
      </c>
      <c r="BJ40" s="6"/>
      <c r="BK40" s="6"/>
      <c r="BL40" s="6">
        <f t="shared" si="5"/>
        <v>601600</v>
      </c>
      <c r="BM40" s="6"/>
      <c r="BN40" s="6">
        <f>3358610-1608142</f>
        <v>1750468</v>
      </c>
      <c r="BO40" s="6"/>
      <c r="BP40" s="6">
        <f t="shared" si="6"/>
        <v>2757010</v>
      </c>
      <c r="BR40" s="6">
        <f t="shared" si="7"/>
        <v>3358610</v>
      </c>
      <c r="BT40" s="6">
        <f t="shared" ref="BT40:BT53" si="8">+R40-BR40</f>
        <v>-1750468</v>
      </c>
      <c r="BU40" s="6"/>
    </row>
    <row r="41" spans="1:73">
      <c r="A41" s="57"/>
      <c r="B41" s="235" t="s">
        <v>303</v>
      </c>
      <c r="C41"/>
      <c r="D41"/>
      <c r="E41"/>
      <c r="F41"/>
      <c r="G41"/>
      <c r="H41"/>
      <c r="I41"/>
      <c r="J41" s="49" t="s">
        <v>231</v>
      </c>
      <c r="K41"/>
      <c r="L41" s="134" t="s">
        <v>204</v>
      </c>
      <c r="M41" s="6"/>
      <c r="O41" s="6"/>
      <c r="Q41" s="6"/>
      <c r="R41" s="237">
        <v>1028779</v>
      </c>
      <c r="S41" s="6"/>
      <c r="T41" s="6"/>
      <c r="U41" s="6"/>
      <c r="V41" s="6"/>
      <c r="X41" s="6"/>
      <c r="Z41" s="6"/>
      <c r="AB41" s="6"/>
      <c r="AD41" s="6"/>
      <c r="AI41"/>
      <c r="AP41" s="6">
        <v>261</v>
      </c>
      <c r="AR41" s="6">
        <f>227731-261</f>
        <v>227470</v>
      </c>
      <c r="AT41" s="6">
        <f>814449-227731</f>
        <v>586718</v>
      </c>
      <c r="BJ41" s="6"/>
      <c r="BK41" s="6"/>
      <c r="BL41" s="6">
        <f t="shared" si="5"/>
        <v>814449</v>
      </c>
      <c r="BM41" s="6"/>
      <c r="BN41" s="6">
        <f>1970401-1028779</f>
        <v>941622</v>
      </c>
      <c r="BO41" s="6"/>
      <c r="BP41" s="6">
        <f t="shared" si="6"/>
        <v>1155952</v>
      </c>
      <c r="BR41" s="6">
        <f t="shared" si="7"/>
        <v>1970401</v>
      </c>
      <c r="BT41" s="6">
        <f t="shared" si="8"/>
        <v>-941622</v>
      </c>
      <c r="BU41" s="6"/>
    </row>
    <row r="42" spans="1:73">
      <c r="A42" s="57"/>
      <c r="B42" s="235" t="s">
        <v>304</v>
      </c>
      <c r="C42"/>
      <c r="D42"/>
      <c r="E42"/>
      <c r="F42"/>
      <c r="G42"/>
      <c r="H42"/>
      <c r="I42"/>
      <c r="J42" s="49" t="s">
        <v>231</v>
      </c>
      <c r="K42"/>
      <c r="L42" s="134" t="s">
        <v>204</v>
      </c>
      <c r="M42" s="6"/>
      <c r="O42" s="6"/>
      <c r="Q42" s="6"/>
      <c r="R42" s="237">
        <v>648235</v>
      </c>
      <c r="S42" s="6"/>
      <c r="T42" s="6"/>
      <c r="U42" s="6"/>
      <c r="V42" s="6"/>
      <c r="X42" s="6"/>
      <c r="Z42" s="6"/>
      <c r="AB42" s="6"/>
      <c r="AD42" s="6"/>
      <c r="AI42"/>
      <c r="AP42" s="6">
        <v>21574</v>
      </c>
      <c r="AR42" s="6">
        <f>57781-21574</f>
        <v>36207</v>
      </c>
      <c r="AT42" s="6">
        <f>89433-57781</f>
        <v>31652</v>
      </c>
      <c r="BJ42" s="6"/>
      <c r="BK42" s="6"/>
      <c r="BL42" s="6">
        <f t="shared" si="5"/>
        <v>89433</v>
      </c>
      <c r="BM42" s="6"/>
      <c r="BN42" s="6">
        <f>635999-648235</f>
        <v>-12236</v>
      </c>
      <c r="BO42" s="6"/>
      <c r="BP42" s="6">
        <f t="shared" si="6"/>
        <v>546566</v>
      </c>
      <c r="BR42" s="6">
        <f t="shared" si="7"/>
        <v>635999</v>
      </c>
      <c r="BT42" s="6">
        <f t="shared" si="8"/>
        <v>12236</v>
      </c>
      <c r="BU42" s="6"/>
    </row>
    <row r="43" spans="1:73">
      <c r="A43" s="57"/>
      <c r="B43" s="235" t="s">
        <v>305</v>
      </c>
      <c r="C43"/>
      <c r="D43"/>
      <c r="E43"/>
      <c r="F43"/>
      <c r="G43"/>
      <c r="H43"/>
      <c r="I43"/>
      <c r="J43" s="49" t="s">
        <v>231</v>
      </c>
      <c r="K43"/>
      <c r="L43" s="134" t="s">
        <v>204</v>
      </c>
      <c r="M43" s="6"/>
      <c r="O43" s="6"/>
      <c r="Q43" s="6"/>
      <c r="R43" s="237">
        <v>8261165</v>
      </c>
      <c r="S43" s="6"/>
      <c r="T43" s="6"/>
      <c r="U43" s="6"/>
      <c r="V43" s="6"/>
      <c r="X43" s="6"/>
      <c r="Z43" s="6"/>
      <c r="AB43" s="6"/>
      <c r="AD43" s="6"/>
      <c r="AI43"/>
      <c r="AP43" s="6">
        <v>247412</v>
      </c>
      <c r="AR43" s="6">
        <f>267497-247412</f>
        <v>20085</v>
      </c>
      <c r="AT43" s="6">
        <f>351000-267497</f>
        <v>83503</v>
      </c>
      <c r="BJ43" s="6"/>
      <c r="BK43" s="6"/>
      <c r="BL43" s="6">
        <f t="shared" si="5"/>
        <v>351000</v>
      </c>
      <c r="BM43" s="6"/>
      <c r="BN43" s="6">
        <f>3384347-8261165</f>
        <v>-4876818</v>
      </c>
      <c r="BO43" s="6"/>
      <c r="BP43" s="6">
        <f t="shared" si="6"/>
        <v>3033347</v>
      </c>
      <c r="BR43" s="6">
        <f t="shared" si="7"/>
        <v>3384347</v>
      </c>
      <c r="BT43" s="6">
        <f t="shared" si="8"/>
        <v>4876818</v>
      </c>
      <c r="BU43" s="6"/>
    </row>
    <row r="44" spans="1:73">
      <c r="A44" s="57"/>
      <c r="B44" s="235" t="s">
        <v>306</v>
      </c>
      <c r="C44"/>
      <c r="D44"/>
      <c r="E44"/>
      <c r="F44"/>
      <c r="G44"/>
      <c r="H44"/>
      <c r="I44"/>
      <c r="J44" s="49" t="s">
        <v>231</v>
      </c>
      <c r="K44"/>
      <c r="L44" s="134" t="s">
        <v>204</v>
      </c>
      <c r="M44" s="6"/>
      <c r="O44" s="6"/>
      <c r="Q44" s="6"/>
      <c r="R44" s="237">
        <v>109122</v>
      </c>
      <c r="S44" s="6"/>
      <c r="T44" s="6"/>
      <c r="U44" s="6"/>
      <c r="V44" s="6"/>
      <c r="X44" s="6"/>
      <c r="Z44" s="6"/>
      <c r="AB44" s="6"/>
      <c r="AD44" s="6"/>
      <c r="AI44"/>
      <c r="AP44" s="6">
        <v>37545</v>
      </c>
      <c r="AR44" s="6">
        <f>40989-37545</f>
        <v>3444</v>
      </c>
      <c r="AT44" s="6">
        <f>55088-40989</f>
        <v>14099</v>
      </c>
      <c r="BJ44" s="6"/>
      <c r="BK44" s="6"/>
      <c r="BL44" s="6">
        <f t="shared" si="5"/>
        <v>55088</v>
      </c>
      <c r="BM44" s="6"/>
      <c r="BN44" s="6">
        <f>118197-109122</f>
        <v>9075</v>
      </c>
      <c r="BO44" s="6"/>
      <c r="BP44" s="6">
        <f t="shared" si="6"/>
        <v>63109</v>
      </c>
      <c r="BR44" s="6">
        <f t="shared" si="7"/>
        <v>118197</v>
      </c>
      <c r="BT44" s="6">
        <f t="shared" si="8"/>
        <v>-9075</v>
      </c>
      <c r="BU44" s="6"/>
    </row>
    <row r="45" spans="1:73">
      <c r="A45" s="57"/>
      <c r="B45" s="235" t="s">
        <v>307</v>
      </c>
      <c r="C45"/>
      <c r="D45"/>
      <c r="E45"/>
      <c r="F45"/>
      <c r="G45"/>
      <c r="H45"/>
      <c r="I45"/>
      <c r="J45" s="49" t="s">
        <v>231</v>
      </c>
      <c r="K45"/>
      <c r="L45" s="134" t="s">
        <v>204</v>
      </c>
      <c r="M45" s="6"/>
      <c r="O45" s="6"/>
      <c r="Q45" s="6"/>
      <c r="R45" s="237">
        <v>745651</v>
      </c>
      <c r="S45" s="6"/>
      <c r="T45" s="6"/>
      <c r="U45" s="6"/>
      <c r="V45" s="6"/>
      <c r="X45" s="6"/>
      <c r="Z45" s="6"/>
      <c r="AB45" s="6"/>
      <c r="AD45" s="6"/>
      <c r="AI45"/>
      <c r="AP45" s="6">
        <v>128235</v>
      </c>
      <c r="AR45" s="6">
        <f>192079-128235</f>
        <v>63844</v>
      </c>
      <c r="AT45" s="6">
        <f>236972-192079</f>
        <v>44893</v>
      </c>
      <c r="BJ45" s="6"/>
      <c r="BK45" s="6"/>
      <c r="BL45" s="6">
        <f t="shared" si="5"/>
        <v>236972</v>
      </c>
      <c r="BM45" s="6"/>
      <c r="BN45" s="6">
        <f>897342-745651</f>
        <v>151691</v>
      </c>
      <c r="BO45" s="6"/>
      <c r="BP45" s="6">
        <f t="shared" si="6"/>
        <v>660370</v>
      </c>
      <c r="BR45" s="6">
        <f t="shared" si="7"/>
        <v>897342</v>
      </c>
      <c r="BT45" s="6">
        <f t="shared" si="8"/>
        <v>-151691</v>
      </c>
      <c r="BU45" s="6"/>
    </row>
    <row r="46" spans="1:73">
      <c r="A46" s="57"/>
      <c r="B46" s="235" t="s">
        <v>308</v>
      </c>
      <c r="C46"/>
      <c r="D46"/>
      <c r="E46"/>
      <c r="F46"/>
      <c r="G46"/>
      <c r="H46"/>
      <c r="I46"/>
      <c r="J46" s="49" t="s">
        <v>231</v>
      </c>
      <c r="K46"/>
      <c r="L46" s="134" t="s">
        <v>204</v>
      </c>
      <c r="M46" s="6"/>
      <c r="N46" s="6">
        <v>0</v>
      </c>
      <c r="O46" s="6"/>
      <c r="P46" s="6">
        <v>0</v>
      </c>
      <c r="Q46" s="6"/>
      <c r="R46" s="237">
        <v>256827</v>
      </c>
      <c r="S46" s="6"/>
      <c r="T46" s="6">
        <v>0</v>
      </c>
      <c r="U46" s="6"/>
      <c r="V46" s="6">
        <v>0</v>
      </c>
      <c r="X46" s="6">
        <v>0</v>
      </c>
      <c r="Z46" s="6">
        <v>0</v>
      </c>
      <c r="AB46" s="6">
        <v>0</v>
      </c>
      <c r="AD46" s="6">
        <v>0</v>
      </c>
      <c r="AF46" s="6">
        <v>0</v>
      </c>
      <c r="AH46" s="6">
        <v>0</v>
      </c>
      <c r="AI46"/>
      <c r="AJ46" s="6">
        <v>0</v>
      </c>
      <c r="AL46" s="6">
        <v>0</v>
      </c>
      <c r="AP46" s="6">
        <v>27859</v>
      </c>
      <c r="AR46" s="6">
        <f>35127-27859</f>
        <v>7268</v>
      </c>
      <c r="AT46" s="6">
        <f>117112-35127</f>
        <v>81985</v>
      </c>
      <c r="AV46" s="6">
        <v>0</v>
      </c>
      <c r="AX46" s="6">
        <v>0</v>
      </c>
      <c r="AZ46" s="6">
        <v>0</v>
      </c>
      <c r="BB46" s="6">
        <v>0</v>
      </c>
      <c r="BD46" s="6">
        <v>0</v>
      </c>
      <c r="BF46" s="6">
        <v>0</v>
      </c>
      <c r="BH46" s="6">
        <v>0</v>
      </c>
      <c r="BJ46" s="6">
        <v>0</v>
      </c>
      <c r="BK46" s="6"/>
      <c r="BL46" s="6">
        <f t="shared" si="5"/>
        <v>117112</v>
      </c>
      <c r="BM46" s="6"/>
      <c r="BN46" s="6">
        <f>524936-256827</f>
        <v>268109</v>
      </c>
      <c r="BO46" s="6"/>
      <c r="BP46" s="6">
        <f t="shared" si="6"/>
        <v>407824</v>
      </c>
      <c r="BR46" s="6">
        <f t="shared" si="7"/>
        <v>524936</v>
      </c>
      <c r="BT46" s="6">
        <f t="shared" si="8"/>
        <v>-268109</v>
      </c>
      <c r="BU46" s="6"/>
    </row>
    <row r="47" spans="1:73">
      <c r="A47" s="57"/>
      <c r="B47" s="235" t="s">
        <v>309</v>
      </c>
      <c r="C47"/>
      <c r="D47"/>
      <c r="E47"/>
      <c r="F47"/>
      <c r="G47"/>
      <c r="H47"/>
      <c r="I47"/>
      <c r="J47" s="49" t="s">
        <v>231</v>
      </c>
      <c r="K47"/>
      <c r="L47" s="134" t="s">
        <v>204</v>
      </c>
      <c r="M47" s="6"/>
      <c r="N47" s="6">
        <v>0</v>
      </c>
      <c r="O47" s="6"/>
      <c r="P47" s="6">
        <v>0</v>
      </c>
      <c r="Q47" s="6"/>
      <c r="R47" s="237">
        <v>3697897</v>
      </c>
      <c r="S47" s="6"/>
      <c r="T47" s="6">
        <v>0</v>
      </c>
      <c r="U47" s="6"/>
      <c r="V47" s="6">
        <v>0</v>
      </c>
      <c r="X47" s="6">
        <v>0</v>
      </c>
      <c r="Z47" s="6">
        <v>0</v>
      </c>
      <c r="AB47" s="6">
        <v>0</v>
      </c>
      <c r="AD47" s="6">
        <v>0</v>
      </c>
      <c r="AF47" s="6">
        <v>0</v>
      </c>
      <c r="AH47" s="6">
        <v>0</v>
      </c>
      <c r="AI47"/>
      <c r="AJ47" s="6">
        <v>0</v>
      </c>
      <c r="AL47" s="6">
        <v>0</v>
      </c>
      <c r="AP47" s="6">
        <v>107400</v>
      </c>
      <c r="AR47" s="6">
        <f>111664-107400</f>
        <v>4264</v>
      </c>
      <c r="AT47" s="6">
        <f>117578-111664</f>
        <v>5914</v>
      </c>
      <c r="AV47" s="6">
        <v>0</v>
      </c>
      <c r="AX47" s="6">
        <v>0</v>
      </c>
      <c r="AZ47" s="6">
        <v>0</v>
      </c>
      <c r="BB47" s="6">
        <v>0</v>
      </c>
      <c r="BD47" s="6">
        <v>0</v>
      </c>
      <c r="BF47" s="6">
        <v>0</v>
      </c>
      <c r="BH47" s="6">
        <v>0</v>
      </c>
      <c r="BJ47" s="6">
        <v>0</v>
      </c>
      <c r="BK47" s="6"/>
      <c r="BL47" s="6">
        <f t="shared" si="5"/>
        <v>117578</v>
      </c>
      <c r="BM47" s="6"/>
      <c r="BN47" s="6">
        <f>187964-3697897</f>
        <v>-3509933</v>
      </c>
      <c r="BO47" s="6"/>
      <c r="BP47" s="6">
        <f t="shared" si="6"/>
        <v>70386</v>
      </c>
      <c r="BR47" s="6">
        <f t="shared" si="7"/>
        <v>187964</v>
      </c>
      <c r="BT47" s="6">
        <f t="shared" si="8"/>
        <v>3509933</v>
      </c>
      <c r="BU47" s="6"/>
    </row>
    <row r="48" spans="1:73">
      <c r="A48" s="57"/>
      <c r="B48" s="235" t="s">
        <v>310</v>
      </c>
      <c r="C48"/>
      <c r="D48"/>
      <c r="E48"/>
      <c r="F48"/>
      <c r="G48"/>
      <c r="H48"/>
      <c r="I48"/>
      <c r="J48" s="49" t="s">
        <v>231</v>
      </c>
      <c r="K48"/>
      <c r="L48" s="134" t="s">
        <v>204</v>
      </c>
      <c r="M48" s="6"/>
      <c r="N48" s="6">
        <v>0</v>
      </c>
      <c r="O48" s="6"/>
      <c r="P48" s="6">
        <v>0</v>
      </c>
      <c r="Q48" s="6"/>
      <c r="R48" s="237">
        <v>302496</v>
      </c>
      <c r="S48" s="6"/>
      <c r="T48" s="6">
        <v>0</v>
      </c>
      <c r="U48" s="6"/>
      <c r="V48" s="6">
        <v>0</v>
      </c>
      <c r="X48" s="6">
        <v>0</v>
      </c>
      <c r="Z48" s="6">
        <v>0</v>
      </c>
      <c r="AB48" s="6">
        <v>0</v>
      </c>
      <c r="AD48" s="6">
        <v>0</v>
      </c>
      <c r="AF48" s="6">
        <v>0</v>
      </c>
      <c r="AH48" s="6">
        <v>0</v>
      </c>
      <c r="AI48"/>
      <c r="AJ48" s="6">
        <v>0</v>
      </c>
      <c r="AL48" s="6">
        <v>0</v>
      </c>
      <c r="AP48" s="6">
        <v>192524</v>
      </c>
      <c r="AR48" s="6">
        <f>268032-192524</f>
        <v>75508</v>
      </c>
      <c r="AT48" s="6">
        <f>344773-268032</f>
        <v>76741</v>
      </c>
      <c r="AV48" s="6">
        <v>0</v>
      </c>
      <c r="AX48" s="6">
        <v>0</v>
      </c>
      <c r="AZ48" s="6">
        <v>0</v>
      </c>
      <c r="BB48" s="6">
        <v>0</v>
      </c>
      <c r="BD48" s="6">
        <v>0</v>
      </c>
      <c r="BF48" s="6">
        <v>0</v>
      </c>
      <c r="BH48" s="6">
        <v>0</v>
      </c>
      <c r="BJ48" s="6">
        <v>0</v>
      </c>
      <c r="BK48" s="6"/>
      <c r="BL48" s="6">
        <f t="shared" si="5"/>
        <v>344773</v>
      </c>
      <c r="BM48" s="6"/>
      <c r="BN48" s="6">
        <f>437543-344773-395266+437543</f>
        <v>135047</v>
      </c>
      <c r="BO48" s="6"/>
      <c r="BP48" s="6">
        <f t="shared" si="6"/>
        <v>92770</v>
      </c>
      <c r="BR48" s="6">
        <f t="shared" si="7"/>
        <v>437543</v>
      </c>
      <c r="BT48" s="6">
        <f t="shared" si="8"/>
        <v>-135047</v>
      </c>
      <c r="BU48" s="6"/>
    </row>
    <row r="49" spans="1:73">
      <c r="A49" s="57"/>
      <c r="B49" s="235" t="s">
        <v>541</v>
      </c>
      <c r="C49"/>
      <c r="D49"/>
      <c r="E49"/>
      <c r="F49"/>
      <c r="G49"/>
      <c r="H49"/>
      <c r="I49"/>
      <c r="J49" s="49" t="s">
        <v>231</v>
      </c>
      <c r="K49"/>
      <c r="L49" s="134" t="s">
        <v>204</v>
      </c>
      <c r="M49" s="6"/>
      <c r="N49" s="6">
        <v>0</v>
      </c>
      <c r="O49" s="6"/>
      <c r="P49" s="6">
        <v>0</v>
      </c>
      <c r="Q49" s="6"/>
      <c r="R49" s="237">
        <v>274200</v>
      </c>
      <c r="S49" s="6"/>
      <c r="T49" s="6">
        <v>0</v>
      </c>
      <c r="U49" s="6"/>
      <c r="V49" s="6">
        <v>0</v>
      </c>
      <c r="X49" s="6">
        <v>0</v>
      </c>
      <c r="Z49" s="6">
        <v>0</v>
      </c>
      <c r="AB49" s="6">
        <v>0</v>
      </c>
      <c r="AD49" s="6">
        <v>0</v>
      </c>
      <c r="AF49" s="6">
        <v>0</v>
      </c>
      <c r="AH49" s="6">
        <v>0</v>
      </c>
      <c r="AI49"/>
      <c r="AJ49" s="6">
        <v>0</v>
      </c>
      <c r="AL49" s="6">
        <v>0</v>
      </c>
      <c r="AP49" s="6">
        <v>47</v>
      </c>
      <c r="AR49" s="6">
        <f>67927-47</f>
        <v>67880</v>
      </c>
      <c r="AT49" s="6">
        <f>70698-67927</f>
        <v>2771</v>
      </c>
      <c r="AV49" s="6">
        <v>0</v>
      </c>
      <c r="AX49" s="6">
        <v>0</v>
      </c>
      <c r="AZ49" s="6">
        <v>0</v>
      </c>
      <c r="BB49" s="6">
        <v>0</v>
      </c>
      <c r="BD49" s="6">
        <v>0</v>
      </c>
      <c r="BF49" s="6">
        <v>0</v>
      </c>
      <c r="BH49" s="6">
        <v>0</v>
      </c>
      <c r="BJ49" s="6">
        <v>0</v>
      </c>
      <c r="BK49" s="6"/>
      <c r="BL49" s="6">
        <f t="shared" si="5"/>
        <v>70698</v>
      </c>
      <c r="BM49" s="6"/>
      <c r="BN49" s="6">
        <f>480298-274200</f>
        <v>206098</v>
      </c>
      <c r="BO49" s="6"/>
      <c r="BP49" s="6">
        <f t="shared" si="6"/>
        <v>409600</v>
      </c>
      <c r="BR49" s="6">
        <f t="shared" si="7"/>
        <v>480298</v>
      </c>
      <c r="BT49" s="6">
        <f t="shared" si="8"/>
        <v>-206098</v>
      </c>
      <c r="BU49" s="6"/>
    </row>
    <row r="50" spans="1:73">
      <c r="A50" s="57"/>
      <c r="B50" s="235" t="s">
        <v>311</v>
      </c>
      <c r="C50"/>
      <c r="D50"/>
      <c r="E50"/>
      <c r="F50"/>
      <c r="G50"/>
      <c r="H50"/>
      <c r="I50"/>
      <c r="J50" s="49" t="s">
        <v>231</v>
      </c>
      <c r="K50"/>
      <c r="L50" s="134" t="s">
        <v>204</v>
      </c>
      <c r="M50" s="6"/>
      <c r="N50" s="6">
        <v>0</v>
      </c>
      <c r="O50" s="6"/>
      <c r="P50" s="6">
        <v>0</v>
      </c>
      <c r="Q50" s="6"/>
      <c r="R50" s="237">
        <v>65000</v>
      </c>
      <c r="S50" s="6"/>
      <c r="T50" s="6">
        <v>0</v>
      </c>
      <c r="U50" s="6"/>
      <c r="V50" s="6">
        <v>0</v>
      </c>
      <c r="X50" s="6">
        <v>0</v>
      </c>
      <c r="Z50" s="6">
        <v>0</v>
      </c>
      <c r="AB50" s="6">
        <v>0</v>
      </c>
      <c r="AD50" s="6">
        <v>0</v>
      </c>
      <c r="AF50" s="6">
        <v>0</v>
      </c>
      <c r="AH50" s="6">
        <v>0</v>
      </c>
      <c r="AI50"/>
      <c r="AJ50" s="6">
        <v>0</v>
      </c>
      <c r="AL50" s="6">
        <v>0</v>
      </c>
      <c r="AN50" s="6">
        <v>0</v>
      </c>
      <c r="AP50" s="6">
        <v>0</v>
      </c>
      <c r="AR50" s="6">
        <v>0</v>
      </c>
      <c r="AT50" s="6">
        <v>0</v>
      </c>
      <c r="AV50" s="6">
        <v>0</v>
      </c>
      <c r="AX50" s="6">
        <v>0</v>
      </c>
      <c r="AZ50" s="6">
        <v>0</v>
      </c>
      <c r="BB50" s="6">
        <v>0</v>
      </c>
      <c r="BD50" s="6">
        <v>0</v>
      </c>
      <c r="BF50" s="6">
        <v>0</v>
      </c>
      <c r="BH50" s="6">
        <v>0</v>
      </c>
      <c r="BJ50" s="6">
        <v>0</v>
      </c>
      <c r="BK50" s="6"/>
      <c r="BL50" s="6">
        <f t="shared" si="5"/>
        <v>0</v>
      </c>
      <c r="BM50" s="6"/>
      <c r="BN50" s="6">
        <v>0</v>
      </c>
      <c r="BO50" s="6"/>
      <c r="BP50" s="6">
        <f t="shared" si="6"/>
        <v>65000</v>
      </c>
      <c r="BR50" s="6">
        <f t="shared" si="7"/>
        <v>65000</v>
      </c>
      <c r="BT50" s="6">
        <f t="shared" si="8"/>
        <v>0</v>
      </c>
      <c r="BU50" s="6"/>
    </row>
    <row r="51" spans="1:73">
      <c r="A51" s="57"/>
      <c r="B51" s="235" t="s">
        <v>192</v>
      </c>
      <c r="C51"/>
      <c r="D51"/>
      <c r="E51"/>
      <c r="F51"/>
      <c r="G51"/>
      <c r="H51"/>
      <c r="I51"/>
      <c r="J51" s="49" t="s">
        <v>231</v>
      </c>
      <c r="K51"/>
      <c r="L51" s="134" t="s">
        <v>204</v>
      </c>
      <c r="M51" s="6"/>
      <c r="N51" s="6">
        <v>0</v>
      </c>
      <c r="O51" s="6"/>
      <c r="P51" s="6">
        <v>0</v>
      </c>
      <c r="Q51" s="6"/>
      <c r="R51" s="237">
        <v>104121</v>
      </c>
      <c r="S51" s="6"/>
      <c r="T51" s="6">
        <v>0</v>
      </c>
      <c r="U51" s="6"/>
      <c r="V51" s="6">
        <v>0</v>
      </c>
      <c r="X51" s="6">
        <v>0</v>
      </c>
      <c r="Z51" s="6">
        <v>0</v>
      </c>
      <c r="AB51" s="6">
        <v>0</v>
      </c>
      <c r="AD51" s="6">
        <v>0</v>
      </c>
      <c r="AF51" s="6">
        <v>0</v>
      </c>
      <c r="AH51" s="6">
        <v>0</v>
      </c>
      <c r="AI51"/>
      <c r="AJ51" s="6">
        <v>0</v>
      </c>
      <c r="AL51" s="6">
        <v>0</v>
      </c>
      <c r="AN51" s="6">
        <v>0</v>
      </c>
      <c r="AP51" s="6">
        <v>0</v>
      </c>
      <c r="AR51" s="6">
        <v>0</v>
      </c>
      <c r="AT51" s="6">
        <v>0</v>
      </c>
      <c r="AV51" s="6">
        <v>0</v>
      </c>
      <c r="AX51" s="6">
        <v>0</v>
      </c>
      <c r="AZ51" s="6">
        <v>0</v>
      </c>
      <c r="BB51" s="6">
        <v>0</v>
      </c>
      <c r="BD51" s="6">
        <v>0</v>
      </c>
      <c r="BF51" s="6">
        <v>0</v>
      </c>
      <c r="BH51" s="6">
        <v>0</v>
      </c>
      <c r="BJ51" s="6">
        <v>0</v>
      </c>
      <c r="BK51" s="6"/>
      <c r="BL51" s="6">
        <f t="shared" si="5"/>
        <v>0</v>
      </c>
      <c r="BM51" s="6"/>
      <c r="BN51" s="6">
        <f>65230-104121</f>
        <v>-38891</v>
      </c>
      <c r="BO51" s="6"/>
      <c r="BP51" s="6">
        <f t="shared" si="6"/>
        <v>65230</v>
      </c>
      <c r="BR51" s="6">
        <f t="shared" si="7"/>
        <v>65230</v>
      </c>
      <c r="BT51" s="6">
        <f t="shared" si="8"/>
        <v>38891</v>
      </c>
      <c r="BU51" s="6"/>
    </row>
    <row r="52" spans="1:73">
      <c r="A52" s="57"/>
      <c r="B52" s="235" t="s">
        <v>312</v>
      </c>
      <c r="C52"/>
      <c r="D52"/>
      <c r="E52"/>
      <c r="F52"/>
      <c r="G52"/>
      <c r="H52"/>
      <c r="I52"/>
      <c r="J52" s="49"/>
      <c r="K52"/>
      <c r="L52" s="134" t="s">
        <v>204</v>
      </c>
      <c r="M52" s="6"/>
      <c r="N52" s="6">
        <v>0</v>
      </c>
      <c r="O52" s="6"/>
      <c r="P52" s="6">
        <v>0</v>
      </c>
      <c r="Q52" s="6"/>
      <c r="R52" s="237">
        <v>164248</v>
      </c>
      <c r="S52" s="6"/>
      <c r="T52" s="6">
        <v>0</v>
      </c>
      <c r="U52" s="6"/>
      <c r="V52" s="6">
        <v>0</v>
      </c>
      <c r="X52" s="6">
        <v>0</v>
      </c>
      <c r="Z52" s="6">
        <v>0</v>
      </c>
      <c r="AB52" s="6">
        <v>0</v>
      </c>
      <c r="AD52" s="6">
        <v>0</v>
      </c>
      <c r="AF52" s="6">
        <v>0</v>
      </c>
      <c r="AH52" s="6">
        <v>0</v>
      </c>
      <c r="AI52"/>
      <c r="AJ52" s="6">
        <v>0</v>
      </c>
      <c r="AL52" s="6">
        <v>0</v>
      </c>
      <c r="AN52" s="6">
        <v>0</v>
      </c>
      <c r="AR52" s="6">
        <v>0</v>
      </c>
      <c r="AT52" s="6">
        <v>0</v>
      </c>
      <c r="AV52" s="6">
        <v>0</v>
      </c>
      <c r="AX52" s="6">
        <v>0</v>
      </c>
      <c r="AZ52" s="6">
        <v>0</v>
      </c>
      <c r="BB52" s="6">
        <v>0</v>
      </c>
      <c r="BD52" s="6">
        <v>0</v>
      </c>
      <c r="BF52" s="6">
        <v>0</v>
      </c>
      <c r="BH52" s="6">
        <v>0</v>
      </c>
      <c r="BJ52" s="6">
        <v>0</v>
      </c>
      <c r="BK52" s="6"/>
      <c r="BL52" s="6">
        <f t="shared" si="5"/>
        <v>0</v>
      </c>
      <c r="BM52" s="6"/>
      <c r="BN52" s="6">
        <v>-164248</v>
      </c>
      <c r="BO52" s="6"/>
      <c r="BP52" s="6">
        <f t="shared" si="6"/>
        <v>0</v>
      </c>
      <c r="BR52" s="6">
        <f t="shared" si="7"/>
        <v>0</v>
      </c>
      <c r="BT52" s="6">
        <f t="shared" si="8"/>
        <v>164248</v>
      </c>
      <c r="BU52" s="6"/>
    </row>
    <row r="53" spans="1:73">
      <c r="A53" s="57"/>
      <c r="B53" s="235" t="s">
        <v>542</v>
      </c>
      <c r="C53"/>
      <c r="D53"/>
      <c r="E53"/>
      <c r="F53"/>
      <c r="G53"/>
      <c r="H53"/>
      <c r="I53"/>
      <c r="J53" s="49"/>
      <c r="K53"/>
      <c r="L53" s="134" t="s">
        <v>204</v>
      </c>
      <c r="M53" s="6"/>
      <c r="N53" s="6">
        <v>0</v>
      </c>
      <c r="O53" s="6"/>
      <c r="P53" s="6">
        <v>0</v>
      </c>
      <c r="Q53" s="6"/>
      <c r="R53" s="6">
        <f>+N52+P52</f>
        <v>0</v>
      </c>
      <c r="S53" s="6"/>
      <c r="T53" s="6">
        <v>0</v>
      </c>
      <c r="U53" s="6"/>
      <c r="V53" s="6">
        <v>0</v>
      </c>
      <c r="X53" s="6">
        <v>0</v>
      </c>
      <c r="Z53" s="6">
        <v>0</v>
      </c>
      <c r="AB53" s="6">
        <v>0</v>
      </c>
      <c r="AD53" s="6">
        <v>0</v>
      </c>
      <c r="AF53" s="6">
        <v>0</v>
      </c>
      <c r="AH53" s="6">
        <v>0</v>
      </c>
      <c r="AI53"/>
      <c r="AJ53" s="6">
        <v>0</v>
      </c>
      <c r="AL53" s="6">
        <v>0</v>
      </c>
      <c r="AN53" s="6">
        <v>0</v>
      </c>
      <c r="AR53" s="6">
        <v>0</v>
      </c>
      <c r="AT53" s="6">
        <v>123679</v>
      </c>
      <c r="AV53" s="6">
        <v>0</v>
      </c>
      <c r="AX53" s="6">
        <v>0</v>
      </c>
      <c r="AZ53" s="6">
        <v>0</v>
      </c>
      <c r="BB53" s="6">
        <v>0</v>
      </c>
      <c r="BD53" s="6">
        <v>0</v>
      </c>
      <c r="BF53" s="6">
        <v>0</v>
      </c>
      <c r="BH53" s="6">
        <v>0</v>
      </c>
      <c r="BJ53" s="6">
        <v>0</v>
      </c>
      <c r="BK53" s="6"/>
      <c r="BL53" s="6">
        <f t="shared" si="5"/>
        <v>123679</v>
      </c>
      <c r="BM53" s="6"/>
      <c r="BN53" s="6">
        <v>0</v>
      </c>
      <c r="BO53" s="6"/>
      <c r="BP53" s="6">
        <f t="shared" si="6"/>
        <v>0</v>
      </c>
      <c r="BR53" s="6">
        <f t="shared" si="7"/>
        <v>123679</v>
      </c>
      <c r="BT53" s="6">
        <f t="shared" si="8"/>
        <v>-123679</v>
      </c>
      <c r="BU53" s="6"/>
    </row>
    <row r="54" spans="1:73">
      <c r="A54" s="57"/>
      <c r="B54" s="235"/>
      <c r="C54"/>
      <c r="D54"/>
      <c r="E54"/>
      <c r="F54"/>
      <c r="G54"/>
      <c r="H54"/>
      <c r="I54"/>
      <c r="J54" s="49"/>
      <c r="K54"/>
      <c r="L54" s="134" t="s">
        <v>204</v>
      </c>
      <c r="M54" s="6"/>
      <c r="N54" s="6">
        <v>0</v>
      </c>
      <c r="O54" s="6"/>
      <c r="P54" s="6">
        <v>0</v>
      </c>
      <c r="Q54" s="6"/>
      <c r="R54" s="6">
        <f>+N53+P53</f>
        <v>0</v>
      </c>
      <c r="S54" s="6"/>
      <c r="T54" s="6">
        <v>0</v>
      </c>
      <c r="U54" s="6"/>
      <c r="V54" s="6">
        <v>0</v>
      </c>
      <c r="X54" s="6">
        <v>0</v>
      </c>
      <c r="Z54" s="6">
        <v>0</v>
      </c>
      <c r="AB54" s="6">
        <v>0</v>
      </c>
      <c r="AD54" s="6">
        <v>0</v>
      </c>
      <c r="AF54" s="6">
        <v>0</v>
      </c>
      <c r="AH54" s="6">
        <v>0</v>
      </c>
      <c r="AI54"/>
      <c r="AJ54" s="6">
        <v>0</v>
      </c>
      <c r="AL54" s="6">
        <v>0</v>
      </c>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U54" s="6"/>
    </row>
    <row r="55" spans="1:73" s="21" customFormat="1">
      <c r="A55" s="118"/>
      <c r="B55" s="238" t="s">
        <v>333</v>
      </c>
      <c r="J55" s="8"/>
      <c r="L55" s="143" t="s">
        <v>204</v>
      </c>
      <c r="M55" s="9"/>
      <c r="N55" s="9">
        <v>0</v>
      </c>
      <c r="O55" s="9"/>
      <c r="P55" s="9">
        <v>0</v>
      </c>
      <c r="Q55" s="9"/>
      <c r="R55" s="9">
        <f>SUM(R39:R54)</f>
        <v>18804864</v>
      </c>
      <c r="S55" s="9">
        <f t="shared" ref="S55:BT55" si="9">SUM(S39:S54)</f>
        <v>0</v>
      </c>
      <c r="T55" s="9">
        <f t="shared" si="9"/>
        <v>0</v>
      </c>
      <c r="U55" s="9">
        <f t="shared" si="9"/>
        <v>0</v>
      </c>
      <c r="V55" s="9">
        <f t="shared" si="9"/>
        <v>0</v>
      </c>
      <c r="W55" s="9">
        <f t="shared" si="9"/>
        <v>0</v>
      </c>
      <c r="X55" s="9">
        <f t="shared" si="9"/>
        <v>0</v>
      </c>
      <c r="Y55" s="9">
        <f t="shared" si="9"/>
        <v>0</v>
      </c>
      <c r="Z55" s="9">
        <f t="shared" si="9"/>
        <v>0</v>
      </c>
      <c r="AA55" s="9">
        <f t="shared" si="9"/>
        <v>0</v>
      </c>
      <c r="AB55" s="9">
        <f t="shared" si="9"/>
        <v>0</v>
      </c>
      <c r="AC55" s="9">
        <f t="shared" si="9"/>
        <v>0</v>
      </c>
      <c r="AD55" s="9">
        <f t="shared" si="9"/>
        <v>0</v>
      </c>
      <c r="AE55" s="9"/>
      <c r="AF55" s="9">
        <f t="shared" si="9"/>
        <v>0</v>
      </c>
      <c r="AG55" s="9"/>
      <c r="AH55" s="9">
        <f t="shared" si="9"/>
        <v>0</v>
      </c>
      <c r="AI55" s="9"/>
      <c r="AJ55" s="9">
        <f t="shared" si="9"/>
        <v>0</v>
      </c>
      <c r="AK55" s="9">
        <f t="shared" si="9"/>
        <v>0</v>
      </c>
      <c r="AL55" s="9">
        <f t="shared" si="9"/>
        <v>0</v>
      </c>
      <c r="AM55" s="9">
        <f t="shared" si="9"/>
        <v>0</v>
      </c>
      <c r="AN55" s="9">
        <f t="shared" si="9"/>
        <v>0</v>
      </c>
      <c r="AO55" s="9">
        <f t="shared" si="9"/>
        <v>0</v>
      </c>
      <c r="AP55" s="9">
        <f>SUM(AP39:AP54)</f>
        <v>862088</v>
      </c>
      <c r="AQ55" s="9">
        <f t="shared" si="9"/>
        <v>0</v>
      </c>
      <c r="AR55" s="9">
        <f t="shared" si="9"/>
        <v>636689</v>
      </c>
      <c r="AS55" s="9">
        <f t="shared" si="9"/>
        <v>0</v>
      </c>
      <c r="AT55" s="9">
        <f t="shared" si="9"/>
        <v>1727562</v>
      </c>
      <c r="AU55" s="9">
        <f t="shared" si="9"/>
        <v>0</v>
      </c>
      <c r="AV55" s="9">
        <f t="shared" si="9"/>
        <v>0</v>
      </c>
      <c r="AW55" s="9">
        <f t="shared" si="9"/>
        <v>0</v>
      </c>
      <c r="AX55" s="9">
        <f t="shared" si="9"/>
        <v>0</v>
      </c>
      <c r="AY55" s="9">
        <f t="shared" si="9"/>
        <v>0</v>
      </c>
      <c r="AZ55" s="9">
        <f t="shared" si="9"/>
        <v>0</v>
      </c>
      <c r="BA55" s="9">
        <f t="shared" si="9"/>
        <v>0</v>
      </c>
      <c r="BB55" s="9">
        <f t="shared" si="9"/>
        <v>0</v>
      </c>
      <c r="BC55" s="9">
        <f t="shared" si="9"/>
        <v>0</v>
      </c>
      <c r="BD55" s="9">
        <f t="shared" si="9"/>
        <v>0</v>
      </c>
      <c r="BE55" s="9">
        <f t="shared" si="9"/>
        <v>0</v>
      </c>
      <c r="BF55" s="9">
        <f t="shared" si="9"/>
        <v>0</v>
      </c>
      <c r="BG55" s="9">
        <f t="shared" si="9"/>
        <v>0</v>
      </c>
      <c r="BH55" s="9">
        <f t="shared" si="9"/>
        <v>0</v>
      </c>
      <c r="BI55" s="9">
        <f t="shared" si="9"/>
        <v>0</v>
      </c>
      <c r="BJ55" s="9">
        <f t="shared" si="9"/>
        <v>0</v>
      </c>
      <c r="BK55" s="9">
        <f t="shared" si="9"/>
        <v>0</v>
      </c>
      <c r="BL55" s="9">
        <f t="shared" si="9"/>
        <v>3226339</v>
      </c>
      <c r="BM55" s="9">
        <f t="shared" si="9"/>
        <v>0</v>
      </c>
      <c r="BN55" s="9">
        <f t="shared" si="9"/>
        <v>-4581634</v>
      </c>
      <c r="BO55" s="9">
        <f t="shared" si="9"/>
        <v>0</v>
      </c>
      <c r="BP55" s="9">
        <f t="shared" si="9"/>
        <v>11120570</v>
      </c>
      <c r="BQ55" s="9">
        <f t="shared" si="9"/>
        <v>0</v>
      </c>
      <c r="BR55" s="9">
        <f t="shared" si="9"/>
        <v>14346909</v>
      </c>
      <c r="BS55" s="9">
        <f t="shared" si="9"/>
        <v>0</v>
      </c>
      <c r="BT55" s="9">
        <f t="shared" si="9"/>
        <v>4457955</v>
      </c>
      <c r="BU55" s="9"/>
    </row>
    <row r="56" spans="1:73">
      <c r="A56" s="57"/>
      <c r="B56" s="236"/>
      <c r="C56"/>
      <c r="D56"/>
      <c r="E56"/>
      <c r="F56"/>
      <c r="G56"/>
      <c r="H56"/>
      <c r="I56"/>
      <c r="J56" s="49"/>
      <c r="K56"/>
      <c r="L56" s="134"/>
      <c r="M56" s="6"/>
      <c r="O56" s="6"/>
      <c r="Q56" s="6"/>
      <c r="S56" s="6"/>
      <c r="T56" s="6"/>
      <c r="U56" s="6"/>
      <c r="V56" s="6"/>
      <c r="X56" s="6"/>
      <c r="Z56" s="6"/>
      <c r="AB56" s="6"/>
      <c r="AD56" s="6"/>
      <c r="AI56"/>
      <c r="BJ56" s="6"/>
      <c r="BK56" s="6"/>
      <c r="BM56" s="6"/>
      <c r="BN56" s="6"/>
      <c r="BO56" s="6"/>
      <c r="BU56" s="6"/>
    </row>
    <row r="57" spans="1:73">
      <c r="B57" s="21" t="s">
        <v>334</v>
      </c>
      <c r="C57"/>
      <c r="D57"/>
      <c r="E57"/>
      <c r="F57"/>
      <c r="G57"/>
      <c r="H57"/>
      <c r="I57"/>
      <c r="J57" s="49"/>
      <c r="K57"/>
      <c r="L57" s="134"/>
      <c r="M57" s="6"/>
      <c r="O57" s="6"/>
      <c r="Q57" s="6"/>
      <c r="S57" s="6"/>
      <c r="T57" s="6"/>
      <c r="U57" s="6"/>
      <c r="V57" s="6"/>
      <c r="X57" s="6"/>
      <c r="Z57" s="6"/>
      <c r="AB57" s="6"/>
      <c r="AD57" s="6"/>
      <c r="AI57"/>
      <c r="BJ57" s="6"/>
      <c r="BK57" s="6"/>
      <c r="BM57" s="6"/>
      <c r="BN57" s="6"/>
      <c r="BO57" s="6"/>
      <c r="BU57" s="6"/>
    </row>
    <row r="58" spans="1:73">
      <c r="A58"/>
      <c r="B58" s="235" t="s">
        <v>314</v>
      </c>
      <c r="C58"/>
      <c r="D58"/>
      <c r="E58"/>
      <c r="F58"/>
      <c r="G58"/>
      <c r="H58"/>
      <c r="I58"/>
      <c r="J58" s="49" t="s">
        <v>231</v>
      </c>
      <c r="K58"/>
      <c r="L58" s="134"/>
      <c r="M58" s="6"/>
      <c r="O58" s="6"/>
      <c r="Q58" s="6"/>
      <c r="R58" s="237">
        <v>410304</v>
      </c>
      <c r="S58" s="6"/>
      <c r="T58" s="6"/>
      <c r="U58" s="6"/>
      <c r="V58" s="6"/>
      <c r="X58" s="6"/>
      <c r="Z58" s="6"/>
      <c r="AB58" s="6"/>
      <c r="AD58" s="6"/>
      <c r="AI58"/>
      <c r="AR58" s="6">
        <v>10115</v>
      </c>
      <c r="AT58" s="6">
        <f>92620-10115</f>
        <v>82505</v>
      </c>
      <c r="BJ58" s="6"/>
      <c r="BK58" s="6"/>
      <c r="BL58" s="6">
        <f t="shared" ref="BL58:BL80" si="10">SUM(T58:BK58)</f>
        <v>92620</v>
      </c>
      <c r="BM58" s="6"/>
      <c r="BN58" s="6">
        <f>431520-410304</f>
        <v>21216</v>
      </c>
      <c r="BO58" s="6"/>
      <c r="BP58" s="6">
        <f>IF(+R58-BL58+BN58&gt;0,R58-BL58+BN58,0)</f>
        <v>338900</v>
      </c>
      <c r="BR58" s="6">
        <f>+BL58+BP58</f>
        <v>431520</v>
      </c>
      <c r="BT58" s="6">
        <f>+R58-BR58</f>
        <v>-21216</v>
      </c>
      <c r="BU58" s="6"/>
    </row>
    <row r="59" spans="1:73">
      <c r="A59"/>
      <c r="B59" s="235" t="s">
        <v>315</v>
      </c>
      <c r="C59"/>
      <c r="D59"/>
      <c r="E59"/>
      <c r="F59"/>
      <c r="G59"/>
      <c r="H59"/>
      <c r="I59"/>
      <c r="J59" s="49" t="s">
        <v>231</v>
      </c>
      <c r="K59"/>
      <c r="L59" s="134"/>
      <c r="M59" s="6"/>
      <c r="O59" s="6"/>
      <c r="Q59" s="6"/>
      <c r="R59" s="237">
        <v>556642</v>
      </c>
      <c r="S59" s="6"/>
      <c r="T59" s="6"/>
      <c r="U59" s="6"/>
      <c r="V59" s="6"/>
      <c r="X59" s="6"/>
      <c r="Z59" s="6"/>
      <c r="AB59" s="6"/>
      <c r="AD59" s="6"/>
      <c r="AI59"/>
      <c r="AR59" s="6">
        <v>32997</v>
      </c>
      <c r="AT59" s="6">
        <f>136407-32997</f>
        <v>103410</v>
      </c>
      <c r="BJ59" s="6"/>
      <c r="BK59" s="6"/>
      <c r="BL59" s="6">
        <f t="shared" si="10"/>
        <v>136407</v>
      </c>
      <c r="BM59" s="6"/>
      <c r="BN59" s="6">
        <f>610749-556642</f>
        <v>54107</v>
      </c>
      <c r="BO59" s="6"/>
      <c r="BP59" s="6">
        <f t="shared" ref="BP59:BP80" si="11">IF(+R59-BL59+BN59&gt;0,R59-BL59+BN59,0)</f>
        <v>474342</v>
      </c>
      <c r="BR59" s="6">
        <f t="shared" ref="BR59:BR80" si="12">+BL59+BP59</f>
        <v>610749</v>
      </c>
      <c r="BT59" s="6">
        <f t="shared" ref="BT59:BT80" si="13">+R59-BR59</f>
        <v>-54107</v>
      </c>
      <c r="BU59" s="6"/>
    </row>
    <row r="60" spans="1:73">
      <c r="A60"/>
      <c r="B60" s="235" t="s">
        <v>316</v>
      </c>
      <c r="C60"/>
      <c r="D60"/>
      <c r="E60"/>
      <c r="F60"/>
      <c r="G60"/>
      <c r="H60"/>
      <c r="I60"/>
      <c r="J60" s="49" t="s">
        <v>231</v>
      </c>
      <c r="K60"/>
      <c r="L60" s="134"/>
      <c r="M60" s="6"/>
      <c r="O60" s="6"/>
      <c r="Q60" s="6"/>
      <c r="R60" s="237">
        <v>757350</v>
      </c>
      <c r="S60" s="6"/>
      <c r="T60" s="6"/>
      <c r="U60" s="6"/>
      <c r="V60" s="6"/>
      <c r="X60" s="6"/>
      <c r="Z60" s="6"/>
      <c r="AB60" s="6"/>
      <c r="AD60" s="6"/>
      <c r="AI60"/>
      <c r="AR60" s="6">
        <v>0</v>
      </c>
      <c r="AT60" s="6">
        <f>424960</f>
        <v>424960</v>
      </c>
      <c r="BJ60" s="6"/>
      <c r="BK60" s="6"/>
      <c r="BL60" s="6">
        <f t="shared" si="10"/>
        <v>424960</v>
      </c>
      <c r="BM60" s="6"/>
      <c r="BN60" s="6">
        <f>1175949-757350</f>
        <v>418599</v>
      </c>
      <c r="BO60" s="6"/>
      <c r="BP60" s="6">
        <f t="shared" si="11"/>
        <v>750989</v>
      </c>
      <c r="BR60" s="6">
        <f t="shared" si="12"/>
        <v>1175949</v>
      </c>
      <c r="BT60" s="6">
        <f t="shared" si="13"/>
        <v>-418599</v>
      </c>
      <c r="BU60" s="6"/>
    </row>
    <row r="61" spans="1:73">
      <c r="A61"/>
      <c r="B61" s="235" t="s">
        <v>317</v>
      </c>
      <c r="C61"/>
      <c r="D61"/>
      <c r="E61"/>
      <c r="F61"/>
      <c r="G61"/>
      <c r="H61"/>
      <c r="I61"/>
      <c r="J61" s="49" t="s">
        <v>231</v>
      </c>
      <c r="K61"/>
      <c r="L61" s="134"/>
      <c r="M61" s="6"/>
      <c r="O61" s="6"/>
      <c r="Q61" s="6"/>
      <c r="R61" s="237">
        <v>24750</v>
      </c>
      <c r="S61" s="6"/>
      <c r="T61" s="6"/>
      <c r="U61" s="6"/>
      <c r="V61" s="6"/>
      <c r="X61" s="6"/>
      <c r="Z61" s="6"/>
      <c r="AB61" s="6"/>
      <c r="AD61" s="6"/>
      <c r="AI61"/>
      <c r="AR61" s="6">
        <v>0</v>
      </c>
      <c r="AT61" s="6">
        <v>187089</v>
      </c>
      <c r="BJ61" s="6"/>
      <c r="BK61" s="6"/>
      <c r="BL61" s="6">
        <f t="shared" si="10"/>
        <v>187089</v>
      </c>
      <c r="BM61" s="6"/>
      <c r="BN61" s="6">
        <f>201245-187089</f>
        <v>14156</v>
      </c>
      <c r="BO61" s="6"/>
      <c r="BP61" s="6">
        <v>14156</v>
      </c>
      <c r="BR61" s="6">
        <f t="shared" si="12"/>
        <v>201245</v>
      </c>
      <c r="BT61" s="6">
        <f t="shared" si="13"/>
        <v>-176495</v>
      </c>
      <c r="BU61" s="6"/>
    </row>
    <row r="62" spans="1:73">
      <c r="A62"/>
      <c r="B62" s="235" t="s">
        <v>318</v>
      </c>
      <c r="C62"/>
      <c r="D62"/>
      <c r="E62"/>
      <c r="F62"/>
      <c r="G62"/>
      <c r="H62"/>
      <c r="I62"/>
      <c r="J62" s="49" t="s">
        <v>231</v>
      </c>
      <c r="K62"/>
      <c r="L62" s="134"/>
      <c r="M62" s="6"/>
      <c r="O62" s="6"/>
      <c r="Q62" s="6"/>
      <c r="R62" s="237">
        <v>222260</v>
      </c>
      <c r="S62" s="6"/>
      <c r="T62" s="6"/>
      <c r="U62" s="6"/>
      <c r="V62" s="6"/>
      <c r="X62" s="6"/>
      <c r="Z62" s="6"/>
      <c r="AB62" s="6"/>
      <c r="AD62" s="6"/>
      <c r="AI62"/>
      <c r="AR62" s="6">
        <v>0</v>
      </c>
      <c r="AT62" s="6">
        <v>246544</v>
      </c>
      <c r="BJ62" s="6"/>
      <c r="BK62" s="6"/>
      <c r="BL62" s="6">
        <f t="shared" si="10"/>
        <v>246544</v>
      </c>
      <c r="BM62" s="6"/>
      <c r="BN62" s="6">
        <f>246544-222260</f>
        <v>24284</v>
      </c>
      <c r="BO62" s="6"/>
      <c r="BP62" s="6">
        <f t="shared" si="11"/>
        <v>0</v>
      </c>
      <c r="BR62" s="6">
        <f t="shared" si="12"/>
        <v>246544</v>
      </c>
      <c r="BT62" s="6">
        <f t="shared" si="13"/>
        <v>-24284</v>
      </c>
      <c r="BU62" s="6"/>
    </row>
    <row r="63" spans="1:73">
      <c r="A63"/>
      <c r="B63" s="235" t="s">
        <v>319</v>
      </c>
      <c r="C63"/>
      <c r="D63"/>
      <c r="E63"/>
      <c r="F63"/>
      <c r="G63"/>
      <c r="H63"/>
      <c r="I63"/>
      <c r="J63" s="49" t="s">
        <v>231</v>
      </c>
      <c r="K63"/>
      <c r="L63" s="134"/>
      <c r="M63" s="6"/>
      <c r="O63" s="6"/>
      <c r="Q63" s="6"/>
      <c r="R63" s="237">
        <v>138771</v>
      </c>
      <c r="S63" s="6"/>
      <c r="T63" s="6"/>
      <c r="U63" s="6"/>
      <c r="V63" s="6"/>
      <c r="X63" s="6"/>
      <c r="Z63" s="6"/>
      <c r="AB63" s="6"/>
      <c r="AD63" s="6"/>
      <c r="AI63"/>
      <c r="AR63" s="6">
        <v>0</v>
      </c>
      <c r="AT63" s="6">
        <v>0</v>
      </c>
      <c r="BJ63" s="6"/>
      <c r="BK63" s="6"/>
      <c r="BL63" s="6">
        <f t="shared" si="10"/>
        <v>0</v>
      </c>
      <c r="BM63" s="6"/>
      <c r="BN63" s="6">
        <f>144367-138771</f>
        <v>5596</v>
      </c>
      <c r="BO63" s="6"/>
      <c r="BP63" s="6">
        <f t="shared" si="11"/>
        <v>144367</v>
      </c>
      <c r="BR63" s="6">
        <f t="shared" si="12"/>
        <v>144367</v>
      </c>
      <c r="BT63" s="6">
        <f t="shared" si="13"/>
        <v>-5596</v>
      </c>
      <c r="BU63" s="6"/>
    </row>
    <row r="64" spans="1:73">
      <c r="A64"/>
      <c r="B64" s="235" t="s">
        <v>320</v>
      </c>
      <c r="C64"/>
      <c r="D64"/>
      <c r="E64"/>
      <c r="F64"/>
      <c r="G64"/>
      <c r="H64"/>
      <c r="I64"/>
      <c r="J64" s="49" t="s">
        <v>231</v>
      </c>
      <c r="K64"/>
      <c r="L64" s="134"/>
      <c r="M64" s="6"/>
      <c r="O64" s="6"/>
      <c r="Q64" s="6"/>
      <c r="R64" s="237">
        <v>2785772</v>
      </c>
      <c r="S64" s="6"/>
      <c r="T64" s="6"/>
      <c r="U64" s="6"/>
      <c r="V64" s="6"/>
      <c r="X64" s="6"/>
      <c r="Z64" s="6"/>
      <c r="AB64" s="6"/>
      <c r="AD64" s="6"/>
      <c r="AI64"/>
      <c r="AR64" s="6">
        <v>239169</v>
      </c>
      <c r="AT64" s="6">
        <f>239819-239169</f>
        <v>650</v>
      </c>
      <c r="BJ64" s="6"/>
      <c r="BK64" s="6"/>
      <c r="BL64" s="6">
        <f t="shared" si="10"/>
        <v>239819</v>
      </c>
      <c r="BM64" s="6"/>
      <c r="BN64" s="6">
        <f>2574843-2785772</f>
        <v>-210929</v>
      </c>
      <c r="BO64" s="6"/>
      <c r="BP64" s="6">
        <f t="shared" si="11"/>
        <v>2335024</v>
      </c>
      <c r="BR64" s="6">
        <f t="shared" si="12"/>
        <v>2574843</v>
      </c>
      <c r="BT64" s="6">
        <f t="shared" si="13"/>
        <v>210929</v>
      </c>
      <c r="BU64" s="6"/>
    </row>
    <row r="65" spans="1:73">
      <c r="A65"/>
      <c r="B65" s="235" t="s">
        <v>321</v>
      </c>
      <c r="C65"/>
      <c r="D65"/>
      <c r="E65"/>
      <c r="F65"/>
      <c r="G65"/>
      <c r="H65"/>
      <c r="I65"/>
      <c r="J65" s="49" t="s">
        <v>231</v>
      </c>
      <c r="K65"/>
      <c r="L65" s="134"/>
      <c r="M65" s="6"/>
      <c r="O65" s="6"/>
      <c r="Q65" s="6"/>
      <c r="R65" s="237">
        <v>94088</v>
      </c>
      <c r="S65" s="6"/>
      <c r="T65" s="6"/>
      <c r="U65" s="6"/>
      <c r="V65" s="6"/>
      <c r="X65" s="6"/>
      <c r="Z65" s="6"/>
      <c r="AB65" s="6"/>
      <c r="AD65" s="6"/>
      <c r="AI65"/>
      <c r="AT65" s="6">
        <v>0</v>
      </c>
      <c r="BJ65" s="6"/>
      <c r="BK65" s="6"/>
      <c r="BL65" s="6">
        <f t="shared" si="10"/>
        <v>0</v>
      </c>
      <c r="BM65" s="6"/>
      <c r="BN65" s="6">
        <v>900</v>
      </c>
      <c r="BO65" s="6"/>
      <c r="BP65" s="6">
        <f t="shared" si="11"/>
        <v>94988</v>
      </c>
      <c r="BR65" s="6">
        <f t="shared" si="12"/>
        <v>94988</v>
      </c>
      <c r="BT65" s="6">
        <f t="shared" si="13"/>
        <v>-900</v>
      </c>
      <c r="BU65" s="6"/>
    </row>
    <row r="66" spans="1:73">
      <c r="A66"/>
      <c r="B66" s="235" t="s">
        <v>322</v>
      </c>
      <c r="C66"/>
      <c r="D66"/>
      <c r="E66"/>
      <c r="F66"/>
      <c r="G66"/>
      <c r="H66"/>
      <c r="I66"/>
      <c r="J66" s="49" t="s">
        <v>231</v>
      </c>
      <c r="K66"/>
      <c r="L66" s="134"/>
      <c r="M66" s="6"/>
      <c r="O66" s="6"/>
      <c r="Q66" s="6"/>
      <c r="R66" s="237">
        <v>4268</v>
      </c>
      <c r="S66" s="6"/>
      <c r="T66" s="6"/>
      <c r="U66" s="6"/>
      <c r="V66" s="6"/>
      <c r="X66" s="6"/>
      <c r="Z66" s="6"/>
      <c r="AB66" s="6"/>
      <c r="AD66" s="6"/>
      <c r="AI66"/>
      <c r="AR66" s="6">
        <v>447</v>
      </c>
      <c r="AT66" s="6">
        <v>0</v>
      </c>
      <c r="BJ66" s="6"/>
      <c r="BK66" s="6"/>
      <c r="BL66" s="6">
        <f t="shared" si="10"/>
        <v>447</v>
      </c>
      <c r="BM66" s="6"/>
      <c r="BN66" s="6"/>
      <c r="BO66" s="6"/>
      <c r="BP66" s="6">
        <f t="shared" si="11"/>
        <v>3821</v>
      </c>
      <c r="BR66" s="6">
        <f t="shared" si="12"/>
        <v>4268</v>
      </c>
      <c r="BT66" s="6">
        <f t="shared" si="13"/>
        <v>0</v>
      </c>
      <c r="BU66" s="6"/>
    </row>
    <row r="67" spans="1:73">
      <c r="A67" s="30"/>
      <c r="B67" s="235" t="s">
        <v>323</v>
      </c>
      <c r="C67"/>
      <c r="D67"/>
      <c r="E67"/>
      <c r="F67"/>
      <c r="G67"/>
      <c r="H67"/>
      <c r="I67"/>
      <c r="J67" s="49" t="s">
        <v>231</v>
      </c>
      <c r="K67"/>
      <c r="L67" s="134"/>
      <c r="M67" s="6"/>
      <c r="O67" s="6"/>
      <c r="Q67" s="6"/>
      <c r="R67" s="237">
        <v>171146</v>
      </c>
      <c r="S67" s="6"/>
      <c r="T67" s="6"/>
      <c r="U67" s="6"/>
      <c r="V67" s="6"/>
      <c r="X67" s="6"/>
      <c r="Z67" s="6"/>
      <c r="AB67" s="6"/>
      <c r="AD67" s="6"/>
      <c r="AI67"/>
      <c r="AT67" s="6">
        <v>1151</v>
      </c>
      <c r="BJ67" s="6"/>
      <c r="BK67" s="6"/>
      <c r="BL67" s="6">
        <f t="shared" si="10"/>
        <v>1151</v>
      </c>
      <c r="BM67" s="6"/>
      <c r="BN67" s="6">
        <f>174826-171146</f>
        <v>3680</v>
      </c>
      <c r="BO67" s="6"/>
      <c r="BP67" s="6">
        <f t="shared" si="11"/>
        <v>173675</v>
      </c>
      <c r="BR67" s="6">
        <f t="shared" si="12"/>
        <v>174826</v>
      </c>
      <c r="BT67" s="6">
        <f t="shared" si="13"/>
        <v>-3680</v>
      </c>
      <c r="BU67" s="6"/>
    </row>
    <row r="68" spans="1:73">
      <c r="A68"/>
      <c r="B68" s="235" t="s">
        <v>324</v>
      </c>
      <c r="C68"/>
      <c r="D68"/>
      <c r="E68"/>
      <c r="F68"/>
      <c r="G68"/>
      <c r="H68"/>
      <c r="I68"/>
      <c r="J68" s="49" t="s">
        <v>231</v>
      </c>
      <c r="K68"/>
      <c r="L68" s="134"/>
      <c r="M68" s="6"/>
      <c r="O68" s="6"/>
      <c r="Q68" s="6"/>
      <c r="R68" s="237">
        <v>22947</v>
      </c>
      <c r="S68" s="6"/>
      <c r="T68" s="6"/>
      <c r="U68" s="6"/>
      <c r="V68" s="6"/>
      <c r="X68" s="6"/>
      <c r="Z68" s="6"/>
      <c r="AB68" s="6"/>
      <c r="AD68" s="6"/>
      <c r="AI68"/>
      <c r="BJ68" s="6"/>
      <c r="BK68" s="6"/>
      <c r="BL68" s="6">
        <f t="shared" si="10"/>
        <v>0</v>
      </c>
      <c r="BM68" s="6"/>
      <c r="BN68" s="6"/>
      <c r="BO68" s="6"/>
      <c r="BP68" s="6">
        <f t="shared" si="11"/>
        <v>22947</v>
      </c>
      <c r="BR68" s="6">
        <f t="shared" si="12"/>
        <v>22947</v>
      </c>
      <c r="BT68" s="6">
        <f t="shared" si="13"/>
        <v>0</v>
      </c>
      <c r="BU68" s="6"/>
    </row>
    <row r="69" spans="1:73">
      <c r="A69"/>
      <c r="B69" s="235" t="s">
        <v>325</v>
      </c>
      <c r="C69"/>
      <c r="D69"/>
      <c r="E69"/>
      <c r="F69"/>
      <c r="G69"/>
      <c r="H69"/>
      <c r="I69"/>
      <c r="J69" s="49" t="s">
        <v>231</v>
      </c>
      <c r="K69"/>
      <c r="L69" s="134"/>
      <c r="M69" s="6"/>
      <c r="O69" s="6"/>
      <c r="Q69" s="6"/>
      <c r="R69" s="237">
        <v>115116</v>
      </c>
      <c r="S69" s="6"/>
      <c r="T69" s="6"/>
      <c r="U69" s="6"/>
      <c r="V69" s="6"/>
      <c r="X69" s="6"/>
      <c r="Z69" s="6"/>
      <c r="AB69" s="6"/>
      <c r="AD69" s="6"/>
      <c r="AI69"/>
      <c r="BJ69" s="6"/>
      <c r="BK69" s="6"/>
      <c r="BL69" s="6">
        <f t="shared" si="10"/>
        <v>0</v>
      </c>
      <c r="BM69" s="6"/>
      <c r="BN69" s="6">
        <f>125116-115116</f>
        <v>10000</v>
      </c>
      <c r="BO69" s="6"/>
      <c r="BP69" s="6">
        <f t="shared" si="11"/>
        <v>125116</v>
      </c>
      <c r="BR69" s="6">
        <f t="shared" si="12"/>
        <v>125116</v>
      </c>
      <c r="BT69" s="6">
        <f t="shared" si="13"/>
        <v>-10000</v>
      </c>
      <c r="BU69" s="6"/>
    </row>
    <row r="70" spans="1:73">
      <c r="A70"/>
      <c r="B70" s="235" t="s">
        <v>150</v>
      </c>
      <c r="C70"/>
      <c r="D70"/>
      <c r="E70"/>
      <c r="F70"/>
      <c r="G70"/>
      <c r="H70"/>
      <c r="I70"/>
      <c r="J70" s="49" t="s">
        <v>231</v>
      </c>
      <c r="K70"/>
      <c r="L70" s="134"/>
      <c r="M70" s="6"/>
      <c r="O70" s="6"/>
      <c r="Q70" s="6"/>
      <c r="R70" s="237">
        <v>97500</v>
      </c>
      <c r="S70" s="6"/>
      <c r="T70" s="6"/>
      <c r="U70" s="6"/>
      <c r="V70" s="6"/>
      <c r="X70" s="6"/>
      <c r="Z70" s="6"/>
      <c r="AB70" s="6"/>
      <c r="AD70" s="6"/>
      <c r="AI70"/>
      <c r="BJ70" s="6"/>
      <c r="BK70" s="6"/>
      <c r="BL70" s="6">
        <f t="shared" si="10"/>
        <v>0</v>
      </c>
      <c r="BM70" s="6"/>
      <c r="BN70" s="6">
        <f>111322-97500</f>
        <v>13822</v>
      </c>
      <c r="BO70" s="6"/>
      <c r="BP70" s="6">
        <f t="shared" si="11"/>
        <v>111322</v>
      </c>
      <c r="BR70" s="6">
        <f t="shared" si="12"/>
        <v>111322</v>
      </c>
      <c r="BT70" s="6">
        <f t="shared" si="13"/>
        <v>-13822</v>
      </c>
      <c r="BU70" s="6"/>
    </row>
    <row r="71" spans="1:73">
      <c r="A71"/>
      <c r="B71" s="235" t="s">
        <v>56</v>
      </c>
      <c r="C71"/>
      <c r="D71"/>
      <c r="E71"/>
      <c r="F71"/>
      <c r="G71"/>
      <c r="H71"/>
      <c r="I71"/>
      <c r="J71" s="49" t="s">
        <v>231</v>
      </c>
      <c r="K71"/>
      <c r="L71" s="134"/>
      <c r="M71" s="6"/>
      <c r="O71" s="6"/>
      <c r="Q71" s="6"/>
      <c r="R71" s="237">
        <v>393568</v>
      </c>
      <c r="S71" s="6"/>
      <c r="T71" s="6"/>
      <c r="U71" s="6"/>
      <c r="V71" s="6"/>
      <c r="X71" s="6"/>
      <c r="Z71" s="6"/>
      <c r="AB71" s="6"/>
      <c r="AD71" s="6"/>
      <c r="AI71"/>
      <c r="AT71" s="6">
        <v>40398</v>
      </c>
      <c r="BJ71" s="6"/>
      <c r="BK71" s="6"/>
      <c r="BL71" s="6">
        <f t="shared" si="10"/>
        <v>40398</v>
      </c>
      <c r="BM71" s="6"/>
      <c r="BN71" s="6">
        <f>403980-393568</f>
        <v>10412</v>
      </c>
      <c r="BO71" s="6"/>
      <c r="BP71" s="6">
        <f t="shared" si="11"/>
        <v>363582</v>
      </c>
      <c r="BR71" s="6">
        <f t="shared" si="12"/>
        <v>403980</v>
      </c>
      <c r="BT71" s="6">
        <f t="shared" si="13"/>
        <v>-10412</v>
      </c>
      <c r="BU71" s="6"/>
    </row>
    <row r="72" spans="1:73">
      <c r="A72"/>
      <c r="B72" s="235" t="s">
        <v>326</v>
      </c>
      <c r="C72"/>
      <c r="D72"/>
      <c r="E72"/>
      <c r="F72"/>
      <c r="G72"/>
      <c r="H72"/>
      <c r="I72"/>
      <c r="J72" s="49" t="s">
        <v>231</v>
      </c>
      <c r="K72"/>
      <c r="L72" s="134"/>
      <c r="M72" s="6"/>
      <c r="O72" s="6"/>
      <c r="Q72" s="6"/>
      <c r="R72" s="237">
        <v>59392</v>
      </c>
      <c r="S72" s="6"/>
      <c r="T72" s="6"/>
      <c r="U72" s="6"/>
      <c r="V72" s="6"/>
      <c r="X72" s="6"/>
      <c r="Z72" s="6"/>
      <c r="AB72" s="6"/>
      <c r="AD72" s="6"/>
      <c r="AI72"/>
      <c r="AT72" s="6">
        <v>33588</v>
      </c>
      <c r="BJ72" s="6"/>
      <c r="BK72" s="6"/>
      <c r="BL72" s="6">
        <f t="shared" si="10"/>
        <v>33588</v>
      </c>
      <c r="BM72" s="6"/>
      <c r="BN72" s="6">
        <f>72378-R72</f>
        <v>12986</v>
      </c>
      <c r="BO72" s="6"/>
      <c r="BP72" s="6">
        <f t="shared" si="11"/>
        <v>38790</v>
      </c>
      <c r="BR72" s="6">
        <f t="shared" si="12"/>
        <v>72378</v>
      </c>
      <c r="BT72" s="6">
        <f t="shared" si="13"/>
        <v>-12986</v>
      </c>
      <c r="BU72" s="6"/>
    </row>
    <row r="73" spans="1:73">
      <c r="A73"/>
      <c r="B73" s="235" t="s">
        <v>327</v>
      </c>
      <c r="C73"/>
      <c r="D73"/>
      <c r="E73"/>
      <c r="F73"/>
      <c r="G73"/>
      <c r="H73"/>
      <c r="I73"/>
      <c r="J73" s="49" t="s">
        <v>231</v>
      </c>
      <c r="K73"/>
      <c r="L73" s="134"/>
      <c r="M73" s="6"/>
      <c r="O73" s="6"/>
      <c r="Q73" s="6"/>
      <c r="R73" s="237">
        <v>21728</v>
      </c>
      <c r="S73" s="6"/>
      <c r="T73" s="6"/>
      <c r="U73" s="6"/>
      <c r="V73" s="6"/>
      <c r="X73" s="6"/>
      <c r="Z73" s="6"/>
      <c r="AB73" s="6"/>
      <c r="AD73" s="6"/>
      <c r="AI73"/>
      <c r="AT73" s="6">
        <v>0</v>
      </c>
      <c r="BJ73" s="6"/>
      <c r="BK73" s="6"/>
      <c r="BL73" s="6">
        <f t="shared" si="10"/>
        <v>0</v>
      </c>
      <c r="BM73" s="6"/>
      <c r="BN73" s="6">
        <f>25378-21728</f>
        <v>3650</v>
      </c>
      <c r="BO73" s="6"/>
      <c r="BP73" s="6">
        <f t="shared" si="11"/>
        <v>25378</v>
      </c>
      <c r="BR73" s="6">
        <f t="shared" si="12"/>
        <v>25378</v>
      </c>
      <c r="BT73" s="6">
        <f t="shared" si="13"/>
        <v>-3650</v>
      </c>
      <c r="BU73" s="6"/>
    </row>
    <row r="74" spans="1:73">
      <c r="A74"/>
      <c r="B74" s="235" t="s">
        <v>53</v>
      </c>
      <c r="C74"/>
      <c r="D74"/>
      <c r="E74"/>
      <c r="F74"/>
      <c r="G74"/>
      <c r="H74"/>
      <c r="I74"/>
      <c r="J74" s="49" t="s">
        <v>231</v>
      </c>
      <c r="K74"/>
      <c r="L74" s="134"/>
      <c r="M74" s="6"/>
      <c r="O74" s="6"/>
      <c r="Q74" s="6"/>
      <c r="R74" s="237">
        <v>207975</v>
      </c>
      <c r="S74" s="6"/>
      <c r="T74" s="6"/>
      <c r="U74" s="6"/>
      <c r="V74" s="6"/>
      <c r="X74" s="6"/>
      <c r="Z74" s="6"/>
      <c r="AB74" s="6"/>
      <c r="AD74" s="6"/>
      <c r="AI74"/>
      <c r="AP74" s="6">
        <v>3301</v>
      </c>
      <c r="AT74" s="6">
        <v>0</v>
      </c>
      <c r="BJ74" s="6"/>
      <c r="BK74" s="6"/>
      <c r="BL74" s="6">
        <f t="shared" si="10"/>
        <v>3301</v>
      </c>
      <c r="BM74" s="6"/>
      <c r="BN74" s="6">
        <f>231525-207975</f>
        <v>23550</v>
      </c>
      <c r="BO74" s="6"/>
      <c r="BP74" s="6">
        <f t="shared" si="11"/>
        <v>228224</v>
      </c>
      <c r="BR74" s="6">
        <f t="shared" si="12"/>
        <v>231525</v>
      </c>
      <c r="BT74" s="6">
        <f t="shared" si="13"/>
        <v>-23550</v>
      </c>
      <c r="BU74" s="6"/>
    </row>
    <row r="75" spans="1:73">
      <c r="A75"/>
      <c r="B75" s="235" t="s">
        <v>175</v>
      </c>
      <c r="C75"/>
      <c r="D75"/>
      <c r="E75"/>
      <c r="F75"/>
      <c r="G75"/>
      <c r="H75"/>
      <c r="I75"/>
      <c r="J75" s="49" t="s">
        <v>231</v>
      </c>
      <c r="K75"/>
      <c r="L75" s="134"/>
      <c r="M75" s="6"/>
      <c r="O75" s="6"/>
      <c r="Q75" s="6"/>
      <c r="R75" s="237">
        <v>96500</v>
      </c>
      <c r="S75" s="6"/>
      <c r="T75" s="6"/>
      <c r="U75" s="6"/>
      <c r="V75" s="6"/>
      <c r="X75" s="6"/>
      <c r="Z75" s="6"/>
      <c r="AB75" s="6"/>
      <c r="AD75" s="6"/>
      <c r="AI75"/>
      <c r="AT75" s="6">
        <v>0</v>
      </c>
      <c r="BJ75" s="6"/>
      <c r="BK75" s="6"/>
      <c r="BL75" s="6">
        <f t="shared" si="10"/>
        <v>0</v>
      </c>
      <c r="BM75" s="6"/>
      <c r="BN75" s="6">
        <f>105680-96500</f>
        <v>9180</v>
      </c>
      <c r="BO75" s="6"/>
      <c r="BP75" s="6">
        <f t="shared" si="11"/>
        <v>105680</v>
      </c>
      <c r="BR75" s="6">
        <f t="shared" si="12"/>
        <v>105680</v>
      </c>
      <c r="BT75" s="6">
        <f t="shared" si="13"/>
        <v>-9180</v>
      </c>
      <c r="BU75" s="6"/>
    </row>
    <row r="76" spans="1:73">
      <c r="A76"/>
      <c r="B76" s="235" t="s">
        <v>328</v>
      </c>
      <c r="C76"/>
      <c r="D76"/>
      <c r="E76"/>
      <c r="F76"/>
      <c r="G76"/>
      <c r="H76"/>
      <c r="I76"/>
      <c r="J76" s="49" t="s">
        <v>231</v>
      </c>
      <c r="K76"/>
      <c r="L76" s="134"/>
      <c r="M76" s="6"/>
      <c r="O76" s="6"/>
      <c r="Q76" s="6"/>
      <c r="R76" s="237">
        <v>18000</v>
      </c>
      <c r="S76" s="6"/>
      <c r="T76" s="6"/>
      <c r="U76" s="6"/>
      <c r="V76" s="6"/>
      <c r="X76" s="6"/>
      <c r="Z76" s="6"/>
      <c r="AB76" s="6"/>
      <c r="AD76" s="6"/>
      <c r="AI76"/>
      <c r="BJ76" s="6"/>
      <c r="BK76" s="6"/>
      <c r="BL76" s="6">
        <f t="shared" si="10"/>
        <v>0</v>
      </c>
      <c r="BM76" s="6"/>
      <c r="BN76" s="6">
        <f>75253-18000</f>
        <v>57253</v>
      </c>
      <c r="BO76" s="6"/>
      <c r="BP76" s="6">
        <f t="shared" si="11"/>
        <v>75253</v>
      </c>
      <c r="BR76" s="6">
        <f t="shared" si="12"/>
        <v>75253</v>
      </c>
      <c r="BT76" s="6">
        <f t="shared" si="13"/>
        <v>-57253</v>
      </c>
      <c r="BU76" s="6"/>
    </row>
    <row r="77" spans="1:73">
      <c r="A77"/>
      <c r="B77" s="235" t="s">
        <v>329</v>
      </c>
      <c r="C77"/>
      <c r="D77"/>
      <c r="E77"/>
      <c r="F77"/>
      <c r="G77"/>
      <c r="H77"/>
      <c r="I77"/>
      <c r="J77" s="49" t="s">
        <v>231</v>
      </c>
      <c r="K77"/>
      <c r="L77" s="134"/>
      <c r="M77" s="6"/>
      <c r="O77" s="6"/>
      <c r="Q77" s="6"/>
      <c r="R77" s="237">
        <v>105600</v>
      </c>
      <c r="S77" s="6"/>
      <c r="T77" s="6"/>
      <c r="U77" s="6"/>
      <c r="V77" s="6"/>
      <c r="X77" s="6"/>
      <c r="Z77" s="6"/>
      <c r="AB77" s="6"/>
      <c r="AD77" s="6"/>
      <c r="AI77"/>
      <c r="AR77" s="6">
        <v>63890</v>
      </c>
      <c r="AT77" s="6">
        <v>0</v>
      </c>
      <c r="BJ77" s="6"/>
      <c r="BK77" s="6"/>
      <c r="BL77" s="6">
        <f t="shared" si="10"/>
        <v>63890</v>
      </c>
      <c r="BM77" s="6"/>
      <c r="BN77" s="6"/>
      <c r="BO77" s="6"/>
      <c r="BP77" s="6">
        <f t="shared" si="11"/>
        <v>41710</v>
      </c>
      <c r="BR77" s="6">
        <f t="shared" si="12"/>
        <v>105600</v>
      </c>
      <c r="BT77" s="6">
        <f t="shared" si="13"/>
        <v>0</v>
      </c>
      <c r="BU77" s="6"/>
    </row>
    <row r="78" spans="1:73">
      <c r="A78"/>
      <c r="B78" s="235" t="s">
        <v>330</v>
      </c>
      <c r="C78"/>
      <c r="D78"/>
      <c r="E78"/>
      <c r="F78"/>
      <c r="G78"/>
      <c r="H78"/>
      <c r="I78"/>
      <c r="J78" s="49" t="s">
        <v>231</v>
      </c>
      <c r="K78"/>
      <c r="L78" s="134"/>
      <c r="M78" s="6"/>
      <c r="O78" s="6"/>
      <c r="Q78" s="6"/>
      <c r="R78" s="237">
        <v>373700</v>
      </c>
      <c r="S78" s="6"/>
      <c r="T78" s="6"/>
      <c r="U78" s="6"/>
      <c r="V78" s="6"/>
      <c r="X78" s="6"/>
      <c r="Z78" s="6"/>
      <c r="AB78" s="6"/>
      <c r="AD78" s="6"/>
      <c r="AI78"/>
      <c r="AT78" s="6">
        <v>331326</v>
      </c>
      <c r="BJ78" s="6"/>
      <c r="BK78" s="6"/>
      <c r="BL78" s="6">
        <f t="shared" si="10"/>
        <v>331326</v>
      </c>
      <c r="BM78" s="6"/>
      <c r="BN78" s="6"/>
      <c r="BO78" s="6"/>
      <c r="BP78" s="6">
        <f t="shared" si="11"/>
        <v>42374</v>
      </c>
      <c r="BR78" s="6">
        <f t="shared" si="12"/>
        <v>373700</v>
      </c>
      <c r="BT78" s="6">
        <f t="shared" si="13"/>
        <v>0</v>
      </c>
      <c r="BU78" s="6"/>
    </row>
    <row r="79" spans="1:73">
      <c r="A79"/>
      <c r="B79" s="235" t="s">
        <v>331</v>
      </c>
      <c r="C79"/>
      <c r="D79"/>
      <c r="E79"/>
      <c r="F79"/>
      <c r="G79"/>
      <c r="H79"/>
      <c r="I79"/>
      <c r="J79" s="49" t="s">
        <v>231</v>
      </c>
      <c r="K79"/>
      <c r="L79" s="134"/>
      <c r="M79" s="6"/>
      <c r="O79" s="6"/>
      <c r="Q79" s="6"/>
      <c r="R79" s="237">
        <v>0</v>
      </c>
      <c r="S79" s="6"/>
      <c r="T79" s="6"/>
      <c r="U79" s="6"/>
      <c r="V79" s="6"/>
      <c r="X79" s="6"/>
      <c r="Z79" s="6"/>
      <c r="AB79" s="6"/>
      <c r="AD79" s="6"/>
      <c r="AI79"/>
      <c r="AT79" s="6">
        <v>0</v>
      </c>
      <c r="BJ79" s="6"/>
      <c r="BK79" s="6"/>
      <c r="BL79" s="6">
        <f t="shared" si="10"/>
        <v>0</v>
      </c>
      <c r="BM79" s="6"/>
      <c r="BN79" s="6">
        <v>0</v>
      </c>
      <c r="BO79" s="6"/>
      <c r="BP79" s="6">
        <f t="shared" si="11"/>
        <v>0</v>
      </c>
      <c r="BR79" s="6">
        <f t="shared" si="12"/>
        <v>0</v>
      </c>
      <c r="BT79" s="6">
        <f t="shared" si="13"/>
        <v>0</v>
      </c>
      <c r="BU79" s="6"/>
    </row>
    <row r="80" spans="1:73">
      <c r="A80"/>
      <c r="B80" s="235" t="s">
        <v>332</v>
      </c>
      <c r="C80"/>
      <c r="D80"/>
      <c r="E80"/>
      <c r="F80"/>
      <c r="G80"/>
      <c r="H80"/>
      <c r="I80"/>
      <c r="J80" s="49" t="s">
        <v>231</v>
      </c>
      <c r="K80"/>
      <c r="L80" s="134"/>
      <c r="M80" s="6"/>
      <c r="O80" s="6"/>
      <c r="Q80" s="6"/>
      <c r="R80" s="237">
        <v>37000</v>
      </c>
      <c r="S80" s="6"/>
      <c r="T80" s="6"/>
      <c r="U80" s="6"/>
      <c r="V80" s="6"/>
      <c r="X80" s="6"/>
      <c r="Z80" s="6"/>
      <c r="AB80" s="6"/>
      <c r="AD80" s="6"/>
      <c r="AI80"/>
      <c r="AT80" s="6">
        <v>0</v>
      </c>
      <c r="BJ80" s="6"/>
      <c r="BK80" s="6"/>
      <c r="BL80" s="6">
        <f t="shared" si="10"/>
        <v>0</v>
      </c>
      <c r="BM80" s="6"/>
      <c r="BN80" s="6">
        <v>0</v>
      </c>
      <c r="BO80" s="6"/>
      <c r="BP80" s="6">
        <f t="shared" si="11"/>
        <v>37000</v>
      </c>
      <c r="BR80" s="6">
        <f t="shared" si="12"/>
        <v>37000</v>
      </c>
      <c r="BT80" s="6">
        <f t="shared" si="13"/>
        <v>0</v>
      </c>
      <c r="BU80" s="6"/>
    </row>
    <row r="81" spans="2:73" s="21" customFormat="1">
      <c r="B81" s="238" t="s">
        <v>335</v>
      </c>
      <c r="J81" s="8"/>
      <c r="L81" s="143" t="s">
        <v>204</v>
      </c>
      <c r="M81" s="9"/>
      <c r="N81" s="9">
        <v>0</v>
      </c>
      <c r="O81" s="9"/>
      <c r="P81" s="9">
        <v>0</v>
      </c>
      <c r="Q81" s="9"/>
      <c r="R81" s="9">
        <f>SUM(R58:R80)</f>
        <v>6714377</v>
      </c>
      <c r="S81" s="9">
        <f t="shared" ref="S81:BT81" si="14">SUM(S58:S80)</f>
        <v>0</v>
      </c>
      <c r="T81" s="9">
        <f t="shared" si="14"/>
        <v>0</v>
      </c>
      <c r="U81" s="9">
        <f t="shared" si="14"/>
        <v>0</v>
      </c>
      <c r="V81" s="9">
        <f t="shared" si="14"/>
        <v>0</v>
      </c>
      <c r="W81" s="9">
        <f t="shared" si="14"/>
        <v>0</v>
      </c>
      <c r="X81" s="9">
        <f t="shared" si="14"/>
        <v>0</v>
      </c>
      <c r="Y81" s="9">
        <f t="shared" si="14"/>
        <v>0</v>
      </c>
      <c r="Z81" s="9">
        <f t="shared" si="14"/>
        <v>0</v>
      </c>
      <c r="AA81" s="9">
        <f t="shared" si="14"/>
        <v>0</v>
      </c>
      <c r="AB81" s="9">
        <f t="shared" si="14"/>
        <v>0</v>
      </c>
      <c r="AC81" s="9">
        <f t="shared" si="14"/>
        <v>0</v>
      </c>
      <c r="AD81" s="9">
        <f t="shared" si="14"/>
        <v>0</v>
      </c>
      <c r="AE81" s="9"/>
      <c r="AF81" s="9">
        <f t="shared" si="14"/>
        <v>0</v>
      </c>
      <c r="AG81" s="9"/>
      <c r="AH81" s="9">
        <f t="shared" si="14"/>
        <v>0</v>
      </c>
      <c r="AI81" s="9"/>
      <c r="AJ81" s="9">
        <f t="shared" si="14"/>
        <v>0</v>
      </c>
      <c r="AK81" s="9">
        <f t="shared" si="14"/>
        <v>0</v>
      </c>
      <c r="AL81" s="9">
        <f t="shared" si="14"/>
        <v>0</v>
      </c>
      <c r="AM81" s="9">
        <f t="shared" si="14"/>
        <v>0</v>
      </c>
      <c r="AN81" s="9">
        <f t="shared" si="14"/>
        <v>0</v>
      </c>
      <c r="AO81" s="9">
        <f t="shared" si="14"/>
        <v>0</v>
      </c>
      <c r="AP81" s="9">
        <f t="shared" si="14"/>
        <v>3301</v>
      </c>
      <c r="AQ81" s="9">
        <f t="shared" si="14"/>
        <v>0</v>
      </c>
      <c r="AR81" s="9">
        <f t="shared" si="14"/>
        <v>346618</v>
      </c>
      <c r="AS81" s="9">
        <f t="shared" si="14"/>
        <v>0</v>
      </c>
      <c r="AT81" s="9">
        <f t="shared" si="14"/>
        <v>1451621</v>
      </c>
      <c r="AU81" s="9">
        <f t="shared" si="14"/>
        <v>0</v>
      </c>
      <c r="AV81" s="9">
        <f t="shared" si="14"/>
        <v>0</v>
      </c>
      <c r="AW81" s="9">
        <f t="shared" si="14"/>
        <v>0</v>
      </c>
      <c r="AX81" s="9">
        <f t="shared" si="14"/>
        <v>0</v>
      </c>
      <c r="AY81" s="9">
        <f t="shared" si="14"/>
        <v>0</v>
      </c>
      <c r="AZ81" s="9">
        <f t="shared" si="14"/>
        <v>0</v>
      </c>
      <c r="BA81" s="9">
        <f t="shared" si="14"/>
        <v>0</v>
      </c>
      <c r="BB81" s="9">
        <f t="shared" si="14"/>
        <v>0</v>
      </c>
      <c r="BC81" s="9">
        <f t="shared" si="14"/>
        <v>0</v>
      </c>
      <c r="BD81" s="9">
        <f t="shared" si="14"/>
        <v>0</v>
      </c>
      <c r="BE81" s="9">
        <f t="shared" si="14"/>
        <v>0</v>
      </c>
      <c r="BF81" s="9">
        <f t="shared" si="14"/>
        <v>0</v>
      </c>
      <c r="BG81" s="9">
        <f t="shared" si="14"/>
        <v>0</v>
      </c>
      <c r="BH81" s="9">
        <f t="shared" si="14"/>
        <v>0</v>
      </c>
      <c r="BI81" s="9">
        <f t="shared" si="14"/>
        <v>0</v>
      </c>
      <c r="BJ81" s="9">
        <f t="shared" si="14"/>
        <v>0</v>
      </c>
      <c r="BK81" s="9">
        <f t="shared" si="14"/>
        <v>0</v>
      </c>
      <c r="BL81" s="9">
        <f t="shared" si="14"/>
        <v>1801540</v>
      </c>
      <c r="BM81" s="9">
        <f t="shared" si="14"/>
        <v>0</v>
      </c>
      <c r="BN81" s="9">
        <f t="shared" si="14"/>
        <v>472462</v>
      </c>
      <c r="BO81" s="9">
        <f t="shared" si="14"/>
        <v>0</v>
      </c>
      <c r="BP81" s="9">
        <f t="shared" si="14"/>
        <v>5547638</v>
      </c>
      <c r="BQ81" s="9">
        <f t="shared" si="14"/>
        <v>0</v>
      </c>
      <c r="BR81" s="9">
        <f t="shared" si="14"/>
        <v>7349178</v>
      </c>
      <c r="BS81" s="9">
        <f t="shared" si="14"/>
        <v>0</v>
      </c>
      <c r="BT81" s="9">
        <f t="shared" si="14"/>
        <v>-634801</v>
      </c>
      <c r="BU81" s="9"/>
    </row>
    <row r="82" spans="2:73" s="21" customFormat="1">
      <c r="B82" s="238"/>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2:73" s="21" customFormat="1">
      <c r="B83" s="239" t="s">
        <v>363</v>
      </c>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2:73" s="21" customFormat="1">
      <c r="B84" s="240" t="s">
        <v>336</v>
      </c>
      <c r="J84" s="8"/>
      <c r="L84" s="143"/>
      <c r="M84" s="9"/>
      <c r="N84" s="9"/>
      <c r="O84" s="9"/>
      <c r="P84" s="9"/>
      <c r="Q84" s="9"/>
      <c r="R84" s="237">
        <f>2332998-3</f>
        <v>2332995</v>
      </c>
      <c r="S84" s="9"/>
      <c r="T84" s="9"/>
      <c r="U84" s="9"/>
      <c r="V84" s="9"/>
      <c r="W84" s="9"/>
      <c r="X84" s="9"/>
      <c r="Y84" s="9"/>
      <c r="Z84" s="9"/>
      <c r="AA84" s="9"/>
      <c r="AB84" s="9"/>
      <c r="AC84" s="9"/>
      <c r="AD84" s="9"/>
      <c r="AE84" s="9"/>
      <c r="AF84" s="9"/>
      <c r="AG84" s="9"/>
      <c r="AH84" s="9"/>
      <c r="AJ84" s="9"/>
      <c r="AL84" s="9"/>
      <c r="AN84" s="9"/>
      <c r="AO84" s="9"/>
      <c r="AP84" s="9"/>
      <c r="AQ84" s="9"/>
      <c r="AR84" s="6">
        <v>949522</v>
      </c>
      <c r="AS84" s="9"/>
      <c r="AT84" s="6">
        <f>976794-949522</f>
        <v>27272</v>
      </c>
      <c r="AU84" s="9"/>
      <c r="AV84" s="9"/>
      <c r="AW84" s="9"/>
      <c r="AX84" s="9"/>
      <c r="AY84" s="9"/>
      <c r="AZ84" s="9"/>
      <c r="BA84" s="9"/>
      <c r="BB84" s="9"/>
      <c r="BC84" s="9"/>
      <c r="BD84" s="9"/>
      <c r="BE84" s="9"/>
      <c r="BF84" s="9"/>
      <c r="BG84" s="9"/>
      <c r="BH84" s="9"/>
      <c r="BI84" s="9"/>
      <c r="BJ84" s="9"/>
      <c r="BK84" s="9"/>
      <c r="BL84" s="6">
        <f t="shared" ref="BL84:BL114" si="15">SUM(T84:BK84)</f>
        <v>976794</v>
      </c>
      <c r="BM84" s="9"/>
      <c r="BN84" s="6">
        <f>2737812-2332995</f>
        <v>404817</v>
      </c>
      <c r="BO84" s="9"/>
      <c r="BP84" s="6">
        <f>IF(+R84-BL84+BN84&gt;0,R84-BL84+BN84,0)</f>
        <v>1761018</v>
      </c>
      <c r="BQ84" s="6"/>
      <c r="BR84" s="6">
        <f>+BL84+BP84</f>
        <v>2737812</v>
      </c>
      <c r="BS84" s="6"/>
      <c r="BT84" s="6">
        <f>+R84-BR84</f>
        <v>-404817</v>
      </c>
      <c r="BU84" s="9"/>
    </row>
    <row r="85" spans="2:73" s="21" customFormat="1">
      <c r="B85" s="240" t="s">
        <v>337</v>
      </c>
      <c r="J85" s="8"/>
      <c r="L85" s="143"/>
      <c r="M85" s="9"/>
      <c r="N85" s="9"/>
      <c r="O85" s="9"/>
      <c r="P85" s="9"/>
      <c r="Q85" s="9"/>
      <c r="R85" s="237">
        <v>804321</v>
      </c>
      <c r="S85" s="9"/>
      <c r="T85" s="9"/>
      <c r="U85" s="9"/>
      <c r="V85" s="9"/>
      <c r="W85" s="9"/>
      <c r="X85" s="9"/>
      <c r="Y85" s="9"/>
      <c r="Z85" s="9"/>
      <c r="AA85" s="9"/>
      <c r="AB85" s="9"/>
      <c r="AC85" s="9"/>
      <c r="AD85" s="9"/>
      <c r="AE85" s="9"/>
      <c r="AF85" s="9"/>
      <c r="AG85" s="9"/>
      <c r="AH85" s="9"/>
      <c r="AJ85" s="9"/>
      <c r="AL85" s="9"/>
      <c r="AN85" s="9"/>
      <c r="AO85" s="9"/>
      <c r="AP85" s="9"/>
      <c r="AQ85" s="9"/>
      <c r="AR85" s="6">
        <v>725</v>
      </c>
      <c r="AS85" s="9"/>
      <c r="AT85" s="6">
        <f>937651-725</f>
        <v>936926</v>
      </c>
      <c r="AU85" s="9"/>
      <c r="AV85" s="9"/>
      <c r="AW85" s="9"/>
      <c r="AX85" s="9"/>
      <c r="AY85" s="9"/>
      <c r="AZ85" s="9"/>
      <c r="BA85" s="9"/>
      <c r="BB85" s="9"/>
      <c r="BC85" s="9"/>
      <c r="BD85" s="9"/>
      <c r="BE85" s="9"/>
      <c r="BF85" s="9"/>
      <c r="BG85" s="9"/>
      <c r="BH85" s="9"/>
      <c r="BI85" s="9"/>
      <c r="BJ85" s="9"/>
      <c r="BK85" s="9"/>
      <c r="BL85" s="6">
        <f t="shared" si="15"/>
        <v>937651</v>
      </c>
      <c r="BM85" s="9"/>
      <c r="BN85" s="6">
        <f>1938259-937651+1938259-1804929</f>
        <v>1133938</v>
      </c>
      <c r="BO85" s="9"/>
      <c r="BP85" s="6">
        <f t="shared" ref="BP85:BP113" si="16">IF(+R85-BL85+BN85&gt;0,R85-BL85+BN85,0)</f>
        <v>1000608</v>
      </c>
      <c r="BQ85" s="6"/>
      <c r="BR85" s="6">
        <f t="shared" ref="BR85:BR114" si="17">+BL85+BP85</f>
        <v>1938259</v>
      </c>
      <c r="BS85" s="6"/>
      <c r="BT85" s="6">
        <f t="shared" ref="BT85:BT114" si="18">+R85-BR85</f>
        <v>-1133938</v>
      </c>
      <c r="BU85" s="9"/>
    </row>
    <row r="86" spans="2:73" s="21" customFormat="1">
      <c r="B86" s="240" t="s">
        <v>338</v>
      </c>
      <c r="J86" s="8"/>
      <c r="L86" s="143"/>
      <c r="M86" s="9"/>
      <c r="N86" s="9"/>
      <c r="O86" s="9"/>
      <c r="P86" s="9"/>
      <c r="Q86" s="9"/>
      <c r="R86" s="237">
        <v>497417</v>
      </c>
      <c r="S86" s="9"/>
      <c r="T86" s="9"/>
      <c r="U86" s="9"/>
      <c r="V86" s="9"/>
      <c r="W86" s="9"/>
      <c r="X86" s="9"/>
      <c r="Y86" s="9"/>
      <c r="Z86" s="9"/>
      <c r="AA86" s="9"/>
      <c r="AB86" s="9"/>
      <c r="AC86" s="9"/>
      <c r="AD86" s="9"/>
      <c r="AE86" s="9"/>
      <c r="AF86" s="9"/>
      <c r="AG86" s="9"/>
      <c r="AH86" s="9"/>
      <c r="AJ86" s="9"/>
      <c r="AL86" s="9"/>
      <c r="AN86" s="9"/>
      <c r="AO86" s="9"/>
      <c r="AP86" s="9"/>
      <c r="AQ86" s="9"/>
      <c r="AR86" s="6">
        <v>133215</v>
      </c>
      <c r="AS86" s="9"/>
      <c r="AT86" s="6">
        <f>261726-133215</f>
        <v>128511</v>
      </c>
      <c r="AU86" s="9"/>
      <c r="AV86" s="9"/>
      <c r="AW86" s="9"/>
      <c r="AX86" s="9"/>
      <c r="AY86" s="9"/>
      <c r="AZ86" s="9"/>
      <c r="BA86" s="9"/>
      <c r="BB86" s="9"/>
      <c r="BC86" s="9"/>
      <c r="BD86" s="9"/>
      <c r="BE86" s="9"/>
      <c r="BF86" s="9"/>
      <c r="BG86" s="9"/>
      <c r="BH86" s="9"/>
      <c r="BI86" s="9"/>
      <c r="BJ86" s="9"/>
      <c r="BK86" s="9"/>
      <c r="BL86" s="6">
        <f t="shared" si="15"/>
        <v>261726</v>
      </c>
      <c r="BM86" s="9"/>
      <c r="BN86" s="6">
        <f>561934-497417</f>
        <v>64517</v>
      </c>
      <c r="BO86" s="9"/>
      <c r="BP86" s="6">
        <f t="shared" si="16"/>
        <v>300208</v>
      </c>
      <c r="BQ86" s="6"/>
      <c r="BR86" s="6">
        <f t="shared" si="17"/>
        <v>561934</v>
      </c>
      <c r="BS86" s="6"/>
      <c r="BT86" s="6">
        <f t="shared" si="18"/>
        <v>-64517</v>
      </c>
      <c r="BU86" s="9"/>
    </row>
    <row r="87" spans="2:73" s="21" customFormat="1">
      <c r="B87" s="240" t="s">
        <v>339</v>
      </c>
      <c r="J87" s="8"/>
      <c r="L87" s="143"/>
      <c r="M87" s="9"/>
      <c r="N87" s="9"/>
      <c r="O87" s="9"/>
      <c r="P87" s="9"/>
      <c r="Q87" s="9"/>
      <c r="R87" s="237">
        <v>30000</v>
      </c>
      <c r="S87" s="9"/>
      <c r="T87" s="9"/>
      <c r="U87" s="9"/>
      <c r="V87" s="9"/>
      <c r="W87" s="9"/>
      <c r="X87" s="9"/>
      <c r="Y87" s="9"/>
      <c r="Z87" s="9"/>
      <c r="AA87" s="9"/>
      <c r="AB87" s="9"/>
      <c r="AC87" s="9"/>
      <c r="AD87" s="9"/>
      <c r="AE87" s="9"/>
      <c r="AF87" s="9"/>
      <c r="AG87" s="9"/>
      <c r="AH87" s="9"/>
      <c r="AJ87" s="9"/>
      <c r="AL87" s="9"/>
      <c r="AN87" s="9"/>
      <c r="AO87" s="9"/>
      <c r="AP87" s="9"/>
      <c r="AQ87" s="9"/>
      <c r="AR87" s="6">
        <v>0</v>
      </c>
      <c r="AS87" s="9"/>
      <c r="AT87" s="6">
        <v>0</v>
      </c>
      <c r="AU87" s="9"/>
      <c r="AV87" s="9"/>
      <c r="AW87" s="9"/>
      <c r="AX87" s="9"/>
      <c r="AY87" s="9"/>
      <c r="AZ87" s="9"/>
      <c r="BA87" s="9"/>
      <c r="BB87" s="9"/>
      <c r="BC87" s="9"/>
      <c r="BD87" s="9"/>
      <c r="BE87" s="9"/>
      <c r="BF87" s="9"/>
      <c r="BG87" s="9"/>
      <c r="BH87" s="9"/>
      <c r="BI87" s="9"/>
      <c r="BJ87" s="9"/>
      <c r="BK87" s="9"/>
      <c r="BL87" s="6">
        <f t="shared" si="15"/>
        <v>0</v>
      </c>
      <c r="BM87" s="9"/>
      <c r="BN87" s="6">
        <v>-30000</v>
      </c>
      <c r="BO87" s="9"/>
      <c r="BP87" s="6">
        <f t="shared" si="16"/>
        <v>0</v>
      </c>
      <c r="BQ87" s="6"/>
      <c r="BR87" s="6">
        <f t="shared" si="17"/>
        <v>0</v>
      </c>
      <c r="BS87" s="6"/>
      <c r="BT87" s="6">
        <f t="shared" si="18"/>
        <v>30000</v>
      </c>
      <c r="BU87" s="9"/>
    </row>
    <row r="88" spans="2:73" s="21" customFormat="1">
      <c r="B88" s="240" t="s">
        <v>340</v>
      </c>
      <c r="J88" s="8"/>
      <c r="L88" s="143"/>
      <c r="M88" s="9"/>
      <c r="N88" s="9"/>
      <c r="O88" s="9"/>
      <c r="P88" s="9"/>
      <c r="Q88" s="9"/>
      <c r="R88" s="237">
        <v>693467</v>
      </c>
      <c r="S88" s="9"/>
      <c r="T88" s="9"/>
      <c r="U88" s="9"/>
      <c r="V88" s="9"/>
      <c r="W88" s="9"/>
      <c r="X88" s="9"/>
      <c r="Y88" s="9"/>
      <c r="Z88" s="9"/>
      <c r="AA88" s="9"/>
      <c r="AB88" s="9"/>
      <c r="AC88" s="9"/>
      <c r="AD88" s="9"/>
      <c r="AE88" s="9"/>
      <c r="AF88" s="9"/>
      <c r="AG88" s="9"/>
      <c r="AH88" s="9"/>
      <c r="AJ88" s="9"/>
      <c r="AL88" s="9"/>
      <c r="AN88" s="9"/>
      <c r="AO88" s="9"/>
      <c r="AP88" s="9"/>
      <c r="AQ88" s="9"/>
      <c r="AR88" s="6">
        <v>6350</v>
      </c>
      <c r="AS88" s="9"/>
      <c r="AT88" s="6">
        <f>561632-6350</f>
        <v>555282</v>
      </c>
      <c r="AU88" s="9"/>
      <c r="AV88" s="9"/>
      <c r="AW88" s="9"/>
      <c r="AX88" s="9"/>
      <c r="AY88" s="9"/>
      <c r="AZ88" s="9"/>
      <c r="BA88" s="9"/>
      <c r="BB88" s="9"/>
      <c r="BC88" s="9"/>
      <c r="BD88" s="9"/>
      <c r="BE88" s="9"/>
      <c r="BF88" s="9"/>
      <c r="BG88" s="9"/>
      <c r="BH88" s="9"/>
      <c r="BI88" s="9"/>
      <c r="BJ88" s="9"/>
      <c r="BK88" s="9"/>
      <c r="BL88" s="6">
        <f t="shared" si="15"/>
        <v>561632</v>
      </c>
      <c r="BM88" s="9"/>
      <c r="BN88" s="6">
        <f>2168881-693467</f>
        <v>1475414</v>
      </c>
      <c r="BO88" s="9"/>
      <c r="BP88" s="6">
        <f t="shared" si="16"/>
        <v>1607249</v>
      </c>
      <c r="BQ88" s="6"/>
      <c r="BR88" s="6">
        <f t="shared" si="17"/>
        <v>2168881</v>
      </c>
      <c r="BS88" s="6"/>
      <c r="BT88" s="6">
        <f t="shared" si="18"/>
        <v>-1475414</v>
      </c>
      <c r="BU88" s="9"/>
    </row>
    <row r="89" spans="2:73" s="21" customFormat="1">
      <c r="B89" s="240" t="s">
        <v>341</v>
      </c>
      <c r="J89" s="8"/>
      <c r="L89" s="143"/>
      <c r="M89" s="9"/>
      <c r="N89" s="9"/>
      <c r="O89" s="9"/>
      <c r="P89" s="9"/>
      <c r="Q89" s="9"/>
      <c r="R89" s="237">
        <v>453000</v>
      </c>
      <c r="S89" s="9"/>
      <c r="T89" s="9"/>
      <c r="U89" s="9"/>
      <c r="V89" s="9"/>
      <c r="W89" s="9"/>
      <c r="X89" s="9"/>
      <c r="Y89" s="9"/>
      <c r="Z89" s="9"/>
      <c r="AA89" s="9"/>
      <c r="AB89" s="9"/>
      <c r="AC89" s="9"/>
      <c r="AD89" s="9"/>
      <c r="AE89" s="9"/>
      <c r="AF89" s="9"/>
      <c r="AG89" s="9"/>
      <c r="AH89" s="9"/>
      <c r="AJ89" s="9"/>
      <c r="AL89" s="9"/>
      <c r="AN89" s="9"/>
      <c r="AO89" s="9"/>
      <c r="AP89" s="9"/>
      <c r="AQ89" s="9"/>
      <c r="AR89" s="6">
        <v>103285</v>
      </c>
      <c r="AS89" s="9"/>
      <c r="AT89" s="6">
        <f>168329-103285</f>
        <v>65044</v>
      </c>
      <c r="AU89" s="9"/>
      <c r="AV89" s="9"/>
      <c r="AW89" s="9"/>
      <c r="AX89" s="9"/>
      <c r="AY89" s="9"/>
      <c r="AZ89" s="9"/>
      <c r="BA89" s="9"/>
      <c r="BB89" s="9"/>
      <c r="BC89" s="9"/>
      <c r="BD89" s="9"/>
      <c r="BE89" s="9"/>
      <c r="BF89" s="9"/>
      <c r="BG89" s="9"/>
      <c r="BH89" s="9"/>
      <c r="BI89" s="9"/>
      <c r="BJ89" s="9"/>
      <c r="BK89" s="9"/>
      <c r="BL89" s="6">
        <f t="shared" si="15"/>
        <v>168329</v>
      </c>
      <c r="BM89" s="9"/>
      <c r="BN89" s="6">
        <f>553270-453000</f>
        <v>100270</v>
      </c>
      <c r="BO89" s="9"/>
      <c r="BP89" s="6">
        <f t="shared" si="16"/>
        <v>384941</v>
      </c>
      <c r="BQ89" s="6"/>
      <c r="BR89" s="6">
        <f t="shared" si="17"/>
        <v>553270</v>
      </c>
      <c r="BS89" s="6"/>
      <c r="BT89" s="6">
        <f t="shared" si="18"/>
        <v>-100270</v>
      </c>
      <c r="BU89" s="9"/>
    </row>
    <row r="90" spans="2:73" s="21" customFormat="1">
      <c r="B90" s="240" t="s">
        <v>342</v>
      </c>
      <c r="J90" s="8"/>
      <c r="L90" s="143"/>
      <c r="M90" s="9"/>
      <c r="N90" s="9"/>
      <c r="O90" s="9"/>
      <c r="P90" s="9"/>
      <c r="Q90" s="9"/>
      <c r="R90" s="237">
        <v>25000</v>
      </c>
      <c r="S90" s="9"/>
      <c r="T90" s="9"/>
      <c r="U90" s="9"/>
      <c r="V90" s="9"/>
      <c r="W90" s="9"/>
      <c r="X90" s="9"/>
      <c r="Y90" s="9"/>
      <c r="Z90" s="9"/>
      <c r="AA90" s="9"/>
      <c r="AB90" s="9"/>
      <c r="AC90" s="9"/>
      <c r="AD90" s="9"/>
      <c r="AE90" s="9"/>
      <c r="AF90" s="9"/>
      <c r="AG90" s="9"/>
      <c r="AH90" s="9"/>
      <c r="AJ90" s="9"/>
      <c r="AL90" s="9"/>
      <c r="AN90" s="9"/>
      <c r="AO90" s="9"/>
      <c r="AP90" s="9"/>
      <c r="AQ90" s="9"/>
      <c r="AR90" s="6">
        <v>0</v>
      </c>
      <c r="AS90" s="9"/>
      <c r="AT90" s="6">
        <v>0</v>
      </c>
      <c r="AU90" s="9"/>
      <c r="AV90" s="9"/>
      <c r="AW90" s="9"/>
      <c r="AX90" s="9"/>
      <c r="AY90" s="9"/>
      <c r="AZ90" s="9"/>
      <c r="BA90" s="9"/>
      <c r="BB90" s="9"/>
      <c r="BC90" s="9"/>
      <c r="BD90" s="9"/>
      <c r="BE90" s="9"/>
      <c r="BF90" s="9"/>
      <c r="BG90" s="9"/>
      <c r="BH90" s="9"/>
      <c r="BI90" s="9"/>
      <c r="BJ90" s="9"/>
      <c r="BK90" s="9"/>
      <c r="BL90" s="6">
        <f t="shared" si="15"/>
        <v>0</v>
      </c>
      <c r="BM90" s="9"/>
      <c r="BN90" s="6"/>
      <c r="BO90" s="9"/>
      <c r="BP90" s="6">
        <f t="shared" si="16"/>
        <v>25000</v>
      </c>
      <c r="BQ90" s="6"/>
      <c r="BR90" s="6">
        <f t="shared" si="17"/>
        <v>25000</v>
      </c>
      <c r="BS90" s="6"/>
      <c r="BT90" s="6">
        <f t="shared" si="18"/>
        <v>0</v>
      </c>
      <c r="BU90" s="9"/>
    </row>
    <row r="91" spans="2:73" s="21" customFormat="1">
      <c r="B91" s="240" t="s">
        <v>343</v>
      </c>
      <c r="J91" s="8"/>
      <c r="L91" s="143"/>
      <c r="M91" s="9"/>
      <c r="N91" s="9"/>
      <c r="O91" s="9"/>
      <c r="P91" s="9"/>
      <c r="Q91" s="9"/>
      <c r="R91" s="237">
        <v>2264637</v>
      </c>
      <c r="S91" s="9"/>
      <c r="T91" s="9"/>
      <c r="U91" s="9"/>
      <c r="V91" s="9"/>
      <c r="W91" s="9"/>
      <c r="X91" s="9"/>
      <c r="Y91" s="9"/>
      <c r="Z91" s="9"/>
      <c r="AA91" s="9"/>
      <c r="AB91" s="9"/>
      <c r="AC91" s="9"/>
      <c r="AD91" s="9"/>
      <c r="AE91" s="9"/>
      <c r="AF91" s="9"/>
      <c r="AG91" s="9"/>
      <c r="AH91" s="9"/>
      <c r="AJ91" s="9"/>
      <c r="AL91" s="9"/>
      <c r="AN91" s="9"/>
      <c r="AO91" s="9"/>
      <c r="AP91" s="9"/>
      <c r="AQ91" s="9"/>
      <c r="AR91" s="6">
        <v>0</v>
      </c>
      <c r="AS91" s="9"/>
      <c r="AT91" s="6">
        <v>0</v>
      </c>
      <c r="AU91" s="9"/>
      <c r="AV91" s="9"/>
      <c r="AW91" s="9"/>
      <c r="AX91" s="9"/>
      <c r="AY91" s="9"/>
      <c r="AZ91" s="9"/>
      <c r="BA91" s="9"/>
      <c r="BB91" s="9"/>
      <c r="BC91" s="9"/>
      <c r="BD91" s="9"/>
      <c r="BE91" s="9"/>
      <c r="BF91" s="9"/>
      <c r="BG91" s="9"/>
      <c r="BH91" s="9"/>
      <c r="BI91" s="9"/>
      <c r="BJ91" s="9"/>
      <c r="BK91" s="9"/>
      <c r="BL91" s="6">
        <f t="shared" si="15"/>
        <v>0</v>
      </c>
      <c r="BM91" s="9"/>
      <c r="BN91" s="6">
        <f>-2264637</f>
        <v>-2264637</v>
      </c>
      <c r="BO91" s="9"/>
      <c r="BP91" s="6">
        <f t="shared" si="16"/>
        <v>0</v>
      </c>
      <c r="BQ91" s="6"/>
      <c r="BR91" s="6">
        <f t="shared" si="17"/>
        <v>0</v>
      </c>
      <c r="BS91" s="6"/>
      <c r="BT91" s="6">
        <f t="shared" si="18"/>
        <v>2264637</v>
      </c>
      <c r="BU91" s="9"/>
    </row>
    <row r="92" spans="2:73" s="21" customFormat="1">
      <c r="B92" s="240" t="s">
        <v>344</v>
      </c>
      <c r="J92" s="8"/>
      <c r="L92" s="143"/>
      <c r="M92" s="9"/>
      <c r="N92" s="9"/>
      <c r="O92" s="9"/>
      <c r="P92" s="9"/>
      <c r="Q92" s="9"/>
      <c r="R92" s="237">
        <v>1150462</v>
      </c>
      <c r="S92" s="9"/>
      <c r="T92" s="9"/>
      <c r="U92" s="9"/>
      <c r="V92" s="9"/>
      <c r="W92" s="9"/>
      <c r="X92" s="9"/>
      <c r="Y92" s="9"/>
      <c r="Z92" s="9"/>
      <c r="AA92" s="9"/>
      <c r="AB92" s="9"/>
      <c r="AC92" s="9"/>
      <c r="AD92" s="9"/>
      <c r="AE92" s="9"/>
      <c r="AF92" s="9"/>
      <c r="AG92" s="9"/>
      <c r="AH92" s="9"/>
      <c r="AJ92" s="9"/>
      <c r="AL92" s="9"/>
      <c r="AN92" s="9"/>
      <c r="AO92" s="9"/>
      <c r="AP92" s="9"/>
      <c r="AQ92" s="9"/>
      <c r="AR92" s="6">
        <v>508620</v>
      </c>
      <c r="AS92" s="9"/>
      <c r="AT92" s="6">
        <f>1062094-508620</f>
        <v>553474</v>
      </c>
      <c r="AU92" s="9"/>
      <c r="AV92" s="9"/>
      <c r="AW92" s="9"/>
      <c r="AX92" s="9"/>
      <c r="AY92" s="9"/>
      <c r="AZ92" s="9"/>
      <c r="BA92" s="9"/>
      <c r="BB92" s="9"/>
      <c r="BC92" s="9"/>
      <c r="BD92" s="9"/>
      <c r="BE92" s="9"/>
      <c r="BF92" s="9"/>
      <c r="BG92" s="9"/>
      <c r="BH92" s="9"/>
      <c r="BI92" s="9"/>
      <c r="BJ92" s="9"/>
      <c r="BK92" s="9"/>
      <c r="BL92" s="6">
        <f t="shared" si="15"/>
        <v>1062094</v>
      </c>
      <c r="BM92" s="9"/>
      <c r="BN92" s="6">
        <f>1395395-1150462</f>
        <v>244933</v>
      </c>
      <c r="BO92" s="9"/>
      <c r="BP92" s="6">
        <f t="shared" si="16"/>
        <v>333301</v>
      </c>
      <c r="BQ92" s="6"/>
      <c r="BR92" s="6">
        <f t="shared" si="17"/>
        <v>1395395</v>
      </c>
      <c r="BS92" s="6"/>
      <c r="BT92" s="6">
        <f t="shared" si="18"/>
        <v>-244933</v>
      </c>
      <c r="BU92" s="9"/>
    </row>
    <row r="93" spans="2:73" s="21" customFormat="1">
      <c r="B93" s="240" t="s">
        <v>374</v>
      </c>
      <c r="J93" s="8"/>
      <c r="L93" s="143"/>
      <c r="M93" s="9"/>
      <c r="N93" s="9"/>
      <c r="O93" s="9"/>
      <c r="P93" s="9"/>
      <c r="Q93" s="9"/>
      <c r="R93" s="237"/>
      <c r="S93" s="9"/>
      <c r="T93" s="9"/>
      <c r="U93" s="9"/>
      <c r="V93" s="9"/>
      <c r="W93" s="9"/>
      <c r="X93" s="9"/>
      <c r="Y93" s="9"/>
      <c r="Z93" s="9"/>
      <c r="AA93" s="9"/>
      <c r="AB93" s="9"/>
      <c r="AC93" s="9"/>
      <c r="AD93" s="9"/>
      <c r="AE93" s="9"/>
      <c r="AF93" s="9"/>
      <c r="AG93" s="9"/>
      <c r="AH93" s="9"/>
      <c r="AJ93" s="9"/>
      <c r="AL93" s="9"/>
      <c r="AN93" s="9"/>
      <c r="AO93" s="9"/>
      <c r="AP93" s="9"/>
      <c r="AQ93" s="9"/>
      <c r="AR93" s="6">
        <v>644530</v>
      </c>
      <c r="AS93" s="9"/>
      <c r="AT93" s="6">
        <f>2023550-644530</f>
        <v>1379020</v>
      </c>
      <c r="AU93" s="9"/>
      <c r="AV93" s="9"/>
      <c r="AW93" s="9"/>
      <c r="AX93" s="9"/>
      <c r="AY93" s="9"/>
      <c r="AZ93" s="9"/>
      <c r="BA93" s="9"/>
      <c r="BB93" s="9"/>
      <c r="BC93" s="9"/>
      <c r="BD93" s="9"/>
      <c r="BE93" s="9"/>
      <c r="BF93" s="9"/>
      <c r="BG93" s="9"/>
      <c r="BH93" s="9"/>
      <c r="BI93" s="9"/>
      <c r="BJ93" s="9"/>
      <c r="BK93" s="9"/>
      <c r="BL93" s="6">
        <f t="shared" si="15"/>
        <v>2023550</v>
      </c>
      <c r="BM93" s="9"/>
      <c r="BN93" s="6">
        <f>3504693-2023550</f>
        <v>1481143</v>
      </c>
      <c r="BO93" s="9"/>
      <c r="BP93" s="6">
        <f>3504693-2023550</f>
        <v>1481143</v>
      </c>
      <c r="BQ93" s="6"/>
      <c r="BR93" s="6">
        <f>+BL93+BP93</f>
        <v>3504693</v>
      </c>
      <c r="BS93" s="6"/>
      <c r="BT93" s="6">
        <f>+R93-BR93</f>
        <v>-3504693</v>
      </c>
      <c r="BU93" s="9"/>
    </row>
    <row r="94" spans="2:73" s="21" customFormat="1">
      <c r="B94" s="240" t="s">
        <v>345</v>
      </c>
      <c r="J94" s="8"/>
      <c r="L94" s="143"/>
      <c r="M94" s="9"/>
      <c r="N94" s="9"/>
      <c r="O94" s="9"/>
      <c r="P94" s="9"/>
      <c r="Q94" s="9"/>
      <c r="R94" s="237">
        <v>189905</v>
      </c>
      <c r="S94" s="9"/>
      <c r="T94" s="9"/>
      <c r="U94" s="9"/>
      <c r="V94" s="9"/>
      <c r="W94" s="9"/>
      <c r="X94" s="9"/>
      <c r="Y94" s="9"/>
      <c r="Z94" s="9"/>
      <c r="AA94" s="9"/>
      <c r="AB94" s="9"/>
      <c r="AC94" s="9"/>
      <c r="AD94" s="9"/>
      <c r="AE94" s="9"/>
      <c r="AF94" s="9"/>
      <c r="AG94" s="9"/>
      <c r="AH94" s="9"/>
      <c r="AJ94" s="9"/>
      <c r="AL94" s="9"/>
      <c r="AN94" s="9"/>
      <c r="AO94" s="9"/>
      <c r="AP94" s="9"/>
      <c r="AQ94" s="9"/>
      <c r="AR94" s="6">
        <v>0</v>
      </c>
      <c r="AS94" s="9"/>
      <c r="AT94" s="6">
        <v>52828</v>
      </c>
      <c r="AU94" s="9"/>
      <c r="AV94" s="9"/>
      <c r="AW94" s="9"/>
      <c r="AX94" s="9"/>
      <c r="AY94" s="9"/>
      <c r="AZ94" s="9"/>
      <c r="BA94" s="9"/>
      <c r="BB94" s="9"/>
      <c r="BC94" s="9"/>
      <c r="BD94" s="9"/>
      <c r="BE94" s="9"/>
      <c r="BF94" s="9"/>
      <c r="BG94" s="9"/>
      <c r="BH94" s="9"/>
      <c r="BI94" s="9"/>
      <c r="BJ94" s="9"/>
      <c r="BK94" s="9"/>
      <c r="BL94" s="6">
        <f t="shared" si="15"/>
        <v>52828</v>
      </c>
      <c r="BM94" s="9"/>
      <c r="BN94" s="6">
        <f>421730-189905</f>
        <v>231825</v>
      </c>
      <c r="BO94" s="9"/>
      <c r="BP94" s="6">
        <f t="shared" si="16"/>
        <v>368902</v>
      </c>
      <c r="BQ94" s="6"/>
      <c r="BR94" s="6">
        <f t="shared" si="17"/>
        <v>421730</v>
      </c>
      <c r="BS94" s="6"/>
      <c r="BT94" s="6">
        <f t="shared" si="18"/>
        <v>-231825</v>
      </c>
      <c r="BU94" s="9"/>
    </row>
    <row r="95" spans="2:73" s="21" customFormat="1">
      <c r="B95" s="240" t="s">
        <v>346</v>
      </c>
      <c r="J95" s="8"/>
      <c r="L95" s="143"/>
      <c r="M95" s="9"/>
      <c r="N95" s="9"/>
      <c r="O95" s="9"/>
      <c r="P95" s="9"/>
      <c r="Q95" s="9"/>
      <c r="R95" s="237">
        <v>77621</v>
      </c>
      <c r="S95" s="9"/>
      <c r="T95" s="9"/>
      <c r="U95" s="9"/>
      <c r="V95" s="9"/>
      <c r="W95" s="9"/>
      <c r="X95" s="9"/>
      <c r="Y95" s="9"/>
      <c r="Z95" s="9"/>
      <c r="AA95" s="9"/>
      <c r="AB95" s="9"/>
      <c r="AC95" s="9"/>
      <c r="AD95" s="9"/>
      <c r="AE95" s="9"/>
      <c r="AF95" s="9"/>
      <c r="AG95" s="9"/>
      <c r="AH95" s="9"/>
      <c r="AJ95" s="9"/>
      <c r="AL95" s="9"/>
      <c r="AN95" s="9"/>
      <c r="AO95" s="9"/>
      <c r="AP95" s="9"/>
      <c r="AQ95" s="9"/>
      <c r="AR95" s="6">
        <v>4214</v>
      </c>
      <c r="AS95" s="9"/>
      <c r="AT95" s="6">
        <f>11626-4214</f>
        <v>7412</v>
      </c>
      <c r="AU95" s="9"/>
      <c r="AV95" s="9"/>
      <c r="AW95" s="9"/>
      <c r="AX95" s="9"/>
      <c r="AY95" s="9"/>
      <c r="AZ95" s="9"/>
      <c r="BA95" s="9"/>
      <c r="BB95" s="9"/>
      <c r="BC95" s="9"/>
      <c r="BD95" s="9"/>
      <c r="BE95" s="9"/>
      <c r="BF95" s="9"/>
      <c r="BG95" s="9"/>
      <c r="BH95" s="9"/>
      <c r="BI95" s="9"/>
      <c r="BJ95" s="9"/>
      <c r="BK95" s="9"/>
      <c r="BL95" s="6">
        <f t="shared" si="15"/>
        <v>11626</v>
      </c>
      <c r="BM95" s="9"/>
      <c r="BN95" s="6">
        <v>0</v>
      </c>
      <c r="BO95" s="9"/>
      <c r="BP95" s="6">
        <f t="shared" si="16"/>
        <v>65995</v>
      </c>
      <c r="BQ95" s="6"/>
      <c r="BR95" s="6">
        <f t="shared" si="17"/>
        <v>77621</v>
      </c>
      <c r="BS95" s="6"/>
      <c r="BT95" s="6">
        <f t="shared" si="18"/>
        <v>0</v>
      </c>
      <c r="BU95" s="9"/>
    </row>
    <row r="96" spans="2:73" s="21" customFormat="1">
      <c r="B96" s="240" t="s">
        <v>347</v>
      </c>
      <c r="J96" s="8"/>
      <c r="L96" s="143"/>
      <c r="M96" s="9"/>
      <c r="N96" s="9"/>
      <c r="O96" s="9"/>
      <c r="P96" s="9"/>
      <c r="Q96" s="9"/>
      <c r="R96" s="237">
        <v>144409</v>
      </c>
      <c r="S96" s="9"/>
      <c r="T96" s="9"/>
      <c r="U96" s="9"/>
      <c r="V96" s="9"/>
      <c r="W96" s="9"/>
      <c r="X96" s="9"/>
      <c r="Y96" s="9"/>
      <c r="Z96" s="9"/>
      <c r="AA96" s="9"/>
      <c r="AB96" s="9"/>
      <c r="AC96" s="9"/>
      <c r="AD96" s="9"/>
      <c r="AE96" s="9"/>
      <c r="AF96" s="9"/>
      <c r="AG96" s="9"/>
      <c r="AH96" s="9"/>
      <c r="AJ96" s="9"/>
      <c r="AL96" s="9"/>
      <c r="AN96" s="9"/>
      <c r="AO96" s="9"/>
      <c r="AP96" s="9"/>
      <c r="AQ96" s="9"/>
      <c r="AR96" s="6">
        <v>0</v>
      </c>
      <c r="AS96" s="9"/>
      <c r="AT96" s="6">
        <v>0</v>
      </c>
      <c r="AU96" s="9"/>
      <c r="AV96" s="9"/>
      <c r="AW96" s="9"/>
      <c r="AX96" s="9"/>
      <c r="AY96" s="9"/>
      <c r="AZ96" s="9"/>
      <c r="BA96" s="9"/>
      <c r="BB96" s="9"/>
      <c r="BC96" s="9"/>
      <c r="BD96" s="9"/>
      <c r="BE96" s="9"/>
      <c r="BF96" s="9"/>
      <c r="BG96" s="9"/>
      <c r="BH96" s="9"/>
      <c r="BI96" s="9"/>
      <c r="BJ96" s="9"/>
      <c r="BK96" s="9"/>
      <c r="BL96" s="6">
        <f t="shared" si="15"/>
        <v>0</v>
      </c>
      <c r="BM96" s="9"/>
      <c r="BN96" s="6">
        <f>308231-144409</f>
        <v>163822</v>
      </c>
      <c r="BO96" s="9"/>
      <c r="BP96" s="6">
        <f t="shared" si="16"/>
        <v>308231</v>
      </c>
      <c r="BQ96" s="6"/>
      <c r="BR96" s="6">
        <f t="shared" si="17"/>
        <v>308231</v>
      </c>
      <c r="BS96" s="6"/>
      <c r="BT96" s="6">
        <f t="shared" si="18"/>
        <v>-163822</v>
      </c>
      <c r="BU96" s="9"/>
    </row>
    <row r="97" spans="2:73" s="21" customFormat="1">
      <c r="B97" s="240" t="s">
        <v>348</v>
      </c>
      <c r="J97" s="8"/>
      <c r="L97" s="143"/>
      <c r="M97" s="9"/>
      <c r="N97" s="9"/>
      <c r="O97" s="9"/>
      <c r="P97" s="9"/>
      <c r="Q97" s="9"/>
      <c r="R97" s="237">
        <v>327314</v>
      </c>
      <c r="S97" s="9"/>
      <c r="T97" s="9"/>
      <c r="U97" s="9"/>
      <c r="V97" s="9"/>
      <c r="W97" s="9"/>
      <c r="X97" s="9"/>
      <c r="Y97" s="9"/>
      <c r="Z97" s="9"/>
      <c r="AA97" s="9"/>
      <c r="AB97" s="9"/>
      <c r="AC97" s="9"/>
      <c r="AD97" s="9"/>
      <c r="AE97" s="9"/>
      <c r="AF97" s="9"/>
      <c r="AG97" s="9"/>
      <c r="AH97" s="9"/>
      <c r="AJ97" s="9"/>
      <c r="AL97" s="9"/>
      <c r="AN97" s="9"/>
      <c r="AO97" s="9"/>
      <c r="AP97" s="9"/>
      <c r="AQ97" s="9"/>
      <c r="AR97" s="6">
        <v>85468</v>
      </c>
      <c r="AS97" s="9"/>
      <c r="AT97" s="6">
        <v>1</v>
      </c>
      <c r="AU97" s="9"/>
      <c r="AV97" s="9"/>
      <c r="AW97" s="9"/>
      <c r="AX97" s="9"/>
      <c r="AY97" s="9"/>
      <c r="AZ97" s="9"/>
      <c r="BA97" s="9"/>
      <c r="BB97" s="9"/>
      <c r="BC97" s="9"/>
      <c r="BD97" s="9"/>
      <c r="BE97" s="9"/>
      <c r="BF97" s="9"/>
      <c r="BG97" s="9"/>
      <c r="BH97" s="9"/>
      <c r="BI97" s="9"/>
      <c r="BJ97" s="9"/>
      <c r="BK97" s="9"/>
      <c r="BL97" s="6">
        <f t="shared" si="15"/>
        <v>85469</v>
      </c>
      <c r="BM97" s="9"/>
      <c r="BN97" s="6">
        <f>334564-327314</f>
        <v>7250</v>
      </c>
      <c r="BO97" s="9"/>
      <c r="BP97" s="6">
        <f t="shared" si="16"/>
        <v>249095</v>
      </c>
      <c r="BQ97" s="6"/>
      <c r="BR97" s="6">
        <f t="shared" si="17"/>
        <v>334564</v>
      </c>
      <c r="BS97" s="6"/>
      <c r="BT97" s="6">
        <f t="shared" si="18"/>
        <v>-7250</v>
      </c>
      <c r="BU97" s="9"/>
    </row>
    <row r="98" spans="2:73" s="21" customFormat="1">
      <c r="B98" s="240" t="s">
        <v>349</v>
      </c>
      <c r="J98" s="8"/>
      <c r="L98" s="143"/>
      <c r="M98" s="9"/>
      <c r="N98" s="9"/>
      <c r="O98" s="9"/>
      <c r="P98" s="9"/>
      <c r="Q98" s="9"/>
      <c r="R98" s="237">
        <v>330460</v>
      </c>
      <c r="S98" s="9"/>
      <c r="T98" s="9"/>
      <c r="U98" s="9"/>
      <c r="V98" s="9"/>
      <c r="W98" s="9"/>
      <c r="X98" s="9"/>
      <c r="Y98" s="9"/>
      <c r="Z98" s="9"/>
      <c r="AA98" s="9"/>
      <c r="AB98" s="9"/>
      <c r="AC98" s="9"/>
      <c r="AD98" s="9"/>
      <c r="AE98" s="9"/>
      <c r="AF98" s="9"/>
      <c r="AG98" s="9"/>
      <c r="AH98" s="9"/>
      <c r="AJ98" s="9"/>
      <c r="AL98" s="9"/>
      <c r="AN98" s="9"/>
      <c r="AO98" s="9"/>
      <c r="AP98" s="9"/>
      <c r="AQ98" s="9"/>
      <c r="AR98" s="6">
        <v>0</v>
      </c>
      <c r="AS98" s="9"/>
      <c r="AT98" s="6"/>
      <c r="AU98" s="9"/>
      <c r="AV98" s="9"/>
      <c r="AW98" s="9"/>
      <c r="AX98" s="9"/>
      <c r="AY98" s="9"/>
      <c r="AZ98" s="9"/>
      <c r="BA98" s="9"/>
      <c r="BB98" s="9"/>
      <c r="BC98" s="9"/>
      <c r="BD98" s="9"/>
      <c r="BE98" s="9"/>
      <c r="BF98" s="9"/>
      <c r="BG98" s="9"/>
      <c r="BH98" s="9"/>
      <c r="BI98" s="9"/>
      <c r="BJ98" s="9"/>
      <c r="BK98" s="9"/>
      <c r="BL98" s="6">
        <f t="shared" si="15"/>
        <v>0</v>
      </c>
      <c r="BM98" s="9"/>
      <c r="BN98" s="6">
        <v>-326389</v>
      </c>
      <c r="BO98" s="9"/>
      <c r="BP98" s="6">
        <f t="shared" si="16"/>
        <v>4071</v>
      </c>
      <c r="BQ98" s="6"/>
      <c r="BR98" s="6">
        <f t="shared" si="17"/>
        <v>4071</v>
      </c>
      <c r="BS98" s="6"/>
      <c r="BT98" s="6">
        <f t="shared" si="18"/>
        <v>326389</v>
      </c>
      <c r="BU98" s="9"/>
    </row>
    <row r="99" spans="2:73" s="21" customFormat="1">
      <c r="B99" s="240" t="s">
        <v>350</v>
      </c>
      <c r="J99" s="8"/>
      <c r="L99" s="143"/>
      <c r="M99" s="9"/>
      <c r="N99" s="9"/>
      <c r="O99" s="9"/>
      <c r="P99" s="9"/>
      <c r="Q99" s="9"/>
      <c r="R99" s="237">
        <v>808591</v>
      </c>
      <c r="S99" s="9"/>
      <c r="T99" s="9"/>
      <c r="U99" s="9"/>
      <c r="V99" s="9"/>
      <c r="W99" s="9"/>
      <c r="X99" s="9"/>
      <c r="Y99" s="9"/>
      <c r="Z99" s="9"/>
      <c r="AA99" s="9"/>
      <c r="AB99" s="9"/>
      <c r="AC99" s="9"/>
      <c r="AD99" s="9"/>
      <c r="AE99" s="9"/>
      <c r="AF99" s="9"/>
      <c r="AG99" s="9"/>
      <c r="AH99" s="9"/>
      <c r="AJ99" s="9"/>
      <c r="AL99" s="9"/>
      <c r="AN99" s="9"/>
      <c r="AO99" s="9"/>
      <c r="AP99" s="9"/>
      <c r="AQ99" s="9"/>
      <c r="AR99" s="6">
        <v>0</v>
      </c>
      <c r="AS99" s="9"/>
      <c r="AT99" s="6">
        <v>92600</v>
      </c>
      <c r="AU99" s="9"/>
      <c r="AV99" s="9"/>
      <c r="AW99" s="9"/>
      <c r="AX99" s="9"/>
      <c r="AY99" s="9"/>
      <c r="AZ99" s="9"/>
      <c r="BA99" s="9"/>
      <c r="BB99" s="9"/>
      <c r="BC99" s="9"/>
      <c r="BD99" s="9"/>
      <c r="BE99" s="9"/>
      <c r="BF99" s="9"/>
      <c r="BG99" s="9"/>
      <c r="BH99" s="9"/>
      <c r="BI99" s="9"/>
      <c r="BJ99" s="9"/>
      <c r="BK99" s="9"/>
      <c r="BL99" s="6">
        <f t="shared" si="15"/>
        <v>92600</v>
      </c>
      <c r="BM99" s="9"/>
      <c r="BN99" s="6">
        <f>870591-808591</f>
        <v>62000</v>
      </c>
      <c r="BO99" s="9"/>
      <c r="BP99" s="6">
        <f t="shared" si="16"/>
        <v>777991</v>
      </c>
      <c r="BQ99" s="6"/>
      <c r="BR99" s="6">
        <f t="shared" si="17"/>
        <v>870591</v>
      </c>
      <c r="BS99" s="6"/>
      <c r="BT99" s="6">
        <f t="shared" si="18"/>
        <v>-62000</v>
      </c>
      <c r="BU99" s="9"/>
    </row>
    <row r="100" spans="2:73" s="21" customFormat="1">
      <c r="B100" s="240" t="s">
        <v>351</v>
      </c>
      <c r="J100" s="8"/>
      <c r="L100" s="143"/>
      <c r="M100" s="9"/>
      <c r="N100" s="9"/>
      <c r="O100" s="9"/>
      <c r="P100" s="9"/>
      <c r="Q100" s="9"/>
      <c r="R100" s="237">
        <v>848398</v>
      </c>
      <c r="S100" s="9"/>
      <c r="T100" s="9"/>
      <c r="U100" s="9"/>
      <c r="V100" s="9"/>
      <c r="W100" s="9"/>
      <c r="X100" s="9"/>
      <c r="Y100" s="9"/>
      <c r="Z100" s="9"/>
      <c r="AA100" s="9"/>
      <c r="AB100" s="9"/>
      <c r="AC100" s="9"/>
      <c r="AD100" s="9"/>
      <c r="AE100" s="9"/>
      <c r="AF100" s="9"/>
      <c r="AG100" s="9"/>
      <c r="AH100" s="9"/>
      <c r="AJ100" s="9"/>
      <c r="AL100" s="9"/>
      <c r="AN100" s="9"/>
      <c r="AO100" s="9"/>
      <c r="AP100" s="9"/>
      <c r="AQ100" s="9"/>
      <c r="AR100" s="6">
        <v>0</v>
      </c>
      <c r="AS100" s="9"/>
      <c r="AT100" s="6">
        <v>44379</v>
      </c>
      <c r="AU100" s="9"/>
      <c r="AV100" s="9"/>
      <c r="AW100" s="9"/>
      <c r="AX100" s="9"/>
      <c r="AY100" s="9"/>
      <c r="AZ100" s="9"/>
      <c r="BA100" s="9"/>
      <c r="BB100" s="9"/>
      <c r="BC100" s="9"/>
      <c r="BD100" s="9"/>
      <c r="BE100" s="9"/>
      <c r="BF100" s="9"/>
      <c r="BG100" s="9"/>
      <c r="BH100" s="9"/>
      <c r="BI100" s="9"/>
      <c r="BJ100" s="9"/>
      <c r="BK100" s="9"/>
      <c r="BL100" s="6">
        <f t="shared" si="15"/>
        <v>44379</v>
      </c>
      <c r="BM100" s="9"/>
      <c r="BN100" s="6">
        <f>1863532-848398</f>
        <v>1015134</v>
      </c>
      <c r="BO100" s="9"/>
      <c r="BP100" s="6">
        <f t="shared" si="16"/>
        <v>1819153</v>
      </c>
      <c r="BQ100" s="6"/>
      <c r="BR100" s="6">
        <f t="shared" si="17"/>
        <v>1863532</v>
      </c>
      <c r="BS100" s="6"/>
      <c r="BT100" s="6">
        <f t="shared" si="18"/>
        <v>-1015134</v>
      </c>
      <c r="BU100" s="9"/>
    </row>
    <row r="101" spans="2:73" s="21" customFormat="1">
      <c r="B101" s="240" t="s">
        <v>352</v>
      </c>
      <c r="J101" s="8"/>
      <c r="L101" s="143"/>
      <c r="M101" s="9"/>
      <c r="N101" s="9"/>
      <c r="O101" s="9"/>
      <c r="P101" s="9"/>
      <c r="Q101" s="9"/>
      <c r="R101" s="237">
        <v>10000</v>
      </c>
      <c r="S101" s="9"/>
      <c r="T101" s="9"/>
      <c r="U101" s="9"/>
      <c r="V101" s="9"/>
      <c r="W101" s="9"/>
      <c r="X101" s="9"/>
      <c r="Y101" s="9"/>
      <c r="Z101" s="9"/>
      <c r="AA101" s="9"/>
      <c r="AB101" s="9"/>
      <c r="AC101" s="9"/>
      <c r="AD101" s="9"/>
      <c r="AE101" s="9"/>
      <c r="AF101" s="9"/>
      <c r="AG101" s="9"/>
      <c r="AH101" s="9"/>
      <c r="AJ101" s="9"/>
      <c r="AL101" s="9"/>
      <c r="AN101" s="9"/>
      <c r="AO101" s="9"/>
      <c r="AP101" s="9"/>
      <c r="AQ101" s="9"/>
      <c r="AR101" s="6"/>
      <c r="AS101" s="9"/>
      <c r="AT101" s="6">
        <v>1584</v>
      </c>
      <c r="AU101" s="9"/>
      <c r="AV101" s="9"/>
      <c r="AW101" s="9"/>
      <c r="AX101" s="9"/>
      <c r="AY101" s="9"/>
      <c r="AZ101" s="9"/>
      <c r="BA101" s="9"/>
      <c r="BB101" s="9"/>
      <c r="BC101" s="9"/>
      <c r="BD101" s="9"/>
      <c r="BE101" s="9"/>
      <c r="BF101" s="9"/>
      <c r="BG101" s="9"/>
      <c r="BH101" s="9"/>
      <c r="BI101" s="9"/>
      <c r="BJ101" s="9"/>
      <c r="BK101" s="9"/>
      <c r="BL101" s="6">
        <f t="shared" si="15"/>
        <v>1584</v>
      </c>
      <c r="BM101" s="9"/>
      <c r="BN101" s="6">
        <v>15000</v>
      </c>
      <c r="BO101" s="9"/>
      <c r="BP101" s="6">
        <f t="shared" si="16"/>
        <v>23416</v>
      </c>
      <c r="BQ101" s="6"/>
      <c r="BR101" s="6">
        <f t="shared" si="17"/>
        <v>25000</v>
      </c>
      <c r="BS101" s="6"/>
      <c r="BT101" s="6">
        <f t="shared" si="18"/>
        <v>-15000</v>
      </c>
      <c r="BU101" s="9"/>
    </row>
    <row r="102" spans="2:73" s="21" customFormat="1">
      <c r="B102" s="240" t="s">
        <v>353</v>
      </c>
      <c r="J102" s="8"/>
      <c r="L102" s="143"/>
      <c r="M102" s="9"/>
      <c r="N102" s="9"/>
      <c r="O102" s="9"/>
      <c r="P102" s="9"/>
      <c r="Q102" s="9"/>
      <c r="R102" s="237">
        <v>1655614</v>
      </c>
      <c r="S102" s="9"/>
      <c r="T102" s="9"/>
      <c r="U102" s="9"/>
      <c r="V102" s="9"/>
      <c r="W102" s="9"/>
      <c r="X102" s="9"/>
      <c r="Y102" s="9"/>
      <c r="Z102" s="9"/>
      <c r="AA102" s="9"/>
      <c r="AB102" s="9"/>
      <c r="AC102" s="9"/>
      <c r="AD102" s="9"/>
      <c r="AE102" s="9"/>
      <c r="AF102" s="9"/>
      <c r="AG102" s="9"/>
      <c r="AH102" s="9"/>
      <c r="AJ102" s="9"/>
      <c r="AL102" s="9"/>
      <c r="AN102" s="9"/>
      <c r="AO102" s="9"/>
      <c r="AP102" s="9"/>
      <c r="AQ102" s="9"/>
      <c r="AR102" s="6"/>
      <c r="AS102" s="9"/>
      <c r="AT102" s="6">
        <v>46290</v>
      </c>
      <c r="AU102" s="9"/>
      <c r="AV102" s="9"/>
      <c r="AW102" s="9"/>
      <c r="AX102" s="9"/>
      <c r="AY102" s="9"/>
      <c r="AZ102" s="9"/>
      <c r="BA102" s="9"/>
      <c r="BB102" s="9"/>
      <c r="BC102" s="9"/>
      <c r="BD102" s="9"/>
      <c r="BE102" s="9"/>
      <c r="BF102" s="9"/>
      <c r="BG102" s="9"/>
      <c r="BH102" s="9"/>
      <c r="BI102" s="9"/>
      <c r="BJ102" s="9"/>
      <c r="BK102" s="9"/>
      <c r="BL102" s="6">
        <f t="shared" si="15"/>
        <v>46290</v>
      </c>
      <c r="BM102" s="9"/>
      <c r="BN102" s="6">
        <f>3670331-1655614</f>
        <v>2014717</v>
      </c>
      <c r="BO102" s="9"/>
      <c r="BP102" s="6">
        <f t="shared" si="16"/>
        <v>3624041</v>
      </c>
      <c r="BQ102" s="6"/>
      <c r="BR102" s="6">
        <f t="shared" si="17"/>
        <v>3670331</v>
      </c>
      <c r="BS102" s="6"/>
      <c r="BT102" s="6">
        <f t="shared" si="18"/>
        <v>-2014717</v>
      </c>
      <c r="BU102" s="9"/>
    </row>
    <row r="103" spans="2:73" s="21" customFormat="1">
      <c r="B103" s="240" t="s">
        <v>354</v>
      </c>
      <c r="J103" s="8"/>
      <c r="L103" s="143"/>
      <c r="M103" s="9"/>
      <c r="N103" s="9"/>
      <c r="O103" s="9"/>
      <c r="P103" s="9"/>
      <c r="Q103" s="9"/>
      <c r="R103" s="237">
        <v>90000</v>
      </c>
      <c r="S103" s="9"/>
      <c r="T103" s="9"/>
      <c r="U103" s="9"/>
      <c r="V103" s="9"/>
      <c r="W103" s="9"/>
      <c r="X103" s="9"/>
      <c r="Y103" s="9"/>
      <c r="Z103" s="9"/>
      <c r="AA103" s="9"/>
      <c r="AB103" s="9"/>
      <c r="AC103" s="9"/>
      <c r="AD103" s="9"/>
      <c r="AE103" s="9"/>
      <c r="AF103" s="9"/>
      <c r="AG103" s="9"/>
      <c r="AH103" s="9"/>
      <c r="AJ103" s="9"/>
      <c r="AL103" s="9"/>
      <c r="AN103" s="9"/>
      <c r="AO103" s="9"/>
      <c r="AP103" s="9"/>
      <c r="AQ103" s="9"/>
      <c r="AR103" s="6"/>
      <c r="AS103" s="9"/>
      <c r="AT103" s="6">
        <v>0</v>
      </c>
      <c r="AU103" s="9"/>
      <c r="AV103" s="9"/>
      <c r="AW103" s="9"/>
      <c r="AX103" s="9"/>
      <c r="AY103" s="9"/>
      <c r="AZ103" s="9"/>
      <c r="BA103" s="9"/>
      <c r="BB103" s="9"/>
      <c r="BC103" s="9"/>
      <c r="BD103" s="9"/>
      <c r="BE103" s="9"/>
      <c r="BF103" s="9"/>
      <c r="BG103" s="9"/>
      <c r="BH103" s="9"/>
      <c r="BI103" s="9"/>
      <c r="BJ103" s="9"/>
      <c r="BK103" s="9"/>
      <c r="BL103" s="6">
        <f t="shared" si="15"/>
        <v>0</v>
      </c>
      <c r="BM103" s="9"/>
      <c r="BN103" s="6">
        <f>114000-90000</f>
        <v>24000</v>
      </c>
      <c r="BO103" s="9"/>
      <c r="BP103" s="6">
        <f t="shared" si="16"/>
        <v>114000</v>
      </c>
      <c r="BQ103" s="6"/>
      <c r="BR103" s="6">
        <f t="shared" si="17"/>
        <v>114000</v>
      </c>
      <c r="BS103" s="6"/>
      <c r="BT103" s="6">
        <f t="shared" si="18"/>
        <v>-24000</v>
      </c>
      <c r="BU103" s="9"/>
    </row>
    <row r="104" spans="2:73" s="21" customFormat="1">
      <c r="B104" s="240" t="s">
        <v>355</v>
      </c>
      <c r="J104" s="8"/>
      <c r="L104" s="143"/>
      <c r="M104" s="9"/>
      <c r="N104" s="9"/>
      <c r="O104" s="9"/>
      <c r="P104" s="9"/>
      <c r="Q104" s="9"/>
      <c r="R104" s="237">
        <v>571702</v>
      </c>
      <c r="S104" s="9"/>
      <c r="T104" s="9"/>
      <c r="U104" s="9"/>
      <c r="V104" s="9"/>
      <c r="W104" s="9"/>
      <c r="X104" s="9"/>
      <c r="Y104" s="9"/>
      <c r="Z104" s="9"/>
      <c r="AA104" s="9"/>
      <c r="AB104" s="9"/>
      <c r="AC104" s="9"/>
      <c r="AD104" s="9"/>
      <c r="AE104" s="9"/>
      <c r="AF104" s="9"/>
      <c r="AG104" s="9"/>
      <c r="AH104" s="9"/>
      <c r="AJ104" s="9"/>
      <c r="AL104" s="9"/>
      <c r="AN104" s="9"/>
      <c r="AO104" s="9"/>
      <c r="AP104" s="9"/>
      <c r="AQ104" s="9"/>
      <c r="AR104" s="6"/>
      <c r="AS104" s="9"/>
      <c r="AT104" s="6">
        <v>526</v>
      </c>
      <c r="AU104" s="9"/>
      <c r="AV104" s="9"/>
      <c r="AW104" s="9"/>
      <c r="AX104" s="9"/>
      <c r="AY104" s="9"/>
      <c r="AZ104" s="9"/>
      <c r="BA104" s="9"/>
      <c r="BB104" s="9"/>
      <c r="BC104" s="9"/>
      <c r="BD104" s="9"/>
      <c r="BE104" s="9"/>
      <c r="BF104" s="9"/>
      <c r="BG104" s="9"/>
      <c r="BH104" s="9"/>
      <c r="BI104" s="9"/>
      <c r="BJ104" s="9"/>
      <c r="BK104" s="9"/>
      <c r="BL104" s="6">
        <f t="shared" si="15"/>
        <v>526</v>
      </c>
      <c r="BM104" s="9"/>
      <c r="BN104" s="6">
        <f>1223818-571702</f>
        <v>652116</v>
      </c>
      <c r="BO104" s="9"/>
      <c r="BP104" s="6">
        <f t="shared" si="16"/>
        <v>1223292</v>
      </c>
      <c r="BQ104" s="6"/>
      <c r="BR104" s="6">
        <f t="shared" si="17"/>
        <v>1223818</v>
      </c>
      <c r="BS104" s="6"/>
      <c r="BT104" s="6">
        <f t="shared" si="18"/>
        <v>-652116</v>
      </c>
      <c r="BU104" s="9"/>
    </row>
    <row r="105" spans="2:73" s="21" customFormat="1">
      <c r="B105" s="240" t="s">
        <v>356</v>
      </c>
      <c r="J105" s="8"/>
      <c r="L105" s="143"/>
      <c r="M105" s="9"/>
      <c r="N105" s="9"/>
      <c r="O105" s="9"/>
      <c r="P105" s="9"/>
      <c r="Q105" s="9"/>
      <c r="R105" s="237">
        <v>931641</v>
      </c>
      <c r="S105" s="9"/>
      <c r="T105" s="9"/>
      <c r="U105" s="9"/>
      <c r="V105" s="9"/>
      <c r="W105" s="9"/>
      <c r="X105" s="9"/>
      <c r="Y105" s="9"/>
      <c r="Z105" s="9"/>
      <c r="AA105" s="9"/>
      <c r="AB105" s="9"/>
      <c r="AC105" s="9"/>
      <c r="AD105" s="9"/>
      <c r="AE105" s="9"/>
      <c r="AF105" s="9"/>
      <c r="AG105" s="9"/>
      <c r="AH105" s="9"/>
      <c r="AJ105" s="9"/>
      <c r="AL105" s="9"/>
      <c r="AN105" s="9"/>
      <c r="AO105" s="9"/>
      <c r="AP105" s="9"/>
      <c r="AQ105" s="9"/>
      <c r="AR105" s="6"/>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941908-931641</f>
        <v>10267</v>
      </c>
      <c r="BO105" s="9"/>
      <c r="BP105" s="6">
        <f t="shared" si="16"/>
        <v>941908</v>
      </c>
      <c r="BQ105" s="6"/>
      <c r="BR105" s="6">
        <f t="shared" si="17"/>
        <v>941908</v>
      </c>
      <c r="BS105" s="6"/>
      <c r="BT105" s="6">
        <f t="shared" si="18"/>
        <v>-10267</v>
      </c>
      <c r="BU105" s="9"/>
    </row>
    <row r="106" spans="2:73" s="21" customFormat="1">
      <c r="B106" s="240" t="s">
        <v>357</v>
      </c>
      <c r="J106" s="8"/>
      <c r="L106" s="143"/>
      <c r="M106" s="9"/>
      <c r="N106" s="9"/>
      <c r="O106" s="9"/>
      <c r="P106" s="9"/>
      <c r="Q106" s="9"/>
      <c r="R106" s="237">
        <v>3098577</v>
      </c>
      <c r="S106" s="9"/>
      <c r="T106" s="9"/>
      <c r="U106" s="9"/>
      <c r="V106" s="9"/>
      <c r="W106" s="9"/>
      <c r="X106" s="9"/>
      <c r="Y106" s="9"/>
      <c r="Z106" s="9"/>
      <c r="AA106" s="9"/>
      <c r="AB106" s="9"/>
      <c r="AC106" s="9"/>
      <c r="AD106" s="9"/>
      <c r="AE106" s="9"/>
      <c r="AF106" s="9"/>
      <c r="AG106" s="9"/>
      <c r="AH106" s="9"/>
      <c r="AJ106" s="9"/>
      <c r="AL106" s="9"/>
      <c r="AN106" s="9"/>
      <c r="AO106" s="9"/>
      <c r="AP106" s="9"/>
      <c r="AQ106" s="9"/>
      <c r="AR106" s="6"/>
      <c r="AS106" s="9"/>
      <c r="AT106" s="6">
        <v>537131</v>
      </c>
      <c r="AU106" s="9"/>
      <c r="AV106" s="9"/>
      <c r="AW106" s="9"/>
      <c r="AX106" s="9"/>
      <c r="AY106" s="9"/>
      <c r="AZ106" s="9"/>
      <c r="BA106" s="9"/>
      <c r="BB106" s="9"/>
      <c r="BC106" s="9"/>
      <c r="BD106" s="9"/>
      <c r="BE106" s="9"/>
      <c r="BF106" s="9"/>
      <c r="BG106" s="9"/>
      <c r="BH106" s="9"/>
      <c r="BI106" s="9"/>
      <c r="BJ106" s="9"/>
      <c r="BK106" s="9"/>
      <c r="BL106" s="6">
        <f t="shared" si="15"/>
        <v>537131</v>
      </c>
      <c r="BM106" s="9"/>
      <c r="BN106" s="6">
        <f>7062346-3098577</f>
        <v>3963769</v>
      </c>
      <c r="BO106" s="9"/>
      <c r="BP106" s="6">
        <f t="shared" si="16"/>
        <v>6525215</v>
      </c>
      <c r="BQ106" s="6"/>
      <c r="BR106" s="6">
        <f t="shared" si="17"/>
        <v>7062346</v>
      </c>
      <c r="BS106" s="6"/>
      <c r="BT106" s="6">
        <f t="shared" si="18"/>
        <v>-3963769</v>
      </c>
      <c r="BU106" s="9"/>
    </row>
    <row r="107" spans="2:73" s="21" customFormat="1">
      <c r="B107" s="240" t="s">
        <v>358</v>
      </c>
      <c r="J107" s="8"/>
      <c r="L107" s="143"/>
      <c r="M107" s="9"/>
      <c r="N107" s="9"/>
      <c r="O107" s="9"/>
      <c r="P107" s="9"/>
      <c r="Q107" s="9"/>
      <c r="R107" s="237">
        <v>3134576</v>
      </c>
      <c r="S107" s="9"/>
      <c r="T107" s="9"/>
      <c r="U107" s="9"/>
      <c r="V107" s="9"/>
      <c r="W107" s="9"/>
      <c r="X107" s="9"/>
      <c r="Y107" s="9"/>
      <c r="Z107" s="9"/>
      <c r="AA107" s="9"/>
      <c r="AB107" s="9"/>
      <c r="AC107" s="9"/>
      <c r="AD107" s="9"/>
      <c r="AE107" s="9"/>
      <c r="AF107" s="9"/>
      <c r="AG107" s="9"/>
      <c r="AH107" s="9"/>
      <c r="AJ107" s="9"/>
      <c r="AL107" s="9"/>
      <c r="AN107" s="9"/>
      <c r="AO107" s="9"/>
      <c r="AP107" s="9"/>
      <c r="AQ107" s="9"/>
      <c r="AR107" s="6">
        <v>134000</v>
      </c>
      <c r="AS107" s="9"/>
      <c r="AT107" s="6">
        <f>222400-134000</f>
        <v>88400</v>
      </c>
      <c r="AU107" s="9"/>
      <c r="AV107" s="9"/>
      <c r="AW107" s="9"/>
      <c r="AX107" s="9"/>
      <c r="AY107" s="9"/>
      <c r="AZ107" s="9"/>
      <c r="BA107" s="9"/>
      <c r="BB107" s="9"/>
      <c r="BC107" s="9"/>
      <c r="BD107" s="9"/>
      <c r="BE107" s="9"/>
      <c r="BF107" s="9"/>
      <c r="BG107" s="9"/>
      <c r="BH107" s="9"/>
      <c r="BI107" s="9"/>
      <c r="BJ107" s="9"/>
      <c r="BK107" s="9"/>
      <c r="BL107" s="6">
        <f t="shared" si="15"/>
        <v>222400</v>
      </c>
      <c r="BM107" s="9"/>
      <c r="BN107" s="6">
        <f>3283376-3134576</f>
        <v>148800</v>
      </c>
      <c r="BO107" s="9"/>
      <c r="BP107" s="6">
        <f t="shared" si="16"/>
        <v>3060976</v>
      </c>
      <c r="BQ107" s="6"/>
      <c r="BR107" s="6">
        <f t="shared" si="17"/>
        <v>3283376</v>
      </c>
      <c r="BS107" s="6"/>
      <c r="BT107" s="6">
        <f t="shared" si="18"/>
        <v>-148800</v>
      </c>
      <c r="BU107" s="9"/>
    </row>
    <row r="108" spans="2:73" s="21" customFormat="1">
      <c r="B108" s="240" t="s">
        <v>359</v>
      </c>
      <c r="J108" s="8"/>
      <c r="L108" s="143"/>
      <c r="M108" s="9"/>
      <c r="N108" s="9"/>
      <c r="O108" s="9"/>
      <c r="P108" s="9"/>
      <c r="Q108" s="9"/>
      <c r="R108" s="237">
        <v>627429</v>
      </c>
      <c r="S108" s="9"/>
      <c r="T108" s="9"/>
      <c r="U108" s="9"/>
      <c r="V108" s="9"/>
      <c r="W108" s="9"/>
      <c r="X108" s="9"/>
      <c r="Y108" s="9"/>
      <c r="Z108" s="9"/>
      <c r="AA108" s="9"/>
      <c r="AB108" s="9"/>
      <c r="AC108" s="9"/>
      <c r="AD108" s="9"/>
      <c r="AE108" s="9"/>
      <c r="AF108" s="9"/>
      <c r="AG108" s="9"/>
      <c r="AH108" s="9"/>
      <c r="AJ108" s="9"/>
      <c r="AL108" s="9"/>
      <c r="AN108" s="9"/>
      <c r="AO108" s="9"/>
      <c r="AP108" s="9"/>
      <c r="AQ108" s="9"/>
      <c r="AR108" s="6"/>
      <c r="AS108" s="9"/>
      <c r="AT108" s="6"/>
      <c r="AU108" s="9"/>
      <c r="AV108" s="9"/>
      <c r="AW108" s="9"/>
      <c r="AX108" s="9"/>
      <c r="AY108" s="9"/>
      <c r="AZ108" s="9"/>
      <c r="BA108" s="9"/>
      <c r="BB108" s="9"/>
      <c r="BC108" s="9"/>
      <c r="BD108" s="9"/>
      <c r="BE108" s="9"/>
      <c r="BF108" s="9"/>
      <c r="BG108" s="9"/>
      <c r="BH108" s="9"/>
      <c r="BI108" s="9"/>
      <c r="BJ108" s="9"/>
      <c r="BK108" s="9"/>
      <c r="BL108" s="6">
        <f t="shared" si="15"/>
        <v>0</v>
      </c>
      <c r="BM108" s="9"/>
      <c r="BN108" s="6">
        <f>847382-627429</f>
        <v>219953</v>
      </c>
      <c r="BO108" s="9"/>
      <c r="BP108" s="6">
        <f t="shared" si="16"/>
        <v>847382</v>
      </c>
      <c r="BQ108" s="6"/>
      <c r="BR108" s="6">
        <f t="shared" si="17"/>
        <v>847382</v>
      </c>
      <c r="BS108" s="6"/>
      <c r="BT108" s="6">
        <f t="shared" si="18"/>
        <v>-219953</v>
      </c>
      <c r="BU108" s="9"/>
    </row>
    <row r="109" spans="2:73" s="21" customFormat="1">
      <c r="B109" s="240" t="s">
        <v>360</v>
      </c>
      <c r="J109" s="8"/>
      <c r="L109" s="143"/>
      <c r="M109" s="9"/>
      <c r="N109" s="9"/>
      <c r="O109" s="9"/>
      <c r="P109" s="9"/>
      <c r="Q109" s="9"/>
      <c r="R109" s="237">
        <v>241000</v>
      </c>
      <c r="S109" s="9"/>
      <c r="T109" s="9"/>
      <c r="U109" s="9"/>
      <c r="V109" s="9"/>
      <c r="W109" s="9"/>
      <c r="X109" s="9"/>
      <c r="Y109" s="9"/>
      <c r="Z109" s="9"/>
      <c r="AA109" s="9"/>
      <c r="AB109" s="9"/>
      <c r="AC109" s="9"/>
      <c r="AD109" s="9"/>
      <c r="AE109" s="9"/>
      <c r="AF109" s="9"/>
      <c r="AG109" s="9"/>
      <c r="AH109" s="9"/>
      <c r="AJ109" s="9"/>
      <c r="AL109" s="9"/>
      <c r="AN109" s="9"/>
      <c r="AO109" s="9"/>
      <c r="AP109" s="9"/>
      <c r="AQ109" s="9"/>
      <c r="AR109" s="6"/>
      <c r="AS109" s="9"/>
      <c r="AT109" s="6"/>
      <c r="AU109" s="9"/>
      <c r="AV109" s="9"/>
      <c r="AW109" s="9"/>
      <c r="AX109" s="9"/>
      <c r="AY109" s="9"/>
      <c r="AZ109" s="9"/>
      <c r="BA109" s="9"/>
      <c r="BB109" s="9"/>
      <c r="BC109" s="9"/>
      <c r="BD109" s="9"/>
      <c r="BE109" s="9"/>
      <c r="BF109" s="9"/>
      <c r="BG109" s="9"/>
      <c r="BH109" s="9"/>
      <c r="BI109" s="9"/>
      <c r="BJ109" s="9"/>
      <c r="BK109" s="9"/>
      <c r="BL109" s="6">
        <f t="shared" si="15"/>
        <v>0</v>
      </c>
      <c r="BM109" s="9"/>
      <c r="BN109" s="6">
        <f>206000-241000</f>
        <v>-35000</v>
      </c>
      <c r="BO109" s="9"/>
      <c r="BP109" s="6">
        <f t="shared" si="16"/>
        <v>206000</v>
      </c>
      <c r="BQ109" s="6"/>
      <c r="BR109" s="6">
        <f t="shared" si="17"/>
        <v>206000</v>
      </c>
      <c r="BS109" s="6"/>
      <c r="BT109" s="6">
        <f t="shared" si="18"/>
        <v>35000</v>
      </c>
      <c r="BU109" s="9"/>
    </row>
    <row r="110" spans="2:73" s="21" customFormat="1">
      <c r="B110" s="240" t="s">
        <v>361</v>
      </c>
      <c r="J110" s="8"/>
      <c r="L110" s="143"/>
      <c r="M110" s="9"/>
      <c r="N110" s="9"/>
      <c r="O110" s="9"/>
      <c r="P110" s="9"/>
      <c r="Q110" s="9"/>
      <c r="R110" s="237">
        <v>0</v>
      </c>
      <c r="S110" s="9"/>
      <c r="T110" s="9"/>
      <c r="U110" s="9"/>
      <c r="V110" s="9"/>
      <c r="W110" s="9"/>
      <c r="X110" s="9"/>
      <c r="Y110" s="9"/>
      <c r="Z110" s="9"/>
      <c r="AA110" s="9"/>
      <c r="AB110" s="9"/>
      <c r="AC110" s="9"/>
      <c r="AD110" s="9"/>
      <c r="AE110" s="9"/>
      <c r="AF110" s="9"/>
      <c r="AG110" s="9"/>
      <c r="AH110" s="9"/>
      <c r="AJ110" s="9"/>
      <c r="AL110" s="9"/>
      <c r="AN110" s="9"/>
      <c r="AO110" s="9"/>
      <c r="AP110" s="9"/>
      <c r="AQ110" s="9"/>
      <c r="AR110" s="6"/>
      <c r="AS110" s="9"/>
      <c r="AT110" s="6"/>
      <c r="AU110" s="9"/>
      <c r="AV110" s="9"/>
      <c r="AW110" s="9"/>
      <c r="AX110" s="9"/>
      <c r="AY110" s="9"/>
      <c r="AZ110" s="9"/>
      <c r="BA110" s="9"/>
      <c r="BB110" s="9"/>
      <c r="BC110" s="9"/>
      <c r="BD110" s="9"/>
      <c r="BE110" s="9"/>
      <c r="BF110" s="9"/>
      <c r="BG110" s="9"/>
      <c r="BH110" s="9"/>
      <c r="BI110" s="9"/>
      <c r="BJ110" s="9"/>
      <c r="BK110" s="9"/>
      <c r="BL110" s="6">
        <f t="shared" si="15"/>
        <v>0</v>
      </c>
      <c r="BM110" s="9"/>
      <c r="BN110" s="6">
        <v>42461</v>
      </c>
      <c r="BO110" s="9"/>
      <c r="BP110" s="6">
        <f t="shared" si="16"/>
        <v>42461</v>
      </c>
      <c r="BQ110" s="6"/>
      <c r="BR110" s="6">
        <f t="shared" si="17"/>
        <v>42461</v>
      </c>
      <c r="BS110" s="6"/>
      <c r="BT110" s="6">
        <f t="shared" si="18"/>
        <v>-42461</v>
      </c>
      <c r="BU110" s="9"/>
    </row>
    <row r="111" spans="2:73" s="21" customFormat="1">
      <c r="B111" s="240" t="s">
        <v>362</v>
      </c>
      <c r="J111" s="8"/>
      <c r="L111" s="143"/>
      <c r="M111" s="9"/>
      <c r="N111" s="9"/>
      <c r="O111" s="9"/>
      <c r="P111" s="9"/>
      <c r="Q111" s="9"/>
      <c r="R111" s="237">
        <v>-1225177</v>
      </c>
      <c r="S111" s="9"/>
      <c r="T111" s="9"/>
      <c r="U111" s="9"/>
      <c r="V111" s="9"/>
      <c r="W111" s="9"/>
      <c r="X111" s="9"/>
      <c r="Y111" s="9"/>
      <c r="Z111" s="9"/>
      <c r="AA111" s="9"/>
      <c r="AB111" s="9"/>
      <c r="AC111" s="9"/>
      <c r="AD111" s="9"/>
      <c r="AE111" s="9"/>
      <c r="AF111" s="9"/>
      <c r="AG111" s="9"/>
      <c r="AH111" s="9"/>
      <c r="AJ111" s="9"/>
      <c r="AL111" s="9"/>
      <c r="AN111" s="9"/>
      <c r="AO111" s="9"/>
      <c r="AP111" s="9"/>
      <c r="AQ111" s="9"/>
      <c r="AR111" s="6"/>
      <c r="AS111" s="9"/>
      <c r="AT111" s="6"/>
      <c r="AU111" s="9"/>
      <c r="AV111" s="9"/>
      <c r="AW111" s="9"/>
      <c r="AX111" s="9"/>
      <c r="AY111" s="9"/>
      <c r="AZ111" s="9"/>
      <c r="BA111" s="9"/>
      <c r="BB111" s="9"/>
      <c r="BC111" s="9"/>
      <c r="BD111" s="9"/>
      <c r="BE111" s="9"/>
      <c r="BF111" s="9"/>
      <c r="BG111" s="9"/>
      <c r="BH111" s="9"/>
      <c r="BI111" s="9"/>
      <c r="BJ111" s="9"/>
      <c r="BK111" s="9"/>
      <c r="BL111" s="6">
        <f t="shared" si="15"/>
        <v>0</v>
      </c>
      <c r="BM111" s="9"/>
      <c r="BN111" s="6">
        <v>1225177</v>
      </c>
      <c r="BO111" s="9"/>
      <c r="BP111" s="6">
        <f t="shared" si="16"/>
        <v>0</v>
      </c>
      <c r="BQ111" s="6"/>
      <c r="BR111" s="6">
        <f t="shared" si="17"/>
        <v>0</v>
      </c>
      <c r="BS111" s="6"/>
      <c r="BT111" s="6">
        <f t="shared" si="18"/>
        <v>-1225177</v>
      </c>
      <c r="BU111" s="9"/>
    </row>
    <row r="112" spans="2:73" s="21" customFormat="1">
      <c r="B112" s="240" t="s">
        <v>558</v>
      </c>
      <c r="J112" s="8"/>
      <c r="L112" s="143"/>
      <c r="M112" s="9"/>
      <c r="N112" s="9"/>
      <c r="O112" s="9"/>
      <c r="P112" s="9"/>
      <c r="Q112" s="9"/>
      <c r="R112" s="237"/>
      <c r="S112" s="9"/>
      <c r="T112" s="9"/>
      <c r="U112" s="9"/>
      <c r="V112" s="9"/>
      <c r="W112" s="9"/>
      <c r="X112" s="9"/>
      <c r="Y112" s="9"/>
      <c r="Z112" s="9"/>
      <c r="AA112" s="9"/>
      <c r="AB112" s="9"/>
      <c r="AC112" s="9"/>
      <c r="AD112" s="9"/>
      <c r="AE112" s="9"/>
      <c r="AF112" s="9"/>
      <c r="AG112" s="9"/>
      <c r="AH112" s="9"/>
      <c r="AJ112" s="9"/>
      <c r="AL112" s="9"/>
      <c r="AN112" s="9"/>
      <c r="AO112" s="9"/>
      <c r="AP112" s="9"/>
      <c r="AQ112" s="9"/>
      <c r="AR112" s="6"/>
      <c r="AS112" s="9"/>
      <c r="AT112" s="6">
        <v>29554</v>
      </c>
      <c r="AU112" s="9"/>
      <c r="AV112" s="9"/>
      <c r="AW112" s="9"/>
      <c r="AX112" s="9"/>
      <c r="AY112" s="9"/>
      <c r="AZ112" s="9"/>
      <c r="BA112" s="9"/>
      <c r="BB112" s="9"/>
      <c r="BC112" s="9"/>
      <c r="BD112" s="9"/>
      <c r="BE112" s="9"/>
      <c r="BF112" s="9"/>
      <c r="BG112" s="9"/>
      <c r="BH112" s="9"/>
      <c r="BI112" s="9"/>
      <c r="BJ112" s="9"/>
      <c r="BK112" s="9"/>
      <c r="BL112" s="6">
        <f t="shared" si="15"/>
        <v>29554</v>
      </c>
      <c r="BM112" s="9"/>
      <c r="BN112" s="6"/>
      <c r="BO112" s="9"/>
      <c r="BP112" s="6"/>
      <c r="BQ112" s="6"/>
      <c r="BR112" s="6">
        <f t="shared" si="17"/>
        <v>29554</v>
      </c>
      <c r="BS112" s="6"/>
      <c r="BT112" s="6">
        <f t="shared" si="18"/>
        <v>-29554</v>
      </c>
      <c r="BU112" s="9"/>
    </row>
    <row r="113" spans="1:73" s="21" customFormat="1">
      <c r="B113" s="240" t="s">
        <v>559</v>
      </c>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6"/>
      <c r="AS113" s="9"/>
      <c r="AT113" s="6">
        <v>99225</v>
      </c>
      <c r="AU113" s="9"/>
      <c r="AV113" s="9"/>
      <c r="AW113" s="9"/>
      <c r="AX113" s="9"/>
      <c r="AY113" s="9"/>
      <c r="AZ113" s="9"/>
      <c r="BA113" s="9"/>
      <c r="BB113" s="9"/>
      <c r="BC113" s="9"/>
      <c r="BD113" s="9"/>
      <c r="BE113" s="9"/>
      <c r="BF113" s="9"/>
      <c r="BG113" s="9"/>
      <c r="BH113" s="9"/>
      <c r="BI113" s="9"/>
      <c r="BJ113" s="9"/>
      <c r="BK113" s="9"/>
      <c r="BL113" s="6">
        <f t="shared" si="15"/>
        <v>99225</v>
      </c>
      <c r="BM113" s="9"/>
      <c r="BN113" s="9"/>
      <c r="BO113" s="9"/>
      <c r="BP113" s="6">
        <f t="shared" si="16"/>
        <v>0</v>
      </c>
      <c r="BQ113" s="6"/>
      <c r="BR113" s="6">
        <f t="shared" si="17"/>
        <v>99225</v>
      </c>
      <c r="BS113" s="6"/>
      <c r="BT113" s="6">
        <f t="shared" si="18"/>
        <v>-99225</v>
      </c>
      <c r="BU113" s="9"/>
    </row>
    <row r="114" spans="1:73" s="21" customFormat="1">
      <c r="B114" s="235" t="s">
        <v>560</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v>12201</v>
      </c>
      <c r="AU114" s="9"/>
      <c r="AV114" s="9"/>
      <c r="AW114" s="9"/>
      <c r="AX114" s="9"/>
      <c r="AY114" s="9"/>
      <c r="AZ114" s="9"/>
      <c r="BA114" s="9"/>
      <c r="BB114" s="9"/>
      <c r="BC114" s="9"/>
      <c r="BD114" s="9"/>
      <c r="BE114" s="9"/>
      <c r="BF114" s="9"/>
      <c r="BG114" s="9"/>
      <c r="BH114" s="9"/>
      <c r="BI114" s="9"/>
      <c r="BJ114" s="9"/>
      <c r="BK114" s="9"/>
      <c r="BL114" s="6">
        <f t="shared" si="15"/>
        <v>12201</v>
      </c>
      <c r="BM114" s="9"/>
      <c r="BN114" s="9"/>
      <c r="BO114" s="9"/>
      <c r="BP114" s="9"/>
      <c r="BQ114" s="9"/>
      <c r="BR114" s="6">
        <f t="shared" si="17"/>
        <v>12201</v>
      </c>
      <c r="BS114" s="9"/>
      <c r="BT114" s="6">
        <f t="shared" si="18"/>
        <v>-12201</v>
      </c>
      <c r="BU114" s="9"/>
    </row>
    <row r="115" spans="1:73" s="21" customFormat="1">
      <c r="B115" s="238" t="s">
        <v>364</v>
      </c>
      <c r="J115" s="8"/>
      <c r="L115" s="143"/>
      <c r="M115" s="9"/>
      <c r="N115" s="9"/>
      <c r="O115" s="9"/>
      <c r="P115" s="9"/>
      <c r="Q115" s="9"/>
      <c r="R115" s="9">
        <f>SUM(R84:R114)</f>
        <v>20113359</v>
      </c>
      <c r="S115" s="9">
        <f t="shared" ref="S115:BU115" si="19">SUM(S84:S114)</f>
        <v>0</v>
      </c>
      <c r="T115" s="9">
        <f t="shared" si="19"/>
        <v>0</v>
      </c>
      <c r="U115" s="9">
        <f t="shared" si="19"/>
        <v>0</v>
      </c>
      <c r="V115" s="9">
        <f t="shared" si="19"/>
        <v>0</v>
      </c>
      <c r="W115" s="9">
        <f t="shared" si="19"/>
        <v>0</v>
      </c>
      <c r="X115" s="9">
        <f t="shared" si="19"/>
        <v>0</v>
      </c>
      <c r="Y115" s="9">
        <f t="shared" si="19"/>
        <v>0</v>
      </c>
      <c r="Z115" s="9">
        <f t="shared" si="19"/>
        <v>0</v>
      </c>
      <c r="AA115" s="9">
        <f t="shared" si="19"/>
        <v>0</v>
      </c>
      <c r="AB115" s="9">
        <f t="shared" si="19"/>
        <v>0</v>
      </c>
      <c r="AC115" s="9">
        <f t="shared" si="19"/>
        <v>0</v>
      </c>
      <c r="AD115" s="9">
        <f t="shared" si="19"/>
        <v>0</v>
      </c>
      <c r="AE115" s="9"/>
      <c r="AF115" s="9">
        <f t="shared" si="19"/>
        <v>0</v>
      </c>
      <c r="AG115" s="9"/>
      <c r="AH115" s="9">
        <f t="shared" si="19"/>
        <v>0</v>
      </c>
      <c r="AI115" s="9"/>
      <c r="AJ115" s="9">
        <f t="shared" si="19"/>
        <v>0</v>
      </c>
      <c r="AK115" s="9">
        <f t="shared" si="19"/>
        <v>0</v>
      </c>
      <c r="AL115" s="9">
        <f t="shared" si="19"/>
        <v>0</v>
      </c>
      <c r="AM115" s="9">
        <f t="shared" si="19"/>
        <v>0</v>
      </c>
      <c r="AN115" s="9">
        <f t="shared" si="19"/>
        <v>0</v>
      </c>
      <c r="AO115" s="9">
        <f t="shared" si="19"/>
        <v>0</v>
      </c>
      <c r="AP115" s="9">
        <f t="shared" si="19"/>
        <v>0</v>
      </c>
      <c r="AQ115" s="9">
        <f t="shared" si="19"/>
        <v>0</v>
      </c>
      <c r="AR115" s="9">
        <f t="shared" si="19"/>
        <v>2569929</v>
      </c>
      <c r="AS115" s="9">
        <f t="shared" si="19"/>
        <v>0</v>
      </c>
      <c r="AT115" s="9">
        <f t="shared" si="19"/>
        <v>4657660</v>
      </c>
      <c r="AU115" s="9">
        <f t="shared" si="19"/>
        <v>0</v>
      </c>
      <c r="AV115" s="9">
        <f t="shared" si="19"/>
        <v>0</v>
      </c>
      <c r="AW115" s="9">
        <f t="shared" si="19"/>
        <v>0</v>
      </c>
      <c r="AX115" s="9">
        <f t="shared" si="19"/>
        <v>0</v>
      </c>
      <c r="AY115" s="9">
        <f t="shared" si="19"/>
        <v>0</v>
      </c>
      <c r="AZ115" s="9">
        <f t="shared" si="19"/>
        <v>0</v>
      </c>
      <c r="BA115" s="9">
        <f t="shared" si="19"/>
        <v>0</v>
      </c>
      <c r="BB115" s="9">
        <f t="shared" si="19"/>
        <v>0</v>
      </c>
      <c r="BC115" s="9">
        <f t="shared" si="19"/>
        <v>0</v>
      </c>
      <c r="BD115" s="9">
        <f t="shared" si="19"/>
        <v>0</v>
      </c>
      <c r="BE115" s="9">
        <f t="shared" si="19"/>
        <v>0</v>
      </c>
      <c r="BF115" s="9">
        <f t="shared" si="19"/>
        <v>0</v>
      </c>
      <c r="BG115" s="9">
        <f t="shared" si="19"/>
        <v>0</v>
      </c>
      <c r="BH115" s="9">
        <f t="shared" si="19"/>
        <v>0</v>
      </c>
      <c r="BI115" s="9">
        <f t="shared" si="19"/>
        <v>0</v>
      </c>
      <c r="BJ115" s="9">
        <f t="shared" si="19"/>
        <v>0</v>
      </c>
      <c r="BK115" s="9">
        <f t="shared" si="19"/>
        <v>0</v>
      </c>
      <c r="BL115" s="9">
        <f t="shared" si="19"/>
        <v>7227589</v>
      </c>
      <c r="BM115" s="9">
        <f t="shared" si="19"/>
        <v>0</v>
      </c>
      <c r="BN115" s="9">
        <f t="shared" si="19"/>
        <v>12045297</v>
      </c>
      <c r="BO115" s="9">
        <f t="shared" si="19"/>
        <v>0</v>
      </c>
      <c r="BP115" s="9">
        <f t="shared" si="19"/>
        <v>27095597</v>
      </c>
      <c r="BQ115" s="9">
        <f t="shared" si="19"/>
        <v>0</v>
      </c>
      <c r="BR115" s="9">
        <f t="shared" si="19"/>
        <v>34323186</v>
      </c>
      <c r="BS115" s="9">
        <f t="shared" si="19"/>
        <v>0</v>
      </c>
      <c r="BT115" s="9">
        <f t="shared" si="19"/>
        <v>-14209827</v>
      </c>
      <c r="BU115" s="9">
        <f t="shared" si="19"/>
        <v>0</v>
      </c>
    </row>
    <row r="116" spans="1:73" s="21" customFormat="1">
      <c r="B116" s="238"/>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366</v>
      </c>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2" t="s">
        <v>68</v>
      </c>
      <c r="J118" s="8"/>
      <c r="L118" s="143"/>
      <c r="M118" s="9"/>
      <c r="N118" s="9"/>
      <c r="O118" s="9"/>
      <c r="P118" s="9"/>
      <c r="Q118" s="9"/>
      <c r="R118" s="237">
        <v>5312100</v>
      </c>
      <c r="S118" s="9"/>
      <c r="T118" s="9"/>
      <c r="U118" s="9"/>
      <c r="V118" s="9"/>
      <c r="W118" s="9"/>
      <c r="X118" s="9"/>
      <c r="Y118" s="9"/>
      <c r="Z118" s="9"/>
      <c r="AA118" s="9"/>
      <c r="AB118" s="9"/>
      <c r="AC118" s="9"/>
      <c r="AD118" s="9"/>
      <c r="AE118" s="9"/>
      <c r="AF118" s="9"/>
      <c r="AG118" s="9"/>
      <c r="AH118" s="9"/>
      <c r="AJ118" s="9"/>
      <c r="AL118" s="9"/>
      <c r="AN118" s="9"/>
      <c r="AO118" s="9"/>
      <c r="AP118" s="9"/>
      <c r="AQ118" s="9"/>
      <c r="AR118" s="6">
        <v>28388</v>
      </c>
      <c r="AS118" s="9"/>
      <c r="AT118" s="6">
        <f>791673-28388</f>
        <v>763285</v>
      </c>
      <c r="AU118" s="9"/>
      <c r="AV118" s="9"/>
      <c r="AW118" s="9"/>
      <c r="AX118" s="9"/>
      <c r="AY118" s="9"/>
      <c r="AZ118" s="9"/>
      <c r="BA118" s="9"/>
      <c r="BB118" s="9"/>
      <c r="BC118" s="9"/>
      <c r="BD118" s="9"/>
      <c r="BE118" s="9"/>
      <c r="BF118" s="9"/>
      <c r="BG118" s="9"/>
      <c r="BH118" s="9"/>
      <c r="BI118" s="9"/>
      <c r="BJ118" s="9"/>
      <c r="BK118" s="9"/>
      <c r="BL118" s="6">
        <f>SUM(T118:BK118)</f>
        <v>791673</v>
      </c>
      <c r="BM118" s="9"/>
      <c r="BN118" s="6">
        <f>5336759-5312100</f>
        <v>24659</v>
      </c>
      <c r="BO118" s="9"/>
      <c r="BP118" s="6">
        <f>IF(+R118-BL118+BN118&gt;0,R118-BL118+BN118,0)</f>
        <v>4545086</v>
      </c>
      <c r="BQ118" s="6"/>
      <c r="BR118" s="6">
        <f>+BL118+BP118</f>
        <v>5336759</v>
      </c>
      <c r="BS118" s="6"/>
      <c r="BT118" s="6">
        <f>+R118-BR118</f>
        <v>-24659</v>
      </c>
      <c r="BU118" s="9"/>
    </row>
    <row r="119" spans="1:73" s="21" customFormat="1">
      <c r="B119" s="235"/>
      <c r="J119" s="8"/>
      <c r="L119" s="143"/>
      <c r="M119" s="9"/>
      <c r="N119" s="9"/>
      <c r="O119" s="9"/>
      <c r="P119" s="9"/>
      <c r="Q119" s="9"/>
      <c r="R119" s="9"/>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B120" s="236" t="s">
        <v>365</v>
      </c>
      <c r="J120" s="8"/>
      <c r="L120" s="143"/>
      <c r="M120" s="9"/>
      <c r="N120" s="9"/>
      <c r="O120" s="9"/>
      <c r="P120" s="9"/>
      <c r="Q120" s="9"/>
      <c r="R120" s="9">
        <f t="shared" ref="R120:AD120" si="20">SUM(R118:R119)</f>
        <v>5312100</v>
      </c>
      <c r="S120" s="9">
        <f t="shared" si="20"/>
        <v>0</v>
      </c>
      <c r="T120" s="9">
        <f t="shared" si="20"/>
        <v>0</v>
      </c>
      <c r="U120" s="9">
        <f t="shared" si="20"/>
        <v>0</v>
      </c>
      <c r="V120" s="9">
        <f t="shared" si="20"/>
        <v>0</v>
      </c>
      <c r="W120" s="9">
        <f t="shared" si="20"/>
        <v>0</v>
      </c>
      <c r="X120" s="9">
        <f t="shared" si="20"/>
        <v>0</v>
      </c>
      <c r="Y120" s="9">
        <f t="shared" si="20"/>
        <v>0</v>
      </c>
      <c r="Z120" s="9">
        <f t="shared" si="20"/>
        <v>0</v>
      </c>
      <c r="AA120" s="9">
        <f t="shared" si="20"/>
        <v>0</v>
      </c>
      <c r="AB120" s="9">
        <f t="shared" si="20"/>
        <v>0</v>
      </c>
      <c r="AC120" s="9">
        <f t="shared" si="20"/>
        <v>0</v>
      </c>
      <c r="AD120" s="9">
        <f t="shared" si="20"/>
        <v>0</v>
      </c>
      <c r="AE120" s="9"/>
      <c r="AF120" s="9">
        <f>SUM(AF118:AF119)</f>
        <v>0</v>
      </c>
      <c r="AG120" s="9"/>
      <c r="AH120" s="9">
        <f>SUM(AH118:AH119)</f>
        <v>0</v>
      </c>
      <c r="AI120" s="9"/>
      <c r="AJ120" s="9">
        <f t="shared" ref="AJ120:BT120" si="21">SUM(AJ118:AJ119)</f>
        <v>0</v>
      </c>
      <c r="AK120" s="9">
        <f t="shared" si="21"/>
        <v>0</v>
      </c>
      <c r="AL120" s="9">
        <f t="shared" si="21"/>
        <v>0</v>
      </c>
      <c r="AM120" s="9">
        <f t="shared" si="21"/>
        <v>0</v>
      </c>
      <c r="AN120" s="9">
        <f t="shared" si="21"/>
        <v>0</v>
      </c>
      <c r="AO120" s="9">
        <f t="shared" si="21"/>
        <v>0</v>
      </c>
      <c r="AP120" s="9">
        <f t="shared" si="21"/>
        <v>0</v>
      </c>
      <c r="AQ120" s="9">
        <f t="shared" si="21"/>
        <v>0</v>
      </c>
      <c r="AR120" s="6">
        <f t="shared" si="21"/>
        <v>28388</v>
      </c>
      <c r="AS120" s="9">
        <f t="shared" si="21"/>
        <v>0</v>
      </c>
      <c r="AT120" s="9">
        <f t="shared" si="21"/>
        <v>763285</v>
      </c>
      <c r="AU120" s="9">
        <f t="shared" si="21"/>
        <v>0</v>
      </c>
      <c r="AV120" s="9">
        <f t="shared" si="21"/>
        <v>0</v>
      </c>
      <c r="AW120" s="9">
        <f t="shared" si="21"/>
        <v>0</v>
      </c>
      <c r="AX120" s="9">
        <f t="shared" si="21"/>
        <v>0</v>
      </c>
      <c r="AY120" s="9">
        <f t="shared" si="21"/>
        <v>0</v>
      </c>
      <c r="AZ120" s="9">
        <f t="shared" si="21"/>
        <v>0</v>
      </c>
      <c r="BA120" s="9">
        <f t="shared" si="21"/>
        <v>0</v>
      </c>
      <c r="BB120" s="9">
        <f t="shared" si="21"/>
        <v>0</v>
      </c>
      <c r="BC120" s="9">
        <f t="shared" si="21"/>
        <v>0</v>
      </c>
      <c r="BD120" s="9">
        <f t="shared" si="21"/>
        <v>0</v>
      </c>
      <c r="BE120" s="9">
        <f t="shared" si="21"/>
        <v>0</v>
      </c>
      <c r="BF120" s="9">
        <f t="shared" si="21"/>
        <v>0</v>
      </c>
      <c r="BG120" s="9">
        <f t="shared" si="21"/>
        <v>0</v>
      </c>
      <c r="BH120" s="9">
        <f t="shared" si="21"/>
        <v>0</v>
      </c>
      <c r="BI120" s="9">
        <f t="shared" si="21"/>
        <v>0</v>
      </c>
      <c r="BJ120" s="9">
        <f t="shared" si="21"/>
        <v>0</v>
      </c>
      <c r="BK120" s="9">
        <f t="shared" si="21"/>
        <v>0</v>
      </c>
      <c r="BL120" s="9">
        <f t="shared" si="21"/>
        <v>791673</v>
      </c>
      <c r="BM120" s="9">
        <f t="shared" si="21"/>
        <v>0</v>
      </c>
      <c r="BN120" s="9">
        <f t="shared" si="21"/>
        <v>24659</v>
      </c>
      <c r="BO120" s="9">
        <f t="shared" si="21"/>
        <v>0</v>
      </c>
      <c r="BP120" s="9">
        <f t="shared" si="21"/>
        <v>4545086</v>
      </c>
      <c r="BQ120" s="9">
        <f t="shared" si="21"/>
        <v>0</v>
      </c>
      <c r="BR120" s="9">
        <f t="shared" si="21"/>
        <v>5336759</v>
      </c>
      <c r="BS120" s="9">
        <f t="shared" si="21"/>
        <v>0</v>
      </c>
      <c r="BT120" s="9">
        <f t="shared" si="21"/>
        <v>-24659</v>
      </c>
      <c r="BU120" s="9"/>
    </row>
    <row r="121" spans="1:73" s="21" customFormat="1">
      <c r="B121" s="236"/>
      <c r="J121" s="8"/>
      <c r="L121" s="143"/>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6"/>
      <c r="AS121" s="9"/>
      <c r="AT121" s="9"/>
      <c r="AU121" s="9"/>
      <c r="AV121" s="9"/>
      <c r="AW121" s="9"/>
      <c r="AX121" s="9"/>
      <c r="AY121" s="9"/>
      <c r="AZ121" s="9"/>
      <c r="BA121" s="9"/>
      <c r="BB121" s="9"/>
      <c r="BC121" s="9"/>
      <c r="BD121" s="9"/>
      <c r="BE121" s="9"/>
      <c r="BF121" s="9"/>
      <c r="BG121" s="9"/>
      <c r="BH121" s="9"/>
      <c r="BI121" s="9"/>
      <c r="BJ121" s="9"/>
      <c r="BK121" s="9"/>
      <c r="BL121" s="9"/>
      <c r="BM121" s="9"/>
      <c r="BN121" s="9"/>
      <c r="BO121" s="9">
        <f>SUM(BO119:BO120)</f>
        <v>0</v>
      </c>
      <c r="BP121" s="9"/>
      <c r="BQ121" s="9">
        <f>SUM(BQ119:BQ120)</f>
        <v>0</v>
      </c>
      <c r="BR121" s="9"/>
      <c r="BS121" s="9">
        <f>SUM(BS119:BS120)</f>
        <v>0</v>
      </c>
      <c r="BT121" s="9"/>
      <c r="BU121" s="9"/>
    </row>
    <row r="122" spans="1:73" s="21" customFormat="1">
      <c r="B122" s="243" t="s">
        <v>381</v>
      </c>
      <c r="J122" s="8"/>
      <c r="L122" s="143"/>
      <c r="M122" s="9"/>
      <c r="N122" s="9"/>
      <c r="O122" s="9"/>
      <c r="P122" s="9"/>
      <c r="Q122" s="9"/>
      <c r="R122" s="9">
        <v>0</v>
      </c>
      <c r="S122" s="9"/>
      <c r="T122" s="9"/>
      <c r="U122" s="9"/>
      <c r="V122" s="9">
        <v>0</v>
      </c>
      <c r="W122" s="9"/>
      <c r="X122" s="9"/>
      <c r="Y122" s="9"/>
      <c r="Z122" s="9"/>
      <c r="AA122" s="9"/>
      <c r="AB122" s="9"/>
      <c r="AC122" s="9"/>
      <c r="AD122" s="9"/>
      <c r="AE122" s="9"/>
      <c r="AF122" s="9"/>
      <c r="AG122" s="9"/>
      <c r="AH122" s="9"/>
      <c r="AI122" s="9"/>
      <c r="AJ122" s="9"/>
      <c r="AK122" s="9"/>
      <c r="AL122" s="9"/>
      <c r="AM122" s="9"/>
      <c r="AN122" s="9"/>
      <c r="AO122" s="9"/>
      <c r="AP122" s="9">
        <f>9438462-865389</f>
        <v>8573073</v>
      </c>
      <c r="AQ122" s="9"/>
      <c r="AR122" s="6">
        <f>10717074-3623155+41531</f>
        <v>7135450</v>
      </c>
      <c r="AS122" s="9"/>
      <c r="AT122" s="9">
        <f>-8600128+744251</f>
        <v>-7855877</v>
      </c>
      <c r="AU122" s="9"/>
      <c r="AV122" s="9"/>
      <c r="AW122" s="9"/>
      <c r="AX122" s="9"/>
      <c r="AY122" s="9"/>
      <c r="AZ122" s="9"/>
      <c r="BA122" s="9"/>
      <c r="BB122" s="9"/>
      <c r="BC122" s="9"/>
      <c r="BD122" s="9"/>
      <c r="BE122" s="9"/>
      <c r="BF122" s="9"/>
      <c r="BG122" s="9"/>
      <c r="BH122" s="9"/>
      <c r="BI122" s="9"/>
      <c r="BJ122" s="9"/>
      <c r="BK122" s="9"/>
      <c r="BL122" s="6">
        <f>SUM(T122:BK122)</f>
        <v>7852646</v>
      </c>
      <c r="BM122" s="9"/>
      <c r="BN122" s="9">
        <v>0</v>
      </c>
      <c r="BO122" s="9">
        <f>SUM(BO120:BO121)</f>
        <v>0</v>
      </c>
      <c r="BP122" s="6">
        <f>-7852646</f>
        <v>-7852646</v>
      </c>
      <c r="BQ122" s="9">
        <f>SUM(BQ120:BQ121)</f>
        <v>0</v>
      </c>
      <c r="BR122" s="6">
        <f>+BL122+BP122</f>
        <v>0</v>
      </c>
      <c r="BS122" s="9">
        <f>SUM(BS120:BS121)</f>
        <v>0</v>
      </c>
      <c r="BT122" s="6">
        <f>+R122-BR122</f>
        <v>0</v>
      </c>
      <c r="BU122" s="9"/>
    </row>
    <row r="123" spans="1:73" s="21" customFormat="1">
      <c r="B123" s="249" t="s">
        <v>380</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105" customFormat="1">
      <c r="A124" s="244"/>
      <c r="B124" s="245" t="s">
        <v>245</v>
      </c>
      <c r="J124" s="158"/>
      <c r="L124" s="144"/>
      <c r="M124" s="13"/>
      <c r="N124" s="246">
        <f>SUM(N37:N123)</f>
        <v>0</v>
      </c>
      <c r="O124" s="13"/>
      <c r="P124" s="246">
        <f>SUM(P37:P123)</f>
        <v>0</v>
      </c>
      <c r="Q124" s="13"/>
      <c r="R124" s="246">
        <f t="shared" ref="R124:AD124" si="22">R120+R115+R81+R55+R122</f>
        <v>50944700</v>
      </c>
      <c r="S124" s="246">
        <f t="shared" si="22"/>
        <v>0</v>
      </c>
      <c r="T124" s="246">
        <f t="shared" si="22"/>
        <v>0</v>
      </c>
      <c r="U124" s="246">
        <f t="shared" si="22"/>
        <v>0</v>
      </c>
      <c r="V124" s="246">
        <f t="shared" si="22"/>
        <v>0</v>
      </c>
      <c r="W124" s="246">
        <f t="shared" si="22"/>
        <v>0</v>
      </c>
      <c r="X124" s="246">
        <f t="shared" si="22"/>
        <v>0</v>
      </c>
      <c r="Y124" s="246">
        <f t="shared" si="22"/>
        <v>0</v>
      </c>
      <c r="Z124" s="246">
        <f t="shared" si="22"/>
        <v>0</v>
      </c>
      <c r="AA124" s="246">
        <f t="shared" si="22"/>
        <v>0</v>
      </c>
      <c r="AB124" s="246">
        <f t="shared" si="22"/>
        <v>0</v>
      </c>
      <c r="AC124" s="246">
        <f t="shared" si="22"/>
        <v>0</v>
      </c>
      <c r="AD124" s="246">
        <f t="shared" si="22"/>
        <v>0</v>
      </c>
      <c r="AE124" s="246"/>
      <c r="AF124" s="246">
        <f>AF120+AF115+AF81+AF55+AF122</f>
        <v>0</v>
      </c>
      <c r="AG124" s="246"/>
      <c r="AH124" s="246">
        <f>AH120+AH115+AH81+AH55+AH122</f>
        <v>0</v>
      </c>
      <c r="AI124" s="246"/>
      <c r="AJ124" s="246">
        <f t="shared" ref="AJ124:AR124" si="23">AJ120+AJ115+AJ81+AJ55+AJ122</f>
        <v>0</v>
      </c>
      <c r="AK124" s="246">
        <f t="shared" si="23"/>
        <v>0</v>
      </c>
      <c r="AL124" s="246">
        <f t="shared" si="23"/>
        <v>0</v>
      </c>
      <c r="AM124" s="246">
        <f t="shared" si="23"/>
        <v>0</v>
      </c>
      <c r="AN124" s="246">
        <f t="shared" si="23"/>
        <v>0</v>
      </c>
      <c r="AO124" s="246">
        <f t="shared" si="23"/>
        <v>0</v>
      </c>
      <c r="AP124" s="246">
        <f t="shared" si="23"/>
        <v>9438462</v>
      </c>
      <c r="AQ124" s="246">
        <f t="shared" si="23"/>
        <v>0</v>
      </c>
      <c r="AR124" s="246">
        <f t="shared" si="23"/>
        <v>10717074</v>
      </c>
      <c r="AS124" s="246">
        <f t="shared" ref="AS124:BU124" si="24">AS120+AS115+AS81+AS55+AS122</f>
        <v>0</v>
      </c>
      <c r="AT124" s="246">
        <f t="shared" si="24"/>
        <v>744251</v>
      </c>
      <c r="AU124" s="246">
        <f t="shared" si="24"/>
        <v>0</v>
      </c>
      <c r="AV124" s="246">
        <f t="shared" si="24"/>
        <v>0</v>
      </c>
      <c r="AW124" s="246">
        <f t="shared" si="24"/>
        <v>0</v>
      </c>
      <c r="AX124" s="246">
        <f t="shared" si="24"/>
        <v>0</v>
      </c>
      <c r="AY124" s="246">
        <f t="shared" si="24"/>
        <v>0</v>
      </c>
      <c r="AZ124" s="246">
        <f t="shared" si="24"/>
        <v>0</v>
      </c>
      <c r="BA124" s="246">
        <f t="shared" si="24"/>
        <v>0</v>
      </c>
      <c r="BB124" s="246">
        <f t="shared" si="24"/>
        <v>0</v>
      </c>
      <c r="BC124" s="246">
        <f t="shared" si="24"/>
        <v>0</v>
      </c>
      <c r="BD124" s="246">
        <f t="shared" si="24"/>
        <v>0</v>
      </c>
      <c r="BE124" s="246">
        <f t="shared" si="24"/>
        <v>0</v>
      </c>
      <c r="BF124" s="246">
        <f t="shared" si="24"/>
        <v>0</v>
      </c>
      <c r="BG124" s="246">
        <f t="shared" si="24"/>
        <v>0</v>
      </c>
      <c r="BH124" s="246">
        <f t="shared" si="24"/>
        <v>0</v>
      </c>
      <c r="BI124" s="246">
        <f t="shared" si="24"/>
        <v>0</v>
      </c>
      <c r="BJ124" s="246">
        <f t="shared" si="24"/>
        <v>0</v>
      </c>
      <c r="BK124" s="246">
        <f t="shared" si="24"/>
        <v>0</v>
      </c>
      <c r="BL124" s="246">
        <f t="shared" si="24"/>
        <v>20899787</v>
      </c>
      <c r="BM124" s="246">
        <f t="shared" si="24"/>
        <v>0</v>
      </c>
      <c r="BN124" s="246">
        <f t="shared" si="24"/>
        <v>7960784</v>
      </c>
      <c r="BO124" s="246">
        <f t="shared" si="24"/>
        <v>0</v>
      </c>
      <c r="BP124" s="246">
        <f t="shared" si="24"/>
        <v>40456245</v>
      </c>
      <c r="BQ124" s="246">
        <f t="shared" si="24"/>
        <v>0</v>
      </c>
      <c r="BR124" s="246">
        <f t="shared" si="24"/>
        <v>61356032</v>
      </c>
      <c r="BS124" s="246">
        <f t="shared" si="24"/>
        <v>0</v>
      </c>
      <c r="BT124" s="246">
        <f t="shared" si="24"/>
        <v>-10411332</v>
      </c>
      <c r="BU124" s="246">
        <f t="shared" si="24"/>
        <v>0</v>
      </c>
    </row>
    <row r="125" spans="1:73">
      <c r="A125" s="57"/>
      <c r="B125" s="17"/>
      <c r="C125"/>
      <c r="D125"/>
      <c r="E125"/>
      <c r="F125"/>
      <c r="G125"/>
      <c r="H125"/>
      <c r="I125"/>
      <c r="J125" s="49"/>
      <c r="K125"/>
      <c r="L125" s="134"/>
      <c r="M125" s="6"/>
      <c r="O125" s="6"/>
      <c r="Q125" s="6"/>
      <c r="S125" s="6"/>
      <c r="T125" s="6"/>
      <c r="U125" s="6"/>
      <c r="V125" s="6"/>
      <c r="X125" s="6"/>
      <c r="Z125" s="6"/>
      <c r="AB125" s="6"/>
      <c r="AD125" s="6"/>
      <c r="AI125"/>
      <c r="BJ125" s="6"/>
      <c r="BK125" s="6"/>
      <c r="BM125" s="6"/>
      <c r="BN125" s="6"/>
      <c r="BO125" s="6"/>
      <c r="BU125" s="6"/>
    </row>
    <row r="126" spans="1:73">
      <c r="A126" s="56" t="s">
        <v>229</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7" t="s">
        <v>230</v>
      </c>
      <c r="C127"/>
      <c r="D127"/>
      <c r="E127"/>
      <c r="F127"/>
      <c r="G127"/>
      <c r="H127"/>
      <c r="I127"/>
      <c r="J127" s="49" t="s">
        <v>238</v>
      </c>
      <c r="K127"/>
      <c r="L127" s="134" t="s">
        <v>204</v>
      </c>
      <c r="M127" s="6"/>
      <c r="N127" s="6">
        <v>0</v>
      </c>
      <c r="O127" s="6"/>
      <c r="P127" s="6">
        <v>0</v>
      </c>
      <c r="Q127" s="6"/>
      <c r="R127" s="6">
        <v>935200</v>
      </c>
      <c r="S127" s="6"/>
      <c r="T127" s="6">
        <v>0</v>
      </c>
      <c r="U127" s="22"/>
      <c r="V127" s="6">
        <v>0</v>
      </c>
      <c r="W127" s="22"/>
      <c r="X127" s="6">
        <v>0</v>
      </c>
      <c r="Y127" s="22"/>
      <c r="Z127" s="6">
        <v>0</v>
      </c>
      <c r="AA127" s="22"/>
      <c r="AB127" s="6">
        <v>0</v>
      </c>
      <c r="AC127" s="22"/>
      <c r="AD127" s="6">
        <v>0</v>
      </c>
      <c r="AE127" s="22"/>
      <c r="AF127" s="6">
        <v>0</v>
      </c>
      <c r="AG127" s="22"/>
      <c r="AH127" s="6">
        <f>935200/12</f>
        <v>77933.333333333328</v>
      </c>
      <c r="AI127"/>
      <c r="AJ127" s="6">
        <v>77933.350000000006</v>
      </c>
      <c r="AL127" s="6">
        <v>77933</v>
      </c>
      <c r="AN127" s="6">
        <v>77933.33</v>
      </c>
      <c r="AO127" s="22"/>
      <c r="AP127" s="6">
        <v>82933.33</v>
      </c>
      <c r="AQ127" s="22"/>
      <c r="AR127" s="6">
        <v>77933.34</v>
      </c>
      <c r="AS127" s="22"/>
      <c r="AT127" s="6">
        <v>77933.33</v>
      </c>
      <c r="AV127" s="6">
        <v>0</v>
      </c>
      <c r="AX127" s="6">
        <v>0</v>
      </c>
      <c r="AZ127" s="6">
        <v>0</v>
      </c>
      <c r="BB127" s="6">
        <v>0</v>
      </c>
      <c r="BD127" s="6">
        <v>0</v>
      </c>
      <c r="BF127" s="6">
        <v>0</v>
      </c>
      <c r="BH127" s="6">
        <v>0</v>
      </c>
      <c r="BJ127" s="6">
        <v>0</v>
      </c>
      <c r="BK127" s="6"/>
      <c r="BL127" s="6">
        <f t="shared" ref="BL127:BL132" si="25">SUM(T127:BK127)</f>
        <v>550533.01333333331</v>
      </c>
      <c r="BM127" s="6"/>
      <c r="BN127" s="6">
        <v>5000</v>
      </c>
      <c r="BO127" s="6"/>
      <c r="BP127" s="6">
        <f t="shared" ref="BP127:BP133" si="26">IF(+R127-BL127+BN127&gt;0,R127-BL127+BN127,0)</f>
        <v>389666.98666666669</v>
      </c>
      <c r="BR127" s="6">
        <f t="shared" ref="BR127:BR132" si="27">+BL127+BP127</f>
        <v>940200</v>
      </c>
      <c r="BT127" s="6">
        <f t="shared" ref="BT127:BT132" si="28">+R127-BR127</f>
        <v>-5000</v>
      </c>
      <c r="BU127" s="6"/>
    </row>
    <row r="128" spans="1:73">
      <c r="A128" s="61"/>
      <c r="B128" s="17" t="s">
        <v>232</v>
      </c>
      <c r="C128"/>
      <c r="D128"/>
      <c r="E128"/>
      <c r="F128"/>
      <c r="G128"/>
      <c r="H128"/>
      <c r="I128"/>
      <c r="J128" s="49" t="s">
        <v>232</v>
      </c>
      <c r="K128"/>
      <c r="L128" s="134" t="s">
        <v>204</v>
      </c>
      <c r="M128" s="6"/>
      <c r="N128" s="6">
        <v>0</v>
      </c>
      <c r="O128" s="6"/>
      <c r="P128" s="6">
        <v>0</v>
      </c>
      <c r="Q128" s="6"/>
      <c r="R128" s="6">
        <v>2824800</v>
      </c>
      <c r="S128" s="6"/>
      <c r="T128" s="6">
        <v>0</v>
      </c>
      <c r="U128" s="22"/>
      <c r="V128" s="6">
        <v>0</v>
      </c>
      <c r="W128" s="22"/>
      <c r="X128" s="6">
        <v>0</v>
      </c>
      <c r="Y128" s="22"/>
      <c r="Z128" s="6">
        <v>0</v>
      </c>
      <c r="AA128" s="22"/>
      <c r="AB128" s="6">
        <v>0</v>
      </c>
      <c r="AC128" s="22"/>
      <c r="AD128" s="6">
        <v>0</v>
      </c>
      <c r="AE128" s="22"/>
      <c r="AF128" s="6">
        <v>0</v>
      </c>
      <c r="AG128" s="22"/>
      <c r="AH128" s="6">
        <f>2824800/12</f>
        <v>235400</v>
      </c>
      <c r="AI128"/>
      <c r="AJ128" s="6">
        <v>235400</v>
      </c>
      <c r="AL128" s="6">
        <v>235399</v>
      </c>
      <c r="AN128" s="6">
        <v>235399</v>
      </c>
      <c r="AO128" s="22"/>
      <c r="AP128" s="6">
        <v>235399</v>
      </c>
      <c r="AQ128" s="22"/>
      <c r="AR128" s="6">
        <v>235398</v>
      </c>
      <c r="AS128" s="22"/>
      <c r="AT128" s="6">
        <v>235399</v>
      </c>
      <c r="AV128" s="6">
        <v>0</v>
      </c>
      <c r="AX128" s="6">
        <v>0</v>
      </c>
      <c r="AZ128" s="6">
        <v>0</v>
      </c>
      <c r="BB128" s="6">
        <v>0</v>
      </c>
      <c r="BD128" s="6">
        <v>0</v>
      </c>
      <c r="BF128" s="6">
        <v>0</v>
      </c>
      <c r="BH128" s="6">
        <v>0</v>
      </c>
      <c r="BJ128" s="6">
        <v>0</v>
      </c>
      <c r="BK128" s="6"/>
      <c r="BL128" s="6">
        <f t="shared" si="25"/>
        <v>1647794</v>
      </c>
      <c r="BM128" s="6"/>
      <c r="BN128" s="6">
        <v>0</v>
      </c>
      <c r="BO128" s="6"/>
      <c r="BP128" s="6">
        <f t="shared" si="26"/>
        <v>1177006</v>
      </c>
      <c r="BR128" s="6">
        <f t="shared" si="27"/>
        <v>2824800</v>
      </c>
      <c r="BT128" s="6">
        <f t="shared" si="28"/>
        <v>0</v>
      </c>
      <c r="BU128" s="6"/>
    </row>
    <row r="129" spans="1:73">
      <c r="A129" s="61"/>
      <c r="B129" s="17" t="s">
        <v>233</v>
      </c>
      <c r="C129"/>
      <c r="D129"/>
      <c r="E129"/>
      <c r="F129"/>
      <c r="G129"/>
      <c r="H129"/>
      <c r="I129"/>
      <c r="J129" s="49" t="s">
        <v>238</v>
      </c>
      <c r="K129"/>
      <c r="L129" s="134" t="s">
        <v>204</v>
      </c>
      <c r="M129" s="6"/>
      <c r="N129" s="6">
        <v>0</v>
      </c>
      <c r="O129" s="6"/>
      <c r="P129" s="6">
        <v>0</v>
      </c>
      <c r="Q129" s="6"/>
      <c r="R129" s="6">
        <v>3066700</v>
      </c>
      <c r="S129" s="6"/>
      <c r="T129" s="6">
        <v>0</v>
      </c>
      <c r="U129" s="22"/>
      <c r="V129" s="6">
        <v>0</v>
      </c>
      <c r="W129" s="22"/>
      <c r="X129" s="6">
        <v>0</v>
      </c>
      <c r="Y129" s="22"/>
      <c r="Z129" s="6">
        <v>0</v>
      </c>
      <c r="AA129" s="22"/>
      <c r="AB129" s="6">
        <v>0</v>
      </c>
      <c r="AC129" s="22"/>
      <c r="AD129" s="6">
        <v>0</v>
      </c>
      <c r="AE129" s="22"/>
      <c r="AF129" s="6">
        <v>0</v>
      </c>
      <c r="AG129" s="22"/>
      <c r="AH129" s="6">
        <v>0</v>
      </c>
      <c r="AI129"/>
      <c r="AJ129" s="6">
        <v>0</v>
      </c>
      <c r="AL129" s="230">
        <v>0</v>
      </c>
      <c r="AN129" s="6">
        <v>0</v>
      </c>
      <c r="AO129" s="22"/>
      <c r="AP129" s="6">
        <v>0</v>
      </c>
      <c r="AQ129" s="22"/>
      <c r="AR129" s="6">
        <v>0</v>
      </c>
      <c r="AS129" s="22"/>
      <c r="AT129" s="6">
        <v>0</v>
      </c>
      <c r="AV129" s="6">
        <v>0</v>
      </c>
      <c r="AX129" s="6">
        <v>0</v>
      </c>
      <c r="AZ129" s="6">
        <v>0</v>
      </c>
      <c r="BB129" s="6">
        <v>0</v>
      </c>
      <c r="BD129" s="6">
        <v>0</v>
      </c>
      <c r="BF129" s="6">
        <v>0</v>
      </c>
      <c r="BH129" s="6">
        <v>0</v>
      </c>
      <c r="BJ129" s="6">
        <v>0</v>
      </c>
      <c r="BK129" s="6"/>
      <c r="BL129" s="6">
        <f t="shared" si="25"/>
        <v>0</v>
      </c>
      <c r="BM129" s="6"/>
      <c r="BN129" s="6">
        <v>0</v>
      </c>
      <c r="BO129" s="6"/>
      <c r="BP129" s="6">
        <f t="shared" si="26"/>
        <v>3066700</v>
      </c>
      <c r="BR129" s="6">
        <f t="shared" si="27"/>
        <v>3066700</v>
      </c>
      <c r="BT129" s="6">
        <f t="shared" si="28"/>
        <v>0</v>
      </c>
      <c r="BU129" s="6"/>
    </row>
    <row r="130" spans="1:73">
      <c r="A130" s="61"/>
      <c r="B130" s="17" t="s">
        <v>234</v>
      </c>
      <c r="C130"/>
      <c r="D130"/>
      <c r="E130"/>
      <c r="F130"/>
      <c r="G130"/>
      <c r="H130"/>
      <c r="I130"/>
      <c r="J130" s="49" t="s">
        <v>238</v>
      </c>
      <c r="K130"/>
      <c r="L130" s="134" t="s">
        <v>204</v>
      </c>
      <c r="M130" s="6"/>
      <c r="N130" s="12">
        <v>0</v>
      </c>
      <c r="O130" s="12"/>
      <c r="P130" s="12">
        <v>0</v>
      </c>
      <c r="Q130" s="12"/>
      <c r="R130" s="6">
        <f>+N130+P130</f>
        <v>0</v>
      </c>
      <c r="S130" s="12"/>
      <c r="T130" s="12">
        <v>0</v>
      </c>
      <c r="U130" s="80"/>
      <c r="V130" s="12">
        <v>0</v>
      </c>
      <c r="W130" s="80"/>
      <c r="X130" s="12">
        <v>0</v>
      </c>
      <c r="Y130" s="80"/>
      <c r="Z130" s="12">
        <v>0</v>
      </c>
      <c r="AA130" s="80"/>
      <c r="AB130" s="12">
        <v>0</v>
      </c>
      <c r="AC130" s="80"/>
      <c r="AD130" s="12">
        <v>0</v>
      </c>
      <c r="AE130" s="80"/>
      <c r="AF130" s="12">
        <v>0</v>
      </c>
      <c r="AG130" s="80"/>
      <c r="AH130" s="12">
        <v>0</v>
      </c>
      <c r="AI130"/>
      <c r="AJ130" s="12">
        <v>0</v>
      </c>
      <c r="AL130" s="12">
        <v>0</v>
      </c>
      <c r="AN130" s="12">
        <v>0</v>
      </c>
      <c r="AO130" s="80"/>
      <c r="AP130" s="12">
        <v>0</v>
      </c>
      <c r="AQ130" s="80"/>
      <c r="AR130" s="12">
        <v>0</v>
      </c>
      <c r="AS130" s="80"/>
      <c r="AT130" s="12">
        <v>0</v>
      </c>
      <c r="AU130" s="12"/>
      <c r="AV130" s="12">
        <v>0</v>
      </c>
      <c r="AW130" s="12"/>
      <c r="AX130" s="12">
        <v>0</v>
      </c>
      <c r="AY130" s="12"/>
      <c r="AZ130" s="12">
        <v>0</v>
      </c>
      <c r="BA130" s="12"/>
      <c r="BB130" s="12">
        <v>0</v>
      </c>
      <c r="BC130" s="12"/>
      <c r="BD130" s="12">
        <v>0</v>
      </c>
      <c r="BE130" s="12"/>
      <c r="BF130" s="12">
        <v>0</v>
      </c>
      <c r="BG130" s="12"/>
      <c r="BH130" s="12">
        <v>0</v>
      </c>
      <c r="BI130" s="12"/>
      <c r="BJ130" s="12">
        <v>0</v>
      </c>
      <c r="BK130" s="12"/>
      <c r="BL130" s="12">
        <f t="shared" si="25"/>
        <v>0</v>
      </c>
      <c r="BM130" s="6"/>
      <c r="BN130" s="12">
        <v>0</v>
      </c>
      <c r="BO130" s="6"/>
      <c r="BP130" s="6">
        <f t="shared" si="26"/>
        <v>0</v>
      </c>
      <c r="BQ130" s="12"/>
      <c r="BR130" s="6">
        <f t="shared" si="27"/>
        <v>0</v>
      </c>
      <c r="BS130" s="12"/>
      <c r="BT130" s="6">
        <f t="shared" si="28"/>
        <v>0</v>
      </c>
      <c r="BU130" s="12"/>
    </row>
    <row r="131" spans="1:73" s="11" customFormat="1">
      <c r="A131" s="17"/>
      <c r="B131" s="17" t="s">
        <v>235</v>
      </c>
      <c r="C131" s="30"/>
      <c r="D131" s="30"/>
      <c r="E131" s="30"/>
      <c r="F131" s="30"/>
      <c r="G131" s="30"/>
      <c r="H131" s="30"/>
      <c r="I131" s="30"/>
      <c r="J131" s="156" t="s">
        <v>238</v>
      </c>
      <c r="K131" s="30"/>
      <c r="L131" s="134" t="s">
        <v>204</v>
      </c>
      <c r="M131" s="12"/>
      <c r="N131" s="12">
        <v>0</v>
      </c>
      <c r="O131" s="12"/>
      <c r="P131" s="12">
        <v>0</v>
      </c>
      <c r="Q131" s="12"/>
      <c r="R131" s="6">
        <f>+N131+P131</f>
        <v>0</v>
      </c>
      <c r="S131" s="12"/>
      <c r="T131" s="12">
        <v>0</v>
      </c>
      <c r="U131" s="80"/>
      <c r="V131" s="12">
        <v>0</v>
      </c>
      <c r="W131" s="80"/>
      <c r="X131" s="12">
        <v>0</v>
      </c>
      <c r="Y131" s="80"/>
      <c r="Z131" s="12">
        <v>0</v>
      </c>
      <c r="AA131" s="80"/>
      <c r="AB131" s="12">
        <v>0</v>
      </c>
      <c r="AC131" s="80"/>
      <c r="AD131" s="12">
        <v>0</v>
      </c>
      <c r="AE131" s="80"/>
      <c r="AF131" s="12">
        <v>0</v>
      </c>
      <c r="AG131" s="80"/>
      <c r="AH131" s="12">
        <v>0</v>
      </c>
      <c r="AI131"/>
      <c r="AJ131" s="12">
        <v>0</v>
      </c>
      <c r="AK131"/>
      <c r="AL131" s="12">
        <v>0</v>
      </c>
      <c r="AM131"/>
      <c r="AN131" s="12">
        <v>0</v>
      </c>
      <c r="AO131" s="80"/>
      <c r="AP131" s="12">
        <v>0</v>
      </c>
      <c r="AQ131" s="80"/>
      <c r="AR131" s="12">
        <v>0</v>
      </c>
      <c r="AS131" s="80"/>
      <c r="AT131" s="12">
        <v>0</v>
      </c>
      <c r="AU131" s="12"/>
      <c r="AV131" s="12">
        <v>0</v>
      </c>
      <c r="AW131" s="12"/>
      <c r="AX131" s="12">
        <v>0</v>
      </c>
      <c r="AY131" s="12"/>
      <c r="AZ131" s="12">
        <v>0</v>
      </c>
      <c r="BA131" s="12"/>
      <c r="BB131" s="12">
        <v>0</v>
      </c>
      <c r="BC131" s="12"/>
      <c r="BD131" s="12">
        <v>0</v>
      </c>
      <c r="BE131" s="12"/>
      <c r="BF131" s="12">
        <v>0</v>
      </c>
      <c r="BG131" s="12"/>
      <c r="BH131" s="12">
        <v>0</v>
      </c>
      <c r="BI131" s="12"/>
      <c r="BJ131" s="12">
        <v>0</v>
      </c>
      <c r="BK131" s="12"/>
      <c r="BL131" s="12">
        <f t="shared" si="25"/>
        <v>0</v>
      </c>
      <c r="BM131" s="12"/>
      <c r="BN131" s="12">
        <v>0</v>
      </c>
      <c r="BO131" s="12"/>
      <c r="BP131" s="6">
        <f t="shared" si="26"/>
        <v>0</v>
      </c>
      <c r="BQ131" s="12"/>
      <c r="BR131" s="6">
        <f t="shared" si="27"/>
        <v>0</v>
      </c>
      <c r="BS131" s="12"/>
      <c r="BT131" s="6">
        <f t="shared" si="28"/>
        <v>0</v>
      </c>
      <c r="BU131" s="12"/>
    </row>
    <row r="132" spans="1:73">
      <c r="A132" s="61"/>
      <c r="B132" s="17" t="s">
        <v>122</v>
      </c>
      <c r="C132"/>
      <c r="D132"/>
      <c r="E132"/>
      <c r="F132"/>
      <c r="G132"/>
      <c r="H132"/>
      <c r="I132"/>
      <c r="J132" s="49"/>
      <c r="K132"/>
      <c r="L132" s="134" t="s">
        <v>204</v>
      </c>
      <c r="M132" s="6"/>
      <c r="N132" s="12">
        <v>0</v>
      </c>
      <c r="O132" s="12"/>
      <c r="P132" s="12">
        <v>0</v>
      </c>
      <c r="Q132" s="12"/>
      <c r="R132" s="6">
        <f>+N132+P132</f>
        <v>0</v>
      </c>
      <c r="S132" s="12"/>
      <c r="T132" s="12">
        <v>0</v>
      </c>
      <c r="U132" s="80"/>
      <c r="V132" s="12">
        <v>0</v>
      </c>
      <c r="W132" s="80"/>
      <c r="X132" s="12">
        <v>0</v>
      </c>
      <c r="Y132" s="80"/>
      <c r="Z132" s="12">
        <v>0</v>
      </c>
      <c r="AA132" s="80"/>
      <c r="AB132" s="12">
        <v>0</v>
      </c>
      <c r="AC132" s="80"/>
      <c r="AD132" s="12">
        <v>0</v>
      </c>
      <c r="AE132" s="80"/>
      <c r="AF132" s="12">
        <v>0</v>
      </c>
      <c r="AG132" s="80"/>
      <c r="AH132" s="12">
        <v>0</v>
      </c>
      <c r="AI132"/>
      <c r="AJ132" s="12">
        <v>0</v>
      </c>
      <c r="AL132" s="12">
        <v>0</v>
      </c>
      <c r="AN132" s="12">
        <v>0</v>
      </c>
      <c r="AO132" s="80"/>
      <c r="AP132" s="12">
        <v>0</v>
      </c>
      <c r="AQ132" s="80"/>
      <c r="AR132" s="12">
        <v>0</v>
      </c>
      <c r="AS132" s="80"/>
      <c r="AT132" s="12">
        <v>0</v>
      </c>
      <c r="AU132" s="12"/>
      <c r="AV132" s="12">
        <v>0</v>
      </c>
      <c r="AW132" s="12"/>
      <c r="AX132" s="12">
        <v>0</v>
      </c>
      <c r="AY132" s="12"/>
      <c r="AZ132" s="12">
        <v>0</v>
      </c>
      <c r="BA132" s="12"/>
      <c r="BB132" s="12">
        <v>0</v>
      </c>
      <c r="BC132" s="12"/>
      <c r="BD132" s="12">
        <v>0</v>
      </c>
      <c r="BE132" s="12"/>
      <c r="BF132" s="12">
        <v>0</v>
      </c>
      <c r="BG132" s="12"/>
      <c r="BH132" s="12">
        <v>0</v>
      </c>
      <c r="BI132" s="12"/>
      <c r="BJ132" s="12">
        <v>0</v>
      </c>
      <c r="BK132" s="12"/>
      <c r="BL132" s="12">
        <f t="shared" si="25"/>
        <v>0</v>
      </c>
      <c r="BM132" s="6"/>
      <c r="BN132" s="12">
        <v>0</v>
      </c>
      <c r="BO132" s="6"/>
      <c r="BP132" s="6">
        <f t="shared" si="26"/>
        <v>0</v>
      </c>
      <c r="BQ132" s="12"/>
      <c r="BR132" s="6">
        <f t="shared" si="27"/>
        <v>0</v>
      </c>
      <c r="BS132" s="12"/>
      <c r="BT132" s="6">
        <f t="shared" si="28"/>
        <v>0</v>
      </c>
      <c r="BU132" s="12"/>
    </row>
    <row r="133" spans="1:73">
      <c r="A133" s="61"/>
      <c r="B133" s="17"/>
      <c r="C133"/>
      <c r="D133"/>
      <c r="E133"/>
      <c r="F133"/>
      <c r="G133"/>
      <c r="H133"/>
      <c r="I133"/>
      <c r="J133" s="49"/>
      <c r="K133"/>
      <c r="L133" s="134"/>
      <c r="M133" s="6"/>
      <c r="N133" s="12"/>
      <c r="O133" s="12"/>
      <c r="P133" s="12"/>
      <c r="Q133" s="12"/>
      <c r="R133" s="12"/>
      <c r="S133" s="12"/>
      <c r="T133" s="12"/>
      <c r="U133" s="80"/>
      <c r="V133" s="12"/>
      <c r="W133" s="80"/>
      <c r="X133" s="12"/>
      <c r="Y133" s="80"/>
      <c r="Z133" s="12"/>
      <c r="AA133" s="80"/>
      <c r="AB133" s="12"/>
      <c r="AC133" s="80"/>
      <c r="AD133" s="12"/>
      <c r="AE133" s="80"/>
      <c r="AF133" s="12"/>
      <c r="AG133" s="80"/>
      <c r="AH133" s="12"/>
      <c r="AI133"/>
      <c r="AJ133" s="12"/>
      <c r="AL133" s="12"/>
      <c r="AN133" s="12"/>
      <c r="AO133" s="80"/>
      <c r="AP133" s="12"/>
      <c r="AQ133" s="80"/>
      <c r="AR133" s="12"/>
      <c r="AS133" s="80"/>
      <c r="AT133" s="12"/>
      <c r="AU133" s="12"/>
      <c r="AV133" s="12"/>
      <c r="AW133" s="12"/>
      <c r="AX133" s="12"/>
      <c r="AY133" s="12"/>
      <c r="AZ133" s="12"/>
      <c r="BA133" s="12"/>
      <c r="BB133" s="12"/>
      <c r="BC133" s="12"/>
      <c r="BD133" s="12"/>
      <c r="BE133" s="12"/>
      <c r="BF133" s="12"/>
      <c r="BG133" s="12"/>
      <c r="BH133" s="12"/>
      <c r="BI133" s="12"/>
      <c r="BJ133" s="12"/>
      <c r="BK133" s="12"/>
      <c r="BL133" s="12"/>
      <c r="BM133" s="6"/>
      <c r="BN133" s="12"/>
      <c r="BO133" s="6"/>
      <c r="BP133" s="6">
        <f t="shared" si="26"/>
        <v>0</v>
      </c>
      <c r="BQ133" s="12"/>
      <c r="BR133" s="12"/>
      <c r="BS133" s="12"/>
      <c r="BT133" s="12"/>
      <c r="BU133" s="12"/>
    </row>
    <row r="134" spans="1:73" s="114" customFormat="1">
      <c r="A134" s="112"/>
      <c r="B134" s="113" t="s">
        <v>246</v>
      </c>
      <c r="J134" s="157"/>
      <c r="L134" s="142"/>
      <c r="M134" s="115"/>
      <c r="N134" s="116">
        <f>SUM(N127:N133)</f>
        <v>0</v>
      </c>
      <c r="O134" s="115"/>
      <c r="P134" s="116">
        <f>SUM(P127:P133)</f>
        <v>0</v>
      </c>
      <c r="Q134" s="115"/>
      <c r="R134" s="116">
        <f>SUM(R127:R133)</f>
        <v>6826700</v>
      </c>
      <c r="S134" s="115"/>
      <c r="T134" s="116">
        <f>SUM(T127:T133)</f>
        <v>0</v>
      </c>
      <c r="U134" s="115"/>
      <c r="V134" s="116">
        <f>SUM(V127:V133)</f>
        <v>0</v>
      </c>
      <c r="W134" s="115"/>
      <c r="X134" s="116">
        <f>SUM(X127:X133)</f>
        <v>0</v>
      </c>
      <c r="Y134" s="115"/>
      <c r="Z134" s="116">
        <f>SUM(Z127:Z133)</f>
        <v>0</v>
      </c>
      <c r="AA134" s="115"/>
      <c r="AB134" s="116">
        <f>SUM(AB127:AB133)</f>
        <v>0</v>
      </c>
      <c r="AC134" s="115"/>
      <c r="AD134" s="116">
        <f>SUM(AD127:AD133)</f>
        <v>0</v>
      </c>
      <c r="AE134" s="115"/>
      <c r="AF134" s="116">
        <f>SUM(AF127:AF133)</f>
        <v>0</v>
      </c>
      <c r="AG134" s="115"/>
      <c r="AH134" s="116">
        <f>SUM(AH127:AH133)</f>
        <v>313333.33333333331</v>
      </c>
      <c r="AI134"/>
      <c r="AJ134" s="116">
        <f>SUM(AJ127:AJ133)</f>
        <v>313333.34999999998</v>
      </c>
      <c r="AK134"/>
      <c r="AL134" s="116">
        <f>SUM(AL127:AL133)</f>
        <v>313332</v>
      </c>
      <c r="AM134"/>
      <c r="AN134" s="116">
        <f>SUM(AN127:AN133)</f>
        <v>313332.33</v>
      </c>
      <c r="AO134" s="115"/>
      <c r="AP134" s="116">
        <f>SUM(AP127:AP133)</f>
        <v>318332.33</v>
      </c>
      <c r="AQ134" s="115"/>
      <c r="AR134" s="116">
        <f>SUM(AR127:AR133)</f>
        <v>313331.33999999997</v>
      </c>
      <c r="AS134" s="115"/>
      <c r="AT134" s="116">
        <f>SUM(AT127:AT133)</f>
        <v>313332.33</v>
      </c>
      <c r="AU134" s="117"/>
      <c r="AV134" s="116">
        <f>SUM(AV127:AV133)</f>
        <v>0</v>
      </c>
      <c r="AW134" s="117"/>
      <c r="AX134" s="116">
        <f>SUM(AX127:AX133)</f>
        <v>0</v>
      </c>
      <c r="AY134" s="117"/>
      <c r="AZ134" s="116">
        <f>SUM(AZ127:AZ133)</f>
        <v>0</v>
      </c>
      <c r="BA134" s="117"/>
      <c r="BB134" s="116">
        <f>SUM(BB127:BB133)</f>
        <v>0</v>
      </c>
      <c r="BC134" s="117"/>
      <c r="BD134" s="116">
        <f>SUM(BD127:BD133)</f>
        <v>0</v>
      </c>
      <c r="BE134" s="117"/>
      <c r="BF134" s="116">
        <f>SUM(BF127:BF133)</f>
        <v>0</v>
      </c>
      <c r="BG134" s="117"/>
      <c r="BH134" s="116">
        <f>SUM(BH127:BH133)</f>
        <v>0</v>
      </c>
      <c r="BI134" s="117"/>
      <c r="BJ134" s="116">
        <f>SUM(BJ127:BJ133)</f>
        <v>0</v>
      </c>
      <c r="BK134" s="115"/>
      <c r="BL134" s="116">
        <f>SUM(BL127:BL133)</f>
        <v>2198327.0133333332</v>
      </c>
      <c r="BM134" s="115"/>
      <c r="BN134" s="116">
        <f>SUM(BN127:BN133)</f>
        <v>5000</v>
      </c>
      <c r="BO134" s="115"/>
      <c r="BP134" s="116">
        <f>SUM(BP127:BP133)</f>
        <v>4633372.9866666663</v>
      </c>
      <c r="BQ134" s="115"/>
      <c r="BR134" s="116">
        <f>SUM(BR127:BR133)</f>
        <v>6831700</v>
      </c>
      <c r="BS134" s="115"/>
      <c r="BT134" s="116">
        <f>SUM(BT127:BT133)</f>
        <v>-5000</v>
      </c>
      <c r="BU134" s="117"/>
    </row>
    <row r="135" spans="1:73" customFormat="1"/>
    <row r="136" spans="1:73" s="15" customFormat="1">
      <c r="A136" s="62" t="s">
        <v>244</v>
      </c>
      <c r="B136" s="17"/>
      <c r="C136"/>
      <c r="D136"/>
      <c r="E136"/>
      <c r="F136"/>
      <c r="G136"/>
      <c r="H136"/>
      <c r="I136"/>
      <c r="J136" s="49"/>
      <c r="K136"/>
      <c r="L136" s="134" t="s">
        <v>204</v>
      </c>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c r="AJ136" s="22"/>
      <c r="AK136"/>
      <c r="AL136" s="22"/>
      <c r="AM136"/>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row>
    <row r="137" spans="1:73" s="15" customFormat="1">
      <c r="A137" s="62"/>
      <c r="B137" s="17" t="s">
        <v>257</v>
      </c>
      <c r="C137"/>
      <c r="D137"/>
      <c r="E137"/>
      <c r="F137"/>
      <c r="G137"/>
      <c r="H137"/>
      <c r="I137"/>
      <c r="J137" s="49" t="s">
        <v>0</v>
      </c>
      <c r="K137"/>
      <c r="L137" s="134" t="s">
        <v>204</v>
      </c>
      <c r="M137" s="22"/>
      <c r="N137" s="22">
        <v>0</v>
      </c>
      <c r="O137" s="22"/>
      <c r="P137" s="22">
        <v>0</v>
      </c>
      <c r="Q137" s="22"/>
      <c r="R137" s="6">
        <v>9479079</v>
      </c>
      <c r="S137" s="22"/>
      <c r="T137" s="22">
        <v>0</v>
      </c>
      <c r="U137" s="22"/>
      <c r="V137" s="22">
        <v>0</v>
      </c>
      <c r="W137" s="22"/>
      <c r="X137" s="22">
        <v>0</v>
      </c>
      <c r="Y137" s="22"/>
      <c r="Z137" s="22">
        <v>0</v>
      </c>
      <c r="AA137" s="22"/>
      <c r="AB137" s="22">
        <v>0</v>
      </c>
      <c r="AC137" s="22"/>
      <c r="AD137" s="22">
        <v>0</v>
      </c>
      <c r="AE137" s="22"/>
      <c r="AF137" s="22">
        <v>815280</v>
      </c>
      <c r="AG137" s="22"/>
      <c r="AH137" s="22">
        <v>2025875.7</v>
      </c>
      <c r="AI137"/>
      <c r="AJ137" s="22">
        <v>0</v>
      </c>
      <c r="AK137"/>
      <c r="AL137" s="22">
        <v>0</v>
      </c>
      <c r="AM137"/>
      <c r="AN137" s="22">
        <v>1894103.8</v>
      </c>
      <c r="AO137" s="22"/>
      <c r="AP137" s="22">
        <v>0</v>
      </c>
      <c r="AQ137" s="22"/>
      <c r="AR137" s="22">
        <v>0</v>
      </c>
      <c r="AS137" s="22"/>
      <c r="AT137" s="22">
        <v>0</v>
      </c>
      <c r="AU137" s="22"/>
      <c r="AV137" s="22">
        <v>0</v>
      </c>
      <c r="AW137" s="22"/>
      <c r="AX137" s="22">
        <v>0</v>
      </c>
      <c r="AY137" s="22"/>
      <c r="AZ137" s="22">
        <v>0</v>
      </c>
      <c r="BA137" s="22"/>
      <c r="BB137" s="22">
        <v>0</v>
      </c>
      <c r="BC137" s="22"/>
      <c r="BD137" s="22">
        <v>0</v>
      </c>
      <c r="BE137" s="22"/>
      <c r="BF137" s="22">
        <v>0</v>
      </c>
      <c r="BG137" s="22"/>
      <c r="BH137" s="22">
        <v>0</v>
      </c>
      <c r="BI137" s="22"/>
      <c r="BJ137" s="22">
        <v>0</v>
      </c>
      <c r="BK137" s="22"/>
      <c r="BL137" s="22">
        <f>SUM(T137:BK137)</f>
        <v>4735259.5</v>
      </c>
      <c r="BM137" s="22"/>
      <c r="BN137" s="22">
        <v>440</v>
      </c>
      <c r="BO137" s="22"/>
      <c r="BP137" s="6">
        <f t="shared" ref="BP137:BP142" si="29">IF(+R137-BL137+BN137&gt;0,R137-BL137+BN137,0)</f>
        <v>4744259.5</v>
      </c>
      <c r="BQ137" s="22"/>
      <c r="BR137" s="6">
        <f>+BL137+BP137</f>
        <v>9479519</v>
      </c>
      <c r="BS137" s="22"/>
      <c r="BT137" s="6">
        <f>+R137-BR137</f>
        <v>-440</v>
      </c>
      <c r="BU137" s="22"/>
    </row>
    <row r="138" spans="1:73" s="15" customFormat="1">
      <c r="A138" s="62"/>
      <c r="B138" s="17" t="s">
        <v>258</v>
      </c>
      <c r="C138"/>
      <c r="D138"/>
      <c r="E138"/>
      <c r="F138"/>
      <c r="G138"/>
      <c r="H138"/>
      <c r="I138"/>
      <c r="J138" s="49" t="s">
        <v>0</v>
      </c>
      <c r="K138"/>
      <c r="L138" s="134" t="s">
        <v>204</v>
      </c>
      <c r="M138" s="22"/>
      <c r="N138" s="22">
        <v>0</v>
      </c>
      <c r="O138" s="22"/>
      <c r="P138" s="22">
        <v>0</v>
      </c>
      <c r="Q138" s="22"/>
      <c r="R138" s="6">
        <v>0</v>
      </c>
      <c r="S138" s="22"/>
      <c r="T138" s="22">
        <v>0</v>
      </c>
      <c r="U138" s="22"/>
      <c r="V138" s="22">
        <v>0</v>
      </c>
      <c r="W138" s="22"/>
      <c r="X138" s="22">
        <v>0</v>
      </c>
      <c r="Y138" s="22"/>
      <c r="Z138" s="22">
        <v>0</v>
      </c>
      <c r="AA138" s="22"/>
      <c r="AB138" s="22">
        <v>0</v>
      </c>
      <c r="AC138" s="22"/>
      <c r="AD138" s="22">
        <v>0</v>
      </c>
      <c r="AE138" s="22"/>
      <c r="AF138" s="22">
        <v>0</v>
      </c>
      <c r="AG138" s="22"/>
      <c r="AH138" s="22">
        <v>0</v>
      </c>
      <c r="AI138"/>
      <c r="AJ138" s="22">
        <v>0</v>
      </c>
      <c r="AK138"/>
      <c r="AL138" s="22">
        <v>0</v>
      </c>
      <c r="AM138"/>
      <c r="AN138" s="22">
        <v>0</v>
      </c>
      <c r="AO138" s="22"/>
      <c r="AP138" s="22">
        <v>0</v>
      </c>
      <c r="AQ138" s="22"/>
      <c r="AR138" s="22">
        <v>0</v>
      </c>
      <c r="AS138" s="22"/>
      <c r="AT138" s="22">
        <v>0</v>
      </c>
      <c r="AU138" s="22"/>
      <c r="AV138" s="22">
        <v>0</v>
      </c>
      <c r="AW138" s="22"/>
      <c r="AX138" s="22">
        <v>0</v>
      </c>
      <c r="AY138" s="22"/>
      <c r="AZ138" s="22">
        <v>0</v>
      </c>
      <c r="BA138" s="22"/>
      <c r="BB138" s="22">
        <v>0</v>
      </c>
      <c r="BC138" s="22"/>
      <c r="BD138" s="22">
        <v>0</v>
      </c>
      <c r="BE138" s="22"/>
      <c r="BF138" s="22">
        <v>0</v>
      </c>
      <c r="BG138" s="22"/>
      <c r="BH138" s="22">
        <v>0</v>
      </c>
      <c r="BI138" s="22"/>
      <c r="BJ138" s="22">
        <v>0</v>
      </c>
      <c r="BK138" s="22"/>
      <c r="BL138" s="22">
        <f>SUM(T138:BK138)</f>
        <v>0</v>
      </c>
      <c r="BM138" s="22"/>
      <c r="BN138" s="22">
        <v>0</v>
      </c>
      <c r="BO138" s="22"/>
      <c r="BP138" s="6">
        <f t="shared" si="29"/>
        <v>0</v>
      </c>
      <c r="BQ138" s="22"/>
      <c r="BR138" s="6">
        <f>+BL138+BP138</f>
        <v>0</v>
      </c>
      <c r="BS138" s="22"/>
      <c r="BT138" s="6">
        <f>+R138-BR138</f>
        <v>0</v>
      </c>
      <c r="BU138" s="22"/>
    </row>
    <row r="139" spans="1:73" s="15" customFormat="1">
      <c r="A139" s="57"/>
      <c r="B139" s="17" t="s">
        <v>259</v>
      </c>
      <c r="C139"/>
      <c r="D139"/>
      <c r="E139"/>
      <c r="F139"/>
      <c r="G139"/>
      <c r="H139"/>
      <c r="I139"/>
      <c r="J139" s="49" t="s">
        <v>0</v>
      </c>
      <c r="K139"/>
      <c r="L139" s="134" t="s">
        <v>204</v>
      </c>
      <c r="M139" s="22"/>
      <c r="N139" s="22">
        <v>0</v>
      </c>
      <c r="O139" s="22"/>
      <c r="P139" s="22">
        <v>0</v>
      </c>
      <c r="Q139" s="22"/>
      <c r="R139" s="6">
        <v>0</v>
      </c>
      <c r="S139" s="22"/>
      <c r="T139" s="22">
        <v>0</v>
      </c>
      <c r="U139" s="22"/>
      <c r="V139" s="22">
        <v>0</v>
      </c>
      <c r="W139" s="22"/>
      <c r="X139" s="22">
        <v>0</v>
      </c>
      <c r="Y139" s="22"/>
      <c r="Z139" s="22">
        <v>0</v>
      </c>
      <c r="AA139" s="22"/>
      <c r="AB139" s="22">
        <v>0</v>
      </c>
      <c r="AC139" s="22"/>
      <c r="AD139" s="22">
        <v>0</v>
      </c>
      <c r="AE139" s="22"/>
      <c r="AF139" s="22">
        <v>0</v>
      </c>
      <c r="AG139" s="22"/>
      <c r="AH139" s="22">
        <v>0</v>
      </c>
      <c r="AI139"/>
      <c r="AJ139" s="22">
        <v>0</v>
      </c>
      <c r="AK139"/>
      <c r="AL139" s="22">
        <v>0</v>
      </c>
      <c r="AM139"/>
      <c r="AN139" s="22">
        <v>0</v>
      </c>
      <c r="AO139" s="22"/>
      <c r="AP139" s="22">
        <v>0</v>
      </c>
      <c r="AQ139" s="22"/>
      <c r="AR139" s="22">
        <v>0</v>
      </c>
      <c r="AS139" s="22"/>
      <c r="AT139" s="22">
        <v>0</v>
      </c>
      <c r="AU139" s="22"/>
      <c r="AV139" s="22">
        <v>0</v>
      </c>
      <c r="AW139" s="22"/>
      <c r="AX139" s="22">
        <v>0</v>
      </c>
      <c r="AY139" s="22"/>
      <c r="AZ139" s="22">
        <v>0</v>
      </c>
      <c r="BA139" s="22"/>
      <c r="BB139" s="22">
        <v>0</v>
      </c>
      <c r="BC139" s="22"/>
      <c r="BD139" s="22">
        <v>0</v>
      </c>
      <c r="BE139" s="22"/>
      <c r="BF139" s="22">
        <v>0</v>
      </c>
      <c r="BG139" s="22"/>
      <c r="BH139" s="22">
        <v>0</v>
      </c>
      <c r="BI139" s="22"/>
      <c r="BJ139" s="22">
        <v>0</v>
      </c>
      <c r="BK139" s="22"/>
      <c r="BL139" s="22">
        <f>SUM(T139:BK139)</f>
        <v>0</v>
      </c>
      <c r="BM139" s="22"/>
      <c r="BN139" s="22">
        <v>0</v>
      </c>
      <c r="BO139" s="22"/>
      <c r="BP139" s="6">
        <f t="shared" si="29"/>
        <v>0</v>
      </c>
      <c r="BQ139" s="22"/>
      <c r="BR139" s="6">
        <f>+BL139+BP139</f>
        <v>0</v>
      </c>
      <c r="BS139" s="22"/>
      <c r="BT139" s="6">
        <f>+R139-BR139</f>
        <v>0</v>
      </c>
      <c r="BU139" s="22"/>
    </row>
    <row r="140" spans="1:73" s="109" customFormat="1">
      <c r="A140" s="100"/>
      <c r="B140" s="17" t="s">
        <v>260</v>
      </c>
      <c r="C140" s="30"/>
      <c r="D140" s="30"/>
      <c r="E140" s="30"/>
      <c r="F140" s="30"/>
      <c r="G140" s="30"/>
      <c r="H140" s="30"/>
      <c r="I140" s="30"/>
      <c r="J140" s="49" t="s">
        <v>0</v>
      </c>
      <c r="K140" s="30"/>
      <c r="L140" s="134" t="s">
        <v>204</v>
      </c>
      <c r="M140" s="80"/>
      <c r="N140" s="80">
        <v>0</v>
      </c>
      <c r="O140" s="80"/>
      <c r="P140" s="80">
        <v>0</v>
      </c>
      <c r="Q140" s="80"/>
      <c r="R140" s="6">
        <v>0</v>
      </c>
      <c r="S140" s="80"/>
      <c r="T140" s="80">
        <v>0</v>
      </c>
      <c r="U140" s="80"/>
      <c r="V140" s="80">
        <v>0</v>
      </c>
      <c r="W140" s="80"/>
      <c r="X140" s="80">
        <v>0</v>
      </c>
      <c r="Y140" s="80"/>
      <c r="Z140" s="80">
        <v>0</v>
      </c>
      <c r="AA140" s="80"/>
      <c r="AB140" s="80">
        <v>0</v>
      </c>
      <c r="AC140" s="80"/>
      <c r="AD140" s="80">
        <v>0</v>
      </c>
      <c r="AE140" s="80"/>
      <c r="AF140" s="80">
        <v>0</v>
      </c>
      <c r="AG140" s="80"/>
      <c r="AH140" s="80">
        <v>0</v>
      </c>
      <c r="AI140"/>
      <c r="AJ140" s="80">
        <v>0</v>
      </c>
      <c r="AK140"/>
      <c r="AL140" s="80">
        <v>0</v>
      </c>
      <c r="AM140"/>
      <c r="AN140" s="80">
        <v>0</v>
      </c>
      <c r="AO140" s="80"/>
      <c r="AP140" s="80">
        <v>0</v>
      </c>
      <c r="AQ140" s="80"/>
      <c r="AR140" s="80">
        <v>0</v>
      </c>
      <c r="AS140" s="80"/>
      <c r="AT140" s="80">
        <v>0</v>
      </c>
      <c r="AU140" s="80"/>
      <c r="AV140" s="80">
        <v>0</v>
      </c>
      <c r="AW140" s="80"/>
      <c r="AX140" s="80">
        <v>0</v>
      </c>
      <c r="AY140" s="80"/>
      <c r="AZ140" s="80">
        <v>0</v>
      </c>
      <c r="BA140" s="80"/>
      <c r="BB140" s="80">
        <v>0</v>
      </c>
      <c r="BC140" s="80"/>
      <c r="BD140" s="80">
        <v>0</v>
      </c>
      <c r="BE140" s="80"/>
      <c r="BF140" s="80">
        <v>0</v>
      </c>
      <c r="BG140" s="80"/>
      <c r="BH140" s="80">
        <v>0</v>
      </c>
      <c r="BI140" s="80"/>
      <c r="BJ140" s="80">
        <v>0</v>
      </c>
      <c r="BK140" s="80"/>
      <c r="BL140" s="80">
        <f>SUM(T140:BK140)</f>
        <v>0</v>
      </c>
      <c r="BM140" s="80"/>
      <c r="BN140" s="80">
        <v>0</v>
      </c>
      <c r="BO140" s="80"/>
      <c r="BP140" s="6">
        <f t="shared" si="29"/>
        <v>0</v>
      </c>
      <c r="BQ140" s="80"/>
      <c r="BR140" s="6">
        <f>+BL140+BP140</f>
        <v>0</v>
      </c>
      <c r="BS140" s="80"/>
      <c r="BT140" s="6">
        <f>+R140-BR140</f>
        <v>0</v>
      </c>
      <c r="BU140" s="80"/>
    </row>
    <row r="141" spans="1:73" s="15" customFormat="1">
      <c r="A141" s="57"/>
      <c r="B141" s="17" t="s">
        <v>261</v>
      </c>
      <c r="C141"/>
      <c r="D141"/>
      <c r="E141"/>
      <c r="F141"/>
      <c r="G141"/>
      <c r="H141"/>
      <c r="I141"/>
      <c r="J141" s="49" t="s">
        <v>0</v>
      </c>
      <c r="K141"/>
      <c r="L141" s="134" t="s">
        <v>204</v>
      </c>
      <c r="M141" s="22"/>
      <c r="N141" s="80">
        <v>0</v>
      </c>
      <c r="O141" s="22"/>
      <c r="P141" s="80">
        <v>0</v>
      </c>
      <c r="Q141" s="22"/>
      <c r="R141" s="6">
        <v>0</v>
      </c>
      <c r="S141" s="22"/>
      <c r="T141" s="80">
        <v>0</v>
      </c>
      <c r="U141" s="80"/>
      <c r="V141" s="80">
        <v>0</v>
      </c>
      <c r="W141" s="80"/>
      <c r="X141" s="80">
        <v>0</v>
      </c>
      <c r="Y141" s="80"/>
      <c r="Z141" s="80">
        <v>0</v>
      </c>
      <c r="AA141" s="80"/>
      <c r="AB141" s="80">
        <v>0</v>
      </c>
      <c r="AC141" s="80"/>
      <c r="AD141" s="80">
        <v>0</v>
      </c>
      <c r="AE141" s="80"/>
      <c r="AF141" s="80">
        <v>0</v>
      </c>
      <c r="AG141" s="80"/>
      <c r="AH141" s="80">
        <v>0</v>
      </c>
      <c r="AI141"/>
      <c r="AJ141" s="80">
        <v>0</v>
      </c>
      <c r="AK141"/>
      <c r="AL141" s="80">
        <v>0</v>
      </c>
      <c r="AM141"/>
      <c r="AN141" s="80">
        <v>0</v>
      </c>
      <c r="AO141" s="80"/>
      <c r="AP141" s="80">
        <v>0</v>
      </c>
      <c r="AQ141" s="80"/>
      <c r="AR141" s="80">
        <v>0</v>
      </c>
      <c r="AS141" s="80"/>
      <c r="AT141" s="80">
        <v>0</v>
      </c>
      <c r="AU141" s="80"/>
      <c r="AV141" s="80">
        <v>0</v>
      </c>
      <c r="AW141" s="80"/>
      <c r="AX141" s="80">
        <v>0</v>
      </c>
      <c r="AY141" s="80"/>
      <c r="AZ141" s="80">
        <v>0</v>
      </c>
      <c r="BA141" s="80"/>
      <c r="BB141" s="80">
        <v>0</v>
      </c>
      <c r="BC141" s="80"/>
      <c r="BD141" s="80">
        <v>0</v>
      </c>
      <c r="BE141" s="80"/>
      <c r="BF141" s="80">
        <v>0</v>
      </c>
      <c r="BG141" s="80"/>
      <c r="BH141" s="80">
        <v>0</v>
      </c>
      <c r="BI141" s="80"/>
      <c r="BJ141" s="80">
        <v>0</v>
      </c>
      <c r="BK141" s="22"/>
      <c r="BL141" s="80">
        <f>SUM(T141:BK141)</f>
        <v>0</v>
      </c>
      <c r="BM141" s="22"/>
      <c r="BN141" s="80">
        <v>0</v>
      </c>
      <c r="BO141" s="22"/>
      <c r="BP141" s="6">
        <f t="shared" si="29"/>
        <v>0</v>
      </c>
      <c r="BQ141" s="22"/>
      <c r="BR141" s="6">
        <f>+BL141+BP141</f>
        <v>0</v>
      </c>
      <c r="BS141" s="22"/>
      <c r="BT141" s="6">
        <f>+R141-BR141</f>
        <v>0</v>
      </c>
      <c r="BU141" s="80"/>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c r="AJ142" s="80"/>
      <c r="AK142"/>
      <c r="AL142" s="80"/>
      <c r="AM142"/>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6">
        <f t="shared" si="29"/>
        <v>0</v>
      </c>
      <c r="BQ142" s="22"/>
      <c r="BR142" s="80"/>
      <c r="BS142" s="22"/>
      <c r="BT142" s="80"/>
      <c r="BU142" s="80"/>
    </row>
    <row r="143" spans="1:73" s="104" customFormat="1">
      <c r="A143" s="111"/>
      <c r="B143" s="77" t="s">
        <v>247</v>
      </c>
      <c r="C143" s="21"/>
      <c r="D143" s="21"/>
      <c r="E143" s="21"/>
      <c r="F143" s="21"/>
      <c r="G143" s="21"/>
      <c r="H143" s="21"/>
      <c r="I143" s="21"/>
      <c r="J143" s="8"/>
      <c r="K143" s="21"/>
      <c r="L143" s="143"/>
      <c r="M143" s="16"/>
      <c r="N143" s="108">
        <f>SUM(N137:N142)</f>
        <v>0</v>
      </c>
      <c r="O143" s="16"/>
      <c r="P143" s="108">
        <f>SUM(P137:P142)</f>
        <v>0</v>
      </c>
      <c r="Q143" s="16"/>
      <c r="R143" s="108">
        <f>SUM(R137:R142)</f>
        <v>9479079</v>
      </c>
      <c r="S143" s="16"/>
      <c r="T143" s="108">
        <f>SUM(T137:T142)</f>
        <v>0</v>
      </c>
      <c r="U143" s="16"/>
      <c r="V143" s="108">
        <f>SUM(V137:V142)</f>
        <v>0</v>
      </c>
      <c r="W143" s="16"/>
      <c r="X143" s="108">
        <f>SUM(X137:X142)</f>
        <v>0</v>
      </c>
      <c r="Y143" s="16"/>
      <c r="Z143" s="108">
        <f>SUM(Z137:Z142)</f>
        <v>0</v>
      </c>
      <c r="AA143" s="16"/>
      <c r="AB143" s="108">
        <f>SUM(AB137:AB142)</f>
        <v>0</v>
      </c>
      <c r="AC143" s="16"/>
      <c r="AD143" s="108">
        <f>SUM(AD137:AD142)</f>
        <v>0</v>
      </c>
      <c r="AE143" s="16"/>
      <c r="AF143" s="108">
        <f>SUM(AF137:AF142)</f>
        <v>815280</v>
      </c>
      <c r="AG143" s="16"/>
      <c r="AH143" s="108">
        <f>SUM(AH137:AH142)</f>
        <v>2025875.7</v>
      </c>
      <c r="AI143"/>
      <c r="AJ143" s="108">
        <f>SUM(AJ137:AJ142)</f>
        <v>0</v>
      </c>
      <c r="AK143"/>
      <c r="AL143" s="108">
        <f>SUM(AL137:AL142)</f>
        <v>0</v>
      </c>
      <c r="AM143"/>
      <c r="AN143" s="108">
        <f>SUM(AN137:AN142)</f>
        <v>1894103.8</v>
      </c>
      <c r="AO143" s="16"/>
      <c r="AP143" s="108">
        <f>SUM(AP137:AP142)</f>
        <v>0</v>
      </c>
      <c r="AQ143" s="16"/>
      <c r="AR143" s="108">
        <f>SUM(AR137:AR142)</f>
        <v>0</v>
      </c>
      <c r="AS143" s="16"/>
      <c r="AT143" s="108">
        <f>SUM(AT137:AT142)</f>
        <v>0</v>
      </c>
      <c r="AU143" s="103"/>
      <c r="AV143" s="108">
        <f>SUM(AV137:AV142)</f>
        <v>0</v>
      </c>
      <c r="AW143" s="103"/>
      <c r="AX143" s="108">
        <f>SUM(AX137:AX142)</f>
        <v>0</v>
      </c>
      <c r="AY143" s="103"/>
      <c r="AZ143" s="108">
        <f>SUM(AZ137:AZ142)</f>
        <v>0</v>
      </c>
      <c r="BA143" s="103"/>
      <c r="BB143" s="108">
        <f>SUM(BB137:BB142)</f>
        <v>0</v>
      </c>
      <c r="BC143" s="103"/>
      <c r="BD143" s="108">
        <f>SUM(BD137:BD142)</f>
        <v>0</v>
      </c>
      <c r="BE143" s="103"/>
      <c r="BF143" s="108">
        <f>SUM(BF137:BF142)</f>
        <v>0</v>
      </c>
      <c r="BG143" s="103"/>
      <c r="BH143" s="108">
        <f>SUM(BH137:BH142)</f>
        <v>0</v>
      </c>
      <c r="BI143" s="103"/>
      <c r="BJ143" s="108">
        <f>SUM(BJ137:BJ142)</f>
        <v>0</v>
      </c>
      <c r="BK143" s="16"/>
      <c r="BL143" s="108">
        <f>SUM(BL137:BL142)</f>
        <v>4735259.5</v>
      </c>
      <c r="BM143" s="16"/>
      <c r="BN143" s="108">
        <f>SUM(BN137:BN142)</f>
        <v>440</v>
      </c>
      <c r="BO143" s="16"/>
      <c r="BP143" s="108">
        <f>SUM(BP137:BP142)</f>
        <v>4744259.5</v>
      </c>
      <c r="BQ143" s="16"/>
      <c r="BR143" s="108">
        <f>SUM(BR137:BR142)</f>
        <v>9479519</v>
      </c>
      <c r="BS143" s="16"/>
      <c r="BT143" s="108">
        <f>SUM(BT137:BT142)</f>
        <v>-440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248</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c r="AJ145" s="13"/>
      <c r="AK145"/>
      <c r="AL145" s="13"/>
      <c r="AM145"/>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c r="AJ146" s="22"/>
      <c r="AK146"/>
      <c r="AL146" s="22"/>
      <c r="AM146"/>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s="15" customFormat="1">
      <c r="A147" s="14"/>
      <c r="B147" s="60"/>
      <c r="C147"/>
      <c r="D147"/>
      <c r="E147"/>
      <c r="F147"/>
      <c r="G147"/>
      <c r="H147"/>
      <c r="I147"/>
      <c r="J147" s="49"/>
      <c r="K147"/>
      <c r="L147" s="134"/>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c r="AJ147" s="22">
        <f>83584768.91+2296826</f>
        <v>85881594.909999996</v>
      </c>
      <c r="AK147"/>
      <c r="AL147" s="22"/>
      <c r="AM147"/>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row>
    <row r="148" spans="1:73">
      <c r="A148" s="56" t="s">
        <v>25</v>
      </c>
      <c r="B148" s="58"/>
      <c r="C148"/>
      <c r="D148"/>
      <c r="E148"/>
      <c r="F148"/>
      <c r="G148"/>
      <c r="H148"/>
      <c r="I148"/>
      <c r="J148" s="49"/>
      <c r="K148"/>
      <c r="L148" s="134"/>
      <c r="M148" s="22"/>
      <c r="O148" s="22"/>
      <c r="Q148" s="22"/>
      <c r="S148" s="22"/>
      <c r="T148" s="6"/>
      <c r="U148" s="6"/>
      <c r="V148" s="6"/>
      <c r="X148" s="6"/>
      <c r="Z148" s="6"/>
      <c r="AB148" s="6"/>
      <c r="AD148" s="6"/>
      <c r="AI148"/>
      <c r="BJ148" s="6"/>
      <c r="BK148" s="6"/>
      <c r="BM148" s="6"/>
      <c r="BN148" s="6"/>
      <c r="BO148" s="6"/>
      <c r="BQ148" s="22"/>
      <c r="BS148" s="22"/>
      <c r="BU148" s="6"/>
    </row>
    <row r="149" spans="1:73">
      <c r="A149" s="61"/>
      <c r="B149" s="17" t="s">
        <v>183</v>
      </c>
      <c r="E149" s="4"/>
      <c r="G149" s="4"/>
      <c r="I149" s="4"/>
      <c r="J149" s="5" t="s">
        <v>0</v>
      </c>
      <c r="L149" s="134" t="s">
        <v>204</v>
      </c>
      <c r="M149" s="22"/>
      <c r="N149" s="6">
        <v>0</v>
      </c>
      <c r="O149" s="22"/>
      <c r="P149" s="6">
        <v>0</v>
      </c>
      <c r="Q149" s="22"/>
      <c r="R149" s="6">
        <v>908786</v>
      </c>
      <c r="S149" s="22"/>
      <c r="T149" s="6">
        <v>0</v>
      </c>
      <c r="U149" s="6"/>
      <c r="V149" s="6">
        <v>0</v>
      </c>
      <c r="X149" s="6">
        <v>0</v>
      </c>
      <c r="Z149" s="6">
        <v>0</v>
      </c>
      <c r="AB149" s="6">
        <v>0</v>
      </c>
      <c r="AD149" s="6">
        <v>0</v>
      </c>
      <c r="AF149" s="6">
        <v>0</v>
      </c>
      <c r="AH149" s="6">
        <v>0</v>
      </c>
      <c r="AI149"/>
      <c r="AJ149" s="6">
        <v>0</v>
      </c>
      <c r="AL149" s="6">
        <v>0</v>
      </c>
      <c r="AN149" s="6">
        <v>0</v>
      </c>
      <c r="AP149" s="6">
        <v>0</v>
      </c>
      <c r="AR149" s="6">
        <v>0</v>
      </c>
      <c r="AT149" s="6">
        <v>0</v>
      </c>
      <c r="AV149" s="6">
        <v>0</v>
      </c>
      <c r="AX149" s="6">
        <v>0</v>
      </c>
      <c r="AZ149" s="6">
        <v>0</v>
      </c>
      <c r="BB149" s="6">
        <v>0</v>
      </c>
      <c r="BD149" s="6">
        <v>0</v>
      </c>
      <c r="BF149" s="6">
        <v>0</v>
      </c>
      <c r="BH149" s="6">
        <v>0</v>
      </c>
      <c r="BJ149" s="6">
        <v>0</v>
      </c>
      <c r="BK149" s="6"/>
      <c r="BL149" s="6">
        <f>SUM(T149:BK149)</f>
        <v>0</v>
      </c>
      <c r="BM149" s="6"/>
      <c r="BN149" s="6">
        <v>0</v>
      </c>
      <c r="BO149" s="6"/>
      <c r="BP149" s="6">
        <f>IF(+R149-BL149+BN149&gt;0,R149-BL149+BN149,0)</f>
        <v>908786</v>
      </c>
      <c r="BQ149" s="22"/>
      <c r="BR149" s="6">
        <f>+BL149+BP149</f>
        <v>908786</v>
      </c>
      <c r="BS149" s="22"/>
      <c r="BT149" s="6">
        <f>+R149-BR149</f>
        <v>0</v>
      </c>
      <c r="BU149" s="6"/>
    </row>
    <row r="150" spans="1:73" hidden="1">
      <c r="A150" s="61"/>
      <c r="B150" s="17" t="s">
        <v>40</v>
      </c>
      <c r="E150" s="4"/>
      <c r="G150" s="4"/>
      <c r="I150" s="4"/>
      <c r="L150" s="134" t="s">
        <v>204</v>
      </c>
      <c r="M150" s="22"/>
      <c r="N150" s="6">
        <v>0</v>
      </c>
      <c r="O150" s="22"/>
      <c r="P150" s="6">
        <v>0</v>
      </c>
      <c r="Q150" s="22"/>
      <c r="R150" s="6">
        <f>+N150+P150</f>
        <v>0</v>
      </c>
      <c r="S150" s="22"/>
      <c r="T150" s="6">
        <v>0</v>
      </c>
      <c r="U150" s="6"/>
      <c r="V150" s="6">
        <v>0</v>
      </c>
      <c r="X150" s="6">
        <v>0</v>
      </c>
      <c r="Z150" s="6">
        <v>0</v>
      </c>
      <c r="AB150" s="6">
        <v>0</v>
      </c>
      <c r="AD150" s="6">
        <v>0</v>
      </c>
      <c r="AF150" s="6">
        <v>0</v>
      </c>
      <c r="AH150" s="6">
        <v>0</v>
      </c>
      <c r="AI150"/>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0</v>
      </c>
      <c r="BQ150" s="22"/>
      <c r="BR150" s="6">
        <f>+BL150+BP150</f>
        <v>0</v>
      </c>
      <c r="BS150" s="22"/>
      <c r="BT150" s="6">
        <f>+R150-BR150</f>
        <v>0</v>
      </c>
      <c r="BU150" s="6"/>
    </row>
    <row r="151" spans="1:73" hidden="1">
      <c r="A151" s="61"/>
      <c r="B151" s="17" t="s">
        <v>122</v>
      </c>
      <c r="E151" s="4"/>
      <c r="G151" s="4"/>
      <c r="I151" s="4"/>
      <c r="L151" s="134" t="s">
        <v>204</v>
      </c>
      <c r="M151" s="22"/>
      <c r="N151" s="6">
        <v>0</v>
      </c>
      <c r="O151" s="22"/>
      <c r="P151" s="6">
        <v>0</v>
      </c>
      <c r="Q151" s="22"/>
      <c r="R151" s="6">
        <v>0</v>
      </c>
      <c r="S151" s="22"/>
      <c r="T151" s="6">
        <v>0</v>
      </c>
      <c r="U151" s="6"/>
      <c r="V151" s="6">
        <v>0</v>
      </c>
      <c r="X151" s="6">
        <v>0</v>
      </c>
      <c r="Z151" s="6">
        <v>0</v>
      </c>
      <c r="AB151" s="6">
        <v>0</v>
      </c>
      <c r="AD151" s="6">
        <v>0</v>
      </c>
      <c r="AF151" s="6">
        <v>0</v>
      </c>
      <c r="AH151" s="6">
        <v>0</v>
      </c>
      <c r="AI151"/>
      <c r="AJ151" s="6">
        <v>0</v>
      </c>
      <c r="AL151" s="6">
        <v>0</v>
      </c>
      <c r="AN151" s="6">
        <v>0</v>
      </c>
      <c r="AP151" s="6">
        <v>0</v>
      </c>
      <c r="AR151" s="6">
        <v>0</v>
      </c>
      <c r="AT151" s="6">
        <v>0</v>
      </c>
      <c r="AV151" s="6">
        <v>0</v>
      </c>
      <c r="AX151" s="6">
        <v>0</v>
      </c>
      <c r="AZ151" s="6">
        <v>0</v>
      </c>
      <c r="BB151" s="6">
        <v>0</v>
      </c>
      <c r="BD151" s="6">
        <v>0</v>
      </c>
      <c r="BF151" s="6">
        <v>0</v>
      </c>
      <c r="BH151" s="6">
        <v>0</v>
      </c>
      <c r="BJ151" s="6">
        <v>0</v>
      </c>
      <c r="BK151" s="6"/>
      <c r="BL151" s="6">
        <f>SUM(T151:BK151)</f>
        <v>0</v>
      </c>
      <c r="BM151" s="6"/>
      <c r="BN151" s="6">
        <v>0</v>
      </c>
      <c r="BO151" s="6"/>
      <c r="BP151" s="6">
        <f>+R151-BL151+BN151</f>
        <v>0</v>
      </c>
      <c r="BQ151" s="22"/>
      <c r="BR151" s="6">
        <f>+BL151+BP151</f>
        <v>0</v>
      </c>
      <c r="BS151" s="22"/>
      <c r="BT151" s="6">
        <f>+R151-BR151</f>
        <v>0</v>
      </c>
      <c r="BU151" s="6"/>
    </row>
    <row r="152" spans="1:73" s="21" customFormat="1">
      <c r="A152" s="56"/>
      <c r="B152" s="58" t="s">
        <v>249</v>
      </c>
      <c r="J152" s="8"/>
      <c r="L152" s="143"/>
      <c r="M152" s="16"/>
      <c r="N152" s="102">
        <f>SUM(N149:N151)</f>
        <v>0</v>
      </c>
      <c r="O152" s="16"/>
      <c r="P152" s="102">
        <f>SUM(P149:P151)</f>
        <v>0</v>
      </c>
      <c r="Q152" s="16"/>
      <c r="R152" s="102">
        <f>SUM(R149:R151)</f>
        <v>908786</v>
      </c>
      <c r="S152" s="16"/>
      <c r="T152" s="102">
        <f>SUM(T149:T151)</f>
        <v>0</v>
      </c>
      <c r="U152" s="9"/>
      <c r="V152" s="102">
        <f>SUM(V149:V151)</f>
        <v>0</v>
      </c>
      <c r="W152" s="9"/>
      <c r="X152" s="102">
        <f>SUM(X149:X151)</f>
        <v>0</v>
      </c>
      <c r="Y152" s="9"/>
      <c r="Z152" s="102">
        <f>SUM(Z149:Z151)</f>
        <v>0</v>
      </c>
      <c r="AA152" s="9"/>
      <c r="AB152" s="102">
        <f>SUM(AB149:AB151)</f>
        <v>0</v>
      </c>
      <c r="AC152" s="9"/>
      <c r="AD152" s="102">
        <f>SUM(AD149:AD151)</f>
        <v>0</v>
      </c>
      <c r="AE152" s="9"/>
      <c r="AF152" s="102">
        <f>SUM(AF149:AF151)</f>
        <v>0</v>
      </c>
      <c r="AG152" s="9"/>
      <c r="AH152" s="102">
        <f>SUM(AH149:AH151)</f>
        <v>0</v>
      </c>
      <c r="AI152"/>
      <c r="AJ152" s="102">
        <f>SUM(AJ149:AJ151)</f>
        <v>0</v>
      </c>
      <c r="AK152"/>
      <c r="AL152" s="102">
        <f>SUM(AL149:AL151)</f>
        <v>0</v>
      </c>
      <c r="AM152"/>
      <c r="AN152" s="102">
        <f>SUM(AN149:AN151)</f>
        <v>0</v>
      </c>
      <c r="AO152" s="9"/>
      <c r="AP152" s="102">
        <f>SUM(AP149:AP151)</f>
        <v>0</v>
      </c>
      <c r="AQ152" s="9"/>
      <c r="AR152" s="102">
        <f>SUM(AR149:AR151)</f>
        <v>0</v>
      </c>
      <c r="AS152" s="9"/>
      <c r="AT152" s="102">
        <f>SUM(AT149:AT151)</f>
        <v>0</v>
      </c>
      <c r="AU152" s="10"/>
      <c r="AV152" s="102">
        <f>SUM(AV149:AV151)</f>
        <v>0</v>
      </c>
      <c r="AW152" s="10"/>
      <c r="AX152" s="102">
        <f>SUM(AX149:AX151)</f>
        <v>0</v>
      </c>
      <c r="AY152" s="10"/>
      <c r="AZ152" s="102">
        <f>SUM(AZ149:AZ151)</f>
        <v>0</v>
      </c>
      <c r="BA152" s="10"/>
      <c r="BB152" s="102">
        <f>SUM(BB149:BB151)</f>
        <v>0</v>
      </c>
      <c r="BC152" s="10"/>
      <c r="BD152" s="102">
        <f>SUM(BD149:BD151)</f>
        <v>0</v>
      </c>
      <c r="BE152" s="10"/>
      <c r="BF152" s="102">
        <f>SUM(BF149:BF151)</f>
        <v>0</v>
      </c>
      <c r="BG152" s="10"/>
      <c r="BH152" s="102">
        <f>SUM(BH149:BH151)</f>
        <v>0</v>
      </c>
      <c r="BI152" s="10"/>
      <c r="BJ152" s="102">
        <f>SUM(BJ149:BJ151)</f>
        <v>0</v>
      </c>
      <c r="BK152" s="9"/>
      <c r="BL152" s="102">
        <f>SUM(BL149:BL151)</f>
        <v>0</v>
      </c>
      <c r="BM152" s="9"/>
      <c r="BN152" s="102">
        <f>SUM(BN149:BN151)</f>
        <v>0</v>
      </c>
      <c r="BO152" s="9"/>
      <c r="BP152" s="102">
        <f>SUM(BP149:BP151)</f>
        <v>908786</v>
      </c>
      <c r="BQ152" s="16"/>
      <c r="BR152" s="102">
        <f>SUM(BR149:BR151)</f>
        <v>908786</v>
      </c>
      <c r="BS152" s="16"/>
      <c r="BT152" s="102">
        <f>SUM(BT149:BT151)</f>
        <v>0</v>
      </c>
      <c r="BU152" s="9"/>
    </row>
    <row r="153" spans="1:73" s="21" customFormat="1">
      <c r="A153" s="56"/>
      <c r="B153" s="58"/>
      <c r="J153" s="8"/>
      <c r="L153" s="143"/>
      <c r="M153" s="16"/>
      <c r="N153" s="10"/>
      <c r="O153" s="16"/>
      <c r="P153" s="10"/>
      <c r="Q153" s="16"/>
      <c r="R153" s="10"/>
      <c r="S153" s="16"/>
      <c r="T153" s="10"/>
      <c r="U153" s="9"/>
      <c r="V153" s="10"/>
      <c r="W153" s="9"/>
      <c r="X153" s="10"/>
      <c r="Y153" s="9"/>
      <c r="Z153" s="10"/>
      <c r="AA153" s="9"/>
      <c r="AB153" s="10"/>
      <c r="AC153" s="9"/>
      <c r="AD153" s="10"/>
      <c r="AE153" s="9"/>
      <c r="AF153" s="10"/>
      <c r="AG153" s="9"/>
      <c r="AH153" s="10"/>
      <c r="AI153"/>
      <c r="AJ153" s="10"/>
      <c r="AK153"/>
      <c r="AL153" s="10"/>
      <c r="AM153"/>
      <c r="AN153" s="10"/>
      <c r="AO153" s="9"/>
      <c r="AP153" s="10"/>
      <c r="AQ153" s="9"/>
      <c r="AR153" s="10"/>
      <c r="AS153" s="9"/>
      <c r="AT153" s="10"/>
      <c r="AU153" s="10"/>
      <c r="AV153" s="10"/>
      <c r="AW153" s="10"/>
      <c r="AX153" s="10"/>
      <c r="AY153" s="10"/>
      <c r="AZ153" s="10"/>
      <c r="BA153" s="10"/>
      <c r="BB153" s="10"/>
      <c r="BC153" s="10"/>
      <c r="BD153" s="10"/>
      <c r="BE153" s="10"/>
      <c r="BF153" s="10"/>
      <c r="BG153" s="10"/>
      <c r="BH153" s="10"/>
      <c r="BI153" s="10"/>
      <c r="BJ153" s="10"/>
      <c r="BK153" s="9"/>
      <c r="BL153" s="10"/>
      <c r="BM153" s="9"/>
      <c r="BN153" s="10"/>
      <c r="BO153" s="9"/>
      <c r="BP153" s="10"/>
      <c r="BQ153" s="16"/>
      <c r="BR153" s="10"/>
      <c r="BS153" s="16"/>
      <c r="BT153" s="10"/>
      <c r="BU153" s="9"/>
    </row>
    <row r="154" spans="1:73" s="21" customFormat="1">
      <c r="A154" s="62" t="s">
        <v>121</v>
      </c>
      <c r="B154" s="58"/>
      <c r="J154" s="8" t="s">
        <v>0</v>
      </c>
      <c r="L154" s="143" t="s">
        <v>204</v>
      </c>
      <c r="M154" s="9"/>
      <c r="N154" s="9">
        <v>0</v>
      </c>
      <c r="O154" s="9"/>
      <c r="P154" s="9">
        <v>0</v>
      </c>
      <c r="Q154" s="9"/>
      <c r="R154" s="9">
        <v>0</v>
      </c>
      <c r="S154" s="9"/>
      <c r="T154" s="9">
        <v>0</v>
      </c>
      <c r="U154" s="9"/>
      <c r="V154" s="9">
        <v>0</v>
      </c>
      <c r="W154" s="9"/>
      <c r="X154" s="9">
        <v>0</v>
      </c>
      <c r="Y154" s="9"/>
      <c r="Z154" s="9">
        <v>0</v>
      </c>
      <c r="AA154" s="9"/>
      <c r="AB154" s="9">
        <v>0</v>
      </c>
      <c r="AC154" s="9"/>
      <c r="AD154" s="9">
        <v>0</v>
      </c>
      <c r="AE154" s="9"/>
      <c r="AF154" s="9">
        <v>0</v>
      </c>
      <c r="AG154" s="9"/>
      <c r="AH154" s="9">
        <v>0</v>
      </c>
      <c r="AI154"/>
      <c r="AJ154" s="9">
        <v>0</v>
      </c>
      <c r="AK154"/>
      <c r="AL154" s="9">
        <v>0</v>
      </c>
      <c r="AM154"/>
      <c r="AN154" s="9">
        <v>0</v>
      </c>
      <c r="AO154" s="9"/>
      <c r="AP154" s="9">
        <v>0</v>
      </c>
      <c r="AQ154" s="9"/>
      <c r="AR154" s="9">
        <v>0</v>
      </c>
      <c r="AS154" s="9"/>
      <c r="AT154" s="9">
        <v>0</v>
      </c>
      <c r="AU154" s="9"/>
      <c r="AV154" s="9">
        <v>0</v>
      </c>
      <c r="AW154" s="9"/>
      <c r="AX154" s="9">
        <v>0</v>
      </c>
      <c r="AY154" s="9"/>
      <c r="AZ154" s="9">
        <v>0</v>
      </c>
      <c r="BA154" s="9"/>
      <c r="BB154" s="9">
        <v>0</v>
      </c>
      <c r="BC154" s="9"/>
      <c r="BD154" s="9">
        <v>0</v>
      </c>
      <c r="BE154" s="9"/>
      <c r="BF154" s="9">
        <v>0</v>
      </c>
      <c r="BG154" s="9"/>
      <c r="BH154" s="9">
        <v>0</v>
      </c>
      <c r="BI154" s="9"/>
      <c r="BJ154" s="9">
        <v>0</v>
      </c>
      <c r="BK154" s="9"/>
      <c r="BL154" s="9">
        <f>SUM(T154:BK154)</f>
        <v>0</v>
      </c>
      <c r="BM154" s="9"/>
      <c r="BN154" s="9">
        <v>0</v>
      </c>
      <c r="BO154" s="9"/>
      <c r="BP154" s="6">
        <f>IF(+R154-BL154+BN154&gt;0,R154-BL154+BN154,0)</f>
        <v>0</v>
      </c>
      <c r="BQ154" s="9"/>
      <c r="BR154" s="9">
        <f>+BL154+BP154</f>
        <v>0</v>
      </c>
      <c r="BS154" s="9"/>
      <c r="BT154" s="9">
        <f>+R154-BR154</f>
        <v>0</v>
      </c>
      <c r="BU154" s="9"/>
    </row>
    <row r="155" spans="1:73" s="21" customFormat="1">
      <c r="A155" s="62"/>
      <c r="B155" s="58"/>
      <c r="J155" s="8"/>
      <c r="L155" s="143"/>
      <c r="M155" s="9"/>
      <c r="N155" s="9"/>
      <c r="O155" s="9"/>
      <c r="P155" s="9"/>
      <c r="Q155" s="9"/>
      <c r="R155" s="9"/>
      <c r="S155" s="9"/>
      <c r="T155" s="9"/>
      <c r="U155" s="9"/>
      <c r="V155" s="9"/>
      <c r="W155" s="9"/>
      <c r="X155" s="9"/>
      <c r="Y155" s="9"/>
      <c r="Z155" s="9"/>
      <c r="AA155" s="9"/>
      <c r="AB155" s="9"/>
      <c r="AC155" s="9"/>
      <c r="AD155" s="9"/>
      <c r="AE155" s="9"/>
      <c r="AF155" s="9"/>
      <c r="AG155" s="9"/>
      <c r="AH155" s="9"/>
      <c r="AI155"/>
      <c r="AJ155" s="9"/>
      <c r="AK155"/>
      <c r="AL155" s="9"/>
      <c r="AM155"/>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row>
    <row r="156" spans="1:73" s="21" customFormat="1">
      <c r="A156" s="56" t="s">
        <v>218</v>
      </c>
      <c r="B156" s="31"/>
      <c r="J156" s="8" t="s">
        <v>0</v>
      </c>
      <c r="L156" s="134" t="s">
        <v>204</v>
      </c>
      <c r="M156" s="9"/>
      <c r="N156" s="9">
        <v>400000</v>
      </c>
      <c r="O156" s="9"/>
      <c r="P156" s="9">
        <v>100000</v>
      </c>
      <c r="Q156" s="9"/>
      <c r="R156" s="9">
        <v>0</v>
      </c>
      <c r="S156" s="9"/>
      <c r="T156" s="9">
        <v>0</v>
      </c>
      <c r="U156" s="9"/>
      <c r="V156" s="9">
        <v>0</v>
      </c>
      <c r="W156" s="9"/>
      <c r="X156" s="9">
        <v>0</v>
      </c>
      <c r="Y156" s="9"/>
      <c r="Z156" s="9">
        <v>0</v>
      </c>
      <c r="AA156" s="9"/>
      <c r="AB156" s="9">
        <v>0</v>
      </c>
      <c r="AC156" s="9"/>
      <c r="AD156" s="9">
        <v>0</v>
      </c>
      <c r="AE156" s="9"/>
      <c r="AF156" s="9">
        <v>0</v>
      </c>
      <c r="AG156" s="9"/>
      <c r="AH156" s="9">
        <v>0</v>
      </c>
      <c r="AI156"/>
      <c r="AJ156" s="9">
        <v>0</v>
      </c>
      <c r="AK156"/>
      <c r="AL156" s="9">
        <v>0</v>
      </c>
      <c r="AM156"/>
      <c r="AN156" s="9">
        <v>0</v>
      </c>
      <c r="AO156" s="9"/>
      <c r="AP156" s="9">
        <v>0</v>
      </c>
      <c r="AQ156" s="9"/>
      <c r="AR156" s="9">
        <v>216381.67</v>
      </c>
      <c r="AS156" s="9"/>
      <c r="AT156" s="9">
        <v>2174.14</v>
      </c>
      <c r="AU156" s="9"/>
      <c r="AV156" s="9">
        <v>0</v>
      </c>
      <c r="AW156" s="9"/>
      <c r="AX156" s="9">
        <v>0</v>
      </c>
      <c r="AY156" s="9"/>
      <c r="AZ156" s="9">
        <v>0</v>
      </c>
      <c r="BA156" s="9"/>
      <c r="BB156" s="9">
        <v>0</v>
      </c>
      <c r="BC156" s="9"/>
      <c r="BD156" s="9">
        <v>0</v>
      </c>
      <c r="BE156" s="9"/>
      <c r="BF156" s="9">
        <v>0</v>
      </c>
      <c r="BG156" s="9"/>
      <c r="BH156" s="9">
        <v>0</v>
      </c>
      <c r="BI156" s="9"/>
      <c r="BJ156" s="9">
        <v>0</v>
      </c>
      <c r="BK156" s="9"/>
      <c r="BL156" s="9">
        <f>SUM(T156:BK156)</f>
        <v>218555.81000000003</v>
      </c>
      <c r="BM156" s="9"/>
      <c r="BN156" s="9">
        <v>0</v>
      </c>
      <c r="BO156" s="9"/>
      <c r="BP156" s="6">
        <f>IF(+R156-BL156+BN156&gt;0,R156-BL156+BN156,0)</f>
        <v>0</v>
      </c>
      <c r="BQ156" s="9"/>
      <c r="BR156" s="9">
        <f>+BL156+BP156</f>
        <v>218555.81000000003</v>
      </c>
      <c r="BS156" s="9"/>
      <c r="BT156" s="9">
        <f>+R156-BR156</f>
        <v>-218555.81000000003</v>
      </c>
      <c r="BU156" s="9"/>
    </row>
    <row r="157" spans="1:73" s="21" customFormat="1">
      <c r="A157" s="56"/>
      <c r="B157" s="31"/>
      <c r="J157" s="8"/>
      <c r="L157" s="134"/>
      <c r="M157" s="9"/>
      <c r="N157" s="9"/>
      <c r="O157" s="9"/>
      <c r="P157" s="9"/>
      <c r="Q157" s="9"/>
      <c r="R157" s="9"/>
      <c r="S157" s="9"/>
      <c r="T157" s="9"/>
      <c r="U157" s="9"/>
      <c r="V157" s="9"/>
      <c r="W157" s="9"/>
      <c r="X157" s="9"/>
      <c r="Y157" s="9"/>
      <c r="Z157" s="9"/>
      <c r="AA157" s="9"/>
      <c r="AB157" s="9"/>
      <c r="AC157" s="9"/>
      <c r="AD157" s="9"/>
      <c r="AE157" s="9"/>
      <c r="AF157" s="9"/>
      <c r="AG157" s="9"/>
      <c r="AH157" s="9"/>
      <c r="AI157"/>
      <c r="AJ157" s="9"/>
      <c r="AK157"/>
      <c r="AL157" s="9"/>
      <c r="AM157"/>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row>
    <row r="158" spans="1:73" s="31" customFormat="1">
      <c r="A158" s="58" t="s">
        <v>30</v>
      </c>
      <c r="J158" s="159" t="s">
        <v>0</v>
      </c>
      <c r="L158" s="145" t="s">
        <v>204</v>
      </c>
      <c r="M158" s="10"/>
      <c r="N158" s="10">
        <v>0</v>
      </c>
      <c r="O158" s="10"/>
      <c r="P158" s="10">
        <v>0</v>
      </c>
      <c r="Q158" s="10"/>
      <c r="R158" s="9">
        <v>500000</v>
      </c>
      <c r="S158" s="10"/>
      <c r="T158" s="10">
        <v>0</v>
      </c>
      <c r="U158" s="10"/>
      <c r="V158" s="10">
        <v>0</v>
      </c>
      <c r="W158" s="10"/>
      <c r="X158" s="10">
        <v>0</v>
      </c>
      <c r="Y158" s="10"/>
      <c r="Z158" s="10">
        <v>0</v>
      </c>
      <c r="AA158" s="10"/>
      <c r="AB158" s="10">
        <v>0</v>
      </c>
      <c r="AC158" s="10"/>
      <c r="AD158" s="10">
        <v>0</v>
      </c>
      <c r="AE158" s="10"/>
      <c r="AF158" s="10">
        <v>0</v>
      </c>
      <c r="AG158" s="10"/>
      <c r="AH158" s="10">
        <v>0</v>
      </c>
      <c r="AI158"/>
      <c r="AJ158" s="10">
        <v>0</v>
      </c>
      <c r="AK158"/>
      <c r="AL158" s="10">
        <v>0</v>
      </c>
      <c r="AM158"/>
      <c r="AN158" s="10">
        <v>0</v>
      </c>
      <c r="AO158" s="10"/>
      <c r="AP158" s="10">
        <v>0</v>
      </c>
      <c r="AQ158" s="10"/>
      <c r="AR158" s="10">
        <v>0</v>
      </c>
      <c r="AS158" s="10"/>
      <c r="AT158" s="10">
        <v>0</v>
      </c>
      <c r="AU158" s="10"/>
      <c r="AV158" s="10">
        <v>0</v>
      </c>
      <c r="AW158" s="10"/>
      <c r="AX158" s="10">
        <v>0</v>
      </c>
      <c r="AY158" s="10"/>
      <c r="AZ158" s="10">
        <v>0</v>
      </c>
      <c r="BA158" s="10"/>
      <c r="BB158" s="10">
        <v>0</v>
      </c>
      <c r="BC158" s="10"/>
      <c r="BD158" s="10">
        <v>0</v>
      </c>
      <c r="BE158" s="10"/>
      <c r="BF158" s="10">
        <v>0</v>
      </c>
      <c r="BG158" s="10"/>
      <c r="BH158" s="10">
        <v>0</v>
      </c>
      <c r="BI158" s="10"/>
      <c r="BJ158" s="10">
        <v>0</v>
      </c>
      <c r="BK158" s="10"/>
      <c r="BL158" s="10">
        <f>SUM(T158:BK158)</f>
        <v>0</v>
      </c>
      <c r="BM158" s="10"/>
      <c r="BN158" s="10">
        <v>0</v>
      </c>
      <c r="BO158" s="10"/>
      <c r="BP158" s="6">
        <f>IF(+R158-BL158+BN158&gt;0,R158-BL158+BN158,0)</f>
        <v>500000</v>
      </c>
      <c r="BQ158" s="10"/>
      <c r="BR158" s="9">
        <f>+BL158+BP158</f>
        <v>500000</v>
      </c>
      <c r="BS158" s="10"/>
      <c r="BT158" s="9">
        <f>+R158-BR158</f>
        <v>0</v>
      </c>
      <c r="BU158" s="10"/>
    </row>
    <row r="159" spans="1:73" s="21" customFormat="1">
      <c r="A159" s="56"/>
      <c r="B159" s="31"/>
      <c r="J159" s="8"/>
      <c r="L159" s="134"/>
      <c r="M159" s="9"/>
      <c r="N159" s="9"/>
      <c r="O159" s="9"/>
      <c r="P159" s="9"/>
      <c r="Q159" s="9"/>
      <c r="R159" s="9"/>
      <c r="S159" s="9"/>
      <c r="T159" s="9"/>
      <c r="U159" s="9"/>
      <c r="V159" s="9"/>
      <c r="W159" s="9"/>
      <c r="X159" s="9"/>
      <c r="Y159" s="9"/>
      <c r="Z159" s="9"/>
      <c r="AA159" s="9"/>
      <c r="AB159" s="9"/>
      <c r="AC159" s="9"/>
      <c r="AD159" s="9"/>
      <c r="AE159" s="9"/>
      <c r="AF159" s="9"/>
      <c r="AG159" s="9"/>
      <c r="AH159" s="9"/>
      <c r="AI159"/>
      <c r="AJ159" s="9"/>
      <c r="AK159"/>
      <c r="AL159" s="9"/>
      <c r="AM15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row>
    <row r="160" spans="1:73" s="21" customFormat="1">
      <c r="A160" s="56" t="s">
        <v>26</v>
      </c>
      <c r="B160" s="58"/>
      <c r="J160" s="8" t="s">
        <v>0</v>
      </c>
      <c r="L160" s="134" t="s">
        <v>204</v>
      </c>
      <c r="M160" s="16"/>
      <c r="N160" s="9">
        <v>0</v>
      </c>
      <c r="O160" s="16"/>
      <c r="P160" s="9">
        <v>0</v>
      </c>
      <c r="Q160" s="16"/>
      <c r="R160" s="9">
        <v>1253881</v>
      </c>
      <c r="S160" s="16"/>
      <c r="T160" s="9">
        <v>0</v>
      </c>
      <c r="U160" s="9"/>
      <c r="V160" s="9">
        <v>0</v>
      </c>
      <c r="W160" s="9"/>
      <c r="X160" s="9">
        <v>0</v>
      </c>
      <c r="Y160" s="9"/>
      <c r="Z160" s="9">
        <v>0</v>
      </c>
      <c r="AA160" s="9"/>
      <c r="AB160" s="9">
        <v>0</v>
      </c>
      <c r="AC160" s="9"/>
      <c r="AD160" s="9">
        <v>0</v>
      </c>
      <c r="AE160" s="9"/>
      <c r="AF160" s="9">
        <v>0</v>
      </c>
      <c r="AG160" s="9"/>
      <c r="AH160" s="9">
        <v>0</v>
      </c>
      <c r="AI160"/>
      <c r="AJ160" s="9">
        <v>0</v>
      </c>
      <c r="AK160"/>
      <c r="AL160" s="9">
        <v>0</v>
      </c>
      <c r="AM160"/>
      <c r="AN160" s="9">
        <v>0</v>
      </c>
      <c r="AO160" s="9"/>
      <c r="AP160" s="9">
        <v>0</v>
      </c>
      <c r="AQ160" s="9"/>
      <c r="AR160" s="9">
        <v>0</v>
      </c>
      <c r="AS160" s="9"/>
      <c r="AT160" s="9">
        <v>0</v>
      </c>
      <c r="AU160" s="9"/>
      <c r="AV160" s="9">
        <v>0</v>
      </c>
      <c r="AW160" s="9"/>
      <c r="AX160" s="9">
        <v>0</v>
      </c>
      <c r="AY160" s="9"/>
      <c r="AZ160" s="9">
        <v>0</v>
      </c>
      <c r="BA160" s="9"/>
      <c r="BB160" s="9">
        <v>0</v>
      </c>
      <c r="BC160" s="9"/>
      <c r="BD160" s="9">
        <v>0</v>
      </c>
      <c r="BE160" s="9"/>
      <c r="BF160" s="9">
        <v>0</v>
      </c>
      <c r="BG160" s="9"/>
      <c r="BH160" s="9">
        <v>0</v>
      </c>
      <c r="BI160" s="9"/>
      <c r="BJ160" s="9">
        <v>0</v>
      </c>
      <c r="BK160" s="9"/>
      <c r="BL160" s="9">
        <f>SUM(T160:BK160)</f>
        <v>0</v>
      </c>
      <c r="BM160" s="9"/>
      <c r="BN160" s="9">
        <v>0</v>
      </c>
      <c r="BO160" s="9"/>
      <c r="BP160" s="6">
        <f>IF(+R160-BL160+BN160&gt;0,R160-BL160+BN160,0)</f>
        <v>1253881</v>
      </c>
      <c r="BQ160" s="16"/>
      <c r="BR160" s="9">
        <f>+BL160+BP160</f>
        <v>1253881</v>
      </c>
      <c r="BS160" s="16"/>
      <c r="BT160" s="9">
        <f>+R160-BR160</f>
        <v>0</v>
      </c>
      <c r="BU160" s="9"/>
    </row>
    <row r="161" spans="1:73" s="21" customFormat="1">
      <c r="A161" s="56"/>
      <c r="B161" s="31"/>
      <c r="J161" s="8"/>
      <c r="L161" s="134"/>
      <c r="M161" s="9"/>
      <c r="N161" s="9"/>
      <c r="O161" s="9"/>
      <c r="P161" s="9"/>
      <c r="Q161" s="9"/>
      <c r="R161" s="9"/>
      <c r="S161" s="9"/>
      <c r="T161" s="9"/>
      <c r="U161" s="9"/>
      <c r="V161" s="9"/>
      <c r="W161" s="9"/>
      <c r="X161" s="9"/>
      <c r="Y161" s="9"/>
      <c r="Z161" s="9"/>
      <c r="AA161" s="9"/>
      <c r="AB161" s="9"/>
      <c r="AC161" s="9"/>
      <c r="AD161" s="9"/>
      <c r="AE161" s="9"/>
      <c r="AF161" s="9"/>
      <c r="AG161" s="9"/>
      <c r="AH161" s="9"/>
      <c r="AI161"/>
      <c r="AJ161" s="9"/>
      <c r="AK161"/>
      <c r="AL161" s="9"/>
      <c r="AM161"/>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row>
    <row r="162" spans="1:73">
      <c r="A162" s="56" t="s">
        <v>27</v>
      </c>
      <c r="B162" s="11"/>
      <c r="C162"/>
      <c r="D162"/>
      <c r="E162"/>
      <c r="F162"/>
      <c r="G162"/>
      <c r="H162"/>
      <c r="I162"/>
      <c r="J162" s="49"/>
      <c r="K162"/>
      <c r="L162" s="134"/>
      <c r="M162" s="6"/>
      <c r="O162" s="6"/>
      <c r="Q162" s="6"/>
      <c r="S162" s="6"/>
      <c r="T162" s="6"/>
      <c r="U162" s="6"/>
      <c r="V162" s="6"/>
      <c r="X162" s="6"/>
      <c r="Z162" s="6"/>
      <c r="AB162" s="6"/>
      <c r="AD162" s="6"/>
      <c r="AI162"/>
      <c r="BJ162" s="6"/>
      <c r="BK162" s="6"/>
      <c r="BM162" s="6"/>
      <c r="BN162" s="6"/>
      <c r="BO162" s="6"/>
      <c r="BU162" s="6"/>
    </row>
    <row r="163" spans="1:73">
      <c r="A163" s="61"/>
      <c r="B163" s="11" t="s">
        <v>209</v>
      </c>
      <c r="E163" s="4"/>
      <c r="G163" s="4"/>
      <c r="I163" s="4"/>
      <c r="J163" s="5" t="s">
        <v>0</v>
      </c>
      <c r="L163" s="134" t="s">
        <v>204</v>
      </c>
      <c r="M163" s="6"/>
      <c r="N163" s="6">
        <v>0</v>
      </c>
      <c r="O163" s="6"/>
      <c r="P163" s="6">
        <v>0</v>
      </c>
      <c r="Q163" s="6"/>
      <c r="R163" s="6">
        <v>28500</v>
      </c>
      <c r="S163" s="6"/>
      <c r="T163" s="6">
        <v>0</v>
      </c>
      <c r="U163" s="6"/>
      <c r="V163" s="6">
        <v>0</v>
      </c>
      <c r="X163" s="6">
        <v>0</v>
      </c>
      <c r="Z163" s="6">
        <v>20000</v>
      </c>
      <c r="AB163" s="6">
        <v>0</v>
      </c>
      <c r="AD163" s="6">
        <v>8500</v>
      </c>
      <c r="AF163" s="6">
        <v>0</v>
      </c>
      <c r="AH163" s="6">
        <v>0</v>
      </c>
      <c r="AI163"/>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28500</v>
      </c>
      <c r="BM163" s="6"/>
      <c r="BN163" s="6">
        <v>0</v>
      </c>
      <c r="BO163" s="6"/>
      <c r="BP163" s="6">
        <f>IF(+R163-BL163+BN163&gt;0,R163-BL163+BN163,0)</f>
        <v>0</v>
      </c>
      <c r="BR163" s="6">
        <f>+BL163+BP163</f>
        <v>28500</v>
      </c>
      <c r="BT163" s="6">
        <f>+R163-BR163</f>
        <v>0</v>
      </c>
      <c r="BU163" s="6"/>
    </row>
    <row r="164" spans="1:73">
      <c r="A164" s="61"/>
      <c r="B164" s="11" t="s">
        <v>210</v>
      </c>
      <c r="E164" s="4"/>
      <c r="G164" s="4"/>
      <c r="I164" s="4"/>
      <c r="J164" s="5" t="s">
        <v>0</v>
      </c>
      <c r="L164" s="134" t="s">
        <v>204</v>
      </c>
      <c r="M164" s="6"/>
      <c r="O164" s="6"/>
      <c r="Q164" s="6"/>
      <c r="R164" s="6">
        <v>0</v>
      </c>
      <c r="S164" s="6"/>
      <c r="T164" s="6">
        <v>0</v>
      </c>
      <c r="U164" s="6"/>
      <c r="V164" s="6">
        <v>0</v>
      </c>
      <c r="X164" s="6">
        <v>0</v>
      </c>
      <c r="Z164" s="6">
        <v>0</v>
      </c>
      <c r="AB164" s="6">
        <v>0</v>
      </c>
      <c r="AD164" s="6">
        <v>0</v>
      </c>
      <c r="AF164" s="6">
        <v>0</v>
      </c>
      <c r="AH164" s="6">
        <v>0</v>
      </c>
      <c r="AI164"/>
      <c r="AJ164" s="6">
        <v>0</v>
      </c>
      <c r="AL164" s="6">
        <v>0</v>
      </c>
      <c r="AN164" s="6">
        <v>0</v>
      </c>
      <c r="AP164" s="6">
        <v>0</v>
      </c>
      <c r="AR164" s="6">
        <v>0</v>
      </c>
      <c r="AT164" s="6">
        <v>0</v>
      </c>
      <c r="AV164" s="6">
        <v>0</v>
      </c>
      <c r="AX164" s="6">
        <v>0</v>
      </c>
      <c r="AZ164" s="6">
        <v>0</v>
      </c>
      <c r="BB164" s="6">
        <v>0</v>
      </c>
      <c r="BD164" s="6">
        <v>0</v>
      </c>
      <c r="BF164" s="6">
        <v>0</v>
      </c>
      <c r="BH164" s="6">
        <v>0</v>
      </c>
      <c r="BJ164" s="6">
        <v>0</v>
      </c>
      <c r="BK164" s="6"/>
      <c r="BL164" s="6">
        <f>SUM(T164:BK164)</f>
        <v>0</v>
      </c>
      <c r="BM164" s="6"/>
      <c r="BN164" s="6">
        <v>0</v>
      </c>
      <c r="BO164" s="6"/>
      <c r="BP164" s="6">
        <f>+R164-BL164+BN164</f>
        <v>0</v>
      </c>
      <c r="BR164" s="6">
        <f>+BL164+BP164</f>
        <v>0</v>
      </c>
      <c r="BT164" s="6">
        <f>+R164-BR164</f>
        <v>0</v>
      </c>
      <c r="BU164" s="6"/>
    </row>
    <row r="165" spans="1:73">
      <c r="A165" s="61"/>
      <c r="B165" s="11" t="s">
        <v>211</v>
      </c>
      <c r="E165" s="4"/>
      <c r="G165" s="4"/>
      <c r="I165" s="4"/>
      <c r="J165" s="5" t="s">
        <v>0</v>
      </c>
      <c r="L165" s="134" t="s">
        <v>204</v>
      </c>
      <c r="M165" s="6"/>
      <c r="O165" s="6"/>
      <c r="Q165" s="6"/>
      <c r="R165" s="6">
        <f>2280000-28500</f>
        <v>2251500</v>
      </c>
      <c r="S165" s="6"/>
      <c r="T165" s="6">
        <v>0</v>
      </c>
      <c r="U165" s="6"/>
      <c r="V165" s="6">
        <v>0</v>
      </c>
      <c r="X165" s="6">
        <v>0</v>
      </c>
      <c r="Z165" s="6">
        <v>0</v>
      </c>
      <c r="AB165" s="6">
        <v>1446361</v>
      </c>
      <c r="AD165" s="6">
        <v>0</v>
      </c>
      <c r="AF165" s="6">
        <v>0</v>
      </c>
      <c r="AH165" s="6">
        <v>821965.14</v>
      </c>
      <c r="AI165"/>
      <c r="AJ165" s="6">
        <v>0</v>
      </c>
      <c r="AL165" s="6">
        <v>0</v>
      </c>
      <c r="AN165" s="6">
        <v>1000</v>
      </c>
      <c r="AP165" s="6">
        <v>7992</v>
      </c>
      <c r="AR165" s="6">
        <v>0</v>
      </c>
      <c r="AT165" s="6">
        <v>180000</v>
      </c>
      <c r="AV165" s="6">
        <v>0</v>
      </c>
      <c r="AX165" s="6">
        <v>0</v>
      </c>
      <c r="AZ165" s="6">
        <v>0</v>
      </c>
      <c r="BB165" s="6">
        <v>0</v>
      </c>
      <c r="BD165" s="6">
        <v>0</v>
      </c>
      <c r="BF165" s="6">
        <v>0</v>
      </c>
      <c r="BH165" s="6">
        <v>0</v>
      </c>
      <c r="BJ165" s="6">
        <v>0</v>
      </c>
      <c r="BK165" s="6"/>
      <c r="BL165" s="6">
        <f>SUM(T165:BK165)</f>
        <v>2457318.14</v>
      </c>
      <c r="BM165" s="6"/>
      <c r="BN165" s="6">
        <v>25818</v>
      </c>
      <c r="BO165" s="6"/>
      <c r="BP165" s="6">
        <f>IF(+R165-BL165+BN165&gt;0,R165-BL165+BN165,0)</f>
        <v>0</v>
      </c>
      <c r="BR165" s="6">
        <f>+BL165+BP165</f>
        <v>2457318.14</v>
      </c>
      <c r="BT165" s="6">
        <f>+R165-BR165</f>
        <v>-205818.14000000013</v>
      </c>
      <c r="BU165" s="6"/>
    </row>
    <row r="166" spans="1:73">
      <c r="A166" s="61"/>
      <c r="B166" s="11" t="s">
        <v>212</v>
      </c>
      <c r="E166" s="4"/>
      <c r="G166" s="4"/>
      <c r="I166" s="4"/>
      <c r="J166" s="5" t="s">
        <v>0</v>
      </c>
      <c r="L166" s="134" t="s">
        <v>204</v>
      </c>
      <c r="M166" s="6"/>
      <c r="O166" s="6"/>
      <c r="Q166" s="6"/>
      <c r="R166" s="6">
        <v>0</v>
      </c>
      <c r="S166" s="6"/>
      <c r="T166" s="6"/>
      <c r="U166" s="6"/>
      <c r="V166" s="6"/>
      <c r="X166" s="6"/>
      <c r="Z166" s="6"/>
      <c r="AB166" s="6"/>
      <c r="AD166" s="6"/>
      <c r="AI166"/>
      <c r="BJ166" s="6"/>
      <c r="BK166" s="6"/>
      <c r="BM166" s="6"/>
      <c r="BN166" s="6"/>
      <c r="BO166" s="6"/>
      <c r="BP166" s="6">
        <f>+R166-BL166+BN166</f>
        <v>0</v>
      </c>
      <c r="BR166" s="6">
        <f>+BL166+BP166</f>
        <v>0</v>
      </c>
      <c r="BT166" s="6">
        <f>+R166-BR166</f>
        <v>0</v>
      </c>
      <c r="BU166" s="6"/>
    </row>
    <row r="167" spans="1:73" s="21" customFormat="1">
      <c r="A167" s="56"/>
      <c r="B167" s="31" t="s">
        <v>184</v>
      </c>
      <c r="J167" s="8"/>
      <c r="L167" s="143"/>
      <c r="M167" s="9"/>
      <c r="N167" s="102">
        <f>SUM(N163:N166)</f>
        <v>0</v>
      </c>
      <c r="O167" s="9"/>
      <c r="P167" s="102">
        <f>SUM(P163:P166)</f>
        <v>0</v>
      </c>
      <c r="Q167" s="9"/>
      <c r="R167" s="102">
        <f>SUM(R163:R166)</f>
        <v>2280000</v>
      </c>
      <c r="S167" s="9"/>
      <c r="T167" s="102">
        <f>SUM(T163:T166)</f>
        <v>0</v>
      </c>
      <c r="U167" s="9"/>
      <c r="V167" s="102">
        <f>SUM(V163:V166)</f>
        <v>0</v>
      </c>
      <c r="W167" s="9"/>
      <c r="X167" s="102">
        <f>SUM(X163:X166)</f>
        <v>0</v>
      </c>
      <c r="Y167" s="9"/>
      <c r="Z167" s="102">
        <f>SUM(Z163:Z166)</f>
        <v>20000</v>
      </c>
      <c r="AA167" s="9"/>
      <c r="AB167" s="102">
        <f>SUM(AB163:AB166)</f>
        <v>1446361</v>
      </c>
      <c r="AC167" s="9"/>
      <c r="AD167" s="102">
        <f>SUM(AD163:AD166)</f>
        <v>8500</v>
      </c>
      <c r="AE167" s="9"/>
      <c r="AF167" s="102">
        <f>SUM(AF163:AF166)</f>
        <v>0</v>
      </c>
      <c r="AG167" s="9"/>
      <c r="AH167" s="102">
        <f>SUM(AH163:AH166)</f>
        <v>821965.14</v>
      </c>
      <c r="AI167"/>
      <c r="AJ167" s="102">
        <f>SUM(AJ163:AJ166)</f>
        <v>0</v>
      </c>
      <c r="AK167"/>
      <c r="AL167" s="102">
        <f>SUM(AL163:AL166)</f>
        <v>0</v>
      </c>
      <c r="AM167"/>
      <c r="AN167" s="102">
        <f>SUM(AN163:AN166)</f>
        <v>1000</v>
      </c>
      <c r="AO167" s="9"/>
      <c r="AP167" s="102">
        <f>SUM(AP163:AP166)</f>
        <v>7992</v>
      </c>
      <c r="AQ167" s="9"/>
      <c r="AR167" s="102">
        <f>SUM(AR163:AR166)</f>
        <v>0</v>
      </c>
      <c r="AS167" s="9"/>
      <c r="AT167" s="102">
        <f>SUM(AT163:AT166)</f>
        <v>180000</v>
      </c>
      <c r="AU167" s="10"/>
      <c r="AV167" s="102">
        <f>SUM(AV163:AV166)</f>
        <v>0</v>
      </c>
      <c r="AW167" s="10"/>
      <c r="AX167" s="102">
        <f>SUM(AX163:AX166)</f>
        <v>0</v>
      </c>
      <c r="AY167" s="10"/>
      <c r="AZ167" s="102">
        <f>SUM(AZ163:AZ166)</f>
        <v>0</v>
      </c>
      <c r="BA167" s="10"/>
      <c r="BB167" s="102">
        <f>SUM(BB163:BB166)</f>
        <v>0</v>
      </c>
      <c r="BC167" s="10"/>
      <c r="BD167" s="102">
        <f>SUM(BD163:BD166)</f>
        <v>0</v>
      </c>
      <c r="BE167" s="10"/>
      <c r="BF167" s="102">
        <f>SUM(BF163:BF166)</f>
        <v>0</v>
      </c>
      <c r="BG167" s="10"/>
      <c r="BH167" s="102">
        <f>SUM(BH163:BH166)</f>
        <v>0</v>
      </c>
      <c r="BI167" s="10"/>
      <c r="BJ167" s="102">
        <f>SUM(BJ163:BJ166)</f>
        <v>0</v>
      </c>
      <c r="BK167" s="9"/>
      <c r="BL167" s="102">
        <f>SUM(BL163:BL166)</f>
        <v>2485818.14</v>
      </c>
      <c r="BM167" s="9"/>
      <c r="BN167" s="102">
        <f>SUM(BN163:BN166)</f>
        <v>25818</v>
      </c>
      <c r="BO167" s="9"/>
      <c r="BP167" s="102">
        <f>SUM(BP163:BP166)</f>
        <v>0</v>
      </c>
      <c r="BQ167" s="9"/>
      <c r="BR167" s="102">
        <f>SUM(BR163:BR166)</f>
        <v>2485818.14</v>
      </c>
      <c r="BS167" s="9"/>
      <c r="BT167" s="102">
        <f>SUM(BT163:BT166)</f>
        <v>-205818.14000000013</v>
      </c>
      <c r="BU167" s="9"/>
    </row>
    <row r="168" spans="1:73" s="21" customFormat="1">
      <c r="A168" s="56"/>
      <c r="B168" s="31"/>
      <c r="J168" s="8"/>
      <c r="L168" s="134"/>
      <c r="M168" s="9"/>
      <c r="N168" s="9"/>
      <c r="O168" s="9"/>
      <c r="P168" s="9"/>
      <c r="Q168" s="9"/>
      <c r="R168" s="9"/>
      <c r="S168" s="9"/>
      <c r="T168" s="9"/>
      <c r="U168" s="9"/>
      <c r="V168" s="9"/>
      <c r="W168" s="9"/>
      <c r="X168" s="9"/>
      <c r="Y168" s="9"/>
      <c r="Z168" s="9"/>
      <c r="AA168" s="9"/>
      <c r="AB168" s="9"/>
      <c r="AC168" s="9"/>
      <c r="AD168" s="9"/>
      <c r="AE168" s="9"/>
      <c r="AF168" s="9"/>
      <c r="AG168" s="9"/>
      <c r="AH168" s="9"/>
      <c r="AI168"/>
      <c r="AJ168" s="9"/>
      <c r="AK168"/>
      <c r="AL168" s="9"/>
      <c r="AM168"/>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row>
    <row r="169" spans="1:73">
      <c r="A169" s="56" t="s">
        <v>28</v>
      </c>
      <c r="B169" s="11"/>
      <c r="C169"/>
      <c r="D169"/>
      <c r="E169"/>
      <c r="F169"/>
      <c r="G169"/>
      <c r="H169"/>
      <c r="I169"/>
      <c r="J169" s="49"/>
      <c r="K169"/>
      <c r="L169" s="134"/>
      <c r="M169" s="6"/>
      <c r="O169" s="6"/>
      <c r="Q169" s="6"/>
      <c r="S169" s="6"/>
      <c r="T169" s="6"/>
      <c r="U169" s="6"/>
      <c r="V169" s="6"/>
      <c r="X169" s="6"/>
      <c r="Z169" s="6"/>
      <c r="AB169" s="6"/>
      <c r="AD169" s="6"/>
      <c r="AI169"/>
      <c r="BJ169" s="6"/>
      <c r="BK169" s="6"/>
      <c r="BM169" s="6"/>
      <c r="BN169" s="6"/>
      <c r="BO169" s="6"/>
      <c r="BU169" s="6"/>
    </row>
    <row r="170" spans="1:73">
      <c r="A170" s="56"/>
      <c r="B170" s="11" t="s">
        <v>262</v>
      </c>
      <c r="C170"/>
      <c r="D170"/>
      <c r="E170"/>
      <c r="F170"/>
      <c r="G170"/>
      <c r="H170"/>
      <c r="I170"/>
      <c r="J170" s="49"/>
      <c r="K170"/>
      <c r="L170" s="134" t="s">
        <v>205</v>
      </c>
      <c r="M170" s="6"/>
      <c r="N170" s="6">
        <v>0</v>
      </c>
      <c r="O170" s="6"/>
      <c r="P170" s="6">
        <v>0</v>
      </c>
      <c r="Q170" s="6"/>
      <c r="S170" s="6"/>
      <c r="T170" s="6">
        <v>0</v>
      </c>
      <c r="U170" s="6"/>
      <c r="V170" s="6">
        <v>0</v>
      </c>
      <c r="X170" s="6">
        <v>0</v>
      </c>
      <c r="Z170" s="6">
        <v>0</v>
      </c>
      <c r="AB170" s="6">
        <v>0</v>
      </c>
      <c r="AD170" s="6"/>
      <c r="AF170" s="6">
        <v>0</v>
      </c>
      <c r="AH170" s="6">
        <v>0</v>
      </c>
      <c r="AI170"/>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263</v>
      </c>
      <c r="C171"/>
      <c r="D171"/>
      <c r="E171"/>
      <c r="F171"/>
      <c r="G171"/>
      <c r="H171"/>
      <c r="I171"/>
      <c r="J171" s="49"/>
      <c r="K171"/>
      <c r="L171" s="134" t="s">
        <v>205</v>
      </c>
      <c r="M171" s="6"/>
      <c r="N171" s="6">
        <v>0</v>
      </c>
      <c r="O171" s="6"/>
      <c r="P171" s="6">
        <v>0</v>
      </c>
      <c r="Q171" s="6"/>
      <c r="S171" s="6"/>
      <c r="T171" s="6">
        <v>0</v>
      </c>
      <c r="U171" s="6"/>
      <c r="V171" s="6">
        <v>0</v>
      </c>
      <c r="X171" s="6">
        <v>0</v>
      </c>
      <c r="Z171" s="6">
        <v>0</v>
      </c>
      <c r="AB171" s="6">
        <v>0</v>
      </c>
      <c r="AD171" s="6"/>
      <c r="AF171" s="6">
        <v>0</v>
      </c>
      <c r="AH171" s="6">
        <v>0</v>
      </c>
      <c r="AI171"/>
      <c r="AJ171" s="6">
        <v>0</v>
      </c>
      <c r="AL171" s="6">
        <v>0</v>
      </c>
      <c r="AN171" s="6">
        <v>0</v>
      </c>
      <c r="AP171" s="6">
        <v>0</v>
      </c>
      <c r="AR171" s="6">
        <v>0</v>
      </c>
      <c r="AT171" s="6">
        <v>0</v>
      </c>
      <c r="AV171" s="6">
        <v>0</v>
      </c>
      <c r="AX171" s="6">
        <v>0</v>
      </c>
      <c r="AZ171" s="6">
        <v>0</v>
      </c>
      <c r="BB171" s="6">
        <v>0</v>
      </c>
      <c r="BD171" s="6">
        <v>0</v>
      </c>
      <c r="BF171" s="6">
        <v>0</v>
      </c>
      <c r="BH171" s="6">
        <v>0</v>
      </c>
      <c r="BJ171" s="6">
        <v>0</v>
      </c>
      <c r="BK171" s="6"/>
      <c r="BL171" s="6">
        <f>SUM(T171:BK171)</f>
        <v>0</v>
      </c>
      <c r="BM171" s="6"/>
      <c r="BN171" s="6">
        <v>0</v>
      </c>
      <c r="BO171" s="6"/>
      <c r="BP171" s="6">
        <f>IF(+R171-BL171+BN171&gt;0,R171-BL171+BN171,0)</f>
        <v>0</v>
      </c>
      <c r="BR171" s="6">
        <f>+BL171+BP171</f>
        <v>0</v>
      </c>
      <c r="BT171" s="6">
        <f>+R171-BR171</f>
        <v>0</v>
      </c>
      <c r="BU171" s="6"/>
    </row>
    <row r="172" spans="1:73">
      <c r="A172" s="57"/>
      <c r="B172" s="17" t="s">
        <v>264</v>
      </c>
      <c r="C172"/>
      <c r="D172"/>
      <c r="E172"/>
      <c r="F172"/>
      <c r="G172"/>
      <c r="H172"/>
      <c r="I172"/>
      <c r="J172" s="49"/>
      <c r="K172"/>
      <c r="L172" s="134" t="s">
        <v>205</v>
      </c>
      <c r="M172" s="6"/>
      <c r="O172" s="6"/>
      <c r="P172" s="6">
        <v>0</v>
      </c>
      <c r="Q172" s="6"/>
      <c r="R172" s="6">
        <v>400000</v>
      </c>
      <c r="S172" s="6"/>
      <c r="T172" s="6">
        <v>0</v>
      </c>
      <c r="U172" s="6"/>
      <c r="V172" s="6">
        <v>0</v>
      </c>
      <c r="X172" s="6">
        <v>0</v>
      </c>
      <c r="Z172" s="6">
        <v>8000</v>
      </c>
      <c r="AB172" s="6">
        <v>24712</v>
      </c>
      <c r="AD172" s="6">
        <v>71081</v>
      </c>
      <c r="AF172" s="6">
        <f>11932.33+162+1167.32</f>
        <v>13261.65</v>
      </c>
      <c r="AH172" s="6">
        <f>22563.83+17013.6</f>
        <v>39577.43</v>
      </c>
      <c r="AI172"/>
      <c r="AJ172" s="6">
        <f>2460+6571.33+2789.89</f>
        <v>11821.22</v>
      </c>
      <c r="AL172" s="6">
        <v>11746.18</v>
      </c>
      <c r="AN172" s="6">
        <v>19877.66</v>
      </c>
      <c r="AP172" s="6">
        <f>12427.46+17404.94</f>
        <v>29832.399999999998</v>
      </c>
      <c r="AR172" s="6">
        <v>39859.51</v>
      </c>
      <c r="AT172" s="6">
        <v>5434</v>
      </c>
      <c r="AV172" s="6">
        <v>0</v>
      </c>
      <c r="AX172" s="6">
        <v>0</v>
      </c>
      <c r="AZ172" s="6">
        <v>0</v>
      </c>
      <c r="BB172" s="6">
        <v>0</v>
      </c>
      <c r="BD172" s="6">
        <v>0</v>
      </c>
      <c r="BF172" s="6">
        <v>0</v>
      </c>
      <c r="BH172" s="6">
        <v>0</v>
      </c>
      <c r="BJ172" s="6">
        <v>0</v>
      </c>
      <c r="BK172" s="6"/>
      <c r="BL172" s="6">
        <f>SUM(T172:BK172)</f>
        <v>275203.05</v>
      </c>
      <c r="BM172" s="6"/>
      <c r="BN172" s="6">
        <v>0</v>
      </c>
      <c r="BO172" s="6"/>
      <c r="BP172" s="6">
        <f>IF(+R172-BL172+BN172&gt;0,R172-BL172+BN172,0)</f>
        <v>124796.95000000001</v>
      </c>
      <c r="BR172" s="6">
        <f>+BL172+BP172</f>
        <v>400000</v>
      </c>
      <c r="BT172" s="6">
        <f>+R172-BR172</f>
        <v>0</v>
      </c>
      <c r="BU172" s="6"/>
    </row>
    <row r="173" spans="1:73">
      <c r="A173" s="57"/>
      <c r="B173" s="17"/>
      <c r="C173"/>
      <c r="D173"/>
      <c r="E173"/>
      <c r="F173"/>
      <c r="G173"/>
      <c r="H173"/>
      <c r="I173"/>
      <c r="J173" s="49"/>
      <c r="K173"/>
      <c r="L173" s="134"/>
      <c r="M173" s="6"/>
      <c r="O173" s="6"/>
      <c r="Q173" s="6"/>
      <c r="S173" s="6"/>
      <c r="T173" s="6"/>
      <c r="U173" s="6"/>
      <c r="V173" s="6"/>
      <c r="X173" s="6"/>
      <c r="Z173" s="6"/>
      <c r="AB173" s="6"/>
      <c r="AD173" s="6"/>
      <c r="AI173"/>
      <c r="BJ173" s="6"/>
      <c r="BK173" s="6"/>
      <c r="BM173" s="6"/>
      <c r="BN173" s="6"/>
      <c r="BO173" s="6"/>
      <c r="BP173" s="6">
        <f>IF(+R173-BL173+BN173&gt;0,R173-BL173+BN173,0)</f>
        <v>0</v>
      </c>
      <c r="BU173" s="6"/>
    </row>
    <row r="174" spans="1:73" s="21" customFormat="1">
      <c r="A174" s="118"/>
      <c r="B174" s="58" t="s">
        <v>185</v>
      </c>
      <c r="J174" s="8"/>
      <c r="L174" s="143"/>
      <c r="M174" s="9"/>
      <c r="N174" s="102">
        <f>SUM(N170:N173)</f>
        <v>0</v>
      </c>
      <c r="O174" s="9"/>
      <c r="P174" s="102">
        <f>SUM(P170:P173)</f>
        <v>0</v>
      </c>
      <c r="Q174" s="9"/>
      <c r="R174" s="102">
        <f>SUM(R170:R173)</f>
        <v>400000</v>
      </c>
      <c r="S174" s="9"/>
      <c r="T174" s="102">
        <f>SUM(T170:T173)</f>
        <v>0</v>
      </c>
      <c r="U174" s="9"/>
      <c r="V174" s="102">
        <f>SUM(V170:V173)</f>
        <v>0</v>
      </c>
      <c r="W174" s="9"/>
      <c r="X174" s="102">
        <f>SUM(X170:X173)</f>
        <v>0</v>
      </c>
      <c r="Y174" s="9"/>
      <c r="Z174" s="102">
        <f>SUM(Z170:Z173)</f>
        <v>8000</v>
      </c>
      <c r="AA174" s="9"/>
      <c r="AB174" s="102">
        <f>SUM(AB170:AB173)</f>
        <v>24712</v>
      </c>
      <c r="AC174" s="9"/>
      <c r="AD174" s="102">
        <f>SUM(AD170:AD173)</f>
        <v>71081</v>
      </c>
      <c r="AE174" s="9"/>
      <c r="AF174" s="102">
        <f>SUM(AF170:AF173)</f>
        <v>13261.65</v>
      </c>
      <c r="AG174" s="9"/>
      <c r="AH174" s="102">
        <f>SUM(AH170:AH173)</f>
        <v>39577.43</v>
      </c>
      <c r="AI174"/>
      <c r="AJ174" s="102">
        <f>SUM(AJ170:AJ173)</f>
        <v>11821.22</v>
      </c>
      <c r="AK174"/>
      <c r="AL174" s="102">
        <f>SUM(AL170:AL173)</f>
        <v>11746.18</v>
      </c>
      <c r="AM174"/>
      <c r="AN174" s="102">
        <f>SUM(AN170:AN173)</f>
        <v>19877.66</v>
      </c>
      <c r="AO174" s="9"/>
      <c r="AP174" s="102">
        <f>SUM(AP170:AP173)</f>
        <v>29832.399999999998</v>
      </c>
      <c r="AQ174" s="9"/>
      <c r="AR174" s="102">
        <f>SUM(AR170:AR173)</f>
        <v>39859.51</v>
      </c>
      <c r="AS174" s="9"/>
      <c r="AT174" s="102">
        <f>SUM(AT170:AT173)</f>
        <v>5434</v>
      </c>
      <c r="AU174" s="10"/>
      <c r="AV174" s="102">
        <f>SUM(AV170:AV173)</f>
        <v>0</v>
      </c>
      <c r="AW174" s="10"/>
      <c r="AX174" s="102">
        <f>SUM(AX170:AX173)</f>
        <v>0</v>
      </c>
      <c r="AY174" s="10"/>
      <c r="AZ174" s="102">
        <f>SUM(AZ170:AZ173)</f>
        <v>0</v>
      </c>
      <c r="BA174" s="10"/>
      <c r="BB174" s="102">
        <f>SUM(BB170:BB173)</f>
        <v>0</v>
      </c>
      <c r="BC174" s="10"/>
      <c r="BD174" s="102">
        <f>SUM(BD170:BD173)</f>
        <v>0</v>
      </c>
      <c r="BE174" s="10"/>
      <c r="BF174" s="102">
        <f>SUM(BF170:BF173)</f>
        <v>0</v>
      </c>
      <c r="BG174" s="10"/>
      <c r="BH174" s="102">
        <f>SUM(BH170:BH173)</f>
        <v>0</v>
      </c>
      <c r="BI174" s="10"/>
      <c r="BJ174" s="102">
        <f>SUM(BJ170:BJ173)</f>
        <v>0</v>
      </c>
      <c r="BK174" s="9"/>
      <c r="BL174" s="102">
        <f>SUM(BL170:BL173)</f>
        <v>275203.05</v>
      </c>
      <c r="BM174" s="9"/>
      <c r="BN174" s="102">
        <f>SUM(BN170:BN173)</f>
        <v>0</v>
      </c>
      <c r="BO174" s="9"/>
      <c r="BP174" s="102">
        <f>SUM(BP170:BP173)</f>
        <v>124796.95000000001</v>
      </c>
      <c r="BQ174" s="9"/>
      <c r="BR174" s="102">
        <f>SUM(BR170:BR173)</f>
        <v>400000</v>
      </c>
      <c r="BS174" s="9"/>
      <c r="BT174" s="102">
        <f>SUM(BT170:BT173)</f>
        <v>0</v>
      </c>
      <c r="BU174" s="9"/>
    </row>
    <row r="175" spans="1:73" s="21" customFormat="1">
      <c r="A175" s="118"/>
      <c r="B175" s="58"/>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row>
    <row r="176" spans="1:73" s="21" customFormat="1">
      <c r="A176" s="56" t="s">
        <v>573</v>
      </c>
      <c r="B176" s="31"/>
      <c r="J176" s="8" t="s">
        <v>0</v>
      </c>
      <c r="L176" s="134" t="s">
        <v>204</v>
      </c>
      <c r="M176" s="9"/>
      <c r="N176" s="9">
        <v>0</v>
      </c>
      <c r="O176" s="9"/>
      <c r="P176" s="9">
        <v>0</v>
      </c>
      <c r="Q176" s="9"/>
      <c r="R176" s="9">
        <v>1000000</v>
      </c>
      <c r="S176" s="9"/>
      <c r="T176" s="9">
        <v>0</v>
      </c>
      <c r="U176" s="9"/>
      <c r="V176" s="9">
        <v>0</v>
      </c>
      <c r="W176" s="9"/>
      <c r="X176" s="9">
        <v>0</v>
      </c>
      <c r="Y176" s="9"/>
      <c r="Z176" s="9">
        <v>0</v>
      </c>
      <c r="AA176" s="9"/>
      <c r="AB176" s="9">
        <v>0</v>
      </c>
      <c r="AC176" s="9"/>
      <c r="AD176" s="9">
        <v>0</v>
      </c>
      <c r="AE176" s="9"/>
      <c r="AF176" s="9">
        <v>0</v>
      </c>
      <c r="AG176" s="9"/>
      <c r="AH176" s="9">
        <v>0</v>
      </c>
      <c r="AI176"/>
      <c r="AJ176" s="9">
        <v>0</v>
      </c>
      <c r="AK176"/>
      <c r="AL176" s="9">
        <v>0</v>
      </c>
      <c r="AM176"/>
      <c r="AN176" s="9">
        <v>50050</v>
      </c>
      <c r="AO176" s="9"/>
      <c r="AP176" s="9">
        <f>2348.07+158267.53</f>
        <v>160615.6</v>
      </c>
      <c r="AQ176" s="9"/>
      <c r="AR176" s="9">
        <v>8227.76</v>
      </c>
      <c r="AS176" s="9"/>
      <c r="AT176" s="9">
        <v>115500</v>
      </c>
      <c r="AU176" s="9"/>
      <c r="AV176" s="9">
        <v>0</v>
      </c>
      <c r="AW176" s="9"/>
      <c r="AX176" s="9">
        <v>0</v>
      </c>
      <c r="AY176" s="9"/>
      <c r="AZ176" s="9">
        <v>0</v>
      </c>
      <c r="BA176" s="9"/>
      <c r="BB176" s="9">
        <v>0</v>
      </c>
      <c r="BC176" s="9"/>
      <c r="BD176" s="9">
        <v>0</v>
      </c>
      <c r="BE176" s="9"/>
      <c r="BF176" s="9">
        <v>0</v>
      </c>
      <c r="BG176" s="9"/>
      <c r="BH176" s="9">
        <v>0</v>
      </c>
      <c r="BI176" s="9"/>
      <c r="BJ176" s="9">
        <v>0</v>
      </c>
      <c r="BK176" s="9"/>
      <c r="BL176" s="9">
        <f>SUM(T176:BK176)</f>
        <v>334393.36</v>
      </c>
      <c r="BM176" s="9"/>
      <c r="BN176" s="9">
        <v>200000</v>
      </c>
      <c r="BO176" s="9"/>
      <c r="BP176" s="6">
        <f>IF(+R176-BL176+BN176&gt;0,R176-BL176+BN176,0)</f>
        <v>865606.64</v>
      </c>
      <c r="BQ176" s="9"/>
      <c r="BR176" s="9">
        <f>+BL176+BP176</f>
        <v>1200000</v>
      </c>
      <c r="BS176" s="9"/>
      <c r="BT176" s="9">
        <f>+R176-BR176</f>
        <v>-200000</v>
      </c>
      <c r="BU176" s="9"/>
    </row>
    <row r="177" spans="1:73" s="21" customFormat="1">
      <c r="A177" s="118"/>
      <c r="B177" s="58"/>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c r="AJ177" s="10"/>
      <c r="AK177"/>
      <c r="AL177" s="10"/>
      <c r="AM177"/>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c r="BS177" s="9"/>
      <c r="BT177" s="10"/>
      <c r="BU177" s="9"/>
    </row>
    <row r="178" spans="1:73" s="21" customFormat="1">
      <c r="A178" s="56" t="s">
        <v>29</v>
      </c>
      <c r="B178" s="31"/>
      <c r="J178" s="8" t="s">
        <v>0</v>
      </c>
      <c r="L178" s="134" t="s">
        <v>204</v>
      </c>
      <c r="M178" s="9"/>
      <c r="N178" s="9">
        <v>0</v>
      </c>
      <c r="O178" s="9"/>
      <c r="P178" s="9">
        <v>0</v>
      </c>
      <c r="Q178" s="9"/>
      <c r="R178" s="9">
        <v>3500000</v>
      </c>
      <c r="S178" s="9"/>
      <c r="T178" s="9">
        <v>0</v>
      </c>
      <c r="U178" s="9"/>
      <c r="V178" s="9">
        <v>0</v>
      </c>
      <c r="W178" s="9"/>
      <c r="X178" s="9">
        <v>0</v>
      </c>
      <c r="Y178" s="9"/>
      <c r="Z178" s="9">
        <v>0</v>
      </c>
      <c r="AA178" s="9"/>
      <c r="AB178" s="9">
        <v>0</v>
      </c>
      <c r="AC178" s="9"/>
      <c r="AD178" s="9">
        <v>0</v>
      </c>
      <c r="AE178" s="9"/>
      <c r="AF178" s="9">
        <v>0</v>
      </c>
      <c r="AG178" s="9"/>
      <c r="AH178" s="9">
        <v>0</v>
      </c>
      <c r="AI178"/>
      <c r="AJ178" s="9">
        <v>0</v>
      </c>
      <c r="AK178"/>
      <c r="AL178" s="9">
        <v>0</v>
      </c>
      <c r="AM178"/>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f>SUM(T178:BK178)</f>
        <v>0</v>
      </c>
      <c r="BM178" s="9"/>
      <c r="BN178" s="9">
        <v>3000000</v>
      </c>
      <c r="BO178" s="9"/>
      <c r="BP178" s="6">
        <f>IF(+R178-BL178+BN178&gt;0,R178-BL178+BN178,0)</f>
        <v>6500000</v>
      </c>
      <c r="BQ178" s="9"/>
      <c r="BR178" s="9">
        <f>+BL178+BP178</f>
        <v>6500000</v>
      </c>
      <c r="BS178" s="9"/>
      <c r="BT178" s="9">
        <f>+R178-BR178</f>
        <v>-3000000</v>
      </c>
      <c r="BU178" s="9"/>
    </row>
    <row r="179" spans="1:73" s="21" customFormat="1">
      <c r="A179" s="118"/>
      <c r="B179" s="58"/>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row>
    <row r="180" spans="1:73" s="15" customFormat="1">
      <c r="A180" s="111" t="s">
        <v>179</v>
      </c>
      <c r="B180" s="60"/>
      <c r="C180"/>
      <c r="D180"/>
      <c r="E180"/>
      <c r="F180"/>
      <c r="G180"/>
      <c r="H180"/>
      <c r="I180"/>
      <c r="J180" s="49"/>
      <c r="K180"/>
      <c r="L180" s="134"/>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c r="AJ180" s="22"/>
      <c r="AK180"/>
      <c r="AL180" s="22"/>
      <c r="AM180"/>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row>
    <row r="181" spans="1:73" s="15" customFormat="1" hidden="1">
      <c r="A181" s="14"/>
      <c r="B181" s="60" t="s">
        <v>180</v>
      </c>
      <c r="C181"/>
      <c r="D181"/>
      <c r="E181"/>
      <c r="F181"/>
      <c r="G181"/>
      <c r="H181"/>
      <c r="I181"/>
      <c r="J181" s="49"/>
      <c r="K181"/>
      <c r="L181" s="134" t="s">
        <v>204</v>
      </c>
      <c r="M181" s="22"/>
      <c r="N181" s="22">
        <v>0</v>
      </c>
      <c r="O181" s="22"/>
      <c r="P181" s="22">
        <v>0</v>
      </c>
      <c r="Q181" s="22"/>
      <c r="R181" s="6">
        <f>+N181+P181</f>
        <v>0</v>
      </c>
      <c r="S181" s="22"/>
      <c r="T181" s="22">
        <v>0</v>
      </c>
      <c r="U181" s="22"/>
      <c r="V181" s="22">
        <v>0</v>
      </c>
      <c r="W181" s="22"/>
      <c r="X181" s="22">
        <v>0</v>
      </c>
      <c r="Y181" s="22"/>
      <c r="Z181" s="22">
        <v>0</v>
      </c>
      <c r="AA181" s="22"/>
      <c r="AB181" s="22">
        <v>0</v>
      </c>
      <c r="AC181" s="22"/>
      <c r="AD181" s="22">
        <v>0</v>
      </c>
      <c r="AE181" s="22"/>
      <c r="AF181" s="22">
        <v>0</v>
      </c>
      <c r="AG181" s="22"/>
      <c r="AH181" s="22">
        <v>0</v>
      </c>
      <c r="AI181"/>
      <c r="AJ181" s="22">
        <v>0</v>
      </c>
      <c r="AK181"/>
      <c r="AL181" s="22">
        <v>0</v>
      </c>
      <c r="AM181"/>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22">
        <f>+R181-BL181+BN181</f>
        <v>0</v>
      </c>
      <c r="BQ181" s="22"/>
      <c r="BR181" s="6">
        <f>+BL181+BP181</f>
        <v>0</v>
      </c>
      <c r="BS181" s="22"/>
      <c r="BT181" s="6">
        <f>+R181-BR181</f>
        <v>0</v>
      </c>
      <c r="BU181" s="22"/>
    </row>
    <row r="182" spans="1:73" s="15" customFormat="1">
      <c r="A182" s="14"/>
      <c r="B182" s="60" t="s">
        <v>181</v>
      </c>
      <c r="C182"/>
      <c r="D182"/>
      <c r="E182"/>
      <c r="F182"/>
      <c r="G182"/>
      <c r="H182"/>
      <c r="I182"/>
      <c r="J182" s="49"/>
      <c r="K182"/>
      <c r="L182" s="134" t="s">
        <v>204</v>
      </c>
      <c r="M182" s="22"/>
      <c r="N182" s="22">
        <v>0</v>
      </c>
      <c r="O182" s="22"/>
      <c r="P182" s="22">
        <v>0</v>
      </c>
      <c r="Q182" s="22"/>
      <c r="R182" s="6">
        <v>1500000</v>
      </c>
      <c r="S182" s="22"/>
      <c r="T182" s="22">
        <v>0</v>
      </c>
      <c r="U182" s="22"/>
      <c r="V182" s="22">
        <v>0</v>
      </c>
      <c r="W182" s="22"/>
      <c r="X182" s="22">
        <v>0</v>
      </c>
      <c r="Y182" s="22"/>
      <c r="Z182" s="22">
        <v>0</v>
      </c>
      <c r="AA182" s="22"/>
      <c r="AB182" s="22">
        <v>0</v>
      </c>
      <c r="AC182" s="22"/>
      <c r="AD182" s="22">
        <v>0</v>
      </c>
      <c r="AE182" s="22"/>
      <c r="AF182" s="22">
        <v>0</v>
      </c>
      <c r="AG182" s="22"/>
      <c r="AH182" s="22">
        <v>0</v>
      </c>
      <c r="AI182"/>
      <c r="AJ182" s="22">
        <v>0</v>
      </c>
      <c r="AK182"/>
      <c r="AL182" s="22">
        <v>0</v>
      </c>
      <c r="AM18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6">
        <f>IF(+R182-BL182+BN182&gt;0,R182-BL182+BN182,0)</f>
        <v>1500000</v>
      </c>
      <c r="BQ182" s="22"/>
      <c r="BR182" s="6">
        <f>+BL182+BP182</f>
        <v>1500000</v>
      </c>
      <c r="BS182" s="22"/>
      <c r="BT182" s="6">
        <f>+R182-BR182</f>
        <v>0</v>
      </c>
      <c r="BU182" s="22"/>
    </row>
    <row r="183" spans="1:73" s="15" customFormat="1" hidden="1">
      <c r="A183" s="14"/>
      <c r="B183" s="60" t="s">
        <v>122</v>
      </c>
      <c r="C183"/>
      <c r="D183"/>
      <c r="E183"/>
      <c r="F183"/>
      <c r="G183"/>
      <c r="H183"/>
      <c r="I183"/>
      <c r="J183" s="49"/>
      <c r="K183"/>
      <c r="L183" s="134" t="s">
        <v>204</v>
      </c>
      <c r="M183" s="22"/>
      <c r="N183" s="22">
        <v>0</v>
      </c>
      <c r="O183" s="22"/>
      <c r="P183" s="22">
        <v>0</v>
      </c>
      <c r="Q183" s="22"/>
      <c r="R183" s="6">
        <v>0</v>
      </c>
      <c r="S183" s="22"/>
      <c r="T183" s="22">
        <v>0</v>
      </c>
      <c r="U183" s="22"/>
      <c r="V183" s="22">
        <v>0</v>
      </c>
      <c r="W183" s="22"/>
      <c r="X183" s="22">
        <v>0</v>
      </c>
      <c r="Y183" s="22"/>
      <c r="Z183" s="22">
        <v>0</v>
      </c>
      <c r="AA183" s="22"/>
      <c r="AB183" s="22">
        <v>0</v>
      </c>
      <c r="AC183" s="22"/>
      <c r="AD183" s="22">
        <v>0</v>
      </c>
      <c r="AE183" s="22"/>
      <c r="AF183" s="22">
        <v>0</v>
      </c>
      <c r="AG183" s="22"/>
      <c r="AH183" s="22">
        <v>0</v>
      </c>
      <c r="AI183"/>
      <c r="AJ183" s="22">
        <v>0</v>
      </c>
      <c r="AK183"/>
      <c r="AL183" s="22">
        <v>0</v>
      </c>
      <c r="AM183"/>
      <c r="AN183" s="22">
        <v>0</v>
      </c>
      <c r="AO183" s="22"/>
      <c r="AP183" s="22">
        <v>0</v>
      </c>
      <c r="AQ183" s="22"/>
      <c r="AR183" s="22">
        <v>0</v>
      </c>
      <c r="AS183" s="22"/>
      <c r="AT183" s="22">
        <v>0</v>
      </c>
      <c r="AU183" s="22"/>
      <c r="AV183" s="22">
        <v>0</v>
      </c>
      <c r="AW183" s="22"/>
      <c r="AX183" s="22">
        <v>0</v>
      </c>
      <c r="AY183" s="22"/>
      <c r="AZ183" s="22">
        <v>0</v>
      </c>
      <c r="BA183" s="22"/>
      <c r="BB183" s="22">
        <v>0</v>
      </c>
      <c r="BC183" s="22"/>
      <c r="BD183" s="22">
        <v>0</v>
      </c>
      <c r="BE183" s="22"/>
      <c r="BF183" s="22">
        <v>0</v>
      </c>
      <c r="BG183" s="22"/>
      <c r="BH183" s="22">
        <v>0</v>
      </c>
      <c r="BI183" s="22"/>
      <c r="BJ183" s="22">
        <v>0</v>
      </c>
      <c r="BK183" s="22"/>
      <c r="BL183" s="22">
        <f>SUM(T183:BK183)</f>
        <v>0</v>
      </c>
      <c r="BM183" s="22"/>
      <c r="BN183" s="22">
        <v>0</v>
      </c>
      <c r="BO183" s="22"/>
      <c r="BP183" s="22">
        <f>+R183-BL183+BN183</f>
        <v>0</v>
      </c>
      <c r="BQ183" s="22"/>
      <c r="BR183" s="6">
        <f>+BL183+BP183</f>
        <v>0</v>
      </c>
      <c r="BS183" s="22"/>
      <c r="BT183" s="6">
        <f>+R183-BR183</f>
        <v>0</v>
      </c>
      <c r="BU183" s="22"/>
    </row>
    <row r="184" spans="1:73" s="104" customFormat="1">
      <c r="A184" s="111"/>
      <c r="B184" s="77" t="s">
        <v>182</v>
      </c>
      <c r="C184" s="21"/>
      <c r="D184" s="21"/>
      <c r="E184" s="21"/>
      <c r="F184" s="21"/>
      <c r="G184" s="21"/>
      <c r="H184" s="21"/>
      <c r="I184" s="21"/>
      <c r="J184" s="8"/>
      <c r="K184" s="21"/>
      <c r="L184" s="143"/>
      <c r="M184" s="16"/>
      <c r="N184" s="108">
        <f>SUM(N181:N183)</f>
        <v>0</v>
      </c>
      <c r="O184" s="16"/>
      <c r="P184" s="108">
        <f>SUM(P181:P183)</f>
        <v>0</v>
      </c>
      <c r="Q184" s="16"/>
      <c r="R184" s="108">
        <f>SUM(R181:R183)</f>
        <v>1500000</v>
      </c>
      <c r="S184" s="16"/>
      <c r="T184" s="108">
        <f>SUM(T181:T183)</f>
        <v>0</v>
      </c>
      <c r="U184" s="16"/>
      <c r="V184" s="108">
        <f>SUM(V181:V183)</f>
        <v>0</v>
      </c>
      <c r="W184" s="16"/>
      <c r="X184" s="108">
        <f>SUM(X181:X183)</f>
        <v>0</v>
      </c>
      <c r="Y184" s="16"/>
      <c r="Z184" s="108">
        <f>SUM(Z181:Z183)</f>
        <v>0</v>
      </c>
      <c r="AA184" s="16"/>
      <c r="AB184" s="108">
        <f>SUM(AB181:AB183)</f>
        <v>0</v>
      </c>
      <c r="AC184" s="16"/>
      <c r="AD184" s="108">
        <f>SUM(AD181:AD183)</f>
        <v>0</v>
      </c>
      <c r="AE184" s="16"/>
      <c r="AF184" s="108">
        <f>SUM(AF181:AF183)</f>
        <v>0</v>
      </c>
      <c r="AG184" s="16"/>
      <c r="AH184" s="108">
        <f>SUM(AH181:AH183)</f>
        <v>0</v>
      </c>
      <c r="AI184"/>
      <c r="AJ184" s="108">
        <f>SUM(AJ181:AJ183)</f>
        <v>0</v>
      </c>
      <c r="AK184"/>
      <c r="AL184" s="108">
        <f>SUM(AL181:AL183)</f>
        <v>0</v>
      </c>
      <c r="AM184"/>
      <c r="AN184" s="108">
        <f>SUM(AN181:AN183)</f>
        <v>0</v>
      </c>
      <c r="AO184" s="16"/>
      <c r="AP184" s="108">
        <f>SUM(AP181:AP183)</f>
        <v>0</v>
      </c>
      <c r="AQ184" s="16"/>
      <c r="AR184" s="108">
        <f>SUM(AR181:AR183)</f>
        <v>0</v>
      </c>
      <c r="AS184" s="16"/>
      <c r="AT184" s="108">
        <f>SUM(AT181:AT183)</f>
        <v>0</v>
      </c>
      <c r="AU184" s="103"/>
      <c r="AV184" s="108">
        <f>SUM(AV181:AV183)</f>
        <v>0</v>
      </c>
      <c r="AW184" s="103"/>
      <c r="AX184" s="108">
        <f>SUM(AX181:AX183)</f>
        <v>0</v>
      </c>
      <c r="AY184" s="103"/>
      <c r="AZ184" s="108">
        <f>SUM(AZ181:AZ183)</f>
        <v>0</v>
      </c>
      <c r="BA184" s="103"/>
      <c r="BB184" s="108">
        <f>SUM(BB181:BB183)</f>
        <v>0</v>
      </c>
      <c r="BC184" s="103"/>
      <c r="BD184" s="108">
        <f>SUM(BD181:BD183)</f>
        <v>0</v>
      </c>
      <c r="BE184" s="103"/>
      <c r="BF184" s="108">
        <f>SUM(BF181:BF183)</f>
        <v>0</v>
      </c>
      <c r="BG184" s="103"/>
      <c r="BH184" s="108">
        <f>SUM(BH181:BH183)</f>
        <v>0</v>
      </c>
      <c r="BI184" s="103"/>
      <c r="BJ184" s="108">
        <f>SUM(BJ181:BJ183)</f>
        <v>0</v>
      </c>
      <c r="BK184" s="16"/>
      <c r="BL184" s="108">
        <f>SUM(BL181:BL183)</f>
        <v>0</v>
      </c>
      <c r="BM184" s="16"/>
      <c r="BN184" s="108">
        <f>SUM(BN181:BN183)</f>
        <v>0</v>
      </c>
      <c r="BO184" s="16"/>
      <c r="BP184" s="108">
        <f>SUM(BP181:BP183)</f>
        <v>1500000</v>
      </c>
      <c r="BQ184" s="16"/>
      <c r="BR184" s="108">
        <f>SUM(BR181:BR183)</f>
        <v>1500000</v>
      </c>
      <c r="BS184" s="16"/>
      <c r="BT184" s="108">
        <f>SUM(BT181:BT183)</f>
        <v>0</v>
      </c>
      <c r="BU184" s="16"/>
    </row>
    <row r="185" spans="1:73" s="104" customFormat="1">
      <c r="A185" s="32"/>
      <c r="B185" s="77"/>
      <c r="C185" s="21"/>
      <c r="D185" s="21"/>
      <c r="E185" s="21"/>
      <c r="F185" s="21"/>
      <c r="G185" s="21"/>
      <c r="H185" s="21"/>
      <c r="I185" s="21"/>
      <c r="J185" s="8"/>
      <c r="K185" s="21"/>
      <c r="L185" s="143"/>
      <c r="M185" s="16"/>
      <c r="N185" s="103"/>
      <c r="O185" s="16"/>
      <c r="P185" s="103"/>
      <c r="Q185" s="16"/>
      <c r="R185" s="103"/>
      <c r="S185" s="16"/>
      <c r="T185" s="103"/>
      <c r="U185" s="16"/>
      <c r="V185" s="103"/>
      <c r="W185" s="16"/>
      <c r="X185" s="103"/>
      <c r="Y185" s="16"/>
      <c r="Z185" s="103"/>
      <c r="AA185" s="16"/>
      <c r="AB185" s="103"/>
      <c r="AC185" s="16"/>
      <c r="AD185" s="103"/>
      <c r="AE185" s="16"/>
      <c r="AF185" s="103"/>
      <c r="AG185" s="16"/>
      <c r="AH185" s="103"/>
      <c r="AI185"/>
      <c r="AJ185" s="103"/>
      <c r="AK185"/>
      <c r="AL185" s="103"/>
      <c r="AM185"/>
      <c r="AN185" s="103"/>
      <c r="AO185" s="16"/>
      <c r="AP185" s="103"/>
      <c r="AQ185" s="16"/>
      <c r="AR185" s="103"/>
      <c r="AS185" s="16"/>
      <c r="AT185" s="103"/>
      <c r="AU185" s="103"/>
      <c r="AV185" s="103"/>
      <c r="AW185" s="103"/>
      <c r="AX185" s="103"/>
      <c r="AY185" s="103"/>
      <c r="AZ185" s="103"/>
      <c r="BA185" s="103"/>
      <c r="BB185" s="103"/>
      <c r="BC185" s="103"/>
      <c r="BD185" s="103"/>
      <c r="BE185" s="103"/>
      <c r="BF185" s="103"/>
      <c r="BG185" s="103"/>
      <c r="BH185" s="103"/>
      <c r="BI185" s="103"/>
      <c r="BJ185" s="103"/>
      <c r="BK185" s="16"/>
      <c r="BL185" s="103"/>
      <c r="BM185" s="16"/>
      <c r="BN185" s="103"/>
      <c r="BO185" s="16"/>
      <c r="BP185" s="103"/>
      <c r="BQ185" s="16"/>
      <c r="BR185" s="103"/>
      <c r="BS185" s="16"/>
      <c r="BT185" s="103"/>
      <c r="BU185" s="16"/>
    </row>
    <row r="186" spans="1:73" s="31" customFormat="1">
      <c r="A186" s="58" t="s">
        <v>31</v>
      </c>
      <c r="J186" s="159"/>
      <c r="L186" s="145" t="s">
        <v>204</v>
      </c>
      <c r="M186" s="10"/>
      <c r="N186" s="10">
        <v>0</v>
      </c>
      <c r="O186" s="10"/>
      <c r="P186" s="10">
        <v>0</v>
      </c>
      <c r="Q186" s="10"/>
      <c r="R186" s="9">
        <v>150000</v>
      </c>
      <c r="S186" s="10"/>
      <c r="T186" s="10">
        <v>0</v>
      </c>
      <c r="U186" s="10"/>
      <c r="V186" s="10">
        <v>0</v>
      </c>
      <c r="W186" s="10"/>
      <c r="X186" s="10">
        <v>0</v>
      </c>
      <c r="Y186" s="10"/>
      <c r="Z186" s="10">
        <v>0</v>
      </c>
      <c r="AA186" s="10"/>
      <c r="AB186" s="10">
        <v>0</v>
      </c>
      <c r="AC186" s="10"/>
      <c r="AD186" s="10">
        <v>0</v>
      </c>
      <c r="AE186" s="10"/>
      <c r="AF186" s="10">
        <v>0</v>
      </c>
      <c r="AG186" s="10"/>
      <c r="AH186" s="10">
        <v>0</v>
      </c>
      <c r="AI186"/>
      <c r="AJ186" s="10">
        <v>0</v>
      </c>
      <c r="AK186"/>
      <c r="AL186" s="10">
        <v>0</v>
      </c>
      <c r="AM186"/>
      <c r="AN186" s="10">
        <v>0</v>
      </c>
      <c r="AO186" s="10"/>
      <c r="AP186" s="10">
        <v>0</v>
      </c>
      <c r="AQ186" s="10"/>
      <c r="AR186" s="10">
        <v>266248.5</v>
      </c>
      <c r="AS186" s="10"/>
      <c r="AT186" s="10">
        <v>0</v>
      </c>
      <c r="AU186" s="10"/>
      <c r="AV186" s="10">
        <v>0</v>
      </c>
      <c r="AW186" s="10"/>
      <c r="AX186" s="10">
        <v>0</v>
      </c>
      <c r="AY186" s="10"/>
      <c r="AZ186" s="10">
        <v>0</v>
      </c>
      <c r="BA186" s="10"/>
      <c r="BB186" s="10">
        <v>0</v>
      </c>
      <c r="BC186" s="10"/>
      <c r="BD186" s="10">
        <v>0</v>
      </c>
      <c r="BE186" s="10"/>
      <c r="BF186" s="10">
        <v>0</v>
      </c>
      <c r="BG186" s="10"/>
      <c r="BH186" s="10">
        <v>0</v>
      </c>
      <c r="BI186" s="10"/>
      <c r="BJ186" s="10">
        <v>0</v>
      </c>
      <c r="BK186" s="10"/>
      <c r="BL186" s="10">
        <f>SUM(T186:BK186)</f>
        <v>266248.5</v>
      </c>
      <c r="BM186" s="10"/>
      <c r="BN186" s="10">
        <v>0</v>
      </c>
      <c r="BO186" s="10"/>
      <c r="BP186" s="6">
        <f>IF(+R186-BL186+BN186&gt;0,R186-BL186+BN186,0)</f>
        <v>0</v>
      </c>
      <c r="BQ186" s="10"/>
      <c r="BR186" s="9">
        <f>+BL186+BP186</f>
        <v>266248.5</v>
      </c>
      <c r="BS186" s="10"/>
      <c r="BT186" s="9">
        <f>+R186-BR186</f>
        <v>-116248.5</v>
      </c>
      <c r="BU186" s="10"/>
    </row>
    <row r="187" spans="1:73" s="15" customFormat="1">
      <c r="A187" s="14"/>
      <c r="B187" s="60"/>
      <c r="C187"/>
      <c r="D187"/>
      <c r="E187"/>
      <c r="F187"/>
      <c r="G187"/>
      <c r="H187"/>
      <c r="I187"/>
      <c r="J187" s="49"/>
      <c r="K187"/>
      <c r="L187" s="134"/>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c r="AJ187" s="22"/>
      <c r="AK187"/>
      <c r="AL187" s="22"/>
      <c r="AM187"/>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row>
    <row r="188" spans="1:73" s="31" customFormat="1">
      <c r="A188" s="58" t="s">
        <v>32</v>
      </c>
      <c r="J188" s="159"/>
      <c r="L188" s="145" t="s">
        <v>204</v>
      </c>
      <c r="M188" s="10"/>
      <c r="N188" s="10">
        <v>0</v>
      </c>
      <c r="O188" s="10"/>
      <c r="P188" s="10">
        <v>0</v>
      </c>
      <c r="Q188" s="10"/>
      <c r="R188" s="9">
        <v>200000</v>
      </c>
      <c r="S188" s="10"/>
      <c r="T188" s="10">
        <v>0</v>
      </c>
      <c r="U188" s="10"/>
      <c r="V188" s="10">
        <v>0</v>
      </c>
      <c r="W188" s="10"/>
      <c r="X188" s="10"/>
      <c r="Y188" s="10"/>
      <c r="Z188" s="10">
        <v>0</v>
      </c>
      <c r="AA188" s="10"/>
      <c r="AB188" s="10">
        <v>0</v>
      </c>
      <c r="AC188" s="10"/>
      <c r="AD188" s="10">
        <v>29401.83</v>
      </c>
      <c r="AE188" s="10"/>
      <c r="AF188" s="10">
        <v>13770.85</v>
      </c>
      <c r="AG188" s="10"/>
      <c r="AH188" s="10">
        <v>7745.74</v>
      </c>
      <c r="AI188"/>
      <c r="AJ188" s="10">
        <v>6275.69</v>
      </c>
      <c r="AK188"/>
      <c r="AL188" s="10">
        <v>0</v>
      </c>
      <c r="AM188"/>
      <c r="AN188" s="10">
        <v>0</v>
      </c>
      <c r="AO188" s="10"/>
      <c r="AP188" s="10">
        <v>0</v>
      </c>
      <c r="AQ188" s="10"/>
      <c r="AR188" s="10">
        <v>0</v>
      </c>
      <c r="AS188" s="10"/>
      <c r="AT188" s="10">
        <v>0</v>
      </c>
      <c r="AU188" s="10"/>
      <c r="AV188" s="10">
        <v>0</v>
      </c>
      <c r="AW188" s="10"/>
      <c r="AX188" s="10">
        <v>0</v>
      </c>
      <c r="AY188" s="10"/>
      <c r="AZ188" s="10">
        <v>0</v>
      </c>
      <c r="BA188" s="10"/>
      <c r="BB188" s="10">
        <v>0</v>
      </c>
      <c r="BC188" s="10"/>
      <c r="BD188" s="10">
        <v>0</v>
      </c>
      <c r="BE188" s="10"/>
      <c r="BF188" s="10">
        <v>0</v>
      </c>
      <c r="BG188" s="10"/>
      <c r="BH188" s="10">
        <v>0</v>
      </c>
      <c r="BI188" s="10"/>
      <c r="BJ188" s="10">
        <v>0</v>
      </c>
      <c r="BK188" s="10"/>
      <c r="BL188" s="10">
        <f>SUM(T188:BK188)</f>
        <v>57194.11</v>
      </c>
      <c r="BM188" s="10"/>
      <c r="BN188" s="10">
        <v>0</v>
      </c>
      <c r="BO188" s="10"/>
      <c r="BP188" s="6">
        <f>IF(+R188-BL188+BN188&gt;0,R188-BL188+BN188,0)</f>
        <v>142805.89000000001</v>
      </c>
      <c r="BQ188" s="10"/>
      <c r="BR188" s="9">
        <f>+BL188+BP188</f>
        <v>200000</v>
      </c>
      <c r="BS188" s="10"/>
      <c r="BT188" s="6">
        <f>+R188-BR188</f>
        <v>0</v>
      </c>
      <c r="BU188" s="10"/>
    </row>
    <row r="189" spans="1:73" s="15" customFormat="1">
      <c r="A189" s="14"/>
      <c r="B189" s="60"/>
      <c r="C189"/>
      <c r="D189"/>
      <c r="E189"/>
      <c r="F189"/>
      <c r="G189"/>
      <c r="H189"/>
      <c r="I189"/>
      <c r="J189" s="49"/>
      <c r="K189"/>
      <c r="L189" s="134"/>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c r="AJ189" s="22"/>
      <c r="AK189"/>
      <c r="AL189" s="22"/>
      <c r="AM189"/>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row>
    <row r="190" spans="1:73">
      <c r="A190" s="56" t="s">
        <v>33</v>
      </c>
      <c r="B190" s="11"/>
      <c r="C190"/>
      <c r="D190"/>
      <c r="E190"/>
      <c r="F190"/>
      <c r="G190"/>
      <c r="H190"/>
      <c r="I190"/>
      <c r="J190" s="49"/>
      <c r="K190"/>
      <c r="L190" s="134"/>
      <c r="M190" s="6"/>
      <c r="O190" s="6"/>
      <c r="Q190" s="6"/>
      <c r="S190" s="6"/>
      <c r="T190" s="6"/>
      <c r="U190" s="6"/>
      <c r="V190" s="6"/>
      <c r="X190" s="6"/>
      <c r="Z190" s="6"/>
      <c r="AB190" s="6"/>
      <c r="AD190" s="6"/>
      <c r="AI190"/>
      <c r="BJ190" s="6"/>
      <c r="BK190" s="6"/>
      <c r="BM190" s="6"/>
      <c r="BN190" s="6"/>
      <c r="BO190" s="6"/>
      <c r="BU190" s="6"/>
    </row>
    <row r="191" spans="1:73" s="11" customFormat="1">
      <c r="A191" s="17"/>
      <c r="B191" s="11" t="s">
        <v>186</v>
      </c>
      <c r="J191" s="160"/>
      <c r="L191" s="146" t="s">
        <v>205</v>
      </c>
      <c r="M191" s="12"/>
      <c r="N191" s="12">
        <v>200000</v>
      </c>
      <c r="O191" s="12"/>
      <c r="P191" s="12">
        <v>0</v>
      </c>
      <c r="Q191" s="12"/>
      <c r="R191" s="6">
        <v>35000</v>
      </c>
      <c r="S191" s="12"/>
      <c r="T191" s="12">
        <v>0</v>
      </c>
      <c r="U191" s="12"/>
      <c r="V191" s="12">
        <v>0</v>
      </c>
      <c r="W191" s="12"/>
      <c r="X191" s="12">
        <v>22604</v>
      </c>
      <c r="Y191" s="12"/>
      <c r="Z191" s="12">
        <v>0</v>
      </c>
      <c r="AA191" s="12"/>
      <c r="AB191" s="12">
        <v>7949</v>
      </c>
      <c r="AC191" s="12"/>
      <c r="AD191" s="12">
        <v>0</v>
      </c>
      <c r="AE191" s="12"/>
      <c r="AF191" s="12"/>
      <c r="AG191" s="12"/>
      <c r="AH191" s="12">
        <v>0</v>
      </c>
      <c r="AI191"/>
      <c r="AJ191" s="12">
        <v>0</v>
      </c>
      <c r="AK191"/>
      <c r="AL191" s="12">
        <v>6591.41</v>
      </c>
      <c r="AM191"/>
      <c r="AN191" s="12">
        <v>0</v>
      </c>
      <c r="AO191" s="12"/>
      <c r="AP191" s="12">
        <v>0</v>
      </c>
      <c r="AQ191" s="12"/>
      <c r="AR191" s="12">
        <v>0</v>
      </c>
      <c r="AS191" s="12"/>
      <c r="AT191" s="12">
        <v>0</v>
      </c>
      <c r="AU191" s="12"/>
      <c r="AV191" s="12">
        <v>0</v>
      </c>
      <c r="AW191" s="12"/>
      <c r="AX191" s="12">
        <v>0</v>
      </c>
      <c r="AY191" s="12"/>
      <c r="AZ191" s="12">
        <v>0</v>
      </c>
      <c r="BA191" s="12"/>
      <c r="BB191" s="12">
        <v>0</v>
      </c>
      <c r="BC191" s="12"/>
      <c r="BD191" s="12">
        <v>0</v>
      </c>
      <c r="BE191" s="12"/>
      <c r="BF191" s="12">
        <v>0</v>
      </c>
      <c r="BG191" s="12"/>
      <c r="BH191" s="12">
        <v>0</v>
      </c>
      <c r="BI191" s="12"/>
      <c r="BJ191" s="12">
        <v>0</v>
      </c>
      <c r="BK191" s="12"/>
      <c r="BL191" s="12">
        <f t="shared" ref="BL191:BL196" si="30">SUM(T191:BK191)</f>
        <v>37144.410000000003</v>
      </c>
      <c r="BM191" s="12"/>
      <c r="BN191" s="12">
        <v>2144</v>
      </c>
      <c r="BO191" s="12"/>
      <c r="BP191" s="6">
        <f t="shared" ref="BP191:BP196" si="31">IF(+R191-BL191+BN191&gt;0,R191-BL191+BN191,0)</f>
        <v>0</v>
      </c>
      <c r="BQ191" s="12"/>
      <c r="BR191" s="6">
        <f t="shared" ref="BR191:BR196" si="32">+BL191+BP191</f>
        <v>37144.410000000003</v>
      </c>
      <c r="BS191" s="12"/>
      <c r="BT191" s="6">
        <f t="shared" ref="BT191:BT196" si="33">+R191-BR191</f>
        <v>-2144.4100000000035</v>
      </c>
      <c r="BU191" s="12"/>
    </row>
    <row r="192" spans="1:73" s="11" customFormat="1">
      <c r="A192" s="17"/>
      <c r="B192" s="11" t="s">
        <v>34</v>
      </c>
      <c r="J192" s="160"/>
      <c r="L192" s="146" t="s">
        <v>205</v>
      </c>
      <c r="M192" s="12"/>
      <c r="N192" s="12">
        <v>0</v>
      </c>
      <c r="O192" s="12"/>
      <c r="P192" s="12">
        <v>50000</v>
      </c>
      <c r="Q192" s="12"/>
      <c r="R192" s="6">
        <v>45000</v>
      </c>
      <c r="S192" s="12"/>
      <c r="T192" s="12">
        <v>0</v>
      </c>
      <c r="U192" s="12"/>
      <c r="V192" s="12">
        <v>1236</v>
      </c>
      <c r="W192" s="12"/>
      <c r="X192" s="12">
        <v>9770</v>
      </c>
      <c r="Y192" s="12"/>
      <c r="Z192" s="12">
        <v>5706</v>
      </c>
      <c r="AA192" s="12"/>
      <c r="AB192" s="12">
        <v>9652</v>
      </c>
      <c r="AC192" s="12"/>
      <c r="AD192" s="12">
        <v>3504</v>
      </c>
      <c r="AE192" s="12"/>
      <c r="AF192" s="12">
        <v>5185.43</v>
      </c>
      <c r="AG192" s="12"/>
      <c r="AH192" s="12">
        <v>3598.69</v>
      </c>
      <c r="AI192"/>
      <c r="AJ192" s="12">
        <v>3892.71</v>
      </c>
      <c r="AK192"/>
      <c r="AL192" s="12">
        <v>6342.74</v>
      </c>
      <c r="AM192"/>
      <c r="AN192" s="12">
        <v>1599.42</v>
      </c>
      <c r="AO192" s="12"/>
      <c r="AP192" s="12">
        <v>3506.18</v>
      </c>
      <c r="AQ192" s="12"/>
      <c r="AR192" s="12">
        <v>5695.65</v>
      </c>
      <c r="AS192" s="12"/>
      <c r="AT192" s="12">
        <f>1559.48+7479.23</f>
        <v>9038.7099999999991</v>
      </c>
      <c r="AU192" s="12"/>
      <c r="AV192" s="12">
        <v>0</v>
      </c>
      <c r="AW192" s="12"/>
      <c r="AX192" s="12">
        <v>0</v>
      </c>
      <c r="AY192" s="12"/>
      <c r="AZ192" s="12">
        <v>0</v>
      </c>
      <c r="BA192" s="12"/>
      <c r="BB192" s="12">
        <v>0</v>
      </c>
      <c r="BC192" s="12"/>
      <c r="BD192" s="12">
        <v>0</v>
      </c>
      <c r="BE192" s="12"/>
      <c r="BF192" s="12">
        <v>0</v>
      </c>
      <c r="BG192" s="12"/>
      <c r="BH192" s="12">
        <v>0</v>
      </c>
      <c r="BI192" s="12"/>
      <c r="BJ192" s="12">
        <v>0</v>
      </c>
      <c r="BK192" s="12"/>
      <c r="BL192" s="12">
        <f t="shared" si="30"/>
        <v>68727.53</v>
      </c>
      <c r="BM192" s="12"/>
      <c r="BN192" s="12">
        <v>6683</v>
      </c>
      <c r="BO192" s="12"/>
      <c r="BP192" s="6">
        <f t="shared" si="31"/>
        <v>0</v>
      </c>
      <c r="BQ192" s="12"/>
      <c r="BR192" s="6">
        <f t="shared" si="32"/>
        <v>68727.53</v>
      </c>
      <c r="BS192" s="12"/>
      <c r="BT192" s="6">
        <f t="shared" si="33"/>
        <v>-23727.53</v>
      </c>
      <c r="BU192" s="12"/>
    </row>
    <row r="193" spans="1:122" s="11" customFormat="1">
      <c r="A193" s="17"/>
      <c r="B193" s="11" t="s">
        <v>375</v>
      </c>
      <c r="J193" s="160"/>
      <c r="L193" s="146" t="s">
        <v>205</v>
      </c>
      <c r="M193" s="12"/>
      <c r="N193" s="12">
        <v>0</v>
      </c>
      <c r="O193" s="12"/>
      <c r="P193" s="12">
        <v>24235</v>
      </c>
      <c r="Q193" s="12"/>
      <c r="R193" s="6"/>
      <c r="S193" s="12"/>
      <c r="T193" s="12">
        <v>0</v>
      </c>
      <c r="U193" s="12"/>
      <c r="V193" s="12">
        <v>0</v>
      </c>
      <c r="W193" s="12"/>
      <c r="X193" s="12">
        <v>0</v>
      </c>
      <c r="Y193" s="12"/>
      <c r="Z193" s="12">
        <v>0</v>
      </c>
      <c r="AA193" s="12"/>
      <c r="AB193" s="12">
        <v>0</v>
      </c>
      <c r="AC193" s="12"/>
      <c r="AD193" s="12">
        <v>0</v>
      </c>
      <c r="AE193" s="12"/>
      <c r="AF193" s="12">
        <v>0</v>
      </c>
      <c r="AG193" s="12"/>
      <c r="AH193" s="12">
        <v>0</v>
      </c>
      <c r="AI193"/>
      <c r="AJ193" s="12">
        <v>0</v>
      </c>
      <c r="AK193"/>
      <c r="AL193" s="12">
        <v>0</v>
      </c>
      <c r="AM193"/>
      <c r="AN193" s="12">
        <v>37759.78</v>
      </c>
      <c r="AO193" s="12"/>
      <c r="AP193" s="12">
        <v>42194.99</v>
      </c>
      <c r="AQ193" s="12"/>
      <c r="AR193" s="12">
        <v>35999.89</v>
      </c>
      <c r="AS193" s="12"/>
      <c r="AT193" s="12">
        <v>35401.089999999997</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f t="shared" si="30"/>
        <v>151355.75</v>
      </c>
      <c r="BM193" s="12"/>
      <c r="BN193" s="12">
        <v>79955</v>
      </c>
      <c r="BO193" s="12"/>
      <c r="BP193" s="6">
        <f t="shared" si="31"/>
        <v>0</v>
      </c>
      <c r="BQ193" s="12"/>
      <c r="BR193" s="6">
        <f t="shared" si="32"/>
        <v>151355.75</v>
      </c>
      <c r="BS193" s="12"/>
      <c r="BT193" s="6">
        <f t="shared" si="33"/>
        <v>-151355.75</v>
      </c>
      <c r="BU193" s="12"/>
    </row>
    <row r="194" spans="1:122" s="11" customFormat="1">
      <c r="A194" s="17"/>
      <c r="B194" s="11" t="s">
        <v>122</v>
      </c>
      <c r="J194" s="160"/>
      <c r="L194" s="146" t="s">
        <v>205</v>
      </c>
      <c r="M194" s="12"/>
      <c r="N194" s="12">
        <v>400000</v>
      </c>
      <c r="O194" s="12"/>
      <c r="P194" s="12">
        <f>49065-N194-6000</f>
        <v>-356935</v>
      </c>
      <c r="Q194" s="12"/>
      <c r="R194" s="6">
        <f>129593+5000</f>
        <v>134593</v>
      </c>
      <c r="S194" s="12"/>
      <c r="T194" s="12">
        <v>0</v>
      </c>
      <c r="U194" s="12"/>
      <c r="V194" s="12">
        <v>0</v>
      </c>
      <c r="W194" s="12"/>
      <c r="X194" s="12">
        <v>46735</v>
      </c>
      <c r="Y194" s="12"/>
      <c r="Z194" s="12">
        <v>21114</v>
      </c>
      <c r="AA194" s="12"/>
      <c r="AB194" s="12">
        <v>1899</v>
      </c>
      <c r="AC194" s="12"/>
      <c r="AD194" s="12">
        <v>8288</v>
      </c>
      <c r="AE194" s="12"/>
      <c r="AF194" s="12">
        <f>3330+7426.97+30387.78+738+100+50+20+10+11200+31000</f>
        <v>84262.75</v>
      </c>
      <c r="AG194" s="12"/>
      <c r="AH194" s="12">
        <f>10000+838.34</f>
        <v>10838.34</v>
      </c>
      <c r="AI194"/>
      <c r="AJ194" s="12">
        <v>0</v>
      </c>
      <c r="AK194"/>
      <c r="AL194" s="12">
        <v>20657.14</v>
      </c>
      <c r="AM194"/>
      <c r="AN194" s="12">
        <f>46225.52-37759.78</f>
        <v>8465.739999999998</v>
      </c>
      <c r="AO194" s="12"/>
      <c r="AP194" s="12">
        <f>1415.06+712.75</f>
        <v>2127.81</v>
      </c>
      <c r="AQ194" s="12"/>
      <c r="AR194" s="12">
        <f>2610+1500+540+200</f>
        <v>4850</v>
      </c>
      <c r="AS194" s="12"/>
      <c r="AT194" s="12">
        <f>1890.2+1000+2500+400.16+838.34</f>
        <v>6628.7</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f t="shared" si="30"/>
        <v>215866.47999999998</v>
      </c>
      <c r="BM194" s="12"/>
      <c r="BN194" s="12">
        <v>106842</v>
      </c>
      <c r="BO194" s="12"/>
      <c r="BP194" s="6">
        <f t="shared" si="31"/>
        <v>25568.520000000019</v>
      </c>
      <c r="BQ194" s="12"/>
      <c r="BR194" s="6">
        <f t="shared" si="32"/>
        <v>241435</v>
      </c>
      <c r="BS194" s="12"/>
      <c r="BT194" s="6">
        <f t="shared" si="33"/>
        <v>-106842</v>
      </c>
      <c r="BU194" s="12"/>
    </row>
    <row r="195" spans="1:122" s="11" customFormat="1">
      <c r="A195" s="17"/>
      <c r="B195" s="11" t="s">
        <v>494</v>
      </c>
      <c r="J195" s="160"/>
      <c r="L195" s="146"/>
      <c r="M195" s="12"/>
      <c r="N195" s="12"/>
      <c r="O195" s="12"/>
      <c r="P195" s="12"/>
      <c r="Q195" s="12"/>
      <c r="R195" s="6"/>
      <c r="S195" s="12"/>
      <c r="T195" s="12"/>
      <c r="U195" s="12"/>
      <c r="V195" s="12"/>
      <c r="W195" s="12"/>
      <c r="X195" s="12"/>
      <c r="Y195" s="12"/>
      <c r="Z195" s="12"/>
      <c r="AA195" s="12"/>
      <c r="AB195" s="12"/>
      <c r="AC195" s="12"/>
      <c r="AD195" s="12"/>
      <c r="AE195" s="12"/>
      <c r="AF195" s="12"/>
      <c r="AG195" s="12"/>
      <c r="AH195" s="12"/>
      <c r="AI195"/>
      <c r="AJ195" s="12"/>
      <c r="AK195"/>
      <c r="AL195" s="12"/>
      <c r="AM195"/>
      <c r="AN195" s="12"/>
      <c r="AO195" s="12"/>
      <c r="AP195" s="12">
        <v>83333.33</v>
      </c>
      <c r="AQ195" s="12"/>
      <c r="AR195" s="12">
        <f>82333.33+25346.23</f>
        <v>107679.56</v>
      </c>
      <c r="AS195" s="12"/>
      <c r="AT195" s="12"/>
      <c r="AU195" s="12"/>
      <c r="AV195" s="12"/>
      <c r="AW195" s="12"/>
      <c r="AX195" s="12"/>
      <c r="AY195" s="12"/>
      <c r="AZ195" s="12"/>
      <c r="BA195" s="12"/>
      <c r="BB195" s="12"/>
      <c r="BC195" s="12"/>
      <c r="BD195" s="12"/>
      <c r="BE195" s="12"/>
      <c r="BF195" s="12"/>
      <c r="BG195" s="12"/>
      <c r="BH195" s="12"/>
      <c r="BI195" s="12"/>
      <c r="BJ195" s="12"/>
      <c r="BK195" s="12"/>
      <c r="BL195" s="12">
        <f t="shared" si="30"/>
        <v>191012.89</v>
      </c>
      <c r="BM195" s="12"/>
      <c r="BN195" s="12">
        <v>0</v>
      </c>
      <c r="BO195" s="12"/>
      <c r="BP195" s="6">
        <f t="shared" si="31"/>
        <v>0</v>
      </c>
      <c r="BQ195" s="12"/>
      <c r="BR195" s="6">
        <f t="shared" si="32"/>
        <v>191012.89</v>
      </c>
      <c r="BS195" s="12"/>
      <c r="BT195" s="6">
        <f t="shared" si="33"/>
        <v>-191012.89</v>
      </c>
      <c r="BU195" s="12"/>
    </row>
    <row r="196" spans="1:122" s="11" customFormat="1">
      <c r="A196" s="17"/>
      <c r="B196" s="11" t="s">
        <v>286</v>
      </c>
      <c r="J196" s="160"/>
      <c r="L196" s="146"/>
      <c r="M196" s="12"/>
      <c r="N196" s="12"/>
      <c r="O196" s="12"/>
      <c r="P196" s="12"/>
      <c r="Q196" s="12"/>
      <c r="R196" s="6"/>
      <c r="S196" s="12"/>
      <c r="T196" s="12"/>
      <c r="U196" s="12"/>
      <c r="V196" s="12"/>
      <c r="W196" s="12"/>
      <c r="X196" s="12"/>
      <c r="Y196" s="12"/>
      <c r="Z196" s="12"/>
      <c r="AA196" s="12"/>
      <c r="AB196" s="12"/>
      <c r="AC196" s="12"/>
      <c r="AD196" s="12"/>
      <c r="AE196" s="12"/>
      <c r="AF196" s="12">
        <f>199867.23-30387.78-11200-31000</f>
        <v>127279.45000000001</v>
      </c>
      <c r="AG196" s="12"/>
      <c r="AH196" s="12">
        <f>1916.6+566.91+3047.17+16608.78+17351.65+10439.68</f>
        <v>49930.79</v>
      </c>
      <c r="AI196"/>
      <c r="AJ196" s="12">
        <v>29848.78</v>
      </c>
      <c r="AK196"/>
      <c r="AL196" s="12"/>
      <c r="AM196"/>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f t="shared" si="30"/>
        <v>207059.02000000002</v>
      </c>
      <c r="BM196" s="12"/>
      <c r="BN196" s="12">
        <v>207060</v>
      </c>
      <c r="BO196" s="12"/>
      <c r="BP196" s="6">
        <f t="shared" si="31"/>
        <v>0.97999999998137355</v>
      </c>
      <c r="BQ196" s="12"/>
      <c r="BR196" s="6">
        <f t="shared" si="32"/>
        <v>207060</v>
      </c>
      <c r="BS196" s="12"/>
      <c r="BT196" s="6">
        <f t="shared" si="33"/>
        <v>-207060</v>
      </c>
      <c r="BU196" s="12"/>
    </row>
    <row r="197" spans="1:122" s="21" customFormat="1">
      <c r="A197" s="56"/>
      <c r="B197" s="31" t="s">
        <v>41</v>
      </c>
      <c r="J197" s="8"/>
      <c r="L197" s="143"/>
      <c r="M197" s="9"/>
      <c r="N197" s="102">
        <f>SUM(N191:N194)</f>
        <v>600000</v>
      </c>
      <c r="O197" s="9"/>
      <c r="P197" s="102">
        <f>SUM(P191:P194)</f>
        <v>-282700</v>
      </c>
      <c r="Q197" s="9"/>
      <c r="R197" s="102">
        <f t="shared" ref="R197:AD197" si="34">SUM(R191:R196)</f>
        <v>214593</v>
      </c>
      <c r="S197" s="102">
        <f t="shared" si="34"/>
        <v>0</v>
      </c>
      <c r="T197" s="102">
        <f t="shared" si="34"/>
        <v>0</v>
      </c>
      <c r="U197" s="102">
        <f t="shared" si="34"/>
        <v>0</v>
      </c>
      <c r="V197" s="102">
        <f t="shared" si="34"/>
        <v>1236</v>
      </c>
      <c r="W197" s="102">
        <f t="shared" si="34"/>
        <v>0</v>
      </c>
      <c r="X197" s="102">
        <f t="shared" si="34"/>
        <v>79109</v>
      </c>
      <c r="Y197" s="102">
        <f t="shared" si="34"/>
        <v>0</v>
      </c>
      <c r="Z197" s="102">
        <f t="shared" si="34"/>
        <v>26820</v>
      </c>
      <c r="AA197" s="102">
        <f t="shared" si="34"/>
        <v>0</v>
      </c>
      <c r="AB197" s="102">
        <f t="shared" si="34"/>
        <v>19500</v>
      </c>
      <c r="AC197" s="102">
        <f t="shared" si="34"/>
        <v>0</v>
      </c>
      <c r="AD197" s="102">
        <f t="shared" si="34"/>
        <v>11792</v>
      </c>
      <c r="AE197" s="102"/>
      <c r="AF197" s="102">
        <f>SUM(AF191:AF196)</f>
        <v>216727.63</v>
      </c>
      <c r="AG197" s="102"/>
      <c r="AH197" s="102">
        <f t="shared" ref="AH197:BL197" si="35">SUM(AH191:AH196)</f>
        <v>64367.82</v>
      </c>
      <c r="AI197"/>
      <c r="AJ197" s="102">
        <f t="shared" si="35"/>
        <v>33741.49</v>
      </c>
      <c r="AK197"/>
      <c r="AL197" s="102">
        <f t="shared" si="35"/>
        <v>33591.29</v>
      </c>
      <c r="AM197"/>
      <c r="AN197" s="102">
        <f t="shared" si="35"/>
        <v>47824.939999999995</v>
      </c>
      <c r="AO197" s="102">
        <f t="shared" si="35"/>
        <v>0</v>
      </c>
      <c r="AP197" s="102">
        <f t="shared" si="35"/>
        <v>131162.31</v>
      </c>
      <c r="AQ197" s="102">
        <f t="shared" si="35"/>
        <v>0</v>
      </c>
      <c r="AR197" s="102">
        <f t="shared" si="35"/>
        <v>154225.1</v>
      </c>
      <c r="AS197" s="102">
        <f t="shared" si="35"/>
        <v>0</v>
      </c>
      <c r="AT197" s="102">
        <f t="shared" si="35"/>
        <v>51068.499999999993</v>
      </c>
      <c r="AU197" s="102">
        <f t="shared" si="35"/>
        <v>0</v>
      </c>
      <c r="AV197" s="102">
        <f t="shared" si="35"/>
        <v>0</v>
      </c>
      <c r="AW197" s="102">
        <f t="shared" si="35"/>
        <v>0</v>
      </c>
      <c r="AX197" s="102">
        <f t="shared" si="35"/>
        <v>0</v>
      </c>
      <c r="AY197" s="102">
        <f t="shared" si="35"/>
        <v>0</v>
      </c>
      <c r="AZ197" s="102">
        <f t="shared" si="35"/>
        <v>0</v>
      </c>
      <c r="BA197" s="102">
        <f t="shared" si="35"/>
        <v>0</v>
      </c>
      <c r="BB197" s="102">
        <f t="shared" si="35"/>
        <v>0</v>
      </c>
      <c r="BC197" s="102">
        <f t="shared" si="35"/>
        <v>0</v>
      </c>
      <c r="BD197" s="102">
        <f t="shared" si="35"/>
        <v>0</v>
      </c>
      <c r="BE197" s="102">
        <f t="shared" si="35"/>
        <v>0</v>
      </c>
      <c r="BF197" s="102">
        <f t="shared" si="35"/>
        <v>0</v>
      </c>
      <c r="BG197" s="102">
        <f t="shared" si="35"/>
        <v>0</v>
      </c>
      <c r="BH197" s="102">
        <f t="shared" si="35"/>
        <v>0</v>
      </c>
      <c r="BI197" s="102">
        <f t="shared" si="35"/>
        <v>0</v>
      </c>
      <c r="BJ197" s="102">
        <f t="shared" si="35"/>
        <v>0</v>
      </c>
      <c r="BK197" s="102">
        <f t="shared" si="35"/>
        <v>0</v>
      </c>
      <c r="BL197" s="102">
        <f t="shared" si="35"/>
        <v>871166.08000000007</v>
      </c>
      <c r="BM197" s="102">
        <f t="shared" ref="BM197:BT197" si="36">SUM(BM191:BM196)</f>
        <v>0</v>
      </c>
      <c r="BN197" s="102">
        <f t="shared" si="36"/>
        <v>402684</v>
      </c>
      <c r="BO197" s="102">
        <f t="shared" si="36"/>
        <v>0</v>
      </c>
      <c r="BP197" s="102">
        <f t="shared" si="36"/>
        <v>25569.5</v>
      </c>
      <c r="BQ197" s="102">
        <f t="shared" si="36"/>
        <v>0</v>
      </c>
      <c r="BR197" s="102">
        <f t="shared" si="36"/>
        <v>896735.58000000007</v>
      </c>
      <c r="BS197" s="102">
        <f t="shared" si="36"/>
        <v>0</v>
      </c>
      <c r="BT197" s="102">
        <f t="shared" si="36"/>
        <v>-682142.58000000007</v>
      </c>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21" customFormat="1">
      <c r="A198" s="56"/>
      <c r="B198" s="31"/>
      <c r="J198" s="8"/>
      <c r="L198" s="143"/>
      <c r="M198" s="9"/>
      <c r="N198" s="10"/>
      <c r="O198" s="9"/>
      <c r="P198" s="10"/>
      <c r="Q198" s="9"/>
      <c r="R198" s="10"/>
      <c r="S198" s="9"/>
      <c r="T198" s="10"/>
      <c r="U198" s="9"/>
      <c r="V198" s="10"/>
      <c r="W198" s="9"/>
      <c r="X198" s="10"/>
      <c r="Y198" s="9"/>
      <c r="Z198" s="10"/>
      <c r="AA198" s="9"/>
      <c r="AB198" s="10"/>
      <c r="AC198" s="9"/>
      <c r="AD198" s="10"/>
      <c r="AE198" s="9"/>
      <c r="AF198" s="10"/>
      <c r="AG198" s="9"/>
      <c r="AH198" s="10"/>
      <c r="AI198"/>
      <c r="AJ198" s="10"/>
      <c r="AK198"/>
      <c r="AL198" s="10"/>
      <c r="AM198"/>
      <c r="AN198" s="10"/>
      <c r="AO198" s="9"/>
      <c r="AP198" s="10"/>
      <c r="AQ198" s="9"/>
      <c r="AR198" s="10"/>
      <c r="AS198" s="9"/>
      <c r="AT198" s="10"/>
      <c r="AU198" s="10"/>
      <c r="AV198" s="10"/>
      <c r="AW198" s="10"/>
      <c r="AX198" s="10"/>
      <c r="AY198" s="10"/>
      <c r="AZ198" s="10"/>
      <c r="BA198" s="10"/>
      <c r="BB198" s="10"/>
      <c r="BC198" s="10"/>
      <c r="BD198" s="10"/>
      <c r="BE198" s="10"/>
      <c r="BF198" s="10"/>
      <c r="BG198" s="10"/>
      <c r="BH198" s="10"/>
      <c r="BI198" s="10"/>
      <c r="BJ198" s="10"/>
      <c r="BK198" s="9"/>
      <c r="BL198" s="10"/>
      <c r="BM198" s="9"/>
      <c r="BN198" s="10"/>
      <c r="BO198" s="9"/>
      <c r="BP198" s="10"/>
      <c r="BQ198" s="9"/>
      <c r="BR198" s="10"/>
      <c r="BS198" s="9"/>
      <c r="BT198" s="10"/>
      <c r="BU198" s="9"/>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A199" s="56" t="s">
        <v>35</v>
      </c>
      <c r="B199" s="11"/>
      <c r="C199"/>
      <c r="D199"/>
      <c r="E199"/>
      <c r="F199"/>
      <c r="G199"/>
      <c r="H199"/>
      <c r="I199"/>
      <c r="J199" s="49"/>
      <c r="K199"/>
      <c r="L199" s="134"/>
      <c r="M199" s="6"/>
      <c r="O199" s="6"/>
      <c r="Q199" s="6"/>
      <c r="S199" s="6"/>
      <c r="T199" s="6"/>
      <c r="U199" s="12"/>
      <c r="V199" s="6"/>
      <c r="W199" s="12"/>
      <c r="X199" s="6"/>
      <c r="Y199" s="12"/>
      <c r="Z199" s="6"/>
      <c r="AA199" s="12"/>
      <c r="AB199" s="6"/>
      <c r="AC199" s="12"/>
      <c r="AD199" s="6"/>
      <c r="AE199" s="12"/>
      <c r="AG199" s="12"/>
      <c r="AI199"/>
      <c r="AO199" s="12"/>
      <c r="AQ199" s="12"/>
      <c r="AS199" s="12"/>
      <c r="BJ199" s="6"/>
      <c r="BK199" s="6"/>
      <c r="BM199" s="6"/>
      <c r="BN199" s="6"/>
      <c r="BO199" s="6"/>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37</v>
      </c>
      <c r="J200" s="160"/>
      <c r="L200" s="146" t="s">
        <v>205</v>
      </c>
      <c r="M200" s="12"/>
      <c r="N200" s="12">
        <v>0</v>
      </c>
      <c r="O200" s="12"/>
      <c r="P200" s="12">
        <f>300000-5511</f>
        <v>294489</v>
      </c>
      <c r="Q200" s="12"/>
      <c r="R200" s="6">
        <v>206751</v>
      </c>
      <c r="S200" s="12"/>
      <c r="T200" s="12">
        <v>0</v>
      </c>
      <c r="U200" s="12"/>
      <c r="V200" s="12">
        <v>0</v>
      </c>
      <c r="W200" s="12"/>
      <c r="X200" s="12">
        <v>0</v>
      </c>
      <c r="Y200" s="12"/>
      <c r="Z200" s="12">
        <v>0</v>
      </c>
      <c r="AA200" s="12"/>
      <c r="AB200" s="12">
        <v>0</v>
      </c>
      <c r="AC200" s="12"/>
      <c r="AD200" s="12">
        <v>605</v>
      </c>
      <c r="AE200" s="12"/>
      <c r="AF200" s="12">
        <v>0</v>
      </c>
      <c r="AG200" s="12"/>
      <c r="AH200" s="12">
        <v>0</v>
      </c>
      <c r="AI200"/>
      <c r="AJ200" s="12">
        <v>0</v>
      </c>
      <c r="AK200"/>
      <c r="AL200" s="12">
        <v>0</v>
      </c>
      <c r="AM200"/>
      <c r="AN200" s="12">
        <v>0</v>
      </c>
      <c r="AO200" s="12"/>
      <c r="AP200" s="12">
        <v>0</v>
      </c>
      <c r="AQ200" s="12"/>
      <c r="AR200" s="12">
        <v>0</v>
      </c>
      <c r="AS200" s="12"/>
      <c r="AT200" s="12">
        <v>0</v>
      </c>
      <c r="AU200" s="12"/>
      <c r="AV200" s="12">
        <v>0</v>
      </c>
      <c r="AW200" s="12"/>
      <c r="AX200" s="12">
        <v>0</v>
      </c>
      <c r="AY200" s="12"/>
      <c r="AZ200" s="12">
        <v>0</v>
      </c>
      <c r="BA200" s="12"/>
      <c r="BB200" s="12">
        <v>0</v>
      </c>
      <c r="BC200" s="12"/>
      <c r="BD200" s="12">
        <v>0</v>
      </c>
      <c r="BE200" s="12"/>
      <c r="BF200" s="12">
        <v>0</v>
      </c>
      <c r="BG200" s="12"/>
      <c r="BH200" s="12">
        <v>0</v>
      </c>
      <c r="BI200" s="12"/>
      <c r="BJ200" s="12">
        <v>0</v>
      </c>
      <c r="BK200" s="12"/>
      <c r="BL200" s="12">
        <f>SUM(T200:BK200)</f>
        <v>605</v>
      </c>
      <c r="BM200" s="12"/>
      <c r="BN200" s="12">
        <v>0</v>
      </c>
      <c r="BO200" s="12"/>
      <c r="BP200" s="6">
        <f>IF(+R200-BL200+BN200&gt;0,R200-BL200+BN200,0)</f>
        <v>206146</v>
      </c>
      <c r="BQ200" s="12"/>
      <c r="BR200" s="6">
        <f>+BL200+BP200</f>
        <v>206751</v>
      </c>
      <c r="BS200" s="12"/>
      <c r="BT200" s="6">
        <f>+R200-BR200</f>
        <v>0</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504</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c r="AJ201" s="12"/>
      <c r="AK201"/>
      <c r="AL201" s="12"/>
      <c r="AM201"/>
      <c r="AN201" s="12"/>
      <c r="AO201" s="12"/>
      <c r="AP201" s="12"/>
      <c r="AQ201" s="12"/>
      <c r="AR201" s="12">
        <v>252208.46</v>
      </c>
      <c r="AS201" s="12"/>
      <c r="AT201" s="12"/>
      <c r="AU201" s="12"/>
      <c r="AV201" s="12"/>
      <c r="AW201" s="12"/>
      <c r="AX201" s="12"/>
      <c r="AY201" s="12"/>
      <c r="AZ201" s="12"/>
      <c r="BA201" s="12"/>
      <c r="BB201" s="12"/>
      <c r="BC201" s="12"/>
      <c r="BD201" s="12"/>
      <c r="BE201" s="12"/>
      <c r="BF201" s="12"/>
      <c r="BG201" s="12"/>
      <c r="BH201" s="12"/>
      <c r="BI201" s="12"/>
      <c r="BJ201" s="12"/>
      <c r="BK201" s="12"/>
      <c r="BL201" s="12">
        <f>SUM(T201:BK201)</f>
        <v>252208.46</v>
      </c>
      <c r="BM201" s="12"/>
      <c r="BN201" s="12">
        <v>0</v>
      </c>
      <c r="BO201" s="12"/>
      <c r="BP201" s="6">
        <f>IF(+R201-BL201+BN201&gt;0,R201-BL201+BN201,0)</f>
        <v>0</v>
      </c>
      <c r="BQ201" s="12"/>
      <c r="BR201" s="6">
        <f>+BL201+BP201</f>
        <v>252208.46</v>
      </c>
      <c r="BS201" s="12"/>
      <c r="BT201" s="6">
        <f>+R201-BR201</f>
        <v>-252208.46</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B202" s="11" t="s">
        <v>122</v>
      </c>
      <c r="J202" s="160"/>
      <c r="L202" s="146" t="s">
        <v>205</v>
      </c>
      <c r="M202" s="12"/>
      <c r="N202" s="12">
        <v>500000</v>
      </c>
      <c r="O202" s="12"/>
      <c r="P202" s="12">
        <v>-300000</v>
      </c>
      <c r="Q202" s="12"/>
      <c r="R202" s="6">
        <v>50000</v>
      </c>
      <c r="S202" s="12"/>
      <c r="T202" s="12">
        <v>0</v>
      </c>
      <c r="U202" s="12"/>
      <c r="V202" s="12">
        <v>0</v>
      </c>
      <c r="W202" s="12"/>
      <c r="X202" s="12">
        <v>0</v>
      </c>
      <c r="Y202" s="12"/>
      <c r="Z202" s="12">
        <v>10000</v>
      </c>
      <c r="AA202" s="12"/>
      <c r="AB202" s="12"/>
      <c r="AC202" s="12"/>
      <c r="AD202" s="12"/>
      <c r="AE202" s="12"/>
      <c r="AF202" s="12">
        <v>0</v>
      </c>
      <c r="AG202" s="12"/>
      <c r="AH202" s="12">
        <v>21422.91</v>
      </c>
      <c r="AI202"/>
      <c r="AJ202" s="12">
        <v>0</v>
      </c>
      <c r="AK202"/>
      <c r="AL202" s="12">
        <v>75</v>
      </c>
      <c r="AM202"/>
      <c r="AN202" s="12">
        <v>6749.05</v>
      </c>
      <c r="AO202" s="12"/>
      <c r="AP202" s="12">
        <v>4454.9799999999996</v>
      </c>
      <c r="AQ202" s="12"/>
      <c r="AR202" s="12">
        <v>0</v>
      </c>
      <c r="AS202" s="12"/>
      <c r="AT202" s="12">
        <v>0</v>
      </c>
      <c r="AU202" s="12"/>
      <c r="AV202" s="12">
        <v>0</v>
      </c>
      <c r="AW202" s="12"/>
      <c r="AX202" s="12">
        <v>0</v>
      </c>
      <c r="AY202" s="12"/>
      <c r="AZ202" s="12">
        <v>0</v>
      </c>
      <c r="BA202" s="12"/>
      <c r="BB202" s="12">
        <v>0</v>
      </c>
      <c r="BC202" s="12"/>
      <c r="BD202" s="12">
        <v>0</v>
      </c>
      <c r="BE202" s="12"/>
      <c r="BF202" s="12">
        <v>0</v>
      </c>
      <c r="BG202" s="12"/>
      <c r="BH202" s="12">
        <v>0</v>
      </c>
      <c r="BI202" s="12"/>
      <c r="BJ202" s="12">
        <v>0</v>
      </c>
      <c r="BK202" s="12"/>
      <c r="BL202" s="12">
        <f>SUM(T202:BK202)</f>
        <v>42701.94</v>
      </c>
      <c r="BM202" s="12"/>
      <c r="BN202" s="12">
        <v>0</v>
      </c>
      <c r="BO202" s="12"/>
      <c r="BP202" s="6">
        <f>IF(+R202-BL202+BN202&gt;0,R202-BL202+BN202,0)</f>
        <v>7298.0599999999977</v>
      </c>
      <c r="BQ202" s="12"/>
      <c r="BR202" s="6">
        <f>+BL202+BP202</f>
        <v>50000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11" customFormat="1">
      <c r="A203" s="17"/>
      <c r="J203" s="160"/>
      <c r="L203" s="146"/>
      <c r="M203" s="12"/>
      <c r="N203" s="12"/>
      <c r="O203" s="12"/>
      <c r="P203" s="12">
        <v>5511</v>
      </c>
      <c r="Q203" s="12"/>
      <c r="R203" s="6"/>
      <c r="S203" s="12"/>
      <c r="T203" s="12"/>
      <c r="U203" s="12"/>
      <c r="V203" s="12"/>
      <c r="W203" s="12"/>
      <c r="X203" s="12"/>
      <c r="Y203" s="12"/>
      <c r="Z203" s="12"/>
      <c r="AA203" s="12"/>
      <c r="AB203" s="12"/>
      <c r="AC203" s="12"/>
      <c r="AD203" s="12"/>
      <c r="AE203" s="12"/>
      <c r="AF203" s="12"/>
      <c r="AG203" s="12"/>
      <c r="AH203" s="12"/>
      <c r="AI203"/>
      <c r="AJ203" s="12"/>
      <c r="AK203"/>
      <c r="AL203" s="12"/>
      <c r="AM203"/>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f>SUM(T203:BK203)</f>
        <v>0</v>
      </c>
      <c r="BM203" s="12"/>
      <c r="BN203" s="12">
        <v>0</v>
      </c>
      <c r="BO203" s="12"/>
      <c r="BP203" s="6">
        <f>IF(+R203-BL203+BN203&gt;0,R203-BL203+BN203,0)</f>
        <v>0</v>
      </c>
      <c r="BQ203" s="12"/>
      <c r="BR203" s="6">
        <f>+BL203+BP203</f>
        <v>0</v>
      </c>
      <c r="BS203" s="12"/>
      <c r="BT203" s="6">
        <f>+R203-BR203</f>
        <v>0</v>
      </c>
      <c r="BU203" s="12"/>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6"/>
      <c r="B204" s="31" t="s">
        <v>42</v>
      </c>
      <c r="J204" s="8"/>
      <c r="L204" s="143"/>
      <c r="M204" s="9"/>
      <c r="N204" s="102">
        <f>SUM(N200:N203)</f>
        <v>500000</v>
      </c>
      <c r="O204" s="102">
        <f>SUM(O200:O203)</f>
        <v>0</v>
      </c>
      <c r="P204" s="102">
        <f>SUM(P200:P203)</f>
        <v>0</v>
      </c>
      <c r="Q204" s="102">
        <f>SUM(Q200:Q203)</f>
        <v>0</v>
      </c>
      <c r="R204" s="102">
        <f>SUM(R200:R203)</f>
        <v>256751</v>
      </c>
      <c r="S204" s="9"/>
      <c r="T204" s="102">
        <f>SUM(T200:T203)</f>
        <v>0</v>
      </c>
      <c r="U204" s="9"/>
      <c r="V204" s="102">
        <f>SUM(V200:V203)</f>
        <v>0</v>
      </c>
      <c r="W204" s="9"/>
      <c r="X204" s="102">
        <f>SUM(X200:X203)</f>
        <v>0</v>
      </c>
      <c r="Y204" s="9"/>
      <c r="Z204" s="102">
        <f>SUM(Z200:Z203)</f>
        <v>10000</v>
      </c>
      <c r="AA204" s="9"/>
      <c r="AB204" s="102">
        <f>SUM(AB200:AB203)</f>
        <v>0</v>
      </c>
      <c r="AC204" s="9"/>
      <c r="AD204" s="102">
        <f>SUM(AD200:AD203)</f>
        <v>605</v>
      </c>
      <c r="AE204" s="9"/>
      <c r="AF204" s="102">
        <f>SUM(AF200:AF203)</f>
        <v>0</v>
      </c>
      <c r="AG204" s="9"/>
      <c r="AH204" s="102">
        <f>SUM(AH200:AH203)</f>
        <v>21422.91</v>
      </c>
      <c r="AI204"/>
      <c r="AJ204" s="102">
        <f>SUM(AJ200:AJ203)</f>
        <v>0</v>
      </c>
      <c r="AK204"/>
      <c r="AL204" s="102">
        <f>SUM(AL200:AL203)</f>
        <v>75</v>
      </c>
      <c r="AM204"/>
      <c r="AN204" s="102">
        <f>SUM(AN200:AN203)</f>
        <v>6749.05</v>
      </c>
      <c r="AO204" s="9"/>
      <c r="AP204" s="102">
        <f>SUM(AP200:AP203)</f>
        <v>4454.9799999999996</v>
      </c>
      <c r="AQ204" s="9"/>
      <c r="AR204" s="102">
        <f>SUM(AR200:AR203)</f>
        <v>252208.46</v>
      </c>
      <c r="AS204" s="9"/>
      <c r="AT204" s="102">
        <f>SUM(AT200:AT203)</f>
        <v>0</v>
      </c>
      <c r="AU204" s="10"/>
      <c r="AV204" s="102">
        <f>SUM(AV200:AV203)</f>
        <v>0</v>
      </c>
      <c r="AW204" s="10"/>
      <c r="AX204" s="102">
        <f>SUM(AX200:AX203)</f>
        <v>0</v>
      </c>
      <c r="AY204" s="10"/>
      <c r="AZ204" s="102">
        <f>SUM(AZ200:AZ203)</f>
        <v>0</v>
      </c>
      <c r="BA204" s="10"/>
      <c r="BB204" s="102">
        <f>SUM(BB200:BB203)</f>
        <v>0</v>
      </c>
      <c r="BC204" s="10"/>
      <c r="BD204" s="102">
        <f>SUM(BD200:BD203)</f>
        <v>0</v>
      </c>
      <c r="BE204" s="10"/>
      <c r="BF204" s="102">
        <f>SUM(BF200:BF203)</f>
        <v>0</v>
      </c>
      <c r="BG204" s="10"/>
      <c r="BH204" s="102">
        <f>SUM(BH200:BH203)</f>
        <v>0</v>
      </c>
      <c r="BI204" s="10"/>
      <c r="BJ204" s="102">
        <f>SUM(BJ200:BJ203)</f>
        <v>0</v>
      </c>
      <c r="BK204" s="9"/>
      <c r="BL204" s="102">
        <f>SUM(BL200:BL203)</f>
        <v>295515.40000000002</v>
      </c>
      <c r="BM204" s="9"/>
      <c r="BN204" s="102">
        <f>SUM(BN200:BN203)</f>
        <v>0</v>
      </c>
      <c r="BO204" s="9"/>
      <c r="BP204" s="102">
        <f>SUM(BP200:BP203)</f>
        <v>213444.06</v>
      </c>
      <c r="BQ204" s="9"/>
      <c r="BR204" s="102">
        <f>SUM(BR200:BR203)</f>
        <v>508959.45999999996</v>
      </c>
      <c r="BS204" s="9"/>
      <c r="BT204" s="102">
        <f>SUM(BT200:BT203)</f>
        <v>-252208.46</v>
      </c>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21" customFormat="1">
      <c r="A205" s="58"/>
      <c r="B205" s="31"/>
      <c r="J205" s="8"/>
      <c r="L205" s="143"/>
      <c r="M205" s="9"/>
      <c r="N205" s="10"/>
      <c r="O205" s="10"/>
      <c r="P205" s="10"/>
      <c r="Q205" s="10"/>
      <c r="R205" s="10"/>
      <c r="S205" s="9"/>
      <c r="T205" s="10"/>
      <c r="U205" s="9"/>
      <c r="V205" s="10"/>
      <c r="W205" s="9"/>
      <c r="X205" s="10"/>
      <c r="Y205" s="9"/>
      <c r="Z205" s="10"/>
      <c r="AA205" s="9"/>
      <c r="AB205" s="10"/>
      <c r="AC205" s="9"/>
      <c r="AD205" s="10"/>
      <c r="AE205" s="9"/>
      <c r="AF205" s="10"/>
      <c r="AG205" s="9"/>
      <c r="AH205" s="10"/>
      <c r="AI205"/>
      <c r="AJ205" s="10"/>
      <c r="AK205"/>
      <c r="AL205" s="10"/>
      <c r="AM205"/>
      <c r="AN205" s="10"/>
      <c r="AO205" s="9"/>
      <c r="AP205" s="10"/>
      <c r="AQ205" s="9"/>
      <c r="AR205" s="10"/>
      <c r="AS205" s="9"/>
      <c r="AT205" s="10"/>
      <c r="AU205" s="10"/>
      <c r="AV205" s="10"/>
      <c r="AW205" s="10"/>
      <c r="AX205" s="10"/>
      <c r="AY205" s="10"/>
      <c r="AZ205" s="10"/>
      <c r="BA205" s="10"/>
      <c r="BB205" s="10"/>
      <c r="BC205" s="10"/>
      <c r="BD205" s="10"/>
      <c r="BE205" s="10"/>
      <c r="BF205" s="10"/>
      <c r="BG205" s="10"/>
      <c r="BH205" s="10"/>
      <c r="BI205" s="10"/>
      <c r="BJ205" s="10"/>
      <c r="BK205" s="9"/>
      <c r="BL205" s="10"/>
      <c r="BM205" s="9"/>
      <c r="BN205" s="10"/>
      <c r="BO205" s="9"/>
      <c r="BP205" s="10"/>
      <c r="BQ205" s="9"/>
      <c r="BR205" s="10"/>
      <c r="BS205" s="9"/>
      <c r="BT205" s="10"/>
      <c r="BU205" s="9"/>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31" customFormat="1">
      <c r="A206" s="58" t="s">
        <v>251</v>
      </c>
      <c r="J206" s="159"/>
      <c r="L206" s="145" t="s">
        <v>204</v>
      </c>
      <c r="M206" s="10"/>
      <c r="N206" s="10">
        <v>10922239</v>
      </c>
      <c r="O206" s="10"/>
      <c r="P206" s="10">
        <f>10969926-N206</f>
        <v>47687</v>
      </c>
      <c r="Q206" s="10"/>
      <c r="R206" s="9">
        <v>12808124</v>
      </c>
      <c r="S206" s="10"/>
      <c r="T206" s="10">
        <v>340000</v>
      </c>
      <c r="U206" s="10"/>
      <c r="V206" s="10">
        <v>46410</v>
      </c>
      <c r="W206" s="10"/>
      <c r="X206" s="10">
        <v>139384</v>
      </c>
      <c r="Y206" s="10"/>
      <c r="Z206" s="10">
        <v>227439</v>
      </c>
      <c r="AA206" s="10"/>
      <c r="AB206" s="10">
        <v>231444</v>
      </c>
      <c r="AC206" s="10"/>
      <c r="AD206" s="10">
        <v>419367</v>
      </c>
      <c r="AE206" s="10"/>
      <c r="AF206" s="10">
        <v>378615.01085416664</v>
      </c>
      <c r="AG206" s="10"/>
      <c r="AH206" s="10">
        <v>426069.82412684895</v>
      </c>
      <c r="AI206"/>
      <c r="AJ206" s="10">
        <f>[1]Wilton!$K$40</f>
        <v>463711.37538870639</v>
      </c>
      <c r="AK206"/>
      <c r="AL206" s="10">
        <f>[1]Wilton!$L$40</f>
        <v>505639.68570277008</v>
      </c>
      <c r="AM206"/>
      <c r="AN206" s="10">
        <v>568176</v>
      </c>
      <c r="AO206" s="10"/>
      <c r="AP206" s="10">
        <f>[1]Wilton!$N$40</f>
        <v>663422.29387704656</v>
      </c>
      <c r="AQ206" s="10"/>
      <c r="AR206" s="10">
        <f>[1]Wilton!$O$40</f>
        <v>873819.32529526937</v>
      </c>
      <c r="AS206" s="10"/>
      <c r="AT206" s="10">
        <v>0</v>
      </c>
      <c r="AU206" s="10"/>
      <c r="AV206" s="10">
        <v>0</v>
      </c>
      <c r="AW206" s="10"/>
      <c r="AX206" s="10">
        <v>0</v>
      </c>
      <c r="AY206" s="10"/>
      <c r="AZ206" s="10">
        <v>0</v>
      </c>
      <c r="BA206" s="10"/>
      <c r="BB206" s="10">
        <v>0</v>
      </c>
      <c r="BC206" s="10"/>
      <c r="BD206" s="10">
        <v>0</v>
      </c>
      <c r="BE206" s="10"/>
      <c r="BF206" s="10">
        <v>0</v>
      </c>
      <c r="BG206" s="10"/>
      <c r="BH206" s="10">
        <v>0</v>
      </c>
      <c r="BI206" s="10"/>
      <c r="BJ206" s="10">
        <v>0</v>
      </c>
      <c r="BK206" s="10"/>
      <c r="BL206" s="10">
        <f>SUM(T206:BK206)</f>
        <v>5283497.515244808</v>
      </c>
      <c r="BM206" s="10"/>
      <c r="BN206" s="10">
        <v>0</v>
      </c>
      <c r="BO206" s="10"/>
      <c r="BP206" s="6">
        <f>IF(+R206-BL206+BN206&gt;0,R206-BL206+BN206,0)-R206+[1]Wilton!$Y$40</f>
        <v>6965609.4075223524</v>
      </c>
      <c r="BQ206" s="10"/>
      <c r="BR206" s="9">
        <f>+BL206+BP206</f>
        <v>12249106.92276716</v>
      </c>
      <c r="BS206" s="10"/>
      <c r="BT206" s="9">
        <f>+R206-BR206</f>
        <v>559017.07723283954</v>
      </c>
      <c r="BU206" s="10"/>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c r="AJ207" s="10"/>
      <c r="AK207"/>
      <c r="AL207" s="10"/>
      <c r="AM207"/>
      <c r="AN207" s="10"/>
      <c r="AO207" s="9"/>
      <c r="AP207" s="10"/>
      <c r="AQ207" s="9"/>
      <c r="AR207" s="10"/>
      <c r="AS207" s="9"/>
      <c r="AT207" s="10"/>
      <c r="AU207" s="10"/>
      <c r="AV207" s="10"/>
      <c r="AW207" s="10"/>
      <c r="AX207" s="10"/>
      <c r="AY207" s="10"/>
      <c r="AZ207" s="10"/>
      <c r="BA207" s="10"/>
      <c r="BB207" s="10"/>
      <c r="BC207" s="10"/>
      <c r="BD207" s="10"/>
      <c r="BE207" s="10"/>
      <c r="BF207" s="10"/>
      <c r="BG207" s="10"/>
      <c r="BH207" s="10"/>
      <c r="BI207" s="10"/>
      <c r="BJ207" s="10"/>
      <c r="BK207" s="9"/>
      <c r="BL207" s="10"/>
      <c r="BM207" s="9"/>
      <c r="BN207" s="10"/>
      <c r="BO207" s="9"/>
      <c r="BP207" s="10"/>
      <c r="BQ207" s="9"/>
      <c r="BR207" s="10"/>
      <c r="BS207" s="9"/>
      <c r="BT207" s="10"/>
      <c r="BU207" s="9"/>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105" customFormat="1">
      <c r="A208" s="84" t="s">
        <v>250</v>
      </c>
      <c r="B208" s="54"/>
      <c r="J208" s="158"/>
      <c r="L208" s="144"/>
      <c r="M208" s="13"/>
      <c r="N208" s="120"/>
      <c r="O208" s="13"/>
      <c r="P208" s="120"/>
      <c r="Q208" s="13"/>
      <c r="R208" s="120">
        <f>R206+R197+R188+R186+R184+R178+R174+R167+R160+R158+R156+R154+R152+R204+R176</f>
        <v>24972135</v>
      </c>
      <c r="S208" s="120">
        <f t="shared" ref="S208:BS208" si="37">S206+S197+S188+S186+S184+S178+S174+S167+S160+S158+S156+S154+S152+S204+S176</f>
        <v>0</v>
      </c>
      <c r="T208" s="120">
        <f t="shared" si="37"/>
        <v>340000</v>
      </c>
      <c r="U208" s="120">
        <f t="shared" si="37"/>
        <v>0</v>
      </c>
      <c r="V208" s="120">
        <f t="shared" si="37"/>
        <v>47646</v>
      </c>
      <c r="W208" s="120">
        <f t="shared" si="37"/>
        <v>0</v>
      </c>
      <c r="X208" s="120">
        <f t="shared" si="37"/>
        <v>218493</v>
      </c>
      <c r="Y208" s="120">
        <f t="shared" si="37"/>
        <v>0</v>
      </c>
      <c r="Z208" s="120">
        <f t="shared" si="37"/>
        <v>292259</v>
      </c>
      <c r="AA208" s="120">
        <f t="shared" si="37"/>
        <v>0</v>
      </c>
      <c r="AB208" s="120">
        <f t="shared" si="37"/>
        <v>1722017</v>
      </c>
      <c r="AC208" s="120">
        <f t="shared" si="37"/>
        <v>0</v>
      </c>
      <c r="AD208" s="120">
        <f t="shared" si="37"/>
        <v>540746.83000000007</v>
      </c>
      <c r="AE208" s="120"/>
      <c r="AF208" s="120">
        <f t="shared" si="37"/>
        <v>622375.14085416659</v>
      </c>
      <c r="AG208" s="120"/>
      <c r="AH208" s="120">
        <f>AH206+AH197+AH188+AH186+AH184+AH178+AH174+AH167+AH160+AH158+AH156+AH154+AH152+AH204+AH176</f>
        <v>1381148.8641268488</v>
      </c>
      <c r="AI208"/>
      <c r="AJ208" s="120">
        <f>AJ206+AJ197+AJ188+AJ186+AJ184+AJ178+AJ174+AJ167+AJ160+AJ158+AJ156+AJ154+AJ152+AJ204+AJ176</f>
        <v>515549.77538870636</v>
      </c>
      <c r="AK208"/>
      <c r="AL208" s="120">
        <f t="shared" si="37"/>
        <v>551052.15570277011</v>
      </c>
      <c r="AM208"/>
      <c r="AN208" s="120">
        <f t="shared" si="37"/>
        <v>693677.65</v>
      </c>
      <c r="AO208" s="120">
        <f t="shared" si="37"/>
        <v>0</v>
      </c>
      <c r="AP208" s="120">
        <f t="shared" si="37"/>
        <v>997479.58387704659</v>
      </c>
      <c r="AQ208" s="120">
        <f t="shared" si="37"/>
        <v>0</v>
      </c>
      <c r="AR208" s="120">
        <f t="shared" si="37"/>
        <v>1810970.3252952693</v>
      </c>
      <c r="AS208" s="120">
        <f t="shared" si="37"/>
        <v>0</v>
      </c>
      <c r="AT208" s="120">
        <f t="shared" si="37"/>
        <v>354176.64</v>
      </c>
      <c r="AU208" s="120">
        <f t="shared" si="37"/>
        <v>0</v>
      </c>
      <c r="AV208" s="120">
        <f t="shared" si="37"/>
        <v>0</v>
      </c>
      <c r="AW208" s="120">
        <f t="shared" si="37"/>
        <v>0</v>
      </c>
      <c r="AX208" s="120">
        <f t="shared" si="37"/>
        <v>0</v>
      </c>
      <c r="AY208" s="120">
        <f t="shared" si="37"/>
        <v>0</v>
      </c>
      <c r="AZ208" s="120">
        <f t="shared" si="37"/>
        <v>0</v>
      </c>
      <c r="BA208" s="120">
        <f t="shared" si="37"/>
        <v>0</v>
      </c>
      <c r="BB208" s="120">
        <f t="shared" si="37"/>
        <v>0</v>
      </c>
      <c r="BC208" s="120">
        <f t="shared" si="37"/>
        <v>0</v>
      </c>
      <c r="BD208" s="120">
        <f t="shared" si="37"/>
        <v>0</v>
      </c>
      <c r="BE208" s="120">
        <f t="shared" si="37"/>
        <v>0</v>
      </c>
      <c r="BF208" s="120">
        <f t="shared" si="37"/>
        <v>0</v>
      </c>
      <c r="BG208" s="120">
        <f t="shared" si="37"/>
        <v>0</v>
      </c>
      <c r="BH208" s="120">
        <f t="shared" si="37"/>
        <v>0</v>
      </c>
      <c r="BI208" s="120">
        <f t="shared" si="37"/>
        <v>0</v>
      </c>
      <c r="BJ208" s="120">
        <f t="shared" si="37"/>
        <v>0</v>
      </c>
      <c r="BK208" s="120">
        <f t="shared" si="37"/>
        <v>0</v>
      </c>
      <c r="BL208" s="120">
        <f t="shared" si="37"/>
        <v>10087591.965244809</v>
      </c>
      <c r="BM208" s="120">
        <f t="shared" si="37"/>
        <v>0</v>
      </c>
      <c r="BN208" s="120">
        <f t="shared" si="37"/>
        <v>3628502</v>
      </c>
      <c r="BO208" s="120">
        <f t="shared" si="37"/>
        <v>0</v>
      </c>
      <c r="BP208" s="120">
        <f t="shared" si="37"/>
        <v>19000499.44752235</v>
      </c>
      <c r="BQ208" s="120">
        <f t="shared" si="37"/>
        <v>0</v>
      </c>
      <c r="BR208" s="120">
        <f t="shared" si="37"/>
        <v>29088091.412767161</v>
      </c>
      <c r="BS208" s="120">
        <f t="shared" si="37"/>
        <v>0</v>
      </c>
      <c r="BT208" s="120">
        <f>BT206+BT197+BT188+BT186+BT184+BT178+BT174+BT167+BT160+BT158+BT156+BT154+BT152+BT204</f>
        <v>-3915956.4127671607</v>
      </c>
      <c r="BU208" s="120">
        <f>BU206+BU197+BU188+BU186+BU184+BU178+BU174+BU167+BU160+BU158+BU156+BU154+BU152+BU204</f>
        <v>0</v>
      </c>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c r="AJ209" s="10"/>
      <c r="AK209"/>
      <c r="AL209" s="10"/>
      <c r="AM20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t="s">
        <v>192</v>
      </c>
      <c r="B210" s="31"/>
      <c r="J210" s="8"/>
      <c r="L210" s="143" t="s">
        <v>204</v>
      </c>
      <c r="M210" s="9"/>
      <c r="N210" s="9">
        <v>5395729</v>
      </c>
      <c r="O210" s="9"/>
      <c r="P210" s="9">
        <f>5463580+-N210</f>
        <v>67851</v>
      </c>
      <c r="Q210" s="9"/>
      <c r="R210" s="9">
        <v>4408071.75</v>
      </c>
      <c r="S210" s="9"/>
      <c r="T210" s="9"/>
      <c r="U210" s="9"/>
      <c r="V210" s="9"/>
      <c r="W210" s="9"/>
      <c r="X210" s="9"/>
      <c r="Y210" s="9"/>
      <c r="Z210" s="9"/>
      <c r="AA210" s="9"/>
      <c r="AB210" s="9"/>
      <c r="AC210" s="9"/>
      <c r="AD210" s="9"/>
      <c r="AE210" s="9"/>
      <c r="AF210" s="9">
        <v>0</v>
      </c>
      <c r="AG210" s="9"/>
      <c r="AH210" s="9"/>
      <c r="AI210"/>
      <c r="AJ210" s="9"/>
      <c r="AK210"/>
      <c r="AL210" s="9"/>
      <c r="AM210"/>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10">
        <f>SUM(T210:BK210)</f>
        <v>0</v>
      </c>
      <c r="BM210" s="9">
        <v>2030320</v>
      </c>
      <c r="BN210" s="9">
        <v>-4408072</v>
      </c>
      <c r="BO210" s="9">
        <v>2030320</v>
      </c>
      <c r="BP210" s="6">
        <f>IF(+R210-BL210+BN210&gt;0,R210-BL210+BN210,0)</f>
        <v>0</v>
      </c>
      <c r="BQ210" s="9">
        <v>2030320</v>
      </c>
      <c r="BR210" s="9">
        <f>+BL210+BP210</f>
        <v>0</v>
      </c>
      <c r="BS210" s="9">
        <v>2030320</v>
      </c>
      <c r="BT210" s="6">
        <f>+R210-BR210</f>
        <v>4408071.75</v>
      </c>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c r="AJ211" s="10"/>
      <c r="AK211"/>
      <c r="AL211" s="10"/>
      <c r="AM211"/>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c r="AJ212" s="10"/>
      <c r="AK212"/>
      <c r="AL212" s="10"/>
      <c r="AM212"/>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c r="BM212" s="9"/>
      <c r="BN212" s="10"/>
      <c r="BO212" s="9"/>
      <c r="BP212" s="10"/>
      <c r="BQ212" s="9"/>
      <c r="BR212" s="10"/>
      <c r="BS212" s="9"/>
      <c r="BT212" s="10"/>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170" customFormat="1">
      <c r="A213" s="169" t="s">
        <v>255</v>
      </c>
      <c r="J213" s="171"/>
      <c r="L213" s="172"/>
      <c r="M213" s="173"/>
      <c r="N213" s="173"/>
      <c r="O213" s="173"/>
      <c r="P213" s="173"/>
      <c r="Q213" s="173"/>
      <c r="R213" s="168">
        <f t="shared" ref="R213:AD213" si="38">R33+R134+R124+R143+R208+R210</f>
        <v>242742225.75</v>
      </c>
      <c r="S213" s="168">
        <f t="shared" si="38"/>
        <v>0</v>
      </c>
      <c r="T213" s="168">
        <f t="shared" si="38"/>
        <v>7140000</v>
      </c>
      <c r="U213" s="168">
        <f t="shared" si="38"/>
        <v>0</v>
      </c>
      <c r="V213" s="168">
        <f t="shared" si="38"/>
        <v>1297646</v>
      </c>
      <c r="W213" s="168">
        <f t="shared" si="38"/>
        <v>0</v>
      </c>
      <c r="X213" s="168">
        <f t="shared" si="38"/>
        <v>33103293</v>
      </c>
      <c r="Y213" s="168">
        <f t="shared" si="38"/>
        <v>0</v>
      </c>
      <c r="Z213" s="168">
        <f t="shared" si="38"/>
        <v>292259</v>
      </c>
      <c r="AA213" s="168">
        <f t="shared" si="38"/>
        <v>0</v>
      </c>
      <c r="AB213" s="168">
        <f t="shared" si="38"/>
        <v>1722017</v>
      </c>
      <c r="AC213" s="168">
        <f t="shared" si="38"/>
        <v>0</v>
      </c>
      <c r="AD213" s="168">
        <f t="shared" si="38"/>
        <v>18851273.829999998</v>
      </c>
      <c r="AE213" s="168"/>
      <c r="AF213" s="168">
        <f>AF33+AF134+AF124+AF143+AF208+AF210</f>
        <v>8237655.1408541668</v>
      </c>
      <c r="AG213" s="168"/>
      <c r="AH213" s="168">
        <f>AH33+AH134+AH124+AH143+AH208+AH210</f>
        <v>8871230.9374601822</v>
      </c>
      <c r="AI213"/>
      <c r="AJ213" s="168">
        <f>AJ33+AJ134+AJ124+AJ143+AJ208+AJ210</f>
        <v>6989210.1253887061</v>
      </c>
      <c r="AK213"/>
      <c r="AL213" s="168">
        <f>AL33+AL134+AL124+AL143+AL208+AL210</f>
        <v>7789231.1557027698</v>
      </c>
      <c r="AM213"/>
      <c r="AN213" s="168">
        <f t="shared" ref="AN213:BT213" si="39">AN33+AN134+AN124+AN143+AN208+AN210</f>
        <v>11600775.180000002</v>
      </c>
      <c r="AO213" s="168">
        <f t="shared" si="39"/>
        <v>0</v>
      </c>
      <c r="AP213" s="168">
        <f t="shared" si="39"/>
        <v>17679120.913877048</v>
      </c>
      <c r="AQ213" s="168">
        <f t="shared" si="39"/>
        <v>0</v>
      </c>
      <c r="AR213" s="168">
        <f t="shared" si="39"/>
        <v>39304333.695295267</v>
      </c>
      <c r="AS213" s="168">
        <f t="shared" si="39"/>
        <v>0</v>
      </c>
      <c r="AT213" s="168">
        <f t="shared" si="39"/>
        <v>2003364.77</v>
      </c>
      <c r="AU213" s="168">
        <f t="shared" si="39"/>
        <v>0</v>
      </c>
      <c r="AV213" s="168">
        <f t="shared" si="39"/>
        <v>0</v>
      </c>
      <c r="AW213" s="168">
        <f t="shared" si="39"/>
        <v>0</v>
      </c>
      <c r="AX213" s="168">
        <f t="shared" si="39"/>
        <v>0</v>
      </c>
      <c r="AY213" s="168">
        <f t="shared" si="39"/>
        <v>0</v>
      </c>
      <c r="AZ213" s="168">
        <f t="shared" si="39"/>
        <v>0</v>
      </c>
      <c r="BA213" s="168">
        <f t="shared" si="39"/>
        <v>0</v>
      </c>
      <c r="BB213" s="168">
        <f t="shared" si="39"/>
        <v>0</v>
      </c>
      <c r="BC213" s="168">
        <f t="shared" si="39"/>
        <v>0</v>
      </c>
      <c r="BD213" s="168">
        <f t="shared" si="39"/>
        <v>0</v>
      </c>
      <c r="BE213" s="168">
        <f t="shared" si="39"/>
        <v>0</v>
      </c>
      <c r="BF213" s="168">
        <f t="shared" si="39"/>
        <v>0</v>
      </c>
      <c r="BG213" s="168">
        <f t="shared" si="39"/>
        <v>0</v>
      </c>
      <c r="BH213" s="168">
        <f t="shared" si="39"/>
        <v>0</v>
      </c>
      <c r="BI213" s="168">
        <f t="shared" si="39"/>
        <v>0</v>
      </c>
      <c r="BJ213" s="168">
        <f t="shared" si="39"/>
        <v>0</v>
      </c>
      <c r="BK213" s="168">
        <f t="shared" si="39"/>
        <v>0</v>
      </c>
      <c r="BL213" s="168">
        <f t="shared" si="39"/>
        <v>164881410.74857813</v>
      </c>
      <c r="BM213" s="168">
        <f t="shared" si="39"/>
        <v>2030320</v>
      </c>
      <c r="BN213" s="168">
        <f t="shared" si="39"/>
        <v>9056102</v>
      </c>
      <c r="BO213" s="168">
        <f t="shared" si="39"/>
        <v>2030320</v>
      </c>
      <c r="BP213" s="168">
        <f t="shared" si="39"/>
        <v>89854919.664189011</v>
      </c>
      <c r="BQ213" s="168">
        <f t="shared" si="39"/>
        <v>2030320</v>
      </c>
      <c r="BR213" s="168">
        <f t="shared" si="39"/>
        <v>254736330.41276717</v>
      </c>
      <c r="BS213" s="168">
        <f t="shared" si="39"/>
        <v>2030320</v>
      </c>
      <c r="BT213" s="168">
        <f t="shared" si="39"/>
        <v>-11794104.662767161</v>
      </c>
      <c r="BU213" s="17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t="s">
        <v>253</v>
      </c>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c r="AJ214" s="10"/>
      <c r="AK214"/>
      <c r="AL214" s="10"/>
      <c r="AM214"/>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f>BR213/B4</f>
        <v>418974.22765257757</v>
      </c>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6"/>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c r="AJ215" s="10"/>
      <c r="AK215"/>
      <c r="AL215" s="10"/>
      <c r="AM215"/>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8" t="s">
        <v>221</v>
      </c>
      <c r="B216" s="31"/>
      <c r="J216" s="8"/>
      <c r="L216" s="143" t="s">
        <v>204</v>
      </c>
      <c r="M216" s="9"/>
      <c r="N216" s="9">
        <v>0</v>
      </c>
      <c r="O216" s="9"/>
      <c r="P216" s="9">
        <f>21557+23365.91</f>
        <v>44922.91</v>
      </c>
      <c r="Q216" s="9"/>
      <c r="R216" s="9">
        <v>-6078</v>
      </c>
      <c r="S216" s="9"/>
      <c r="T216" s="9"/>
      <c r="U216" s="9"/>
      <c r="V216" s="9"/>
      <c r="W216" s="9"/>
      <c r="X216" s="9"/>
      <c r="Y216" s="9"/>
      <c r="Z216" s="9">
        <v>-21556.400000000001</v>
      </c>
      <c r="AA216" s="9"/>
      <c r="AB216" s="9">
        <f>43113+23365.91</f>
        <v>66478.91</v>
      </c>
      <c r="AC216" s="9"/>
      <c r="AD216" s="9">
        <v>-51000</v>
      </c>
      <c r="AE216" s="9"/>
      <c r="AF216" s="9"/>
      <c r="AG216" s="9"/>
      <c r="AH216" s="9"/>
      <c r="AI216"/>
      <c r="AJ216" s="9"/>
      <c r="AK216"/>
      <c r="AL216" s="9"/>
      <c r="AM216"/>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10">
        <f>SUM(T216:BK216)</f>
        <v>-6077.489999999998</v>
      </c>
      <c r="BM216" s="9"/>
      <c r="BN216" s="10">
        <v>0</v>
      </c>
      <c r="BO216" s="10"/>
      <c r="BP216" s="6">
        <f>IF(+R216-BL216+BN216&gt;0,R216-BL216+BN216,0)</f>
        <v>0</v>
      </c>
      <c r="BQ216" s="10"/>
      <c r="BR216" s="9">
        <f>+BL216+BP216</f>
        <v>-6077.489999999998</v>
      </c>
      <c r="BS216" s="10"/>
      <c r="BT216" s="9">
        <v>0</v>
      </c>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c r="AJ217" s="10"/>
      <c r="AK217"/>
      <c r="AL217" s="10"/>
      <c r="AM217"/>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c r="BM217" s="9"/>
      <c r="BN217" s="10"/>
      <c r="BO217" s="9"/>
      <c r="BP217" s="10"/>
      <c r="BQ217" s="9"/>
      <c r="BR217" s="10"/>
      <c r="BS217" s="9"/>
      <c r="BT217" s="10"/>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t="s">
        <v>372</v>
      </c>
      <c r="B218" s="31"/>
      <c r="J218" s="8"/>
      <c r="L218" s="143"/>
      <c r="M218" s="9"/>
      <c r="N218" s="10"/>
      <c r="O218" s="9"/>
      <c r="P218" s="10"/>
      <c r="Q218" s="9"/>
      <c r="R218" s="10">
        <v>0</v>
      </c>
      <c r="S218" s="9"/>
      <c r="T218" s="10"/>
      <c r="U218" s="9"/>
      <c r="V218" s="10"/>
      <c r="W218" s="9"/>
      <c r="X218" s="10"/>
      <c r="Y218" s="9"/>
      <c r="Z218" s="10"/>
      <c r="AA218" s="9"/>
      <c r="AB218" s="10">
        <v>0</v>
      </c>
      <c r="AC218" s="9"/>
      <c r="AD218" s="10">
        <v>100</v>
      </c>
      <c r="AE218" s="9"/>
      <c r="AF218" s="10"/>
      <c r="AG218" s="9"/>
      <c r="AH218" s="10"/>
      <c r="AI218"/>
      <c r="AJ218" s="10">
        <f>220+59</f>
        <v>279</v>
      </c>
      <c r="AK218"/>
      <c r="AL218" s="10">
        <v>10</v>
      </c>
      <c r="AM218"/>
      <c r="AN218" s="10"/>
      <c r="AO218" s="9"/>
      <c r="AP218" s="10">
        <v>800</v>
      </c>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f>SUM(T218:BK218)</f>
        <v>1189</v>
      </c>
      <c r="BM218" s="9"/>
      <c r="BN218" s="10">
        <v>0</v>
      </c>
      <c r="BO218" s="9"/>
      <c r="BP218" s="6">
        <f>IF(+R218-BL218+BN218&gt;0,R218-BL218+BN218,0)</f>
        <v>0</v>
      </c>
      <c r="BQ218" s="9"/>
      <c r="BR218" s="9">
        <f>+BL218+BP218</f>
        <v>1189</v>
      </c>
      <c r="BS218" s="9"/>
      <c r="BT218" s="10">
        <v>0</v>
      </c>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6"/>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c r="AJ219" s="10"/>
      <c r="AK219"/>
      <c r="AL219" s="10"/>
      <c r="AM21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t="s">
        <v>271</v>
      </c>
      <c r="B220" s="31"/>
      <c r="J220" s="8"/>
      <c r="L220" s="143"/>
      <c r="M220" s="9"/>
      <c r="N220" s="10"/>
      <c r="O220" s="9"/>
      <c r="P220" s="10"/>
      <c r="Q220" s="9"/>
      <c r="R220" s="10">
        <v>-56499</v>
      </c>
      <c r="S220" s="9"/>
      <c r="T220" s="10"/>
      <c r="U220" s="9"/>
      <c r="V220" s="10"/>
      <c r="W220" s="9"/>
      <c r="X220" s="10"/>
      <c r="Y220" s="9"/>
      <c r="Z220" s="10"/>
      <c r="AA220" s="9"/>
      <c r="AB220" s="10">
        <v>-56500</v>
      </c>
      <c r="AC220" s="9"/>
      <c r="AD220" s="10">
        <f>1-35</f>
        <v>-34</v>
      </c>
      <c r="AE220" s="9"/>
      <c r="AF220" s="10">
        <v>-69954</v>
      </c>
      <c r="AG220" s="9"/>
      <c r="AH220" s="10">
        <v>-22011</v>
      </c>
      <c r="AI220"/>
      <c r="AJ220" s="10">
        <f>-861-98</f>
        <v>-959</v>
      </c>
      <c r="AK220"/>
      <c r="AL220" s="10">
        <v>-3</v>
      </c>
      <c r="AM220"/>
      <c r="AN220" s="10">
        <f>52264-47</f>
        <v>52217</v>
      </c>
      <c r="AO220" s="9"/>
      <c r="AP220" s="10">
        <f>-233-52264</f>
        <v>-52497</v>
      </c>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f>SUM(T220:BK220)</f>
        <v>-149741</v>
      </c>
      <c r="BM220" s="9"/>
      <c r="BN220" s="10"/>
      <c r="BO220" s="9"/>
      <c r="BP220" s="6">
        <v>0</v>
      </c>
      <c r="BQ220" s="9"/>
      <c r="BR220" s="9">
        <f>+BL220+BP220</f>
        <v>-149741</v>
      </c>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c r="AJ221" s="10"/>
      <c r="AK221"/>
      <c r="AL221" s="10"/>
      <c r="AM221"/>
      <c r="AN221" s="10"/>
      <c r="AO221" s="9"/>
      <c r="AP221" s="10"/>
      <c r="AQ221" s="9"/>
      <c r="AR221" s="10"/>
      <c r="AS221" s="9"/>
      <c r="AT221" s="10"/>
      <c r="AU221" s="10"/>
      <c r="AV221" s="10"/>
      <c r="AW221" s="10"/>
      <c r="AX221" s="10"/>
      <c r="AY221" s="10"/>
      <c r="AZ221" s="10"/>
      <c r="BA221" s="10"/>
      <c r="BB221" s="10"/>
      <c r="BC221" s="10"/>
      <c r="BD221" s="10"/>
      <c r="BE221" s="10"/>
      <c r="BF221" s="10"/>
      <c r="BG221" s="10"/>
      <c r="BH221" s="10"/>
      <c r="BI221" s="10"/>
      <c r="BJ221" s="10"/>
      <c r="BK221" s="9"/>
      <c r="BL221" s="10"/>
      <c r="BM221" s="9"/>
      <c r="BN221" s="10"/>
      <c r="BO221" s="9"/>
      <c r="BP221" s="10"/>
      <c r="BQ221" s="9"/>
      <c r="BR221" s="10"/>
      <c r="BS221" s="9"/>
      <c r="BT221" s="10"/>
      <c r="BU221" s="9"/>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t="s">
        <v>254</v>
      </c>
      <c r="B222" s="31"/>
      <c r="J222" s="8"/>
      <c r="L222" s="143"/>
      <c r="M222" s="9"/>
      <c r="N222" s="10"/>
      <c r="O222" s="9"/>
      <c r="P222" s="10"/>
      <c r="Q222" s="9"/>
      <c r="R222" s="10">
        <f t="shared" ref="R222:BL222" si="40">R213+R216+R218+R220</f>
        <v>242679648.75</v>
      </c>
      <c r="S222" s="10">
        <f t="shared" si="40"/>
        <v>0</v>
      </c>
      <c r="T222" s="10">
        <f t="shared" si="40"/>
        <v>7140000</v>
      </c>
      <c r="U222" s="10">
        <f t="shared" si="40"/>
        <v>0</v>
      </c>
      <c r="V222" s="10">
        <f t="shared" si="40"/>
        <v>1297646</v>
      </c>
      <c r="W222" s="10">
        <f t="shared" si="40"/>
        <v>0</v>
      </c>
      <c r="X222" s="10">
        <f t="shared" si="40"/>
        <v>33103293</v>
      </c>
      <c r="Y222" s="10">
        <f t="shared" si="40"/>
        <v>0</v>
      </c>
      <c r="Z222" s="10">
        <f t="shared" si="40"/>
        <v>270702.59999999998</v>
      </c>
      <c r="AA222" s="10">
        <f t="shared" si="40"/>
        <v>0</v>
      </c>
      <c r="AB222" s="10">
        <f t="shared" si="40"/>
        <v>1731995.91</v>
      </c>
      <c r="AC222" s="10">
        <f t="shared" si="40"/>
        <v>0</v>
      </c>
      <c r="AD222" s="10">
        <f t="shared" si="40"/>
        <v>18800339.829999998</v>
      </c>
      <c r="AE222" s="10"/>
      <c r="AF222" s="10">
        <f t="shared" si="40"/>
        <v>8167701.1408541668</v>
      </c>
      <c r="AG222" s="10"/>
      <c r="AH222" s="10">
        <f t="shared" si="40"/>
        <v>8849219.9374601822</v>
      </c>
      <c r="AI222"/>
      <c r="AJ222" s="10">
        <f>AJ213+AJ216+AJ218+AJ220</f>
        <v>6988530.1253887061</v>
      </c>
      <c r="AK222"/>
      <c r="AL222" s="10">
        <f t="shared" si="40"/>
        <v>7789238.1557027698</v>
      </c>
      <c r="AM222"/>
      <c r="AN222" s="10">
        <f t="shared" si="40"/>
        <v>11652992.180000002</v>
      </c>
      <c r="AO222" s="10">
        <f t="shared" si="40"/>
        <v>0</v>
      </c>
      <c r="AP222" s="10">
        <f t="shared" si="40"/>
        <v>17627423.913877048</v>
      </c>
      <c r="AQ222" s="10">
        <f t="shared" si="40"/>
        <v>0</v>
      </c>
      <c r="AR222" s="10">
        <f t="shared" si="40"/>
        <v>39304333.695295267</v>
      </c>
      <c r="AS222" s="10">
        <f t="shared" si="40"/>
        <v>0</v>
      </c>
      <c r="AT222" s="10">
        <f t="shared" si="40"/>
        <v>2003364.77</v>
      </c>
      <c r="AU222" s="10">
        <f t="shared" si="40"/>
        <v>0</v>
      </c>
      <c r="AV222" s="10">
        <f t="shared" si="40"/>
        <v>0</v>
      </c>
      <c r="AW222" s="10">
        <f t="shared" si="40"/>
        <v>0</v>
      </c>
      <c r="AX222" s="10">
        <f t="shared" si="40"/>
        <v>0</v>
      </c>
      <c r="AY222" s="10">
        <f t="shared" si="40"/>
        <v>0</v>
      </c>
      <c r="AZ222" s="10">
        <f t="shared" si="40"/>
        <v>0</v>
      </c>
      <c r="BA222" s="10">
        <f t="shared" si="40"/>
        <v>0</v>
      </c>
      <c r="BB222" s="10">
        <f t="shared" si="40"/>
        <v>0</v>
      </c>
      <c r="BC222" s="10">
        <f t="shared" si="40"/>
        <v>0</v>
      </c>
      <c r="BD222" s="10">
        <f t="shared" si="40"/>
        <v>0</v>
      </c>
      <c r="BE222" s="10">
        <f t="shared" si="40"/>
        <v>0</v>
      </c>
      <c r="BF222" s="10">
        <f t="shared" si="40"/>
        <v>0</v>
      </c>
      <c r="BG222" s="10">
        <f t="shared" si="40"/>
        <v>0</v>
      </c>
      <c r="BH222" s="10">
        <f t="shared" si="40"/>
        <v>0</v>
      </c>
      <c r="BI222" s="10">
        <f t="shared" si="40"/>
        <v>0</v>
      </c>
      <c r="BJ222" s="10">
        <f t="shared" si="40"/>
        <v>0</v>
      </c>
      <c r="BK222" s="10">
        <f t="shared" si="40"/>
        <v>0</v>
      </c>
      <c r="BL222" s="10">
        <f t="shared" si="40"/>
        <v>164726781.25857812</v>
      </c>
      <c r="BM222" s="10">
        <f>BM213+BM216+BM218</f>
        <v>2030320</v>
      </c>
      <c r="BN222" s="10">
        <f>BN213+BN216+BN218</f>
        <v>9056102</v>
      </c>
      <c r="BO222" s="10">
        <f>BO213+BO216+BO218</f>
        <v>2030320</v>
      </c>
      <c r="BP222" s="6">
        <f>IF(+R222-BL222+BN222&gt;0,R222-BL222+BN222,0)</f>
        <v>87008969.491421878</v>
      </c>
      <c r="BQ222" s="10">
        <f>BQ213+BQ216+BQ218</f>
        <v>2030320</v>
      </c>
      <c r="BR222" s="10">
        <f>BR213+BR216+BR218+BR220</f>
        <v>254581700.92276716</v>
      </c>
      <c r="BS222" s="10">
        <f>BS213+BS216+BS218</f>
        <v>2030320</v>
      </c>
      <c r="BT222" s="10">
        <f>BT213+BT216+BT218</f>
        <v>-11794104.662767161</v>
      </c>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39"/>
      <c r="AI223"/>
      <c r="AJ223" s="10"/>
      <c r="AK223"/>
      <c r="AL223" s="10"/>
      <c r="AM223"/>
      <c r="AN223" s="10"/>
      <c r="AO223" s="9"/>
      <c r="AP223" s="10"/>
      <c r="AQ223" s="9"/>
      <c r="AR223" s="10"/>
      <c r="AS223" s="9"/>
      <c r="AT223" s="10"/>
      <c r="AU223" s="10"/>
      <c r="AV223" s="10"/>
      <c r="AW223" s="10"/>
      <c r="AX223" s="10"/>
      <c r="AY223" s="10"/>
      <c r="AZ223" s="10"/>
      <c r="BA223" s="10"/>
      <c r="BB223" s="10"/>
      <c r="BC223" s="10"/>
      <c r="BD223" s="10"/>
      <c r="BE223" s="10"/>
      <c r="BF223" s="10"/>
      <c r="BG223" s="10"/>
      <c r="BH223" s="10"/>
      <c r="BI223" s="10"/>
      <c r="BJ223" s="10"/>
      <c r="BK223" s="9"/>
      <c r="BL223" s="10"/>
      <c r="BM223" s="9"/>
      <c r="BN223" s="10"/>
      <c r="BO223" s="9"/>
      <c r="BP223" s="10"/>
      <c r="BQ223" s="9"/>
      <c r="BR223" s="10"/>
      <c r="BS223" s="9"/>
      <c r="BT223" s="10"/>
      <c r="BU223" s="9"/>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c r="C224"/>
      <c r="D224"/>
      <c r="E224"/>
      <c r="F224"/>
      <c r="G224"/>
      <c r="H224"/>
      <c r="I224"/>
      <c r="J224" s="49"/>
      <c r="K224"/>
      <c r="L224" s="134"/>
      <c r="M224" s="6"/>
      <c r="O224" s="6"/>
      <c r="Q224" s="6"/>
      <c r="S224" s="6"/>
      <c r="T224" s="6"/>
      <c r="U224" s="6"/>
      <c r="V224" s="6"/>
      <c r="X224" s="6"/>
      <c r="Z224" s="6"/>
      <c r="AB224" s="6"/>
      <c r="AD224" s="6"/>
      <c r="AH224" s="10"/>
      <c r="AI224"/>
      <c r="AJ224" s="10"/>
      <c r="BJ224" s="6"/>
      <c r="BK224" s="6"/>
      <c r="BM224" s="6"/>
      <c r="BN224" s="6"/>
      <c r="BO224" s="6"/>
      <c r="BU224" s="6"/>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ht="15.6">
      <c r="A225" s="131" t="s">
        <v>198</v>
      </c>
      <c r="B225" s="132"/>
      <c r="C225" s="119"/>
      <c r="D225" s="119"/>
      <c r="E225" s="119"/>
      <c r="F225" s="119"/>
      <c r="G225" s="119"/>
      <c r="H225" s="119"/>
      <c r="I225" s="119"/>
      <c r="J225" s="161"/>
      <c r="K225" s="119"/>
      <c r="L225" s="148"/>
      <c r="M225" s="133"/>
      <c r="N225" s="133"/>
      <c r="O225" s="133"/>
      <c r="P225" s="133"/>
      <c r="Q225" s="133"/>
      <c r="R225" s="133"/>
      <c r="S225" s="133"/>
      <c r="T225" s="133"/>
      <c r="U225" s="133"/>
      <c r="V225" s="133"/>
      <c r="W225" s="133"/>
      <c r="X225" s="133"/>
      <c r="Y225" s="133"/>
      <c r="Z225" s="133"/>
      <c r="AA225" s="133"/>
      <c r="AB225" s="133"/>
      <c r="AC225" s="133"/>
      <c r="AD225" s="133"/>
      <c r="AE225" s="133"/>
      <c r="AF225" s="133"/>
      <c r="AG225" s="133"/>
      <c r="AH225" s="133"/>
      <c r="AI225"/>
      <c r="AJ225" s="133"/>
      <c r="AL225" s="133"/>
      <c r="AN225" s="133"/>
      <c r="AO225" s="133"/>
      <c r="AP225" s="133"/>
      <c r="AQ225" s="133"/>
      <c r="AR225" s="133"/>
      <c r="AS225" s="133"/>
      <c r="AT225" s="133"/>
      <c r="AU225" s="133"/>
      <c r="AV225" s="133"/>
      <c r="AW225" s="133"/>
      <c r="AX225" s="133"/>
      <c r="AY225" s="133"/>
      <c r="AZ225" s="133"/>
      <c r="BA225" s="133"/>
      <c r="BB225" s="133"/>
      <c r="BC225" s="133"/>
      <c r="BD225" s="133"/>
      <c r="BE225" s="133"/>
      <c r="BF225" s="133"/>
      <c r="BG225" s="133"/>
      <c r="BH225" s="133"/>
      <c r="BI225" s="133"/>
      <c r="BJ225" s="133"/>
      <c r="BK225" s="133"/>
      <c r="BL225" s="133"/>
      <c r="BM225" s="133"/>
      <c r="BN225" s="133"/>
      <c r="BO225" s="133"/>
      <c r="BP225" s="133"/>
      <c r="BQ225" s="133"/>
      <c r="BR225" s="13"/>
      <c r="BS225" s="133"/>
      <c r="BT225" s="133"/>
      <c r="BU225" s="133"/>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205</v>
      </c>
      <c r="M226" s="6"/>
      <c r="N226" s="6">
        <v>0</v>
      </c>
      <c r="O226" s="6"/>
      <c r="P226" s="6">
        <v>220000</v>
      </c>
      <c r="Q226" s="6"/>
      <c r="R226" s="9"/>
      <c r="S226" s="6"/>
      <c r="T226" s="22"/>
      <c r="U226" s="6"/>
      <c r="V226" s="22"/>
      <c r="X226" s="22">
        <f>982.5+18746.43</f>
        <v>19728.93</v>
      </c>
      <c r="Z226" s="22">
        <v>0</v>
      </c>
      <c r="AB226" s="22"/>
      <c r="AD226" s="22">
        <v>12698.23</v>
      </c>
      <c r="AF226" s="22"/>
      <c r="AH226" s="22">
        <f>5134.27+591.18</f>
        <v>5725.4500000000007</v>
      </c>
      <c r="AI226"/>
      <c r="AJ226" s="22"/>
      <c r="AL226" s="22">
        <v>591.45000000000005</v>
      </c>
      <c r="AN226" s="22"/>
      <c r="AP226" s="22"/>
      <c r="AR226" s="22">
        <v>1242.3</v>
      </c>
      <c r="AT226" s="22"/>
      <c r="AU226" s="22"/>
      <c r="AV226" s="22"/>
      <c r="AW226" s="22"/>
      <c r="AX226" s="22"/>
      <c r="AY226" s="22"/>
      <c r="AZ226" s="22"/>
      <c r="BA226" s="22"/>
      <c r="BB226" s="22"/>
      <c r="BC226" s="22"/>
      <c r="BD226" s="22"/>
      <c r="BE226" s="22"/>
      <c r="BF226" s="22"/>
      <c r="BG226" s="22"/>
      <c r="BH226" s="22"/>
      <c r="BI226" s="22"/>
      <c r="BJ226" s="22"/>
      <c r="BK226" s="6"/>
      <c r="BL226" s="9">
        <f t="shared" ref="BL226:BL231" si="41">SUM(T226:BK226)</f>
        <v>39986.36</v>
      </c>
      <c r="BM226" s="6"/>
      <c r="BN226" s="22"/>
      <c r="BO226" s="6"/>
      <c r="BP226" s="6">
        <f>IF(+R226-BL226+BN226&gt;0,R226-BL226+BN226,0)</f>
        <v>0</v>
      </c>
      <c r="BR226" s="9">
        <f t="shared" ref="BR226:BR231" si="42">+BP226+BL226</f>
        <v>39986.36</v>
      </c>
      <c r="BT226" s="9">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33</v>
      </c>
      <c r="C227"/>
      <c r="D227"/>
      <c r="E227"/>
      <c r="F227"/>
      <c r="G227"/>
      <c r="H227"/>
      <c r="I227"/>
      <c r="J227" s="49"/>
      <c r="K227"/>
      <c r="L227" s="134" t="s">
        <v>205</v>
      </c>
      <c r="M227" s="6"/>
      <c r="N227" s="6">
        <v>0</v>
      </c>
      <c r="O227" s="6"/>
      <c r="P227" s="6">
        <v>30000</v>
      </c>
      <c r="Q227" s="6"/>
      <c r="R227" s="9"/>
      <c r="S227" s="6"/>
      <c r="T227" s="22"/>
      <c r="U227" s="6"/>
      <c r="V227" s="22">
        <v>1342.96</v>
      </c>
      <c r="X227" s="22">
        <f>24234.66+4681.29</f>
        <v>28915.95</v>
      </c>
      <c r="Z227" s="22">
        <f>18740.38+287.37+30.79+269.69</f>
        <v>19328.23</v>
      </c>
      <c r="AB227" s="22">
        <v>567.63</v>
      </c>
      <c r="AD227" s="22">
        <f>558.5+6000+11878.22+34085.81+15896.29</f>
        <v>68418.820000000007</v>
      </c>
      <c r="AF227" s="22"/>
      <c r="AH227" s="22"/>
      <c r="AI227"/>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 t="shared" si="41"/>
        <v>118573.59</v>
      </c>
      <c r="BM227" s="6"/>
      <c r="BN227" s="22"/>
      <c r="BO227" s="6"/>
      <c r="BP227" s="6">
        <f>IF(+R227-BL227+BN227&gt;0,R227-BL227+BN227,0)</f>
        <v>0</v>
      </c>
      <c r="BR227" s="9">
        <f t="shared" si="42"/>
        <v>118573.59</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35</v>
      </c>
      <c r="C228"/>
      <c r="D228"/>
      <c r="E228"/>
      <c r="F228"/>
      <c r="G228"/>
      <c r="H228"/>
      <c r="I228"/>
      <c r="J228" s="49"/>
      <c r="K228"/>
      <c r="L228" s="134" t="s">
        <v>205</v>
      </c>
      <c r="M228" s="6"/>
      <c r="N228" s="6">
        <v>0</v>
      </c>
      <c r="O228" s="6"/>
      <c r="P228" s="6">
        <v>35000</v>
      </c>
      <c r="Q228" s="6"/>
      <c r="R228" s="9"/>
      <c r="S228" s="6"/>
      <c r="T228" s="22">
        <v>52133</v>
      </c>
      <c r="U228" s="6"/>
      <c r="V228" s="22"/>
      <c r="X228" s="22"/>
      <c r="Z228" s="22"/>
      <c r="AB228" s="22">
        <v>1331.32</v>
      </c>
      <c r="AD228" s="22"/>
      <c r="AF228" s="22"/>
      <c r="AH228" s="22"/>
      <c r="AI228"/>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 t="shared" si="41"/>
        <v>53464.32</v>
      </c>
      <c r="BM228" s="6"/>
      <c r="BN228" s="22"/>
      <c r="BO228" s="6"/>
      <c r="BP228" s="6">
        <f>IF(+R228-BL228+BN228&gt;0,R228-BL228+BN228,0)</f>
        <v>0</v>
      </c>
      <c r="BR228" s="9">
        <f t="shared" si="42"/>
        <v>53464.32</v>
      </c>
      <c r="BT228" s="9">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 r="A229" s="21" t="s">
        <v>200</v>
      </c>
      <c r="C229"/>
      <c r="D229"/>
      <c r="E229"/>
      <c r="F229"/>
      <c r="G229"/>
      <c r="H229"/>
      <c r="I229"/>
      <c r="J229" s="49"/>
      <c r="K229"/>
      <c r="L229" s="134" t="s">
        <v>205</v>
      </c>
      <c r="M229" s="6"/>
      <c r="N229" s="6">
        <v>0</v>
      </c>
      <c r="O229" s="6"/>
      <c r="P229" s="6">
        <v>20000</v>
      </c>
      <c r="Q229" s="6"/>
      <c r="R229" s="9"/>
      <c r="S229" s="6"/>
      <c r="T229" s="22">
        <v>87500</v>
      </c>
      <c r="U229" s="6"/>
      <c r="V229" s="22"/>
      <c r="X229" s="22"/>
      <c r="Z229" s="22"/>
      <c r="AB229" s="22"/>
      <c r="AD229" s="22"/>
      <c r="AF229" s="22"/>
      <c r="AH229" s="22"/>
      <c r="AI229"/>
      <c r="AJ229" s="22"/>
      <c r="AL229" s="22"/>
      <c r="AN229" s="22"/>
      <c r="AP229" s="22"/>
      <c r="AR229" s="22"/>
      <c r="AT229" s="22"/>
      <c r="AU229" s="22"/>
      <c r="AV229" s="22"/>
      <c r="AW229" s="22"/>
      <c r="AX229" s="22"/>
      <c r="AY229" s="22"/>
      <c r="AZ229" s="22"/>
      <c r="BA229" s="22"/>
      <c r="BB229" s="22"/>
      <c r="BC229" s="22"/>
      <c r="BD229" s="22"/>
      <c r="BE229" s="22"/>
      <c r="BF229" s="22"/>
      <c r="BG229" s="22"/>
      <c r="BH229" s="22"/>
      <c r="BI229" s="22"/>
      <c r="BJ229" s="22"/>
      <c r="BK229" s="6"/>
      <c r="BL229" s="9">
        <f t="shared" si="41"/>
        <v>87500</v>
      </c>
      <c r="BM229" s="6"/>
      <c r="BN229" s="22"/>
      <c r="BO229" s="6"/>
      <c r="BP229" s="6">
        <f>IF(+R229-BL229+BN229&gt;0,R229-BL229+BN229,0)</f>
        <v>0</v>
      </c>
      <c r="BR229" s="9">
        <f t="shared" si="42"/>
        <v>87500</v>
      </c>
      <c r="BT229" s="9">
        <v>0</v>
      </c>
      <c r="BU229" s="6"/>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customFormat="1">
      <c r="BP230" s="6">
        <f>IF(+R230-BL230+BN230&gt;0,R230-BL230+BN230,0)</f>
        <v>0</v>
      </c>
    </row>
    <row r="231" spans="1:122" s="105" customFormat="1" ht="13.8" thickBot="1">
      <c r="A231" s="128" t="s">
        <v>199</v>
      </c>
      <c r="B231" s="54"/>
      <c r="J231" s="158"/>
      <c r="L231" s="144"/>
      <c r="M231" s="13"/>
      <c r="N231" s="121">
        <f>SUM(N226:N230)</f>
        <v>0</v>
      </c>
      <c r="O231" s="13"/>
      <c r="P231" s="121">
        <f>SUM(P226:P230)</f>
        <v>305000</v>
      </c>
      <c r="Q231" s="13"/>
      <c r="R231" s="121">
        <f>SUM(R226:R230)</f>
        <v>0</v>
      </c>
      <c r="S231" s="13"/>
      <c r="T231" s="121">
        <f>SUM(T226:T230)</f>
        <v>139633</v>
      </c>
      <c r="U231" s="120"/>
      <c r="V231" s="121">
        <f>SUM(V226:V230)</f>
        <v>1342.96</v>
      </c>
      <c r="W231" s="120"/>
      <c r="X231" s="121">
        <f>SUM(X226:X230)</f>
        <v>48644.880000000005</v>
      </c>
      <c r="Y231" s="120"/>
      <c r="Z231" s="121">
        <f>SUM(Z226:Z230)</f>
        <v>19328.23</v>
      </c>
      <c r="AA231" s="121">
        <f>SUM(AA226:AA230)</f>
        <v>0</v>
      </c>
      <c r="AB231" s="121">
        <f>SUM(AB226:AB230)</f>
        <v>1898.9499999999998</v>
      </c>
      <c r="AC231" s="121">
        <f>SUM(AC226:AC230)</f>
        <v>0</v>
      </c>
      <c r="AD231" s="121">
        <f>SUM(AD226:AD230)</f>
        <v>81117.05</v>
      </c>
      <c r="AE231" s="121"/>
      <c r="AF231" s="121">
        <f t="shared" ref="AF231:BK231" si="43">SUM(AF226:AF230)</f>
        <v>0</v>
      </c>
      <c r="AG231" s="121"/>
      <c r="AH231" s="121">
        <f t="shared" si="43"/>
        <v>5725.4500000000007</v>
      </c>
      <c r="AI231" s="121"/>
      <c r="AJ231" s="121">
        <f t="shared" si="43"/>
        <v>0</v>
      </c>
      <c r="AK231"/>
      <c r="AL231" s="121">
        <f t="shared" si="43"/>
        <v>591.45000000000005</v>
      </c>
      <c r="AM231"/>
      <c r="AN231" s="121">
        <f t="shared" si="43"/>
        <v>0</v>
      </c>
      <c r="AO231" s="121">
        <f t="shared" si="43"/>
        <v>0</v>
      </c>
      <c r="AP231" s="121">
        <f t="shared" si="43"/>
        <v>0</v>
      </c>
      <c r="AQ231" s="121">
        <f t="shared" si="43"/>
        <v>0</v>
      </c>
      <c r="AR231" s="121">
        <f t="shared" si="43"/>
        <v>1242.3</v>
      </c>
      <c r="AS231" s="121">
        <f t="shared" si="43"/>
        <v>0</v>
      </c>
      <c r="AT231" s="121">
        <f t="shared" si="43"/>
        <v>0</v>
      </c>
      <c r="AU231" s="121">
        <f t="shared" si="43"/>
        <v>0</v>
      </c>
      <c r="AV231" s="121">
        <f t="shared" si="43"/>
        <v>0</v>
      </c>
      <c r="AW231" s="121">
        <f t="shared" si="43"/>
        <v>0</v>
      </c>
      <c r="AX231" s="121">
        <f t="shared" si="43"/>
        <v>0</v>
      </c>
      <c r="AY231" s="121">
        <f t="shared" si="43"/>
        <v>0</v>
      </c>
      <c r="AZ231" s="121">
        <f t="shared" si="43"/>
        <v>0</v>
      </c>
      <c r="BA231" s="121">
        <f t="shared" si="43"/>
        <v>0</v>
      </c>
      <c r="BB231" s="121">
        <f t="shared" si="43"/>
        <v>0</v>
      </c>
      <c r="BC231" s="121">
        <f t="shared" si="43"/>
        <v>0</v>
      </c>
      <c r="BD231" s="121">
        <f t="shared" si="43"/>
        <v>0</v>
      </c>
      <c r="BE231" s="121">
        <f t="shared" si="43"/>
        <v>0</v>
      </c>
      <c r="BF231" s="121">
        <f t="shared" si="43"/>
        <v>0</v>
      </c>
      <c r="BG231" s="121">
        <f t="shared" si="43"/>
        <v>0</v>
      </c>
      <c r="BH231" s="121">
        <f t="shared" si="43"/>
        <v>0</v>
      </c>
      <c r="BI231" s="121">
        <f t="shared" si="43"/>
        <v>0</v>
      </c>
      <c r="BJ231" s="121">
        <f t="shared" si="43"/>
        <v>0</v>
      </c>
      <c r="BK231" s="121">
        <f t="shared" si="43"/>
        <v>0</v>
      </c>
      <c r="BL231" s="121">
        <f t="shared" si="41"/>
        <v>299524.27</v>
      </c>
      <c r="BM231" s="13"/>
      <c r="BN231" s="121"/>
      <c r="BO231" s="13"/>
      <c r="BP231" s="121">
        <f>SUM(BP225:BP230)</f>
        <v>0</v>
      </c>
      <c r="BQ231" s="13"/>
      <c r="BR231" s="121">
        <f t="shared" si="42"/>
        <v>299524.27</v>
      </c>
      <c r="BS231" s="13"/>
      <c r="BT231" s="121">
        <v>0</v>
      </c>
      <c r="BU231" s="120"/>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ht="13.8" thickTop="1">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58"/>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9"/>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c r="C234"/>
      <c r="D234"/>
      <c r="E234"/>
      <c r="F234"/>
      <c r="G234"/>
      <c r="H234"/>
      <c r="I234"/>
      <c r="J234" s="49"/>
      <c r="K234"/>
      <c r="L234" s="134"/>
      <c r="M234" s="6"/>
      <c r="O234" s="6"/>
      <c r="Q234" s="6"/>
      <c r="S234" s="6"/>
      <c r="T234" s="22"/>
      <c r="U234" s="6"/>
      <c r="V234" s="22"/>
      <c r="X234" s="22"/>
      <c r="Z234" s="22"/>
      <c r="AB234" s="22"/>
      <c r="AD234" s="22"/>
      <c r="AF234" s="22"/>
      <c r="AH234" s="22"/>
      <c r="AJ234" s="22"/>
      <c r="AL234" s="22"/>
      <c r="AN234" s="22"/>
      <c r="AP234" s="22"/>
      <c r="AR234" s="22"/>
      <c r="AT234" s="22"/>
      <c r="AU234" s="22"/>
      <c r="AV234" s="22"/>
      <c r="AW234" s="22"/>
      <c r="AX234" s="22"/>
      <c r="AY234" s="22"/>
      <c r="AZ234" s="22"/>
      <c r="BA234" s="22"/>
      <c r="BB234" s="22"/>
      <c r="BC234" s="22"/>
      <c r="BD234" s="22"/>
      <c r="BE234" s="22"/>
      <c r="BF234" s="22"/>
      <c r="BG234" s="22"/>
      <c r="BH234" s="22"/>
      <c r="BI234" s="22"/>
      <c r="BJ234" s="22"/>
      <c r="BK234" s="6"/>
      <c r="BL234" s="22"/>
      <c r="BM234" s="6"/>
      <c r="BN234" s="22"/>
      <c r="BO234" s="6"/>
      <c r="BR234" s="22"/>
      <c r="BU234" s="6"/>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2" thickBot="1">
      <c r="A236" s="131" t="s">
        <v>273</v>
      </c>
      <c r="C236" s="119"/>
      <c r="D236" s="119"/>
      <c r="E236" s="119"/>
      <c r="F236" s="119"/>
      <c r="G236" s="119"/>
      <c r="H236" s="119"/>
      <c r="I236" s="119"/>
      <c r="J236" s="161"/>
      <c r="K236" s="119"/>
      <c r="L236" s="148"/>
      <c r="M236" s="133"/>
      <c r="N236" s="121" t="e">
        <f>#REF!+N233</f>
        <v>#REF!</v>
      </c>
      <c r="O236" s="121"/>
      <c r="P236" s="121" t="e">
        <f>#REF!+P233</f>
        <v>#REF!</v>
      </c>
      <c r="Q236" s="121"/>
      <c r="R236" s="121">
        <f>R222+R231</f>
        <v>242679648.75</v>
      </c>
      <c r="S236" s="121">
        <f t="shared" ref="S236:BT236" si="44">S222+S231</f>
        <v>0</v>
      </c>
      <c r="T236" s="121">
        <f t="shared" si="44"/>
        <v>7279633</v>
      </c>
      <c r="U236" s="121">
        <f t="shared" si="44"/>
        <v>0</v>
      </c>
      <c r="V236" s="121">
        <f t="shared" si="44"/>
        <v>1298988.96</v>
      </c>
      <c r="W236" s="121">
        <f t="shared" si="44"/>
        <v>0</v>
      </c>
      <c r="X236" s="121">
        <f t="shared" si="44"/>
        <v>33151937.879999999</v>
      </c>
      <c r="Y236" s="121">
        <f t="shared" si="44"/>
        <v>0</v>
      </c>
      <c r="Z236" s="121">
        <f t="shared" si="44"/>
        <v>290030.82999999996</v>
      </c>
      <c r="AA236" s="121">
        <f t="shared" si="44"/>
        <v>0</v>
      </c>
      <c r="AB236" s="121">
        <f t="shared" si="44"/>
        <v>1733894.8599999999</v>
      </c>
      <c r="AC236" s="121">
        <f t="shared" si="44"/>
        <v>0</v>
      </c>
      <c r="AD236" s="121">
        <f t="shared" si="44"/>
        <v>18881456.879999999</v>
      </c>
      <c r="AE236" s="121"/>
      <c r="AF236" s="121">
        <f t="shared" si="44"/>
        <v>8167701.1408541668</v>
      </c>
      <c r="AG236" s="121"/>
      <c r="AH236" s="121">
        <f t="shared" si="44"/>
        <v>8854945.3874601815</v>
      </c>
      <c r="AI236" s="121"/>
      <c r="AJ236" s="121">
        <f t="shared" si="44"/>
        <v>6988530.1253887061</v>
      </c>
      <c r="AK236"/>
      <c r="AL236" s="121">
        <f t="shared" si="44"/>
        <v>7789829.6057027699</v>
      </c>
      <c r="AM236"/>
      <c r="AN236" s="121">
        <f t="shared" si="44"/>
        <v>11652992.180000002</v>
      </c>
      <c r="AO236" s="121">
        <f t="shared" si="44"/>
        <v>0</v>
      </c>
      <c r="AP236" s="121">
        <f t="shared" si="44"/>
        <v>17627423.913877048</v>
      </c>
      <c r="AQ236" s="121">
        <f t="shared" si="44"/>
        <v>0</v>
      </c>
      <c r="AR236" s="121">
        <f t="shared" si="44"/>
        <v>39305575.995295264</v>
      </c>
      <c r="AS236" s="121">
        <f t="shared" si="44"/>
        <v>0</v>
      </c>
      <c r="AT236" s="121">
        <f t="shared" si="44"/>
        <v>2003364.77</v>
      </c>
      <c r="AU236" s="121">
        <f t="shared" si="44"/>
        <v>0</v>
      </c>
      <c r="AV236" s="121">
        <f t="shared" si="44"/>
        <v>0</v>
      </c>
      <c r="AW236" s="121">
        <f t="shared" si="44"/>
        <v>0</v>
      </c>
      <c r="AX236" s="121">
        <f t="shared" si="44"/>
        <v>0</v>
      </c>
      <c r="AY236" s="121">
        <f t="shared" si="44"/>
        <v>0</v>
      </c>
      <c r="AZ236" s="121">
        <f t="shared" si="44"/>
        <v>0</v>
      </c>
      <c r="BA236" s="121">
        <f t="shared" si="44"/>
        <v>0</v>
      </c>
      <c r="BB236" s="121">
        <f t="shared" si="44"/>
        <v>0</v>
      </c>
      <c r="BC236" s="121">
        <f t="shared" si="44"/>
        <v>0</v>
      </c>
      <c r="BD236" s="121">
        <f t="shared" si="44"/>
        <v>0</v>
      </c>
      <c r="BE236" s="121">
        <f t="shared" si="44"/>
        <v>0</v>
      </c>
      <c r="BF236" s="121">
        <f t="shared" si="44"/>
        <v>0</v>
      </c>
      <c r="BG236" s="121">
        <f t="shared" si="44"/>
        <v>0</v>
      </c>
      <c r="BH236" s="121">
        <f t="shared" si="44"/>
        <v>0</v>
      </c>
      <c r="BI236" s="121">
        <f t="shared" si="44"/>
        <v>0</v>
      </c>
      <c r="BJ236" s="121">
        <f t="shared" si="44"/>
        <v>0</v>
      </c>
      <c r="BK236" s="121">
        <f t="shared" si="44"/>
        <v>0</v>
      </c>
      <c r="BL236" s="121">
        <f t="shared" si="44"/>
        <v>165026305.52857813</v>
      </c>
      <c r="BM236" s="121">
        <f t="shared" si="44"/>
        <v>2030320</v>
      </c>
      <c r="BN236" s="121">
        <f t="shared" si="44"/>
        <v>9056102</v>
      </c>
      <c r="BO236" s="121">
        <f t="shared" si="44"/>
        <v>2030320</v>
      </c>
      <c r="BP236" s="121">
        <f t="shared" si="44"/>
        <v>87008969.491421878</v>
      </c>
      <c r="BQ236" s="121">
        <f t="shared" si="44"/>
        <v>2030320</v>
      </c>
      <c r="BR236" s="121">
        <f t="shared" si="44"/>
        <v>254881225.19276717</v>
      </c>
      <c r="BS236" s="121">
        <f t="shared" si="44"/>
        <v>2030320</v>
      </c>
      <c r="BT236" s="121">
        <f t="shared" si="44"/>
        <v>-11794104.662767161</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8"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 right="0" top="0.71" bottom="0.25" header="0" footer="0"/>
  <pageSetup scale="40" fitToWidth="2" fitToHeight="2" orientation="portrait" verticalDpi="300" r:id="rId1"/>
  <headerFooter alignWithMargins="0"/>
  <rowBreaks count="1" manualBreakCount="1">
    <brk id="124" max="71"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66" zoomScaleNormal="75" workbookViewId="0">
      <pane xSplit="19" ySplit="8" topLeftCell="AU164" activePane="bottomRight" state="frozen"/>
      <selection activeCell="BN244" sqref="BN244"/>
      <selection pane="topRight" activeCell="BN244" sqref="BN244"/>
      <selection pane="bottomLeft" activeCell="BN244" sqref="BN244"/>
      <selection pane="bottomRight" activeCell="AU1" sqref="AU1:AU65536"/>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441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0.109375"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2" style="6" hidden="1" customWidth="1"/>
    <col min="36" max="36" width="17.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- 013100.xls]Summary</v>
      </c>
    </row>
    <row r="3" spans="1:76" s="18" customFormat="1" ht="15.6">
      <c r="A3" s="99" t="s">
        <v>195</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36558.409746990743</v>
      </c>
      <c r="BT3" s="23"/>
      <c r="BV3" s="78" t="str">
        <f>Summary!A5</f>
        <v>Revision # 43</v>
      </c>
    </row>
    <row r="4" spans="1:76" s="18" customFormat="1" ht="15.6">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290</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6">
      <c r="A7" s="91"/>
      <c r="B7" s="1"/>
      <c r="C7" s="2"/>
      <c r="G7" s="67"/>
      <c r="J7" s="67"/>
      <c r="L7" s="139"/>
      <c r="N7" s="82" t="e">
        <f>+Summary!#REF!</f>
        <v>#REF!</v>
      </c>
      <c r="O7" s="129"/>
      <c r="P7" s="69"/>
      <c r="R7" s="82" t="str">
        <f>+Summary!E9</f>
        <v>as of 7/22/99</v>
      </c>
      <c r="T7" s="82" t="str">
        <f>+Summary!$O$4</f>
        <v xml:space="preserve"> As of 1/31/00</v>
      </c>
      <c r="U7" s="96"/>
      <c r="V7" s="82" t="str">
        <f>+Summary!$O$4</f>
        <v xml:space="preserve"> As of 1/31/00</v>
      </c>
      <c r="W7" s="69"/>
      <c r="X7" s="82" t="str">
        <f>+Summary!$O$4</f>
        <v xml:space="preserve"> As of 1/31/00</v>
      </c>
      <c r="Y7" s="69"/>
      <c r="Z7" s="82" t="str">
        <f>+Summary!$O$4</f>
        <v xml:space="preserve"> As of 1/31/00</v>
      </c>
      <c r="AA7" s="69"/>
      <c r="AB7" s="82" t="str">
        <f>+Summary!$O$4</f>
        <v xml:space="preserve"> As of 1/31/00</v>
      </c>
      <c r="AC7" s="69"/>
      <c r="AD7" s="82" t="str">
        <f>+Summary!$O$4</f>
        <v xml:space="preserve"> As of 1/31/00</v>
      </c>
      <c r="AE7" s="69"/>
      <c r="AF7" s="82" t="str">
        <f>+Summary!$O$4</f>
        <v xml:space="preserve"> As of 1/31/00</v>
      </c>
      <c r="AG7" s="69"/>
      <c r="AH7" s="82" t="str">
        <f>+Summary!$O$4</f>
        <v xml:space="preserve"> As of 1/31/00</v>
      </c>
      <c r="AI7" s="69"/>
      <c r="AJ7" s="82" t="str">
        <f>+Summary!$O$4</f>
        <v xml:space="preserve"> As of 1/31/00</v>
      </c>
      <c r="AK7" s="69"/>
      <c r="AL7" s="82" t="str">
        <f>+Summary!$O$4</f>
        <v xml:space="preserve"> As of 1/31/00</v>
      </c>
      <c r="AM7" s="69"/>
      <c r="AN7" s="82" t="str">
        <f>+Summary!$O$4</f>
        <v xml:space="preserve"> As of 1/31/00</v>
      </c>
      <c r="AO7" s="69"/>
      <c r="AP7" s="82" t="str">
        <f>+Summary!$O$4</f>
        <v xml:space="preserve"> As of 1/31/00</v>
      </c>
      <c r="AQ7" s="69"/>
      <c r="AR7" s="82" t="str">
        <f>+Summary!$O$4</f>
        <v xml:space="preserve"> As of 1/31/00</v>
      </c>
      <c r="AS7" s="69"/>
      <c r="AT7" s="82" t="str">
        <f>+Summary!$O$4</f>
        <v xml:space="preserve"> As of 1/31/00</v>
      </c>
      <c r="AU7" s="69"/>
      <c r="AV7" s="82" t="str">
        <f>+Summary!$O$4</f>
        <v xml:space="preserve"> As of 1/31/00</v>
      </c>
      <c r="AW7" s="82"/>
      <c r="AX7" s="82" t="str">
        <f>+Summary!$O$4</f>
        <v xml:space="preserve"> As of 1/31/00</v>
      </c>
      <c r="AY7" s="82"/>
      <c r="AZ7" s="82" t="str">
        <f>+Summary!$O$4</f>
        <v xml:space="preserve"> As of 1/31/00</v>
      </c>
      <c r="BA7" s="82"/>
      <c r="BB7" s="82" t="str">
        <f>+Summary!$O$4</f>
        <v xml:space="preserve"> As of 1/31/00</v>
      </c>
      <c r="BC7" s="82"/>
      <c r="BD7" s="82" t="str">
        <f>+Summary!$O$4</f>
        <v xml:space="preserve"> As of 1/31/00</v>
      </c>
      <c r="BE7" s="82"/>
      <c r="BF7" s="82" t="str">
        <f>+Summary!$O$4</f>
        <v xml:space="preserve"> As of 1/31/00</v>
      </c>
      <c r="BG7" s="82"/>
      <c r="BH7" s="82" t="str">
        <f>+Summary!$O$4</f>
        <v xml:space="preserve"> As of 1/31/00</v>
      </c>
      <c r="BI7" s="82"/>
      <c r="BJ7" s="82" t="str">
        <f>+Summary!$O$4</f>
        <v xml:space="preserve"> As of 1/31/00</v>
      </c>
      <c r="BK7" s="82"/>
      <c r="BL7" s="82" t="str">
        <f>+Summary!$O$4</f>
        <v xml:space="preserve"> As of 1/31/00</v>
      </c>
      <c r="BN7" s="71" t="str">
        <f>+Summary!$O$4</f>
        <v xml:space="preserve"> As of 1/31/00</v>
      </c>
      <c r="BP7" s="64" t="str">
        <f>+Summary!$O$4</f>
        <v xml:space="preserve"> As of 1/31/00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194</v>
      </c>
      <c r="C10"/>
      <c r="D10"/>
      <c r="E10"/>
      <c r="F10"/>
      <c r="G10"/>
      <c r="H10"/>
      <c r="I10"/>
      <c r="J10" s="49" t="s">
        <v>0</v>
      </c>
      <c r="K10"/>
      <c r="L10" s="134" t="s">
        <v>204</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122</v>
      </c>
      <c r="C14"/>
      <c r="D14"/>
      <c r="E14"/>
      <c r="F14"/>
      <c r="G14"/>
      <c r="H14"/>
      <c r="I14"/>
      <c r="J14" s="49" t="s">
        <v>0</v>
      </c>
      <c r="K14"/>
      <c r="L14" s="134" t="s">
        <v>204</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197</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223</v>
      </c>
      <c r="C19"/>
      <c r="D19"/>
      <c r="E19"/>
      <c r="F19"/>
      <c r="G19"/>
      <c r="H19"/>
      <c r="I19"/>
      <c r="J19" s="49" t="s">
        <v>0</v>
      </c>
      <c r="K19"/>
      <c r="L19" s="134" t="s">
        <v>204</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204</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204</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204</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228</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237</v>
      </c>
      <c r="C41"/>
      <c r="D41"/>
      <c r="E41"/>
      <c r="F41"/>
      <c r="G41"/>
      <c r="H41"/>
      <c r="I41"/>
      <c r="J41" s="49" t="s">
        <v>231</v>
      </c>
      <c r="K41"/>
      <c r="L41" s="134" t="s">
        <v>204</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239</v>
      </c>
      <c r="C42"/>
      <c r="D42"/>
      <c r="E42"/>
      <c r="F42"/>
      <c r="G42"/>
      <c r="H42"/>
      <c r="I42"/>
      <c r="J42" s="49" t="s">
        <v>231</v>
      </c>
      <c r="K42"/>
      <c r="L42" s="134" t="s">
        <v>204</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240</v>
      </c>
      <c r="C43"/>
      <c r="D43"/>
      <c r="E43"/>
      <c r="F43"/>
      <c r="G43"/>
      <c r="H43"/>
      <c r="I43"/>
      <c r="J43" s="49" t="s">
        <v>231</v>
      </c>
      <c r="K43"/>
      <c r="L43" s="134" t="s">
        <v>204</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231</v>
      </c>
      <c r="K44"/>
      <c r="L44" s="134" t="s">
        <v>204</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241</v>
      </c>
      <c r="C45"/>
      <c r="D45"/>
      <c r="E45"/>
      <c r="F45"/>
      <c r="G45"/>
      <c r="H45"/>
      <c r="I45"/>
      <c r="J45" s="49" t="s">
        <v>231</v>
      </c>
      <c r="K45"/>
      <c r="L45" s="134" t="s">
        <v>204</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242</v>
      </c>
      <c r="C46"/>
      <c r="D46"/>
      <c r="E46"/>
      <c r="F46"/>
      <c r="G46"/>
      <c r="H46"/>
      <c r="I46"/>
      <c r="J46" s="49" t="s">
        <v>231</v>
      </c>
      <c r="K46"/>
      <c r="L46" s="134" t="s">
        <v>204</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243</v>
      </c>
      <c r="C47"/>
      <c r="D47"/>
      <c r="E47"/>
      <c r="F47"/>
      <c r="G47"/>
      <c r="H47"/>
      <c r="I47"/>
      <c r="J47" s="49" t="s">
        <v>231</v>
      </c>
      <c r="K47"/>
      <c r="L47" s="134" t="s">
        <v>204</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68</v>
      </c>
      <c r="C48"/>
      <c r="D48"/>
      <c r="E48"/>
      <c r="F48"/>
      <c r="G48"/>
      <c r="H48"/>
      <c r="I48"/>
      <c r="J48" s="49" t="s">
        <v>231</v>
      </c>
      <c r="K48"/>
      <c r="L48" s="134" t="s">
        <v>204</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225</v>
      </c>
      <c r="C49"/>
      <c r="D49"/>
      <c r="E49"/>
      <c r="F49"/>
      <c r="G49"/>
      <c r="H49"/>
      <c r="I49"/>
      <c r="J49" s="49" t="s">
        <v>231</v>
      </c>
      <c r="K49"/>
      <c r="L49" s="134" t="s">
        <v>204</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283</v>
      </c>
      <c r="C50"/>
      <c r="D50"/>
      <c r="E50"/>
      <c r="F50"/>
      <c r="G50"/>
      <c r="H50"/>
      <c r="I50"/>
      <c r="J50" s="49" t="s">
        <v>231</v>
      </c>
      <c r="K50"/>
      <c r="L50" s="134" t="s">
        <v>204</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147</v>
      </c>
      <c r="C51"/>
      <c r="D51"/>
      <c r="E51"/>
      <c r="F51"/>
      <c r="G51"/>
      <c r="H51"/>
      <c r="I51"/>
      <c r="J51" s="49" t="s">
        <v>231</v>
      </c>
      <c r="K51"/>
      <c r="L51" s="134" t="s">
        <v>204</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148</v>
      </c>
      <c r="C52"/>
      <c r="D52"/>
      <c r="E52"/>
      <c r="F52"/>
      <c r="G52"/>
      <c r="H52"/>
      <c r="I52"/>
      <c r="J52" s="49" t="s">
        <v>231</v>
      </c>
      <c r="K52"/>
      <c r="L52" s="134" t="s">
        <v>204</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59</v>
      </c>
      <c r="C53"/>
      <c r="D53"/>
      <c r="E53"/>
      <c r="F53"/>
      <c r="G53"/>
      <c r="H53"/>
      <c r="I53"/>
      <c r="J53" s="49" t="s">
        <v>231</v>
      </c>
      <c r="K53"/>
      <c r="L53" s="134" t="s">
        <v>204</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149</v>
      </c>
      <c r="C54"/>
      <c r="D54"/>
      <c r="E54"/>
      <c r="F54"/>
      <c r="G54"/>
      <c r="H54"/>
      <c r="I54"/>
      <c r="J54" s="49" t="s">
        <v>231</v>
      </c>
      <c r="K54"/>
      <c r="L54" s="134" t="s">
        <v>204</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53</v>
      </c>
      <c r="C55"/>
      <c r="D55"/>
      <c r="E55"/>
      <c r="F55"/>
      <c r="G55"/>
      <c r="H55"/>
      <c r="I55"/>
      <c r="J55" s="49" t="s">
        <v>231</v>
      </c>
      <c r="K55"/>
      <c r="L55" s="134" t="s">
        <v>204</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54</v>
      </c>
      <c r="C56"/>
      <c r="D56"/>
      <c r="E56"/>
      <c r="F56"/>
      <c r="G56"/>
      <c r="H56"/>
      <c r="I56"/>
      <c r="J56" s="49" t="s">
        <v>231</v>
      </c>
      <c r="K56"/>
      <c r="L56" s="134" t="s">
        <v>204</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55</v>
      </c>
      <c r="C57"/>
      <c r="D57"/>
      <c r="E57"/>
      <c r="F57"/>
      <c r="G57"/>
      <c r="H57"/>
      <c r="I57"/>
      <c r="J57" s="49" t="s">
        <v>231</v>
      </c>
      <c r="K57"/>
      <c r="L57" s="134" t="s">
        <v>204</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150</v>
      </c>
      <c r="C58"/>
      <c r="D58"/>
      <c r="E58"/>
      <c r="F58"/>
      <c r="G58"/>
      <c r="H58"/>
      <c r="I58"/>
      <c r="J58" s="49" t="s">
        <v>231</v>
      </c>
      <c r="K58"/>
      <c r="L58" s="134" t="s">
        <v>204</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56</v>
      </c>
      <c r="C59"/>
      <c r="D59"/>
      <c r="E59"/>
      <c r="F59"/>
      <c r="G59"/>
      <c r="H59"/>
      <c r="I59"/>
      <c r="J59" s="49" t="s">
        <v>231</v>
      </c>
      <c r="K59"/>
      <c r="L59" s="134" t="s">
        <v>204</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57</v>
      </c>
      <c r="C60"/>
      <c r="D60"/>
      <c r="E60"/>
      <c r="F60"/>
      <c r="G60"/>
      <c r="H60"/>
      <c r="I60"/>
      <c r="J60" s="49" t="s">
        <v>231</v>
      </c>
      <c r="K60"/>
      <c r="L60" s="134" t="s">
        <v>204</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58</v>
      </c>
      <c r="C61"/>
      <c r="D61"/>
      <c r="E61"/>
      <c r="F61"/>
      <c r="G61"/>
      <c r="H61"/>
      <c r="I61"/>
      <c r="J61" s="49" t="s">
        <v>231</v>
      </c>
      <c r="K61"/>
      <c r="L61" s="134" t="s">
        <v>204</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151</v>
      </c>
      <c r="C62"/>
      <c r="D62"/>
      <c r="E62"/>
      <c r="F62"/>
      <c r="G62"/>
      <c r="H62"/>
      <c r="I62"/>
      <c r="J62" s="49" t="s">
        <v>231</v>
      </c>
      <c r="K62"/>
      <c r="L62" s="134" t="s">
        <v>204</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152</v>
      </c>
      <c r="C63"/>
      <c r="D63"/>
      <c r="E63"/>
      <c r="F63"/>
      <c r="G63"/>
      <c r="H63"/>
      <c r="I63"/>
      <c r="J63" s="49" t="s">
        <v>231</v>
      </c>
      <c r="K63"/>
      <c r="L63" s="134" t="s">
        <v>204</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153</v>
      </c>
      <c r="C64"/>
      <c r="D64"/>
      <c r="E64"/>
      <c r="F64"/>
      <c r="G64"/>
      <c r="H64"/>
      <c r="I64"/>
      <c r="J64" s="49" t="s">
        <v>231</v>
      </c>
      <c r="K64"/>
      <c r="L64" s="134" t="s">
        <v>204</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154</v>
      </c>
      <c r="C65"/>
      <c r="D65"/>
      <c r="E65"/>
      <c r="F65"/>
      <c r="G65"/>
      <c r="H65"/>
      <c r="I65"/>
      <c r="J65" s="49" t="s">
        <v>231</v>
      </c>
      <c r="K65"/>
      <c r="L65" s="134" t="s">
        <v>204</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60</v>
      </c>
      <c r="C66"/>
      <c r="D66"/>
      <c r="E66"/>
      <c r="F66"/>
      <c r="G66"/>
      <c r="H66"/>
      <c r="I66"/>
      <c r="J66" s="49" t="s">
        <v>231</v>
      </c>
      <c r="K66"/>
      <c r="L66" s="134" t="s">
        <v>204</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175</v>
      </c>
      <c r="C67"/>
      <c r="D67"/>
      <c r="E67"/>
      <c r="F67"/>
      <c r="G67"/>
      <c r="H67"/>
      <c r="I67"/>
      <c r="J67" s="49" t="s">
        <v>231</v>
      </c>
      <c r="K67"/>
      <c r="L67" s="134" t="s">
        <v>204</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122</v>
      </c>
      <c r="C68"/>
      <c r="D68"/>
      <c r="E68"/>
      <c r="F68"/>
      <c r="G68"/>
      <c r="H68"/>
      <c r="I68"/>
      <c r="J68" s="49" t="s">
        <v>231</v>
      </c>
      <c r="K68"/>
      <c r="L68" s="134" t="s">
        <v>204</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245</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229</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230</v>
      </c>
      <c r="C73"/>
      <c r="D73"/>
      <c r="E73"/>
      <c r="F73"/>
      <c r="G73"/>
      <c r="H73"/>
      <c r="I73"/>
      <c r="J73" s="49" t="s">
        <v>238</v>
      </c>
      <c r="K73"/>
      <c r="L73" s="134" t="s">
        <v>204</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232</v>
      </c>
      <c r="C74"/>
      <c r="D74"/>
      <c r="E74"/>
      <c r="F74"/>
      <c r="G74"/>
      <c r="H74"/>
      <c r="I74"/>
      <c r="J74" s="49" t="s">
        <v>232</v>
      </c>
      <c r="K74"/>
      <c r="L74" s="134" t="s">
        <v>204</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233</v>
      </c>
      <c r="C75"/>
      <c r="D75"/>
      <c r="E75"/>
      <c r="F75"/>
      <c r="G75"/>
      <c r="H75"/>
      <c r="I75"/>
      <c r="J75" s="49" t="s">
        <v>238</v>
      </c>
      <c r="K75"/>
      <c r="L75" s="134" t="s">
        <v>204</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234</v>
      </c>
      <c r="C76"/>
      <c r="D76"/>
      <c r="E76"/>
      <c r="F76"/>
      <c r="G76"/>
      <c r="H76"/>
      <c r="I76"/>
      <c r="J76" s="49" t="s">
        <v>238</v>
      </c>
      <c r="K76"/>
      <c r="L76" s="134" t="s">
        <v>204</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235</v>
      </c>
      <c r="C77" s="30"/>
      <c r="D77" s="30"/>
      <c r="E77" s="30"/>
      <c r="F77" s="30"/>
      <c r="G77" s="30"/>
      <c r="H77" s="30"/>
      <c r="I77" s="30"/>
      <c r="J77" s="156" t="s">
        <v>238</v>
      </c>
      <c r="K77" s="30"/>
      <c r="L77" s="134" t="s">
        <v>204</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502</v>
      </c>
      <c r="C78"/>
      <c r="D78"/>
      <c r="E78"/>
      <c r="F78"/>
      <c r="G78"/>
      <c r="H78"/>
      <c r="I78"/>
      <c r="J78" s="49"/>
      <c r="K78"/>
      <c r="L78" s="134" t="s">
        <v>204</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246</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244</v>
      </c>
      <c r="B82" s="17"/>
      <c r="C82"/>
      <c r="D82"/>
      <c r="E82"/>
      <c r="F82"/>
      <c r="G82"/>
      <c r="H82"/>
      <c r="I82"/>
      <c r="J82" s="49"/>
      <c r="K82"/>
      <c r="L82" s="134" t="s">
        <v>204</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204</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204</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204</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204</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122</v>
      </c>
      <c r="C87"/>
      <c r="D87"/>
      <c r="E87"/>
      <c r="F87"/>
      <c r="G87"/>
      <c r="H87"/>
      <c r="I87"/>
      <c r="J87" s="49" t="s">
        <v>0</v>
      </c>
      <c r="K87"/>
      <c r="L87" s="134" t="s">
        <v>204</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247</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61</v>
      </c>
      <c r="C92"/>
      <c r="D92"/>
      <c r="E92"/>
      <c r="F92"/>
      <c r="G92"/>
      <c r="H92"/>
      <c r="I92"/>
      <c r="J92" s="49"/>
      <c r="K92"/>
      <c r="L92" s="134" t="s">
        <v>204</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62</v>
      </c>
      <c r="C93"/>
      <c r="D93"/>
      <c r="E93"/>
      <c r="F93"/>
      <c r="G93"/>
      <c r="H93"/>
      <c r="I93"/>
      <c r="J93" s="49"/>
      <c r="K93"/>
      <c r="L93" s="134" t="s">
        <v>204</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156</v>
      </c>
      <c r="C94"/>
      <c r="D94"/>
      <c r="E94"/>
      <c r="F94"/>
      <c r="G94"/>
      <c r="H94"/>
      <c r="I94"/>
      <c r="J94" s="49"/>
      <c r="K94"/>
      <c r="L94" s="134" t="s">
        <v>204</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157</v>
      </c>
      <c r="C95"/>
      <c r="D95"/>
      <c r="E95"/>
      <c r="F95"/>
      <c r="G95"/>
      <c r="H95"/>
      <c r="I95"/>
      <c r="J95" s="49"/>
      <c r="K95"/>
      <c r="L95" s="134" t="s">
        <v>204</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63</v>
      </c>
      <c r="C96"/>
      <c r="D96"/>
      <c r="E96"/>
      <c r="F96"/>
      <c r="G96"/>
      <c r="H96"/>
      <c r="I96"/>
      <c r="J96" s="49"/>
      <c r="K96"/>
      <c r="L96" s="134" t="s">
        <v>204</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158</v>
      </c>
      <c r="C97"/>
      <c r="D97"/>
      <c r="E97"/>
      <c r="F97"/>
      <c r="G97"/>
      <c r="H97"/>
      <c r="I97"/>
      <c r="J97" s="49"/>
      <c r="K97"/>
      <c r="L97" s="134" t="s">
        <v>204</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159</v>
      </c>
      <c r="C98"/>
      <c r="D98"/>
      <c r="E98"/>
      <c r="F98"/>
      <c r="G98"/>
      <c r="H98"/>
      <c r="I98"/>
      <c r="J98" s="49"/>
      <c r="K98"/>
      <c r="L98" s="134" t="s">
        <v>204</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160</v>
      </c>
      <c r="C99"/>
      <c r="D99"/>
      <c r="E99"/>
      <c r="F99"/>
      <c r="G99"/>
      <c r="H99"/>
      <c r="I99"/>
      <c r="J99" s="49"/>
      <c r="K99"/>
      <c r="L99" s="134" t="s">
        <v>204</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161</v>
      </c>
      <c r="C100"/>
      <c r="D100"/>
      <c r="E100"/>
      <c r="F100"/>
      <c r="G100"/>
      <c r="H100"/>
      <c r="I100"/>
      <c r="J100" s="49"/>
      <c r="K100"/>
      <c r="L100" s="134" t="s">
        <v>204</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64</v>
      </c>
      <c r="C101"/>
      <c r="D101"/>
      <c r="E101"/>
      <c r="F101"/>
      <c r="G101"/>
      <c r="H101"/>
      <c r="I101"/>
      <c r="J101" s="49"/>
      <c r="K101"/>
      <c r="L101" s="134" t="s">
        <v>204</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176</v>
      </c>
      <c r="C102"/>
      <c r="D102"/>
      <c r="E102"/>
      <c r="F102"/>
      <c r="G102"/>
      <c r="H102"/>
      <c r="I102"/>
      <c r="J102" s="49"/>
      <c r="K102"/>
      <c r="L102" s="134" t="s">
        <v>204</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177</v>
      </c>
      <c r="C103"/>
      <c r="D103"/>
      <c r="E103"/>
      <c r="F103"/>
      <c r="G103"/>
      <c r="H103"/>
      <c r="I103"/>
      <c r="J103" s="49"/>
      <c r="K103"/>
      <c r="L103" s="134" t="s">
        <v>204</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178</v>
      </c>
      <c r="C104"/>
      <c r="D104"/>
      <c r="E104"/>
      <c r="F104"/>
      <c r="G104"/>
      <c r="H104"/>
      <c r="I104"/>
      <c r="J104" s="49"/>
      <c r="K104"/>
      <c r="L104" s="134" t="s">
        <v>204</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65</v>
      </c>
      <c r="C105"/>
      <c r="D105"/>
      <c r="E105"/>
      <c r="F105"/>
      <c r="G105"/>
      <c r="H105"/>
      <c r="I105"/>
      <c r="J105" s="49"/>
      <c r="K105"/>
      <c r="L105" s="134" t="s">
        <v>204</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176</v>
      </c>
      <c r="C106"/>
      <c r="D106"/>
      <c r="E106"/>
      <c r="F106"/>
      <c r="G106"/>
      <c r="H106"/>
      <c r="I106"/>
      <c r="J106" s="49"/>
      <c r="K106"/>
      <c r="L106" s="134" t="s">
        <v>204</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177</v>
      </c>
      <c r="C107"/>
      <c r="D107"/>
      <c r="E107"/>
      <c r="F107"/>
      <c r="G107"/>
      <c r="H107"/>
      <c r="I107"/>
      <c r="J107" s="49"/>
      <c r="K107"/>
      <c r="L107" s="134" t="s">
        <v>204</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178</v>
      </c>
      <c r="C108"/>
      <c r="D108"/>
      <c r="E108"/>
      <c r="F108"/>
      <c r="G108"/>
      <c r="H108"/>
      <c r="I108"/>
      <c r="J108" s="49"/>
      <c r="K108"/>
      <c r="L108" s="134" t="s">
        <v>204</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204</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67</v>
      </c>
      <c r="C110"/>
      <c r="D110"/>
      <c r="E110"/>
      <c r="F110"/>
      <c r="G110"/>
      <c r="H110"/>
      <c r="I110"/>
      <c r="J110" s="49"/>
      <c r="K110"/>
      <c r="L110" s="134" t="s">
        <v>204</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66</v>
      </c>
      <c r="C111"/>
      <c r="D111"/>
      <c r="E111"/>
      <c r="F111"/>
      <c r="G111"/>
      <c r="H111"/>
      <c r="I111"/>
      <c r="J111" s="49"/>
      <c r="K111"/>
      <c r="L111" s="134" t="s">
        <v>204</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162</v>
      </c>
      <c r="C112"/>
      <c r="D112"/>
      <c r="E112"/>
      <c r="F112"/>
      <c r="G112"/>
      <c r="H112"/>
      <c r="I112"/>
      <c r="J112" s="49"/>
      <c r="K112"/>
      <c r="L112" s="134" t="s">
        <v>204</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163</v>
      </c>
      <c r="C113"/>
      <c r="D113"/>
      <c r="E113"/>
      <c r="F113"/>
      <c r="G113"/>
      <c r="H113"/>
      <c r="I113"/>
      <c r="J113" s="49"/>
      <c r="K113"/>
      <c r="L113" s="134" t="s">
        <v>204</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68</v>
      </c>
      <c r="C114"/>
      <c r="D114"/>
      <c r="E114"/>
      <c r="F114"/>
      <c r="G114"/>
      <c r="H114"/>
      <c r="I114"/>
      <c r="J114" s="49"/>
      <c r="K114"/>
      <c r="L114" s="134" t="s">
        <v>204</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122</v>
      </c>
      <c r="C115" s="30"/>
      <c r="D115" s="30"/>
      <c r="E115" s="30"/>
      <c r="F115" s="30"/>
      <c r="G115" s="30"/>
      <c r="H115" s="30"/>
      <c r="I115" s="30"/>
      <c r="J115" s="156"/>
      <c r="K115" s="30"/>
      <c r="L115" s="134" t="s">
        <v>204</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248</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164</v>
      </c>
      <c r="C120"/>
      <c r="D120"/>
      <c r="E120"/>
      <c r="F120"/>
      <c r="G120"/>
      <c r="H120"/>
      <c r="I120"/>
      <c r="J120" s="49"/>
      <c r="K120"/>
      <c r="L120" s="134" t="s">
        <v>204</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165</v>
      </c>
      <c r="C121"/>
      <c r="D121"/>
      <c r="E121"/>
      <c r="F121"/>
      <c r="G121"/>
      <c r="H121"/>
      <c r="I121"/>
      <c r="J121" s="49"/>
      <c r="K121"/>
      <c r="L121" s="134" t="s">
        <v>204</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166</v>
      </c>
      <c r="C122"/>
      <c r="D122"/>
      <c r="E122"/>
      <c r="F122"/>
      <c r="G122"/>
      <c r="H122"/>
      <c r="I122"/>
      <c r="J122" s="49"/>
      <c r="K122"/>
      <c r="L122" s="134" t="s">
        <v>204</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167</v>
      </c>
      <c r="C123"/>
      <c r="D123"/>
      <c r="E123"/>
      <c r="F123"/>
      <c r="G123"/>
      <c r="H123"/>
      <c r="I123"/>
      <c r="J123" s="49"/>
      <c r="K123"/>
      <c r="L123" s="134" t="s">
        <v>204</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69</v>
      </c>
      <c r="C124"/>
      <c r="D124"/>
      <c r="E124"/>
      <c r="F124"/>
      <c r="G124"/>
      <c r="H124"/>
      <c r="I124"/>
      <c r="J124" s="49"/>
      <c r="K124"/>
      <c r="L124" s="134" t="s">
        <v>204</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70</v>
      </c>
      <c r="C125"/>
      <c r="D125"/>
      <c r="E125"/>
      <c r="F125"/>
      <c r="G125"/>
      <c r="H125"/>
      <c r="I125"/>
      <c r="J125" s="49"/>
      <c r="K125"/>
      <c r="L125" s="134" t="s">
        <v>204</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168</v>
      </c>
      <c r="C126"/>
      <c r="D126"/>
      <c r="E126"/>
      <c r="F126"/>
      <c r="G126"/>
      <c r="H126"/>
      <c r="I126"/>
      <c r="J126" s="49"/>
      <c r="K126"/>
      <c r="L126" s="134" t="s">
        <v>204</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169</v>
      </c>
      <c r="C127"/>
      <c r="D127"/>
      <c r="E127"/>
      <c r="F127"/>
      <c r="G127"/>
      <c r="H127"/>
      <c r="I127"/>
      <c r="J127" s="49"/>
      <c r="K127"/>
      <c r="L127" s="134" t="s">
        <v>204</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204</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122</v>
      </c>
      <c r="C129" s="30"/>
      <c r="D129" s="30"/>
      <c r="E129" s="30"/>
      <c r="F129" s="30"/>
      <c r="G129" s="30"/>
      <c r="H129" s="30"/>
      <c r="I129" s="30"/>
      <c r="J129" s="156"/>
      <c r="K129" s="30"/>
      <c r="L129" s="134" t="s">
        <v>204</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183</v>
      </c>
      <c r="E135" s="4"/>
      <c r="G135" s="4"/>
      <c r="I135" s="4"/>
      <c r="J135" s="5" t="s">
        <v>0</v>
      </c>
      <c r="L135" s="134" t="s">
        <v>204</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hidden="1">
      <c r="A136" s="61"/>
      <c r="B136" s="17" t="s">
        <v>40</v>
      </c>
      <c r="E136" s="4"/>
      <c r="G136" s="4"/>
      <c r="I136" s="4"/>
      <c r="L136" s="134" t="s">
        <v>204</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122</v>
      </c>
      <c r="E137" s="4"/>
      <c r="G137" s="4"/>
      <c r="I137" s="4"/>
      <c r="L137" s="134" t="s">
        <v>204</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249</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121</v>
      </c>
      <c r="B140" s="58"/>
      <c r="J140" s="8" t="s">
        <v>0</v>
      </c>
      <c r="L140" s="143" t="s">
        <v>204</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218</v>
      </c>
      <c r="B142" s="31"/>
      <c r="J142" s="8" t="s">
        <v>0</v>
      </c>
      <c r="L142" s="134" t="s">
        <v>204</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204</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204</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209</v>
      </c>
      <c r="E149" s="4"/>
      <c r="G149" s="4"/>
      <c r="I149" s="4"/>
      <c r="J149" s="5" t="s">
        <v>0</v>
      </c>
      <c r="L149" s="134" t="s">
        <v>204</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210</v>
      </c>
      <c r="E150" s="4"/>
      <c r="G150" s="4"/>
      <c r="I150" s="4"/>
      <c r="J150" s="5" t="s">
        <v>0</v>
      </c>
      <c r="L150" s="134" t="s">
        <v>204</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211</v>
      </c>
      <c r="E151" s="4"/>
      <c r="G151" s="4"/>
      <c r="I151" s="4"/>
      <c r="J151" s="5" t="s">
        <v>0</v>
      </c>
      <c r="L151" s="134" t="s">
        <v>204</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212</v>
      </c>
      <c r="E152" s="4"/>
      <c r="G152" s="4"/>
      <c r="I152" s="4"/>
      <c r="J152" s="5" t="s">
        <v>0</v>
      </c>
      <c r="L152" s="134" t="s">
        <v>204</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184</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213</v>
      </c>
      <c r="C156"/>
      <c r="D156"/>
      <c r="E156"/>
      <c r="F156"/>
      <c r="G156"/>
      <c r="H156"/>
      <c r="I156"/>
      <c r="J156" s="49"/>
      <c r="K156"/>
      <c r="L156" s="134" t="s">
        <v>205</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9">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214</v>
      </c>
      <c r="C157"/>
      <c r="D157"/>
      <c r="E157"/>
      <c r="F157"/>
      <c r="G157"/>
      <c r="H157"/>
      <c r="I157"/>
      <c r="J157" s="49"/>
      <c r="K157"/>
      <c r="L157" s="134" t="s">
        <v>205</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9">
        <v>0</v>
      </c>
      <c r="BQ157" s="6"/>
      <c r="BR157" s="6">
        <f t="shared" si="32"/>
        <v>0</v>
      </c>
      <c r="BT157" s="6">
        <f t="shared" si="33"/>
        <v>24154.980000000003</v>
      </c>
      <c r="BV157" s="6">
        <f>+R157-BT157</f>
        <v>-24154.980000000003</v>
      </c>
      <c r="BW157" s="6"/>
    </row>
    <row r="158" spans="1:75">
      <c r="A158" s="57"/>
      <c r="B158" s="17" t="s">
        <v>215</v>
      </c>
      <c r="C158"/>
      <c r="D158"/>
      <c r="E158"/>
      <c r="F158"/>
      <c r="G158"/>
      <c r="H158"/>
      <c r="I158"/>
      <c r="J158" s="49"/>
      <c r="K158"/>
      <c r="L158" s="134" t="s">
        <v>205</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9">
        <v>0</v>
      </c>
      <c r="BQ158" s="6"/>
      <c r="BR158" s="6">
        <f t="shared" si="32"/>
        <v>0</v>
      </c>
      <c r="BT158" s="6">
        <f t="shared" si="33"/>
        <v>173555.63</v>
      </c>
      <c r="BV158" s="6">
        <f>+R158-BT158</f>
        <v>-173555.63</v>
      </c>
      <c r="BW158" s="6"/>
    </row>
    <row r="159" spans="1:75">
      <c r="A159" s="57"/>
      <c r="B159" s="17" t="s">
        <v>216</v>
      </c>
      <c r="C159"/>
      <c r="D159"/>
      <c r="E159"/>
      <c r="F159"/>
      <c r="G159"/>
      <c r="H159"/>
      <c r="I159"/>
      <c r="J159" s="49"/>
      <c r="K159"/>
      <c r="L159" s="134" t="s">
        <v>205</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9">
        <v>0</v>
      </c>
      <c r="BQ159" s="6"/>
      <c r="BR159" s="6">
        <f t="shared" si="32"/>
        <v>0</v>
      </c>
      <c r="BT159" s="6">
        <f t="shared" si="33"/>
        <v>129365.01999999999</v>
      </c>
      <c r="BV159" s="6">
        <f>+R159-BT159</f>
        <v>-129365.01999999999</v>
      </c>
      <c r="BW159" s="6"/>
    </row>
    <row r="160" spans="1:75">
      <c r="A160" s="57"/>
      <c r="B160" s="17" t="s">
        <v>217</v>
      </c>
      <c r="C160"/>
      <c r="D160"/>
      <c r="E160"/>
      <c r="F160"/>
      <c r="G160"/>
      <c r="H160"/>
      <c r="I160"/>
      <c r="J160" s="49"/>
      <c r="K160"/>
      <c r="L160" s="134" t="s">
        <v>205</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9">
        <v>0</v>
      </c>
      <c r="BQ160" s="6"/>
      <c r="BR160" s="6">
        <f t="shared" si="32"/>
        <v>0</v>
      </c>
      <c r="BT160" s="6">
        <f t="shared" si="33"/>
        <v>13095</v>
      </c>
      <c r="BV160" s="6">
        <f>+R160-BT160</f>
        <v>-13095</v>
      </c>
      <c r="BW160" s="6"/>
    </row>
    <row r="161" spans="1:75">
      <c r="A161" s="57"/>
      <c r="B161" s="17" t="s">
        <v>122</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9">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9"/>
      <c r="BQ162" s="6"/>
      <c r="BR162" s="6">
        <f t="shared" si="32"/>
        <v>0</v>
      </c>
      <c r="BW162" s="6"/>
    </row>
    <row r="163" spans="1:75" s="21" customFormat="1">
      <c r="A163" s="118"/>
      <c r="B163" s="58" t="s">
        <v>185</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276</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277</v>
      </c>
      <c r="C166"/>
      <c r="D166"/>
      <c r="E166"/>
      <c r="F166"/>
      <c r="G166"/>
      <c r="H166"/>
      <c r="I166"/>
      <c r="J166"/>
      <c r="K166" s="134" t="s">
        <v>204</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278</v>
      </c>
      <c r="C167"/>
      <c r="D167"/>
      <c r="E167"/>
      <c r="F167"/>
      <c r="G167"/>
      <c r="H167"/>
      <c r="I167"/>
      <c r="J167"/>
      <c r="K167" s="134" t="s">
        <v>204</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279</v>
      </c>
      <c r="C168"/>
      <c r="D168"/>
      <c r="E168"/>
      <c r="F168"/>
      <c r="G168"/>
      <c r="H168"/>
      <c r="I168"/>
      <c r="J168"/>
      <c r="K168" s="134" t="s">
        <v>204</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280</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204</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179</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180</v>
      </c>
      <c r="C175"/>
      <c r="D175"/>
      <c r="E175"/>
      <c r="F175"/>
      <c r="G175"/>
      <c r="H175"/>
      <c r="I175"/>
      <c r="J175" s="49"/>
      <c r="K175"/>
      <c r="L175" s="134" t="s">
        <v>204</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181</v>
      </c>
      <c r="C176"/>
      <c r="D176"/>
      <c r="E176"/>
      <c r="F176"/>
      <c r="G176"/>
      <c r="H176"/>
      <c r="I176"/>
      <c r="J176" s="49"/>
      <c r="K176"/>
      <c r="L176" s="134" t="s">
        <v>204</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122</v>
      </c>
      <c r="C177"/>
      <c r="D177"/>
      <c r="E177"/>
      <c r="F177"/>
      <c r="G177"/>
      <c r="H177"/>
      <c r="I177"/>
      <c r="J177" s="49"/>
      <c r="K177"/>
      <c r="L177" s="134" t="s">
        <v>204</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182</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204</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204</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186</v>
      </c>
      <c r="J185" s="160"/>
      <c r="L185" s="146" t="s">
        <v>205</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205</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219</v>
      </c>
      <c r="J187" s="160"/>
      <c r="L187" s="146" t="s">
        <v>205</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122</v>
      </c>
      <c r="J188" s="160"/>
      <c r="L188" s="146" t="s">
        <v>205</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285</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41</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205</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220</v>
      </c>
      <c r="J194" s="160"/>
      <c r="L194" s="146" t="s">
        <v>205</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222</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42</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251</v>
      </c>
      <c r="J198" s="159"/>
      <c r="L198" s="145" t="s">
        <v>204</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250</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1143585.06</v>
      </c>
      <c r="BU200" s="120">
        <f>BU198+BU190+BU182+BU180+BU178+BU172+BU163+BU153+BU146+BU144+BU142+BU140+BU138+BU196</f>
        <v>0</v>
      </c>
      <c r="BV200" s="120">
        <f>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192</v>
      </c>
      <c r="B202" s="31"/>
      <c r="J202" s="8"/>
      <c r="L202" s="143" t="s">
        <v>204</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255</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1401085.4433333327</v>
      </c>
      <c r="BO205" s="168">
        <f t="shared" si="36"/>
        <v>2030320</v>
      </c>
      <c r="BP205" s="168">
        <f t="shared" si="36"/>
        <v>0</v>
      </c>
      <c r="BQ205" s="168">
        <f t="shared" si="36"/>
        <v>2030320</v>
      </c>
      <c r="BR205" s="168">
        <f t="shared" si="36"/>
        <v>0.62000000059197191</v>
      </c>
      <c r="BS205" s="168">
        <f t="shared" si="36"/>
        <v>2030320</v>
      </c>
      <c r="BT205" s="168">
        <f t="shared" si="36"/>
        <v>1401086.0633333332</v>
      </c>
      <c r="BU205" s="168">
        <f t="shared" si="36"/>
        <v>2030320</v>
      </c>
      <c r="BV205" s="168">
        <f t="shared"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253</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221</v>
      </c>
      <c r="B208" s="31"/>
      <c r="J208" s="8"/>
      <c r="L208" s="143" t="s">
        <v>204</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252</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493</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9">
        <f>+BN212+BR212</f>
        <v>100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271</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8" thickBot="1">
      <c r="A216" s="63" t="s">
        <v>254</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912870.44333333266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912871.06333333324</v>
      </c>
      <c r="BU216" s="121">
        <f t="shared" si="39"/>
        <v>2030320</v>
      </c>
      <c r="BV216" s="121">
        <f t="shared" si="39"/>
        <v>-912771.06333333324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8"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40"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T326"/>
  <sheetViews>
    <sheetView zoomScale="80" zoomScaleNormal="66" workbookViewId="0">
      <pane xSplit="19" ySplit="8" topLeftCell="BX190" activePane="bottomRight" state="frozen"/>
      <selection activeCell="K244" sqref="K244"/>
      <selection pane="topRight" activeCell="K244" sqref="K244"/>
      <selection pane="bottomLeft" activeCell="K244" sqref="K244"/>
      <selection pane="bottomRight" activeCell="BX199" sqref="BX199"/>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0.88671875" style="6" customWidth="1"/>
    <col min="19" max="19" width="2.441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1.109375" style="6" hidden="1" customWidth="1"/>
    <col min="36" max="36" width="16.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5546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503</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- 013100.xls]Summary</v>
      </c>
    </row>
    <row r="3" spans="1:76" s="18" customFormat="1" ht="15.6">
      <c r="A3" s="99" t="s">
        <v>298</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36558.409746990743</v>
      </c>
      <c r="BT3" s="23"/>
      <c r="BV3" s="78" t="str">
        <f>Summary!A5</f>
        <v>Revision # 43</v>
      </c>
    </row>
    <row r="4" spans="1:76" s="18" customFormat="1" ht="15.6">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296</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6">
      <c r="A7" s="91"/>
      <c r="B7" s="1"/>
      <c r="C7" s="2"/>
      <c r="G7" s="67"/>
      <c r="J7" s="67"/>
      <c r="L7" s="139"/>
      <c r="N7" s="82" t="str">
        <f>Summary!E9</f>
        <v>as of 7/22/99</v>
      </c>
      <c r="O7" s="129"/>
      <c r="P7" s="69"/>
      <c r="R7" s="82" t="str">
        <f>+Summary!E9</f>
        <v>as of 7/22/99</v>
      </c>
      <c r="T7" s="82" t="str">
        <f>+Summary!$O$4</f>
        <v xml:space="preserve"> As of 1/31/00</v>
      </c>
      <c r="U7" s="96"/>
      <c r="V7" s="82" t="str">
        <f>+Summary!$O$4</f>
        <v xml:space="preserve"> As of 1/31/00</v>
      </c>
      <c r="W7" s="69"/>
      <c r="X7" s="82" t="str">
        <f>+Summary!$O$4</f>
        <v xml:space="preserve"> As of 1/31/00</v>
      </c>
      <c r="Y7" s="69"/>
      <c r="Z7" s="82" t="str">
        <f>+Summary!$O$4</f>
        <v xml:space="preserve"> As of 1/31/00</v>
      </c>
      <c r="AA7" s="69"/>
      <c r="AB7" s="82" t="str">
        <f>+Summary!$O$4</f>
        <v xml:space="preserve"> As of 1/31/00</v>
      </c>
      <c r="AC7" s="69"/>
      <c r="AD7" s="82" t="str">
        <f>+Summary!$O$4</f>
        <v xml:space="preserve"> As of 1/31/00</v>
      </c>
      <c r="AE7" s="69"/>
      <c r="AF7" s="82" t="str">
        <f>+Summary!$O$4</f>
        <v xml:space="preserve"> As of 1/31/00</v>
      </c>
      <c r="AG7" s="69"/>
      <c r="AH7" s="82" t="str">
        <f>+Summary!$O$4</f>
        <v xml:space="preserve"> As of 1/31/00</v>
      </c>
      <c r="AI7" s="69"/>
      <c r="AJ7" s="82" t="str">
        <f>+Summary!$O$4</f>
        <v xml:space="preserve"> As of 1/31/00</v>
      </c>
      <c r="AK7" s="69"/>
      <c r="AL7" s="82" t="str">
        <f>+Summary!$O$4</f>
        <v xml:space="preserve"> As of 1/31/00</v>
      </c>
      <c r="AM7" s="69"/>
      <c r="AN7" s="82" t="str">
        <f>+Summary!$O$4</f>
        <v xml:space="preserve"> As of 1/31/00</v>
      </c>
      <c r="AO7" s="69"/>
      <c r="AP7" s="82" t="str">
        <f>+Summary!$O$4</f>
        <v xml:space="preserve"> As of 1/31/00</v>
      </c>
      <c r="AQ7" s="69"/>
      <c r="AR7" s="82" t="str">
        <f>+Summary!$O$4</f>
        <v xml:space="preserve"> As of 1/31/00</v>
      </c>
      <c r="AS7" s="69"/>
      <c r="AT7" s="82" t="str">
        <f>+Summary!$O$4</f>
        <v xml:space="preserve"> As of 1/31/00</v>
      </c>
      <c r="AU7" s="69"/>
      <c r="AV7" s="82" t="str">
        <f>+Summary!$O$4</f>
        <v xml:space="preserve"> As of 1/31/00</v>
      </c>
      <c r="AW7" s="82"/>
      <c r="AX7" s="82" t="str">
        <f>+Summary!$O$4</f>
        <v xml:space="preserve"> As of 1/31/00</v>
      </c>
      <c r="AY7" s="82"/>
      <c r="AZ7" s="82" t="str">
        <f>+Summary!$O$4</f>
        <v xml:space="preserve"> As of 1/31/00</v>
      </c>
      <c r="BA7" s="82"/>
      <c r="BB7" s="82" t="str">
        <f>+Summary!$O$4</f>
        <v xml:space="preserve"> As of 1/31/00</v>
      </c>
      <c r="BC7" s="82"/>
      <c r="BD7" s="82" t="str">
        <f>+Summary!$O$4</f>
        <v xml:space="preserve"> As of 1/31/00</v>
      </c>
      <c r="BE7" s="82"/>
      <c r="BF7" s="82" t="str">
        <f>+Summary!$O$4</f>
        <v xml:space="preserve"> As of 1/31/00</v>
      </c>
      <c r="BG7" s="82"/>
      <c r="BH7" s="82" t="str">
        <f>+Summary!$O$4</f>
        <v xml:space="preserve"> As of 1/31/00</v>
      </c>
      <c r="BI7" s="82"/>
      <c r="BJ7" s="82" t="str">
        <f>+Summary!$O$4</f>
        <v xml:space="preserve"> As of 1/31/00</v>
      </c>
      <c r="BK7" s="82"/>
      <c r="BL7" s="82" t="str">
        <f>+Summary!$O$4</f>
        <v xml:space="preserve"> As of 1/31/00</v>
      </c>
      <c r="BN7" s="71" t="str">
        <f>+Summary!$O$4</f>
        <v xml:space="preserve"> As of 1/31/00</v>
      </c>
      <c r="BP7" s="64" t="str">
        <f>+Summary!$O$4</f>
        <v xml:space="preserve"> As of 1/31/00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0</v>
      </c>
      <c r="BB9" s="6">
        <v>0</v>
      </c>
      <c r="BD9" s="6">
        <v>0</v>
      </c>
      <c r="BF9" s="6">
        <v>0</v>
      </c>
      <c r="BH9" s="6">
        <v>0</v>
      </c>
      <c r="BJ9" s="6">
        <v>0</v>
      </c>
      <c r="BL9" s="6">
        <v>0</v>
      </c>
      <c r="BM9" s="6"/>
      <c r="BN9" s="6">
        <f t="shared" ref="BN9:BN14" si="0">SUM(T9:BM9)</f>
        <v>57775895</v>
      </c>
      <c r="BO9" s="6"/>
      <c r="BP9" s="6">
        <f>436901+900+90800-52600-105480+59734</f>
        <v>430255</v>
      </c>
      <c r="BQ9" s="6"/>
      <c r="BR9" s="6">
        <f t="shared" ref="BR9:BR15" si="1">IF(+R9-BN9+BP9&gt;0,R9-BN9+BP9,0)</f>
        <v>4799360</v>
      </c>
      <c r="BT9" s="6">
        <f t="shared" ref="BT9:BT14" si="2">+BN9+BR9</f>
        <v>62575255</v>
      </c>
      <c r="BV9" s="6">
        <f t="shared" ref="BV9:BV15" si="3">+R9-BT9</f>
        <v>-430255</v>
      </c>
      <c r="BW9" s="6"/>
    </row>
    <row r="10" spans="1:76">
      <c r="A10" s="93"/>
      <c r="B10" s="17" t="s">
        <v>194</v>
      </c>
      <c r="C10"/>
      <c r="D10"/>
      <c r="E10"/>
      <c r="F10"/>
      <c r="G10"/>
      <c r="H10"/>
      <c r="I10"/>
      <c r="J10" s="49" t="s">
        <v>0</v>
      </c>
      <c r="K10"/>
      <c r="L10" s="134" t="s">
        <v>204</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122</v>
      </c>
      <c r="C14"/>
      <c r="D14"/>
      <c r="E14"/>
      <c r="F14"/>
      <c r="G14"/>
      <c r="H14"/>
      <c r="I14"/>
      <c r="J14" s="49" t="s">
        <v>0</v>
      </c>
      <c r="K14"/>
      <c r="L14" s="134" t="s">
        <v>204</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197</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87508844</v>
      </c>
      <c r="BO16" s="6"/>
      <c r="BP16" s="101">
        <f>SUM(BP9:BP15)</f>
        <v>1981044</v>
      </c>
      <c r="BQ16" s="6"/>
      <c r="BR16" s="101">
        <f>SUM(BR9:BR15)</f>
        <v>8052200</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223</v>
      </c>
      <c r="C19"/>
      <c r="D19"/>
      <c r="E19"/>
      <c r="F19"/>
      <c r="G19"/>
      <c r="H19"/>
      <c r="I19"/>
      <c r="J19" s="49" t="s">
        <v>0</v>
      </c>
      <c r="K19"/>
      <c r="L19" s="134" t="s">
        <v>204</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f>569673+1196070.3</f>
        <v>1765743.3</v>
      </c>
      <c r="AX19" s="6">
        <v>0</v>
      </c>
      <c r="AZ19" s="6">
        <v>0</v>
      </c>
      <c r="BB19" s="6">
        <v>0</v>
      </c>
      <c r="BD19" s="6">
        <v>0</v>
      </c>
      <c r="BF19" s="6">
        <v>0</v>
      </c>
      <c r="BH19" s="6">
        <v>0</v>
      </c>
      <c r="BJ19" s="6">
        <v>0</v>
      </c>
      <c r="BL19" s="6">
        <v>0</v>
      </c>
      <c r="BM19" s="6"/>
      <c r="BN19" s="6">
        <f>SUM(T19:BM19)</f>
        <v>4767148.5999999996</v>
      </c>
      <c r="BO19" s="6"/>
      <c r="BP19" s="6">
        <v>0</v>
      </c>
      <c r="BQ19" s="6"/>
      <c r="BR19" s="6">
        <f t="shared" ref="BR19:BR34" si="6">IF(+R19-BN19+BP19&gt;0,R19-BN19+BP19,0)</f>
        <v>1118662.4000000004</v>
      </c>
      <c r="BT19" s="6">
        <f t="shared" si="4"/>
        <v>5885811</v>
      </c>
      <c r="BV19" s="6">
        <f t="shared" si="5"/>
        <v>0</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204</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204</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204</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204</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204</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204</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204</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228</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4905948.5999999996</v>
      </c>
      <c r="BO35" s="6"/>
      <c r="BP35" s="101">
        <f>SUM(BP18:BP34)</f>
        <v>0</v>
      </c>
      <c r="BQ35" s="6"/>
      <c r="BR35" s="101">
        <f>SUM(BR18:BR34)</f>
        <v>1118662.4000000004</v>
      </c>
      <c r="BT35" s="101">
        <f>SUM(BT18:BT34)</f>
        <v>6024611</v>
      </c>
      <c r="BV35" s="101">
        <f>SUM(BV18:BV34)</f>
        <v>-138800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92414792.599999994</v>
      </c>
      <c r="BO37" s="115"/>
      <c r="BP37" s="115">
        <f>+BP35+BP16</f>
        <v>1981044</v>
      </c>
      <c r="BQ37" s="115"/>
      <c r="BR37" s="115">
        <f>+BR35+BR16</f>
        <v>9170862.4000000004</v>
      </c>
      <c r="BS37" s="115"/>
      <c r="BT37" s="115">
        <f>+BT35+BT16</f>
        <v>101585655</v>
      </c>
      <c r="BU37" s="115"/>
      <c r="BV37" s="115">
        <f>+BV35+BV16</f>
        <v>-2119844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4" t="s">
        <v>313</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5" t="s">
        <v>301</v>
      </c>
      <c r="C43"/>
      <c r="D43"/>
      <c r="E43"/>
      <c r="F43"/>
      <c r="G43"/>
      <c r="H43"/>
      <c r="I43"/>
      <c r="J43" s="49" t="s">
        <v>231</v>
      </c>
      <c r="K43"/>
      <c r="L43" s="134" t="s">
        <v>204</v>
      </c>
      <c r="M43" s="6"/>
      <c r="O43" s="6"/>
      <c r="Q43" s="6"/>
      <c r="R43" s="237">
        <v>1493638</v>
      </c>
      <c r="S43" s="6"/>
      <c r="T43" s="6"/>
      <c r="U43" s="6"/>
      <c r="V43" s="6"/>
      <c r="X43" s="6"/>
      <c r="Z43" s="6"/>
      <c r="AB43" s="6"/>
      <c r="AD43" s="6"/>
      <c r="AI43"/>
      <c r="AK43"/>
      <c r="AM43"/>
      <c r="AR43" s="6">
        <v>11452</v>
      </c>
      <c r="AV43" s="6">
        <f>104705-11452</f>
        <v>93253</v>
      </c>
      <c r="BL43"/>
      <c r="BM43" s="6"/>
      <c r="BN43" s="6">
        <f t="shared" ref="BN43:BN60" si="9">SUM(T43:BM43)</f>
        <v>104705</v>
      </c>
      <c r="BO43" s="6"/>
      <c r="BP43" s="6">
        <f>1508628-1493638</f>
        <v>14990</v>
      </c>
      <c r="BQ43" s="6"/>
      <c r="BR43" s="6">
        <f t="shared" ref="BR43:BR53" si="10">IF(+R43-AR43+BP43&gt;0,R43-AR43+BP43,0)</f>
        <v>1497176</v>
      </c>
      <c r="BT43" s="6">
        <f t="shared" ref="BT43:BT53" si="11">+AR43+BR43</f>
        <v>1508628</v>
      </c>
      <c r="BV43" s="6">
        <f t="shared" ref="BV43:BV61" si="12">+R43-BT43</f>
        <v>-14990</v>
      </c>
    </row>
    <row r="44" spans="1:75">
      <c r="A44" s="57"/>
      <c r="B44" s="235" t="s">
        <v>302</v>
      </c>
      <c r="C44"/>
      <c r="D44"/>
      <c r="E44"/>
      <c r="F44"/>
      <c r="G44"/>
      <c r="H44"/>
      <c r="I44"/>
      <c r="J44" s="49" t="s">
        <v>231</v>
      </c>
      <c r="K44"/>
      <c r="L44" s="134" t="s">
        <v>204</v>
      </c>
      <c r="M44" s="6"/>
      <c r="O44" s="6"/>
      <c r="Q44" s="6"/>
      <c r="R44" s="237">
        <v>1449432</v>
      </c>
      <c r="S44" s="6"/>
      <c r="T44" s="6"/>
      <c r="U44" s="6"/>
      <c r="V44" s="6"/>
      <c r="X44" s="6"/>
      <c r="Z44" s="6"/>
      <c r="AB44" s="6"/>
      <c r="AD44" s="6"/>
      <c r="AI44"/>
      <c r="AK44"/>
      <c r="AM44"/>
      <c r="AR44" s="6">
        <v>43084</v>
      </c>
      <c r="AV44" s="6">
        <f>101222-43084</f>
        <v>58138</v>
      </c>
      <c r="BL44"/>
      <c r="BM44" s="6"/>
      <c r="BN44" s="6">
        <f t="shared" si="9"/>
        <v>101222</v>
      </c>
      <c r="BO44" s="6"/>
      <c r="BP44" s="6">
        <f>1960961-1449432</f>
        <v>511529</v>
      </c>
      <c r="BQ44" s="6"/>
      <c r="BR44" s="6">
        <f t="shared" si="10"/>
        <v>1917877</v>
      </c>
      <c r="BT44" s="6">
        <f t="shared" si="11"/>
        <v>1960961</v>
      </c>
      <c r="BV44" s="6">
        <f t="shared" si="12"/>
        <v>-511529</v>
      </c>
    </row>
    <row r="45" spans="1:75">
      <c r="A45" s="57"/>
      <c r="B45" s="235" t="s">
        <v>303</v>
      </c>
      <c r="C45"/>
      <c r="D45"/>
      <c r="E45"/>
      <c r="F45"/>
      <c r="G45"/>
      <c r="H45"/>
      <c r="I45"/>
      <c r="J45" s="49" t="s">
        <v>231</v>
      </c>
      <c r="K45"/>
      <c r="L45" s="134" t="s">
        <v>204</v>
      </c>
      <c r="M45" s="6"/>
      <c r="O45" s="6"/>
      <c r="Q45" s="6"/>
      <c r="R45" s="237">
        <v>510345</v>
      </c>
      <c r="S45" s="6"/>
      <c r="T45" s="6"/>
      <c r="U45" s="6"/>
      <c r="V45" s="6"/>
      <c r="X45" s="6"/>
      <c r="Z45" s="6"/>
      <c r="AB45" s="6"/>
      <c r="AD45" s="6"/>
      <c r="AI45"/>
      <c r="AK45"/>
      <c r="AM45"/>
      <c r="AR45" s="6">
        <v>12159</v>
      </c>
      <c r="AV45" s="6">
        <f>255585-12159</f>
        <v>243426</v>
      </c>
      <c r="BL45"/>
      <c r="BM45" s="6"/>
      <c r="BN45" s="6">
        <f t="shared" si="9"/>
        <v>255585</v>
      </c>
      <c r="BO45" s="6"/>
      <c r="BP45" s="6">
        <f>0</f>
        <v>0</v>
      </c>
      <c r="BQ45" s="6"/>
      <c r="BR45" s="6">
        <f t="shared" si="10"/>
        <v>498186</v>
      </c>
      <c r="BT45" s="6">
        <f t="shared" si="11"/>
        <v>510345</v>
      </c>
      <c r="BV45" s="6">
        <f t="shared" si="12"/>
        <v>0</v>
      </c>
    </row>
    <row r="46" spans="1:75">
      <c r="A46" s="57"/>
      <c r="B46" s="235" t="s">
        <v>304</v>
      </c>
      <c r="C46"/>
      <c r="D46"/>
      <c r="E46"/>
      <c r="F46"/>
      <c r="G46"/>
      <c r="H46"/>
      <c r="I46"/>
      <c r="J46" s="49" t="s">
        <v>231</v>
      </c>
      <c r="K46"/>
      <c r="L46" s="134" t="s">
        <v>204</v>
      </c>
      <c r="M46" s="6"/>
      <c r="O46" s="6"/>
      <c r="Q46" s="6"/>
      <c r="R46" s="237">
        <v>537850</v>
      </c>
      <c r="S46" s="6"/>
      <c r="T46" s="6"/>
      <c r="U46" s="6"/>
      <c r="V46" s="6"/>
      <c r="X46" s="6"/>
      <c r="Z46" s="6"/>
      <c r="AB46" s="6"/>
      <c r="AD46" s="6"/>
      <c r="AI46"/>
      <c r="AK46"/>
      <c r="AM46"/>
      <c r="AR46" s="6">
        <v>19967</v>
      </c>
      <c r="AV46" s="6">
        <f>163985-19967</f>
        <v>144018</v>
      </c>
      <c r="BL46"/>
      <c r="BM46" s="6"/>
      <c r="BN46" s="6">
        <f t="shared" si="9"/>
        <v>163985</v>
      </c>
      <c r="BO46" s="6"/>
      <c r="BP46" s="6">
        <f>556407-537850</f>
        <v>18557</v>
      </c>
      <c r="BQ46" s="6"/>
      <c r="BR46" s="6">
        <f t="shared" si="10"/>
        <v>536440</v>
      </c>
      <c r="BT46" s="6">
        <f t="shared" si="11"/>
        <v>556407</v>
      </c>
      <c r="BV46" s="6">
        <f t="shared" si="12"/>
        <v>-18557</v>
      </c>
    </row>
    <row r="47" spans="1:75">
      <c r="A47" s="57"/>
      <c r="B47" s="235" t="s">
        <v>305</v>
      </c>
      <c r="C47"/>
      <c r="D47"/>
      <c r="E47"/>
      <c r="F47"/>
      <c r="G47"/>
      <c r="H47"/>
      <c r="I47"/>
      <c r="J47" s="49" t="s">
        <v>231</v>
      </c>
      <c r="K47"/>
      <c r="L47" s="134" t="s">
        <v>204</v>
      </c>
      <c r="M47" s="6"/>
      <c r="O47" s="6"/>
      <c r="Q47" s="6"/>
      <c r="R47" s="237">
        <v>6815905</v>
      </c>
      <c r="S47" s="6"/>
      <c r="T47" s="6"/>
      <c r="U47" s="6"/>
      <c r="V47" s="6"/>
      <c r="X47" s="6"/>
      <c r="Z47" s="6"/>
      <c r="AB47" s="6"/>
      <c r="AD47" s="6"/>
      <c r="AI47"/>
      <c r="AK47"/>
      <c r="AM47"/>
      <c r="AR47" s="6">
        <v>81333</v>
      </c>
      <c r="AV47" s="6">
        <f>128542-81333</f>
        <v>47209</v>
      </c>
      <c r="BL47"/>
      <c r="BM47" s="6"/>
      <c r="BN47" s="6">
        <f t="shared" si="9"/>
        <v>128542</v>
      </c>
      <c r="BO47" s="6"/>
      <c r="BP47" s="6">
        <f>7239173-6815905</f>
        <v>423268</v>
      </c>
      <c r="BQ47" s="6"/>
      <c r="BR47" s="6">
        <f t="shared" si="10"/>
        <v>7157840</v>
      </c>
      <c r="BT47" s="6">
        <f t="shared" si="11"/>
        <v>7239173</v>
      </c>
      <c r="BV47" s="6">
        <f t="shared" si="12"/>
        <v>-423268</v>
      </c>
    </row>
    <row r="48" spans="1:75">
      <c r="A48" s="57"/>
      <c r="B48" s="235" t="s">
        <v>306</v>
      </c>
      <c r="C48"/>
      <c r="D48"/>
      <c r="E48"/>
      <c r="F48"/>
      <c r="G48"/>
      <c r="H48"/>
      <c r="I48"/>
      <c r="J48" s="49" t="s">
        <v>231</v>
      </c>
      <c r="K48"/>
      <c r="L48" s="134" t="s">
        <v>204</v>
      </c>
      <c r="M48" s="6"/>
      <c r="O48" s="6"/>
      <c r="Q48" s="6"/>
      <c r="R48" s="237">
        <v>114599</v>
      </c>
      <c r="S48" s="6"/>
      <c r="T48" s="6"/>
      <c r="U48" s="6"/>
      <c r="V48" s="6"/>
      <c r="X48" s="6"/>
      <c r="Z48" s="6"/>
      <c r="AB48" s="6"/>
      <c r="AD48" s="6"/>
      <c r="AI48"/>
      <c r="AK48"/>
      <c r="AM48"/>
      <c r="AR48" s="6">
        <v>12404</v>
      </c>
      <c r="AV48" s="6">
        <f>18411-12404</f>
        <v>6007</v>
      </c>
      <c r="BL48"/>
      <c r="BM48" s="6"/>
      <c r="BN48" s="6">
        <f t="shared" si="9"/>
        <v>18411</v>
      </c>
      <c r="BO48" s="6"/>
      <c r="BP48" s="6"/>
      <c r="BQ48" s="6"/>
      <c r="BR48" s="6">
        <f t="shared" si="10"/>
        <v>102195</v>
      </c>
      <c r="BT48" s="6">
        <f t="shared" si="11"/>
        <v>114599</v>
      </c>
      <c r="BV48" s="6">
        <f t="shared" si="12"/>
        <v>0</v>
      </c>
    </row>
    <row r="49" spans="1:74">
      <c r="A49" s="57"/>
      <c r="B49" s="235" t="s">
        <v>307</v>
      </c>
      <c r="C49"/>
      <c r="D49"/>
      <c r="E49"/>
      <c r="F49"/>
      <c r="G49"/>
      <c r="H49"/>
      <c r="I49"/>
      <c r="J49" s="49" t="s">
        <v>231</v>
      </c>
      <c r="K49"/>
      <c r="L49" s="134" t="s">
        <v>204</v>
      </c>
      <c r="M49" s="6"/>
      <c r="O49" s="6"/>
      <c r="Q49" s="6"/>
      <c r="R49" s="237">
        <v>716745</v>
      </c>
      <c r="S49" s="6"/>
      <c r="T49" s="6"/>
      <c r="U49" s="6"/>
      <c r="V49" s="6"/>
      <c r="X49" s="6"/>
      <c r="Z49" s="6"/>
      <c r="AB49" s="6"/>
      <c r="AD49" s="6"/>
      <c r="AI49"/>
      <c r="AK49"/>
      <c r="AM49"/>
      <c r="AR49" s="6">
        <v>95392</v>
      </c>
      <c r="AV49" s="6">
        <f>153117-95392</f>
        <v>57725</v>
      </c>
      <c r="BL49"/>
      <c r="BM49" s="6"/>
      <c r="BN49" s="6">
        <f t="shared" si="9"/>
        <v>153117</v>
      </c>
      <c r="BO49" s="6"/>
      <c r="BP49" s="6"/>
      <c r="BQ49" s="6"/>
      <c r="BR49" s="6">
        <f t="shared" si="10"/>
        <v>621353</v>
      </c>
      <c r="BT49" s="6">
        <f t="shared" si="11"/>
        <v>716745</v>
      </c>
      <c r="BV49" s="6">
        <f t="shared" si="12"/>
        <v>0</v>
      </c>
    </row>
    <row r="50" spans="1:74">
      <c r="A50" s="57"/>
      <c r="B50" s="235" t="s">
        <v>308</v>
      </c>
      <c r="C50"/>
      <c r="D50"/>
      <c r="E50"/>
      <c r="F50"/>
      <c r="G50"/>
      <c r="H50"/>
      <c r="I50"/>
      <c r="J50" s="49" t="s">
        <v>231</v>
      </c>
      <c r="K50"/>
      <c r="L50" s="134" t="s">
        <v>204</v>
      </c>
      <c r="M50" s="6"/>
      <c r="N50" s="6">
        <v>0</v>
      </c>
      <c r="O50" s="6"/>
      <c r="P50" s="6">
        <v>0</v>
      </c>
      <c r="Q50" s="6"/>
      <c r="R50" s="237">
        <v>60432</v>
      </c>
      <c r="S50" s="6"/>
      <c r="T50" s="6">
        <v>0</v>
      </c>
      <c r="U50" s="6"/>
      <c r="V50" s="6">
        <v>0</v>
      </c>
      <c r="X50" s="6">
        <v>0</v>
      </c>
      <c r="Z50" s="6">
        <v>0</v>
      </c>
      <c r="AB50" s="6">
        <v>0</v>
      </c>
      <c r="AD50" s="6">
        <v>0</v>
      </c>
      <c r="AF50" s="6">
        <v>0</v>
      </c>
      <c r="AH50" s="6">
        <v>0</v>
      </c>
      <c r="AI50"/>
      <c r="AJ50" s="6">
        <v>0</v>
      </c>
      <c r="AK50"/>
      <c r="AL50" s="6">
        <v>0</v>
      </c>
      <c r="AM50"/>
      <c r="AN50" s="6">
        <v>0</v>
      </c>
      <c r="AP50" s="6">
        <v>0</v>
      </c>
      <c r="AR50" s="6">
        <v>14212</v>
      </c>
      <c r="AT50" s="6">
        <v>0</v>
      </c>
      <c r="AV50" s="6">
        <f>52068-14212</f>
        <v>37856</v>
      </c>
      <c r="AX50" s="6">
        <v>0</v>
      </c>
      <c r="AZ50" s="6">
        <v>0</v>
      </c>
      <c r="BB50" s="6">
        <v>0</v>
      </c>
      <c r="BD50" s="6">
        <v>0</v>
      </c>
      <c r="BF50" s="6">
        <v>0</v>
      </c>
      <c r="BH50" s="6">
        <v>0</v>
      </c>
      <c r="BJ50" s="6">
        <v>0</v>
      </c>
      <c r="BL50"/>
      <c r="BM50" s="6"/>
      <c r="BN50" s="6">
        <f t="shared" si="9"/>
        <v>52068</v>
      </c>
      <c r="BO50" s="6"/>
      <c r="BP50" s="6">
        <f>190134-60432</f>
        <v>129702</v>
      </c>
      <c r="BQ50" s="6"/>
      <c r="BR50" s="6">
        <f t="shared" si="10"/>
        <v>175922</v>
      </c>
      <c r="BT50" s="6">
        <f t="shared" si="11"/>
        <v>190134</v>
      </c>
      <c r="BV50" s="6">
        <f t="shared" si="12"/>
        <v>-129702</v>
      </c>
    </row>
    <row r="51" spans="1:74">
      <c r="A51" s="57"/>
      <c r="B51" s="235" t="s">
        <v>309</v>
      </c>
      <c r="C51"/>
      <c r="D51"/>
      <c r="E51"/>
      <c r="F51"/>
      <c r="G51"/>
      <c r="H51"/>
      <c r="I51"/>
      <c r="J51" s="49" t="s">
        <v>231</v>
      </c>
      <c r="K51"/>
      <c r="L51" s="134" t="s">
        <v>204</v>
      </c>
      <c r="M51" s="6"/>
      <c r="N51" s="6">
        <v>0</v>
      </c>
      <c r="O51" s="6"/>
      <c r="P51" s="6">
        <v>0</v>
      </c>
      <c r="Q51" s="6"/>
      <c r="R51" s="237">
        <v>2475371</v>
      </c>
      <c r="S51" s="6"/>
      <c r="T51" s="6">
        <v>0</v>
      </c>
      <c r="U51" s="6"/>
      <c r="V51" s="6">
        <v>0</v>
      </c>
      <c r="X51" s="6">
        <v>0</v>
      </c>
      <c r="Z51" s="6">
        <v>0</v>
      </c>
      <c r="AB51" s="6">
        <v>0</v>
      </c>
      <c r="AD51" s="6">
        <v>0</v>
      </c>
      <c r="AF51" s="6">
        <v>0</v>
      </c>
      <c r="AH51" s="6">
        <v>0</v>
      </c>
      <c r="AI51"/>
      <c r="AJ51" s="6">
        <v>0</v>
      </c>
      <c r="AK51"/>
      <c r="AL51" s="6">
        <v>0</v>
      </c>
      <c r="AM51"/>
      <c r="AN51" s="6">
        <v>0</v>
      </c>
      <c r="AP51" s="6">
        <v>0</v>
      </c>
      <c r="AR51" s="6">
        <v>60494</v>
      </c>
      <c r="AT51" s="6">
        <v>0</v>
      </c>
      <c r="AV51" s="6">
        <f>693936-60494</f>
        <v>633442</v>
      </c>
      <c r="AX51" s="6">
        <v>0</v>
      </c>
      <c r="AZ51" s="6">
        <v>0</v>
      </c>
      <c r="BB51" s="6">
        <v>0</v>
      </c>
      <c r="BD51" s="6">
        <v>0</v>
      </c>
      <c r="BF51" s="6">
        <v>0</v>
      </c>
      <c r="BH51" s="6">
        <v>0</v>
      </c>
      <c r="BJ51" s="6">
        <v>0</v>
      </c>
      <c r="BL51"/>
      <c r="BM51" s="6"/>
      <c r="BN51" s="6">
        <f t="shared" si="9"/>
        <v>693936</v>
      </c>
      <c r="BO51" s="6"/>
      <c r="BP51" s="6">
        <f>2750441-2475371</f>
        <v>275070</v>
      </c>
      <c r="BQ51" s="6"/>
      <c r="BR51" s="6">
        <f t="shared" si="10"/>
        <v>2689947</v>
      </c>
      <c r="BT51" s="6">
        <f t="shared" si="11"/>
        <v>2750441</v>
      </c>
      <c r="BV51" s="6">
        <f t="shared" si="12"/>
        <v>-275070</v>
      </c>
    </row>
    <row r="52" spans="1:74">
      <c r="A52" s="57"/>
      <c r="B52" s="235" t="s">
        <v>310</v>
      </c>
      <c r="C52"/>
      <c r="D52"/>
      <c r="E52"/>
      <c r="F52"/>
      <c r="G52"/>
      <c r="H52"/>
      <c r="I52"/>
      <c r="J52" s="49" t="s">
        <v>231</v>
      </c>
      <c r="K52"/>
      <c r="L52" s="134" t="s">
        <v>204</v>
      </c>
      <c r="M52" s="6"/>
      <c r="N52" s="6">
        <v>0</v>
      </c>
      <c r="O52" s="6"/>
      <c r="P52" s="6">
        <v>0</v>
      </c>
      <c r="Q52" s="6"/>
      <c r="R52" s="237">
        <v>437957</v>
      </c>
      <c r="S52" s="6"/>
      <c r="T52" s="6">
        <v>0</v>
      </c>
      <c r="U52" s="6"/>
      <c r="V52" s="6">
        <v>0</v>
      </c>
      <c r="X52" s="6">
        <v>0</v>
      </c>
      <c r="Z52" s="6">
        <v>0</v>
      </c>
      <c r="AB52" s="6">
        <v>0</v>
      </c>
      <c r="AD52" s="6">
        <v>0</v>
      </c>
      <c r="AF52" s="6">
        <v>0</v>
      </c>
      <c r="AH52" s="6">
        <v>0</v>
      </c>
      <c r="AI52"/>
      <c r="AJ52" s="6">
        <v>0</v>
      </c>
      <c r="AK52"/>
      <c r="AL52" s="6">
        <v>0</v>
      </c>
      <c r="AM52"/>
      <c r="AN52" s="6">
        <v>0</v>
      </c>
      <c r="AP52" s="6">
        <v>0</v>
      </c>
      <c r="AR52" s="6">
        <v>58714</v>
      </c>
      <c r="AT52" s="6">
        <v>0</v>
      </c>
      <c r="AV52" s="6">
        <f>97285-58714</f>
        <v>38571</v>
      </c>
      <c r="AX52" s="6">
        <v>0</v>
      </c>
      <c r="AZ52" s="6">
        <v>0</v>
      </c>
      <c r="BB52" s="6">
        <v>0</v>
      </c>
      <c r="BD52" s="6">
        <v>0</v>
      </c>
      <c r="BF52" s="6">
        <v>0</v>
      </c>
      <c r="BH52" s="6">
        <v>0</v>
      </c>
      <c r="BJ52" s="6">
        <v>0</v>
      </c>
      <c r="BL52"/>
      <c r="BM52" s="6"/>
      <c r="BN52" s="6">
        <f t="shared" si="9"/>
        <v>97285</v>
      </c>
      <c r="BO52" s="6"/>
      <c r="BP52" s="6"/>
      <c r="BQ52" s="6"/>
      <c r="BR52" s="6">
        <f t="shared" si="10"/>
        <v>379243</v>
      </c>
      <c r="BT52" s="6">
        <f t="shared" si="11"/>
        <v>437957</v>
      </c>
      <c r="BV52" s="6">
        <f t="shared" si="12"/>
        <v>0</v>
      </c>
    </row>
    <row r="53" spans="1:74">
      <c r="A53" s="57"/>
      <c r="B53" s="235" t="s">
        <v>541</v>
      </c>
      <c r="C53"/>
      <c r="D53"/>
      <c r="E53"/>
      <c r="F53"/>
      <c r="G53"/>
      <c r="H53"/>
      <c r="I53"/>
      <c r="J53" s="49" t="s">
        <v>231</v>
      </c>
      <c r="K53"/>
      <c r="L53" s="134" t="s">
        <v>204</v>
      </c>
      <c r="M53" s="6"/>
      <c r="N53" s="6">
        <v>0</v>
      </c>
      <c r="O53" s="6"/>
      <c r="P53" s="6">
        <v>0</v>
      </c>
      <c r="Q53" s="6"/>
      <c r="R53" s="237">
        <v>288340</v>
      </c>
      <c r="S53" s="6"/>
      <c r="T53" s="6">
        <v>0</v>
      </c>
      <c r="U53" s="6"/>
      <c r="V53" s="6">
        <v>0</v>
      </c>
      <c r="X53" s="6">
        <v>0</v>
      </c>
      <c r="Z53" s="6">
        <v>0</v>
      </c>
      <c r="AB53" s="6">
        <v>0</v>
      </c>
      <c r="AD53" s="6">
        <v>0</v>
      </c>
      <c r="AF53" s="6">
        <v>0</v>
      </c>
      <c r="AH53" s="6">
        <v>0</v>
      </c>
      <c r="AI53"/>
      <c r="AJ53" s="6">
        <v>0</v>
      </c>
      <c r="AK53"/>
      <c r="AL53" s="6">
        <v>0</v>
      </c>
      <c r="AM53"/>
      <c r="AN53" s="6">
        <v>0</v>
      </c>
      <c r="AP53" s="6">
        <v>0</v>
      </c>
      <c r="AR53" s="6">
        <v>11607</v>
      </c>
      <c r="AT53" s="6">
        <v>0</v>
      </c>
      <c r="AV53" s="6">
        <f>77250-11607</f>
        <v>65643</v>
      </c>
      <c r="AX53" s="6">
        <v>0</v>
      </c>
      <c r="AZ53" s="6">
        <v>0</v>
      </c>
      <c r="BB53" s="6">
        <v>0</v>
      </c>
      <c r="BD53" s="6">
        <v>0</v>
      </c>
      <c r="BF53" s="6">
        <v>0</v>
      </c>
      <c r="BH53" s="6">
        <v>0</v>
      </c>
      <c r="BJ53" s="6">
        <v>0</v>
      </c>
      <c r="BL53"/>
      <c r="BM53" s="6"/>
      <c r="BN53" s="6">
        <f t="shared" si="9"/>
        <v>77250</v>
      </c>
      <c r="BO53" s="6"/>
      <c r="BP53" s="6">
        <f>327978-288340</f>
        <v>39638</v>
      </c>
      <c r="BQ53" s="6"/>
      <c r="BR53" s="6">
        <f t="shared" si="10"/>
        <v>316371</v>
      </c>
      <c r="BT53" s="6">
        <f t="shared" si="11"/>
        <v>327978</v>
      </c>
      <c r="BV53" s="6">
        <f t="shared" si="12"/>
        <v>-39638</v>
      </c>
    </row>
    <row r="54" spans="1:74">
      <c r="A54" s="57"/>
      <c r="B54" s="235" t="s">
        <v>311</v>
      </c>
      <c r="C54"/>
      <c r="D54"/>
      <c r="E54"/>
      <c r="F54"/>
      <c r="G54"/>
      <c r="H54"/>
      <c r="I54"/>
      <c r="J54" s="49" t="s">
        <v>231</v>
      </c>
      <c r="K54"/>
      <c r="L54" s="134" t="s">
        <v>204</v>
      </c>
      <c r="M54" s="6"/>
      <c r="N54" s="6">
        <v>0</v>
      </c>
      <c r="O54" s="6"/>
      <c r="P54" s="6">
        <v>0</v>
      </c>
      <c r="Q54" s="6"/>
      <c r="R54" s="237">
        <v>50000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L54" s="6"/>
      <c r="BM54" s="6"/>
      <c r="BN54" s="6">
        <f t="shared" si="9"/>
        <v>0</v>
      </c>
      <c r="BO54" s="6"/>
      <c r="BP54" s="6">
        <f>69360-50000</f>
        <v>19360</v>
      </c>
      <c r="BQ54" s="6"/>
      <c r="BR54" s="6">
        <f t="shared" ref="BR54:BR60" si="13">IF(+R54-BN54+BP54&gt;0,R54-BN54+BP54,0)</f>
        <v>69360</v>
      </c>
      <c r="BT54" s="6">
        <f t="shared" ref="BT54:BT60" si="14">+BN54+BR54</f>
        <v>69360</v>
      </c>
      <c r="BV54" s="6">
        <f t="shared" si="12"/>
        <v>-19360</v>
      </c>
    </row>
    <row r="55" spans="1:74">
      <c r="A55" s="57"/>
      <c r="B55" s="235" t="s">
        <v>192</v>
      </c>
      <c r="C55"/>
      <c r="D55"/>
      <c r="E55"/>
      <c r="F55"/>
      <c r="G55"/>
      <c r="H55"/>
      <c r="I55"/>
      <c r="J55" s="49" t="s">
        <v>231</v>
      </c>
      <c r="K55"/>
      <c r="L55" s="134" t="s">
        <v>204</v>
      </c>
      <c r="M55" s="6"/>
      <c r="N55" s="6">
        <v>0</v>
      </c>
      <c r="O55" s="6"/>
      <c r="P55" s="6">
        <v>0</v>
      </c>
      <c r="Q55" s="6"/>
      <c r="R55" s="237">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L55" s="6"/>
      <c r="BM55" s="6"/>
      <c r="BN55" s="6">
        <f t="shared" si="9"/>
        <v>0</v>
      </c>
      <c r="BO55" s="6"/>
      <c r="BP55" s="6">
        <v>421112</v>
      </c>
      <c r="BQ55" s="6"/>
      <c r="BR55" s="6">
        <f t="shared" si="13"/>
        <v>421112</v>
      </c>
      <c r="BT55" s="6">
        <f t="shared" si="14"/>
        <v>421112</v>
      </c>
      <c r="BV55" s="6">
        <f t="shared" si="12"/>
        <v>-421112</v>
      </c>
    </row>
    <row r="56" spans="1:74">
      <c r="A56" s="57"/>
      <c r="B56" s="235" t="s">
        <v>312</v>
      </c>
      <c r="C56"/>
      <c r="D56"/>
      <c r="E56"/>
      <c r="F56"/>
      <c r="G56"/>
      <c r="H56"/>
      <c r="I56"/>
      <c r="J56" s="49"/>
      <c r="K56"/>
      <c r="L56" s="134" t="s">
        <v>204</v>
      </c>
      <c r="M56" s="6"/>
      <c r="N56" s="6">
        <v>0</v>
      </c>
      <c r="O56" s="6"/>
      <c r="P56" s="6">
        <v>0</v>
      </c>
      <c r="Q56" s="6"/>
      <c r="R56" s="237">
        <v>0</v>
      </c>
      <c r="S56" s="6"/>
      <c r="T56" s="6">
        <v>0</v>
      </c>
      <c r="U56" s="6"/>
      <c r="V56" s="6">
        <v>0</v>
      </c>
      <c r="X56" s="6">
        <v>0</v>
      </c>
      <c r="Z56" s="6">
        <v>0</v>
      </c>
      <c r="AB56" s="6">
        <v>0</v>
      </c>
      <c r="AD56" s="6">
        <v>0</v>
      </c>
      <c r="AF56" s="6">
        <v>0</v>
      </c>
      <c r="AH56" s="6">
        <v>0</v>
      </c>
      <c r="AI56"/>
      <c r="AJ56" s="6">
        <v>0</v>
      </c>
      <c r="AK56"/>
      <c r="AL56" s="6">
        <v>0</v>
      </c>
      <c r="AM56"/>
      <c r="AN56" s="6">
        <v>0</v>
      </c>
      <c r="AP56" s="6">
        <v>0</v>
      </c>
      <c r="AR56" s="6">
        <v>0</v>
      </c>
      <c r="AT56" s="6">
        <v>0</v>
      </c>
      <c r="AV56" s="6">
        <v>0</v>
      </c>
      <c r="AX56" s="6">
        <v>0</v>
      </c>
      <c r="AZ56" s="6">
        <v>0</v>
      </c>
      <c r="BB56" s="6">
        <v>0</v>
      </c>
      <c r="BD56" s="6">
        <v>0</v>
      </c>
      <c r="BF56" s="6">
        <v>0</v>
      </c>
      <c r="BH56" s="6">
        <v>0</v>
      </c>
      <c r="BJ56" s="6">
        <v>0</v>
      </c>
      <c r="BL56" s="6"/>
      <c r="BM56" s="6"/>
      <c r="BN56" s="6">
        <f t="shared" si="9"/>
        <v>0</v>
      </c>
      <c r="BO56" s="6"/>
      <c r="BP56" s="6"/>
      <c r="BQ56" s="6"/>
      <c r="BR56" s="6">
        <f t="shared" si="13"/>
        <v>0</v>
      </c>
      <c r="BT56" s="6">
        <f t="shared" si="14"/>
        <v>0</v>
      </c>
      <c r="BV56" s="6">
        <f t="shared" si="12"/>
        <v>0</v>
      </c>
    </row>
    <row r="57" spans="1:74">
      <c r="A57" s="57"/>
      <c r="B57" s="235" t="s">
        <v>542</v>
      </c>
      <c r="C57"/>
      <c r="D57"/>
      <c r="E57"/>
      <c r="F57"/>
      <c r="G57"/>
      <c r="H57"/>
      <c r="I57"/>
      <c r="J57" s="49"/>
      <c r="K57"/>
      <c r="L57" s="134" t="s">
        <v>204</v>
      </c>
      <c r="M57" s="6"/>
      <c r="N57" s="6">
        <v>0</v>
      </c>
      <c r="O57" s="6"/>
      <c r="P57" s="6">
        <v>0</v>
      </c>
      <c r="Q57" s="6"/>
      <c r="R57" s="6">
        <f>+N56+P56</f>
        <v>0</v>
      </c>
      <c r="S57" s="6"/>
      <c r="T57" s="6"/>
      <c r="U57" s="6"/>
      <c r="V57" s="6"/>
      <c r="X57" s="6"/>
      <c r="Z57" s="6"/>
      <c r="AB57" s="6"/>
      <c r="AD57" s="6"/>
      <c r="AI57"/>
      <c r="AK57"/>
      <c r="AM57"/>
      <c r="AV57" s="6">
        <v>59744</v>
      </c>
      <c r="AX57" s="6">
        <v>0</v>
      </c>
      <c r="AZ57" s="6">
        <v>0</v>
      </c>
      <c r="BB57" s="6">
        <v>0</v>
      </c>
      <c r="BD57" s="6">
        <v>0</v>
      </c>
      <c r="BF57" s="6">
        <v>0</v>
      </c>
      <c r="BH57" s="6">
        <v>0</v>
      </c>
      <c r="BJ57" s="6">
        <v>0</v>
      </c>
      <c r="BL57" s="6"/>
      <c r="BM57" s="6"/>
      <c r="BN57" s="6">
        <f t="shared" si="9"/>
        <v>59744</v>
      </c>
      <c r="BO57" s="6"/>
      <c r="BP57" s="6">
        <v>5400</v>
      </c>
      <c r="BQ57" s="6"/>
      <c r="BR57" s="6">
        <f t="shared" si="13"/>
        <v>0</v>
      </c>
      <c r="BT57" s="6">
        <f t="shared" si="14"/>
        <v>59744</v>
      </c>
      <c r="BV57" s="6">
        <f t="shared" si="12"/>
        <v>-59744</v>
      </c>
    </row>
    <row r="58" spans="1:74">
      <c r="A58" s="57"/>
      <c r="B58" s="235" t="s">
        <v>544</v>
      </c>
      <c r="C58"/>
      <c r="D58"/>
      <c r="E58"/>
      <c r="F58"/>
      <c r="G58"/>
      <c r="H58"/>
      <c r="I58"/>
      <c r="J58" s="49"/>
      <c r="K58"/>
      <c r="L58" s="134"/>
      <c r="M58" s="6"/>
      <c r="O58" s="6"/>
      <c r="Q58" s="6"/>
      <c r="S58" s="6"/>
      <c r="T58" s="6"/>
      <c r="U58" s="6"/>
      <c r="V58" s="6"/>
      <c r="X58" s="6"/>
      <c r="Z58" s="6"/>
      <c r="AB58" s="6"/>
      <c r="AD58" s="6"/>
      <c r="AI58"/>
      <c r="AK58"/>
      <c r="AM58"/>
      <c r="AV58" s="6">
        <v>19839</v>
      </c>
      <c r="BL58" s="6"/>
      <c r="BM58" s="6"/>
      <c r="BN58" s="6">
        <f>SUM(T58:BM58)</f>
        <v>19839</v>
      </c>
      <c r="BO58" s="6"/>
      <c r="BP58" s="6"/>
      <c r="BQ58" s="6"/>
      <c r="BR58" s="6">
        <f t="shared" si="13"/>
        <v>0</v>
      </c>
      <c r="BT58" s="6">
        <f t="shared" si="14"/>
        <v>19839</v>
      </c>
      <c r="BV58" s="6">
        <f>+R58-BT58</f>
        <v>-19839</v>
      </c>
    </row>
    <row r="59" spans="1:74">
      <c r="A59" s="57"/>
      <c r="B59" s="235" t="s">
        <v>567</v>
      </c>
      <c r="C59"/>
      <c r="D59"/>
      <c r="E59"/>
      <c r="F59"/>
      <c r="G59"/>
      <c r="H59"/>
      <c r="I59"/>
      <c r="J59" s="49"/>
      <c r="K59"/>
      <c r="L59" s="134"/>
      <c r="M59" s="6"/>
      <c r="O59" s="6"/>
      <c r="Q59" s="6"/>
      <c r="S59" s="6"/>
      <c r="T59" s="6"/>
      <c r="U59" s="6"/>
      <c r="V59" s="6"/>
      <c r="X59" s="6"/>
      <c r="Z59" s="6"/>
      <c r="AB59" s="6"/>
      <c r="AD59" s="6"/>
      <c r="AI59"/>
      <c r="AK59"/>
      <c r="AM59"/>
      <c r="AV59" s="6">
        <v>264288</v>
      </c>
      <c r="BL59" s="6"/>
      <c r="BM59" s="6"/>
      <c r="BN59" s="6">
        <f>SUM(T59:BM59)</f>
        <v>264288</v>
      </c>
      <c r="BO59" s="6"/>
      <c r="BP59" s="6">
        <f>263743-264288</f>
        <v>-545</v>
      </c>
      <c r="BQ59" s="6"/>
      <c r="BR59" s="6">
        <f t="shared" si="13"/>
        <v>0</v>
      </c>
      <c r="BT59" s="6">
        <f t="shared" si="14"/>
        <v>264288</v>
      </c>
      <c r="BV59" s="6">
        <f>+R59-BT59</f>
        <v>-264288</v>
      </c>
    </row>
    <row r="60" spans="1:74">
      <c r="A60" s="57"/>
      <c r="B60" s="235"/>
      <c r="C60"/>
      <c r="D60"/>
      <c r="E60"/>
      <c r="F60"/>
      <c r="G60"/>
      <c r="H60"/>
      <c r="I60"/>
      <c r="J60" s="49"/>
      <c r="K60"/>
      <c r="L60" s="134" t="s">
        <v>204</v>
      </c>
      <c r="M60" s="6"/>
      <c r="N60" s="6">
        <v>0</v>
      </c>
      <c r="O60" s="6"/>
      <c r="P60" s="6">
        <v>0</v>
      </c>
      <c r="Q60" s="6"/>
      <c r="R60" s="6">
        <f>+N57+P57</f>
        <v>0</v>
      </c>
      <c r="S60" s="6"/>
      <c r="T60" s="6">
        <v>0</v>
      </c>
      <c r="U60" s="6"/>
      <c r="V60" s="6">
        <v>0</v>
      </c>
      <c r="X60" s="6">
        <v>0</v>
      </c>
      <c r="Z60" s="6">
        <v>0</v>
      </c>
      <c r="AB60" s="6">
        <v>0</v>
      </c>
      <c r="AD60" s="6">
        <v>0</v>
      </c>
      <c r="AF60" s="6">
        <v>0</v>
      </c>
      <c r="AH60" s="6">
        <v>0</v>
      </c>
      <c r="AI60"/>
      <c r="AJ60" s="6">
        <v>0</v>
      </c>
      <c r="AK60"/>
      <c r="AL60" s="6">
        <v>0</v>
      </c>
      <c r="AM60"/>
      <c r="AN60" s="6">
        <v>0</v>
      </c>
      <c r="AP60" s="6">
        <v>0</v>
      </c>
      <c r="AR60" s="6">
        <v>0</v>
      </c>
      <c r="AT60" s="6">
        <v>0</v>
      </c>
      <c r="AV60" s="6">
        <v>0</v>
      </c>
      <c r="AX60" s="6">
        <v>0</v>
      </c>
      <c r="AZ60" s="6">
        <v>0</v>
      </c>
      <c r="BB60" s="6">
        <v>0</v>
      </c>
      <c r="BD60" s="6">
        <v>0</v>
      </c>
      <c r="BF60" s="6">
        <v>0</v>
      </c>
      <c r="BH60" s="6">
        <v>0</v>
      </c>
      <c r="BJ60" s="6">
        <v>0</v>
      </c>
      <c r="BL60" s="6"/>
      <c r="BM60" s="6"/>
      <c r="BN60" s="6">
        <f t="shared" si="9"/>
        <v>0</v>
      </c>
      <c r="BO60" s="6"/>
      <c r="BP60" s="6"/>
      <c r="BQ60" s="6"/>
      <c r="BR60" s="6">
        <f t="shared" si="13"/>
        <v>0</v>
      </c>
      <c r="BT60" s="6">
        <f t="shared" si="14"/>
        <v>0</v>
      </c>
      <c r="BV60" s="6">
        <f t="shared" si="12"/>
        <v>0</v>
      </c>
    </row>
    <row r="61" spans="1:74" s="21" customFormat="1">
      <c r="A61" s="118"/>
      <c r="B61" s="238" t="s">
        <v>333</v>
      </c>
      <c r="J61" s="8"/>
      <c r="L61" s="143" t="s">
        <v>204</v>
      </c>
      <c r="M61" s="9"/>
      <c r="N61" s="9">
        <v>0</v>
      </c>
      <c r="O61" s="9"/>
      <c r="P61" s="9">
        <v>0</v>
      </c>
      <c r="Q61" s="9"/>
      <c r="R61" s="9">
        <f>SUM(R43:R60)</f>
        <v>14950614</v>
      </c>
      <c r="S61" s="9">
        <f t="shared" ref="S61:BQ61" si="15">SUM(S43:S60)</f>
        <v>0</v>
      </c>
      <c r="T61" s="9">
        <f t="shared" si="15"/>
        <v>0</v>
      </c>
      <c r="U61" s="9">
        <f t="shared" si="15"/>
        <v>0</v>
      </c>
      <c r="V61" s="9">
        <f t="shared" si="15"/>
        <v>0</v>
      </c>
      <c r="W61" s="9">
        <f t="shared" si="15"/>
        <v>0</v>
      </c>
      <c r="X61" s="9">
        <f t="shared" si="15"/>
        <v>0</v>
      </c>
      <c r="Y61" s="9">
        <f t="shared" si="15"/>
        <v>0</v>
      </c>
      <c r="Z61" s="9">
        <f t="shared" si="15"/>
        <v>0</v>
      </c>
      <c r="AA61" s="9">
        <f t="shared" si="15"/>
        <v>0</v>
      </c>
      <c r="AB61" s="9">
        <f t="shared" si="15"/>
        <v>0</v>
      </c>
      <c r="AC61" s="9">
        <f t="shared" si="15"/>
        <v>0</v>
      </c>
      <c r="AD61" s="9">
        <f t="shared" si="15"/>
        <v>0</v>
      </c>
      <c r="AE61" s="9">
        <f t="shared" si="15"/>
        <v>0</v>
      </c>
      <c r="AF61" s="9">
        <f t="shared" si="15"/>
        <v>0</v>
      </c>
      <c r="AG61" s="9">
        <f t="shared" si="15"/>
        <v>0</v>
      </c>
      <c r="AH61" s="9">
        <f t="shared" si="15"/>
        <v>0</v>
      </c>
      <c r="AI61" s="9"/>
      <c r="AJ61" s="9">
        <f t="shared" si="15"/>
        <v>0</v>
      </c>
      <c r="AK61" s="9"/>
      <c r="AL61" s="9">
        <f t="shared" si="15"/>
        <v>0</v>
      </c>
      <c r="AM61" s="9"/>
      <c r="AN61" s="9">
        <f t="shared" si="15"/>
        <v>0</v>
      </c>
      <c r="AO61" s="9"/>
      <c r="AP61" s="9">
        <f t="shared" si="15"/>
        <v>0</v>
      </c>
      <c r="AQ61" s="9"/>
      <c r="AR61" s="9">
        <f>SUM(AR43:AR60)</f>
        <v>420818</v>
      </c>
      <c r="AS61" s="9">
        <f t="shared" si="15"/>
        <v>0</v>
      </c>
      <c r="AT61" s="9">
        <f t="shared" si="15"/>
        <v>0</v>
      </c>
      <c r="AU61" s="9">
        <f t="shared" si="15"/>
        <v>0</v>
      </c>
      <c r="AV61" s="9">
        <f t="shared" si="15"/>
        <v>1769159</v>
      </c>
      <c r="AW61" s="9">
        <f t="shared" si="15"/>
        <v>0</v>
      </c>
      <c r="AX61" s="9">
        <f t="shared" si="15"/>
        <v>0</v>
      </c>
      <c r="AY61" s="9">
        <f t="shared" si="15"/>
        <v>0</v>
      </c>
      <c r="AZ61" s="9">
        <f t="shared" si="15"/>
        <v>0</v>
      </c>
      <c r="BA61" s="9">
        <f t="shared" si="15"/>
        <v>0</v>
      </c>
      <c r="BB61" s="9">
        <f t="shared" si="15"/>
        <v>0</v>
      </c>
      <c r="BC61" s="9">
        <f t="shared" si="15"/>
        <v>0</v>
      </c>
      <c r="BD61" s="9">
        <f t="shared" si="15"/>
        <v>0</v>
      </c>
      <c r="BE61" s="9">
        <f t="shared" si="15"/>
        <v>0</v>
      </c>
      <c r="BF61" s="9">
        <f t="shared" si="15"/>
        <v>0</v>
      </c>
      <c r="BG61" s="9">
        <f t="shared" si="15"/>
        <v>0</v>
      </c>
      <c r="BH61" s="9">
        <f t="shared" si="15"/>
        <v>0</v>
      </c>
      <c r="BI61" s="9">
        <f t="shared" si="15"/>
        <v>0</v>
      </c>
      <c r="BJ61" s="9">
        <f t="shared" si="15"/>
        <v>0</v>
      </c>
      <c r="BK61" s="9">
        <f t="shared" si="15"/>
        <v>0</v>
      </c>
      <c r="BL61" s="9">
        <f t="shared" si="15"/>
        <v>0</v>
      </c>
      <c r="BM61" s="9">
        <f t="shared" si="15"/>
        <v>0</v>
      </c>
      <c r="BN61" s="9">
        <f t="shared" si="15"/>
        <v>2189977</v>
      </c>
      <c r="BO61" s="9">
        <f t="shared" si="15"/>
        <v>0</v>
      </c>
      <c r="BP61" s="9">
        <f t="shared" si="15"/>
        <v>1858081</v>
      </c>
      <c r="BQ61" s="9">
        <f t="shared" si="15"/>
        <v>0</v>
      </c>
      <c r="BR61" s="9">
        <f>SUM(BR43:BR60)</f>
        <v>16383022</v>
      </c>
      <c r="BS61" s="9">
        <f>SUM(BS43:BS60)</f>
        <v>0</v>
      </c>
      <c r="BT61" s="9">
        <f>SUM(BT43:BT60)</f>
        <v>17147711</v>
      </c>
      <c r="BU61" s="9"/>
      <c r="BV61" s="9">
        <f t="shared" si="12"/>
        <v>-2197097</v>
      </c>
    </row>
    <row r="62" spans="1:74">
      <c r="A62" s="57"/>
      <c r="B62" s="236"/>
      <c r="C62"/>
      <c r="D62"/>
      <c r="E62"/>
      <c r="F62"/>
      <c r="G62"/>
      <c r="H62"/>
      <c r="I62"/>
      <c r="J62" s="49"/>
      <c r="K62"/>
      <c r="L62" s="134"/>
      <c r="M62" s="6"/>
      <c r="O62" s="6"/>
      <c r="Q62" s="6"/>
      <c r="S62" s="6"/>
      <c r="T62" s="6"/>
      <c r="U62" s="6"/>
      <c r="V62" s="6"/>
      <c r="X62" s="6"/>
      <c r="Z62" s="6"/>
      <c r="AB62" s="6"/>
      <c r="AD62" s="6"/>
      <c r="AI62"/>
      <c r="AK62"/>
      <c r="AM62"/>
      <c r="BL62" s="6"/>
      <c r="BM62" s="6"/>
      <c r="BO62" s="6"/>
      <c r="BP62" s="6"/>
      <c r="BQ62" s="6"/>
      <c r="BV62" s="4"/>
    </row>
    <row r="63" spans="1:74">
      <c r="B63" s="21" t="s">
        <v>334</v>
      </c>
      <c r="C63"/>
      <c r="D63"/>
      <c r="E63"/>
      <c r="F63"/>
      <c r="G63"/>
      <c r="H63"/>
      <c r="I63"/>
      <c r="J63" s="49"/>
      <c r="K63"/>
      <c r="L63" s="134"/>
      <c r="M63" s="6"/>
      <c r="O63" s="6"/>
      <c r="Q63" s="6"/>
      <c r="S63" s="6"/>
      <c r="T63" s="6"/>
      <c r="U63" s="6"/>
      <c r="V63" s="6"/>
      <c r="X63" s="6"/>
      <c r="Z63" s="6"/>
      <c r="AB63" s="6"/>
      <c r="AD63" s="6"/>
      <c r="AI63"/>
      <c r="AK63"/>
      <c r="AM63"/>
      <c r="BL63" s="6"/>
      <c r="BM63" s="6"/>
      <c r="BO63" s="6"/>
      <c r="BP63" s="6"/>
      <c r="BQ63" s="6"/>
      <c r="BV63" s="4"/>
    </row>
    <row r="64" spans="1:74">
      <c r="A64"/>
      <c r="B64" s="235" t="s">
        <v>314</v>
      </c>
      <c r="C64"/>
      <c r="D64"/>
      <c r="E64"/>
      <c r="F64"/>
      <c r="G64"/>
      <c r="H64"/>
      <c r="I64"/>
      <c r="J64" s="49" t="s">
        <v>231</v>
      </c>
      <c r="K64"/>
      <c r="L64" s="134"/>
      <c r="M64" s="6"/>
      <c r="O64" s="6"/>
      <c r="Q64" s="6"/>
      <c r="R64" s="237">
        <v>200485</v>
      </c>
      <c r="S64" s="6"/>
      <c r="T64" s="6"/>
      <c r="U64" s="6"/>
      <c r="V64" s="6"/>
      <c r="X64" s="6"/>
      <c r="Z64" s="6"/>
      <c r="AB64" s="6"/>
      <c r="AD64" s="6"/>
      <c r="AI64"/>
      <c r="AK64"/>
      <c r="AM64"/>
      <c r="AV64" s="6">
        <v>557</v>
      </c>
      <c r="BL64" s="6"/>
      <c r="BM64" s="6"/>
      <c r="BN64" s="6">
        <f t="shared" ref="BN64:BN88" si="16">SUM(T64:BM64)</f>
        <v>557</v>
      </c>
      <c r="BO64" s="6"/>
      <c r="BP64" s="6"/>
      <c r="BQ64" s="6"/>
      <c r="BR64" s="6">
        <f t="shared" ref="BR64:BR88" si="17">IF(+R64-BN64+BP64&gt;0,R64-BN64+BP64,0)</f>
        <v>199928</v>
      </c>
      <c r="BT64" s="6">
        <f t="shared" ref="BT64:BT88" si="18">+BN64+BR64</f>
        <v>200485</v>
      </c>
      <c r="BV64" s="6">
        <f t="shared" ref="BV64:BV89" si="19">+R64-BT64</f>
        <v>0</v>
      </c>
    </row>
    <row r="65" spans="1:74">
      <c r="A65"/>
      <c r="B65" s="235" t="s">
        <v>315</v>
      </c>
      <c r="C65"/>
      <c r="D65"/>
      <c r="E65"/>
      <c r="F65"/>
      <c r="G65"/>
      <c r="H65"/>
      <c r="I65"/>
      <c r="J65" s="49" t="s">
        <v>231</v>
      </c>
      <c r="K65"/>
      <c r="L65" s="134"/>
      <c r="M65" s="6"/>
      <c r="O65" s="6"/>
      <c r="Q65" s="6"/>
      <c r="R65" s="237">
        <v>360237</v>
      </c>
      <c r="S65" s="6"/>
      <c r="T65" s="6"/>
      <c r="U65" s="6"/>
      <c r="V65" s="6"/>
      <c r="X65" s="6"/>
      <c r="Z65" s="6"/>
      <c r="AB65" s="6"/>
      <c r="AD65" s="6"/>
      <c r="AI65"/>
      <c r="AK65"/>
      <c r="AM65"/>
      <c r="AV65" s="6">
        <v>0</v>
      </c>
      <c r="BL65" s="6"/>
      <c r="BM65" s="6"/>
      <c r="BN65" s="6">
        <f t="shared" si="16"/>
        <v>0</v>
      </c>
      <c r="BO65" s="6"/>
      <c r="BP65" s="6">
        <f>379340-360237</f>
        <v>19103</v>
      </c>
      <c r="BQ65" s="6"/>
      <c r="BR65" s="6">
        <f t="shared" si="17"/>
        <v>379340</v>
      </c>
      <c r="BT65" s="6">
        <f t="shared" si="18"/>
        <v>379340</v>
      </c>
      <c r="BV65" s="6">
        <f t="shared" si="19"/>
        <v>-19103</v>
      </c>
    </row>
    <row r="66" spans="1:74">
      <c r="A66"/>
      <c r="B66" s="235" t="s">
        <v>316</v>
      </c>
      <c r="C66"/>
      <c r="D66"/>
      <c r="E66"/>
      <c r="F66"/>
      <c r="G66"/>
      <c r="H66"/>
      <c r="I66"/>
      <c r="J66" s="49" t="s">
        <v>231</v>
      </c>
      <c r="K66"/>
      <c r="L66" s="134"/>
      <c r="M66" s="6"/>
      <c r="O66" s="6"/>
      <c r="Q66" s="6"/>
      <c r="R66" s="237">
        <v>1090200</v>
      </c>
      <c r="S66" s="6"/>
      <c r="T66" s="6"/>
      <c r="U66" s="6"/>
      <c r="V66" s="6"/>
      <c r="X66" s="6"/>
      <c r="Z66" s="6"/>
      <c r="AB66" s="6"/>
      <c r="AD66" s="6"/>
      <c r="AI66"/>
      <c r="AK66"/>
      <c r="AM66"/>
      <c r="AV66" s="6">
        <v>0</v>
      </c>
      <c r="BL66" s="6"/>
      <c r="BM66" s="6"/>
      <c r="BN66" s="6">
        <f t="shared" si="16"/>
        <v>0</v>
      </c>
      <c r="BO66" s="6"/>
      <c r="BP66" s="6">
        <f>758246-1090200</f>
        <v>-331954</v>
      </c>
      <c r="BQ66" s="6"/>
      <c r="BR66" s="6">
        <f t="shared" si="17"/>
        <v>758246</v>
      </c>
      <c r="BT66" s="6">
        <f t="shared" si="18"/>
        <v>758246</v>
      </c>
      <c r="BV66" s="6">
        <f t="shared" si="19"/>
        <v>331954</v>
      </c>
    </row>
    <row r="67" spans="1:74">
      <c r="A67"/>
      <c r="B67" s="235" t="s">
        <v>317</v>
      </c>
      <c r="C67"/>
      <c r="D67"/>
      <c r="E67"/>
      <c r="F67"/>
      <c r="G67"/>
      <c r="H67"/>
      <c r="I67"/>
      <c r="J67" s="49" t="s">
        <v>231</v>
      </c>
      <c r="K67"/>
      <c r="L67" s="134"/>
      <c r="M67" s="6"/>
      <c r="O67" s="6"/>
      <c r="Q67" s="6"/>
      <c r="R67" s="237">
        <v>24750</v>
      </c>
      <c r="S67" s="6"/>
      <c r="T67" s="6"/>
      <c r="U67" s="6"/>
      <c r="V67" s="6"/>
      <c r="X67" s="6"/>
      <c r="Z67" s="6"/>
      <c r="AB67" s="6"/>
      <c r="AD67" s="6"/>
      <c r="AI67"/>
      <c r="AK67"/>
      <c r="AM67"/>
      <c r="AV67" s="6">
        <v>0</v>
      </c>
      <c r="BL67" s="6"/>
      <c r="BM67" s="6"/>
      <c r="BN67" s="6">
        <f t="shared" si="16"/>
        <v>0</v>
      </c>
      <c r="BO67" s="6"/>
      <c r="BP67" s="6"/>
      <c r="BQ67" s="6"/>
      <c r="BR67" s="6">
        <f t="shared" si="17"/>
        <v>24750</v>
      </c>
      <c r="BT67" s="6">
        <f t="shared" si="18"/>
        <v>24750</v>
      </c>
      <c r="BV67" s="6">
        <f t="shared" si="19"/>
        <v>0</v>
      </c>
    </row>
    <row r="68" spans="1:74">
      <c r="A68"/>
      <c r="B68" s="235" t="s">
        <v>318</v>
      </c>
      <c r="C68"/>
      <c r="D68"/>
      <c r="E68"/>
      <c r="F68"/>
      <c r="G68"/>
      <c r="H68"/>
      <c r="I68"/>
      <c r="J68" s="49" t="s">
        <v>231</v>
      </c>
      <c r="K68"/>
      <c r="L68" s="134"/>
      <c r="M68" s="6"/>
      <c r="O68" s="6"/>
      <c r="Q68" s="6"/>
      <c r="R68" s="237">
        <v>317000</v>
      </c>
      <c r="S68" s="6"/>
      <c r="T68" s="6"/>
      <c r="U68" s="6"/>
      <c r="V68" s="6"/>
      <c r="X68" s="6"/>
      <c r="Z68" s="6"/>
      <c r="AB68" s="6"/>
      <c r="AD68" s="6"/>
      <c r="AI68"/>
      <c r="AK68"/>
      <c r="AM68"/>
      <c r="AV68" s="6">
        <v>0</v>
      </c>
      <c r="BL68" s="6"/>
      <c r="BM68" s="6"/>
      <c r="BN68" s="6">
        <f t="shared" si="16"/>
        <v>0</v>
      </c>
      <c r="BO68" s="6"/>
      <c r="BP68" s="6">
        <f>251411-317000</f>
        <v>-65589</v>
      </c>
      <c r="BQ68" s="6"/>
      <c r="BR68" s="6">
        <f t="shared" si="17"/>
        <v>251411</v>
      </c>
      <c r="BT68" s="6">
        <f t="shared" si="18"/>
        <v>251411</v>
      </c>
      <c r="BV68" s="6">
        <f t="shared" si="19"/>
        <v>65589</v>
      </c>
    </row>
    <row r="69" spans="1:74">
      <c r="A69"/>
      <c r="B69" s="235" t="s">
        <v>319</v>
      </c>
      <c r="C69"/>
      <c r="D69"/>
      <c r="E69"/>
      <c r="F69"/>
      <c r="G69"/>
      <c r="H69"/>
      <c r="I69"/>
      <c r="J69" s="49" t="s">
        <v>231</v>
      </c>
      <c r="K69"/>
      <c r="L69" s="134"/>
      <c r="M69" s="6"/>
      <c r="O69" s="6"/>
      <c r="Q69" s="6"/>
      <c r="R69" s="237">
        <v>115847</v>
      </c>
      <c r="S69" s="6"/>
      <c r="T69" s="6"/>
      <c r="U69" s="6"/>
      <c r="V69" s="6"/>
      <c r="X69" s="6"/>
      <c r="Z69" s="6"/>
      <c r="AB69" s="6"/>
      <c r="AD69" s="6"/>
      <c r="AI69"/>
      <c r="AK69"/>
      <c r="AM69"/>
      <c r="BL69" s="6"/>
      <c r="BM69" s="6"/>
      <c r="BN69" s="6">
        <f t="shared" si="16"/>
        <v>0</v>
      </c>
      <c r="BO69" s="6"/>
      <c r="BP69" s="6">
        <f>101231-115847</f>
        <v>-14616</v>
      </c>
      <c r="BQ69" s="6"/>
      <c r="BR69" s="6">
        <f t="shared" si="17"/>
        <v>101231</v>
      </c>
      <c r="BT69" s="6">
        <f t="shared" si="18"/>
        <v>101231</v>
      </c>
      <c r="BV69" s="6">
        <f t="shared" si="19"/>
        <v>14616</v>
      </c>
    </row>
    <row r="70" spans="1:74">
      <c r="A70"/>
      <c r="B70" s="235" t="s">
        <v>320</v>
      </c>
      <c r="C70"/>
      <c r="D70"/>
      <c r="E70"/>
      <c r="F70"/>
      <c r="G70"/>
      <c r="H70"/>
      <c r="I70"/>
      <c r="J70" s="49" t="s">
        <v>231</v>
      </c>
      <c r="K70"/>
      <c r="L70" s="134"/>
      <c r="M70" s="6"/>
      <c r="O70" s="6"/>
      <c r="Q70" s="6"/>
      <c r="R70" s="237">
        <v>1602655</v>
      </c>
      <c r="S70" s="6"/>
      <c r="T70" s="6"/>
      <c r="U70" s="6"/>
      <c r="V70" s="6"/>
      <c r="X70" s="6"/>
      <c r="Z70" s="6"/>
      <c r="AB70" s="6"/>
      <c r="AD70" s="6"/>
      <c r="AI70"/>
      <c r="AK70"/>
      <c r="AM70"/>
      <c r="AR70" s="6">
        <v>84021</v>
      </c>
      <c r="AV70" s="6">
        <f>308733-84021</f>
        <v>224712</v>
      </c>
      <c r="BL70" s="6"/>
      <c r="BM70" s="6"/>
      <c r="BN70" s="6">
        <f t="shared" si="16"/>
        <v>308733</v>
      </c>
      <c r="BO70" s="6"/>
      <c r="BP70" s="6">
        <f>1013788-1602655</f>
        <v>-588867</v>
      </c>
      <c r="BQ70" s="6"/>
      <c r="BR70" s="6">
        <f t="shared" si="17"/>
        <v>705055</v>
      </c>
      <c r="BT70" s="6">
        <f t="shared" si="18"/>
        <v>1013788</v>
      </c>
      <c r="BV70" s="6">
        <f t="shared" si="19"/>
        <v>588867</v>
      </c>
    </row>
    <row r="71" spans="1:74">
      <c r="A71"/>
      <c r="B71" s="235" t="s">
        <v>321</v>
      </c>
      <c r="C71"/>
      <c r="D71"/>
      <c r="E71"/>
      <c r="F71"/>
      <c r="G71"/>
      <c r="H71"/>
      <c r="I71"/>
      <c r="J71" s="49" t="s">
        <v>231</v>
      </c>
      <c r="K71"/>
      <c r="L71" s="134"/>
      <c r="M71" s="6"/>
      <c r="O71" s="6"/>
      <c r="Q71" s="6"/>
      <c r="R71" s="237">
        <v>6285</v>
      </c>
      <c r="S71" s="6"/>
      <c r="T71" s="6"/>
      <c r="U71" s="6"/>
      <c r="V71" s="6"/>
      <c r="X71" s="6"/>
      <c r="Z71" s="6"/>
      <c r="AB71" s="6"/>
      <c r="AD71" s="6"/>
      <c r="AI71"/>
      <c r="AK71"/>
      <c r="AM71"/>
      <c r="BL71" s="6"/>
      <c r="BM71" s="6"/>
      <c r="BN71" s="6">
        <f t="shared" si="16"/>
        <v>0</v>
      </c>
      <c r="BO71" s="6"/>
      <c r="BP71" s="6">
        <f>150548-6285</f>
        <v>144263</v>
      </c>
      <c r="BQ71" s="6"/>
      <c r="BR71" s="6">
        <f t="shared" si="17"/>
        <v>150548</v>
      </c>
      <c r="BT71" s="6">
        <f t="shared" si="18"/>
        <v>150548</v>
      </c>
      <c r="BV71" s="6">
        <f t="shared" si="19"/>
        <v>-144263</v>
      </c>
    </row>
    <row r="72" spans="1:74">
      <c r="A72"/>
      <c r="B72" s="235" t="s">
        <v>322</v>
      </c>
      <c r="C72"/>
      <c r="D72"/>
      <c r="E72"/>
      <c r="F72"/>
      <c r="G72"/>
      <c r="H72"/>
      <c r="I72"/>
      <c r="J72" s="49"/>
      <c r="K72"/>
      <c r="L72" s="134"/>
      <c r="M72" s="6"/>
      <c r="O72" s="6"/>
      <c r="Q72" s="6"/>
      <c r="R72" s="237">
        <v>6795</v>
      </c>
      <c r="S72" s="6"/>
      <c r="T72" s="6"/>
      <c r="U72" s="6"/>
      <c r="V72" s="6"/>
      <c r="X72" s="6"/>
      <c r="Z72" s="6"/>
      <c r="AB72" s="6"/>
      <c r="AD72" s="6"/>
      <c r="AI72"/>
      <c r="AK72"/>
      <c r="AM72"/>
      <c r="BL72" s="6"/>
      <c r="BM72" s="6"/>
      <c r="BN72" s="6">
        <f t="shared" si="16"/>
        <v>0</v>
      </c>
      <c r="BO72" s="6"/>
      <c r="BP72" s="6"/>
      <c r="BQ72" s="6"/>
      <c r="BR72" s="6">
        <f t="shared" si="17"/>
        <v>6795</v>
      </c>
      <c r="BT72" s="6">
        <f t="shared" si="18"/>
        <v>6795</v>
      </c>
      <c r="BV72" s="6">
        <f t="shared" si="19"/>
        <v>0</v>
      </c>
    </row>
    <row r="73" spans="1:74">
      <c r="A73"/>
      <c r="B73" s="235" t="s">
        <v>323</v>
      </c>
      <c r="C73"/>
      <c r="D73"/>
      <c r="E73"/>
      <c r="F73"/>
      <c r="G73"/>
      <c r="H73"/>
      <c r="I73"/>
      <c r="J73" s="49"/>
      <c r="K73"/>
      <c r="L73" s="134"/>
      <c r="M73" s="6"/>
      <c r="O73" s="6"/>
      <c r="Q73" s="6"/>
      <c r="R73" s="237">
        <v>83824</v>
      </c>
      <c r="S73" s="6"/>
      <c r="T73" s="6"/>
      <c r="U73" s="6"/>
      <c r="V73" s="6"/>
      <c r="X73" s="6"/>
      <c r="Z73" s="6"/>
      <c r="AB73" s="6"/>
      <c r="AD73" s="6"/>
      <c r="AI73"/>
      <c r="AK73"/>
      <c r="AM73"/>
      <c r="BL73" s="6"/>
      <c r="BM73" s="6"/>
      <c r="BN73" s="6">
        <f t="shared" si="16"/>
        <v>0</v>
      </c>
      <c r="BO73" s="6"/>
      <c r="BP73" s="6">
        <f>87119-83824</f>
        <v>3295</v>
      </c>
      <c r="BQ73" s="6"/>
      <c r="BR73" s="6">
        <f t="shared" si="17"/>
        <v>87119</v>
      </c>
      <c r="BT73" s="6">
        <f t="shared" si="18"/>
        <v>87119</v>
      </c>
      <c r="BV73" s="6">
        <f t="shared" si="19"/>
        <v>-3295</v>
      </c>
    </row>
    <row r="74" spans="1:74">
      <c r="A74"/>
      <c r="B74" s="235" t="s">
        <v>324</v>
      </c>
      <c r="C74"/>
      <c r="D74"/>
      <c r="E74"/>
      <c r="F74"/>
      <c r="G74"/>
      <c r="H74"/>
      <c r="I74"/>
      <c r="J74" s="49" t="s">
        <v>231</v>
      </c>
      <c r="K74"/>
      <c r="L74" s="134"/>
      <c r="M74" s="6"/>
      <c r="O74" s="6"/>
      <c r="Q74" s="6"/>
      <c r="R74" s="237">
        <v>11569</v>
      </c>
      <c r="S74" s="6"/>
      <c r="T74" s="6"/>
      <c r="U74" s="6"/>
      <c r="V74" s="6"/>
      <c r="X74" s="6"/>
      <c r="Z74" s="6"/>
      <c r="AB74" s="6"/>
      <c r="AD74" s="6"/>
      <c r="AI74"/>
      <c r="AK74"/>
      <c r="AM74"/>
      <c r="BL74" s="6"/>
      <c r="BM74" s="6"/>
      <c r="BN74" s="6">
        <f t="shared" si="16"/>
        <v>0</v>
      </c>
      <c r="BO74" s="6"/>
      <c r="BP74" s="6"/>
      <c r="BQ74" s="6"/>
      <c r="BR74" s="6">
        <f t="shared" si="17"/>
        <v>11569</v>
      </c>
      <c r="BT74" s="6">
        <f t="shared" si="18"/>
        <v>11569</v>
      </c>
      <c r="BV74" s="6">
        <f t="shared" si="19"/>
        <v>0</v>
      </c>
    </row>
    <row r="75" spans="1:74">
      <c r="A75" s="30"/>
      <c r="B75" s="235" t="s">
        <v>325</v>
      </c>
      <c r="C75"/>
      <c r="D75"/>
      <c r="E75"/>
      <c r="F75"/>
      <c r="G75"/>
      <c r="H75"/>
      <c r="I75"/>
      <c r="J75" s="49" t="s">
        <v>231</v>
      </c>
      <c r="K75"/>
      <c r="L75" s="134"/>
      <c r="M75" s="6"/>
      <c r="O75" s="6"/>
      <c r="Q75" s="6"/>
      <c r="R75" s="237">
        <v>113232</v>
      </c>
      <c r="S75" s="6"/>
      <c r="T75" s="6"/>
      <c r="U75" s="6"/>
      <c r="V75" s="6"/>
      <c r="X75" s="6"/>
      <c r="Z75" s="6"/>
      <c r="AB75" s="6"/>
      <c r="AD75" s="6"/>
      <c r="AI75"/>
      <c r="AK75"/>
      <c r="AM75"/>
      <c r="BL75" s="6"/>
      <c r="BM75" s="6"/>
      <c r="BN75" s="6">
        <f t="shared" si="16"/>
        <v>0</v>
      </c>
      <c r="BO75" s="6"/>
      <c r="BP75" s="6">
        <f>85649-113232</f>
        <v>-27583</v>
      </c>
      <c r="BQ75" s="6"/>
      <c r="BR75" s="6">
        <f t="shared" si="17"/>
        <v>85649</v>
      </c>
      <c r="BT75" s="6">
        <f t="shared" si="18"/>
        <v>85649</v>
      </c>
      <c r="BV75" s="6">
        <f t="shared" si="19"/>
        <v>27583</v>
      </c>
    </row>
    <row r="76" spans="1:74">
      <c r="A76"/>
      <c r="B76" s="235" t="s">
        <v>150</v>
      </c>
      <c r="C76"/>
      <c r="D76"/>
      <c r="E76"/>
      <c r="F76"/>
      <c r="G76"/>
      <c r="H76"/>
      <c r="I76"/>
      <c r="J76" s="49" t="s">
        <v>231</v>
      </c>
      <c r="K76"/>
      <c r="L76" s="134"/>
      <c r="M76" s="6"/>
      <c r="O76" s="6"/>
      <c r="Q76" s="6"/>
      <c r="R76" s="237">
        <v>76358</v>
      </c>
      <c r="S76" s="6"/>
      <c r="T76" s="6"/>
      <c r="U76" s="6"/>
      <c r="V76" s="6"/>
      <c r="X76" s="6"/>
      <c r="Z76" s="6"/>
      <c r="AB76" s="6"/>
      <c r="AD76" s="6"/>
      <c r="AI76"/>
      <c r="AK76"/>
      <c r="AM76"/>
      <c r="BL76" s="6"/>
      <c r="BM76" s="6"/>
      <c r="BN76" s="6">
        <f t="shared" si="16"/>
        <v>0</v>
      </c>
      <c r="BO76" s="6"/>
      <c r="BP76" s="6"/>
      <c r="BQ76" s="6"/>
      <c r="BR76" s="6">
        <f t="shared" si="17"/>
        <v>76358</v>
      </c>
      <c r="BT76" s="6">
        <f t="shared" si="18"/>
        <v>76358</v>
      </c>
      <c r="BV76" s="6">
        <f t="shared" si="19"/>
        <v>0</v>
      </c>
    </row>
    <row r="77" spans="1:74">
      <c r="A77"/>
      <c r="B77" s="235" t="s">
        <v>56</v>
      </c>
      <c r="C77"/>
      <c r="D77"/>
      <c r="E77"/>
      <c r="F77"/>
      <c r="G77"/>
      <c r="H77"/>
      <c r="I77"/>
      <c r="J77" s="49" t="s">
        <v>231</v>
      </c>
      <c r="K77"/>
      <c r="L77" s="134"/>
      <c r="M77" s="6"/>
      <c r="O77" s="6"/>
      <c r="Q77" s="6"/>
      <c r="R77" s="237">
        <v>516000</v>
      </c>
      <c r="S77" s="6"/>
      <c r="T77" s="6"/>
      <c r="U77" s="6"/>
      <c r="V77" s="6"/>
      <c r="X77" s="6"/>
      <c r="Z77" s="6"/>
      <c r="AB77" s="6"/>
      <c r="AD77" s="6"/>
      <c r="AI77"/>
      <c r="AK77"/>
      <c r="AM77"/>
      <c r="BL77" s="6"/>
      <c r="BM77" s="6"/>
      <c r="BN77" s="6">
        <f t="shared" si="16"/>
        <v>0</v>
      </c>
      <c r="BO77" s="6"/>
      <c r="BP77" s="6">
        <f>396000-516000</f>
        <v>-120000</v>
      </c>
      <c r="BQ77" s="6"/>
      <c r="BR77" s="6">
        <f t="shared" si="17"/>
        <v>396000</v>
      </c>
      <c r="BT77" s="6">
        <f t="shared" si="18"/>
        <v>396000</v>
      </c>
      <c r="BV77" s="6">
        <f t="shared" si="19"/>
        <v>120000</v>
      </c>
    </row>
    <row r="78" spans="1:74">
      <c r="A78"/>
      <c r="B78" s="235" t="s">
        <v>326</v>
      </c>
      <c r="C78"/>
      <c r="D78"/>
      <c r="E78"/>
      <c r="F78"/>
      <c r="G78"/>
      <c r="H78"/>
      <c r="I78"/>
      <c r="J78" s="49" t="s">
        <v>231</v>
      </c>
      <c r="K78"/>
      <c r="L78" s="134"/>
      <c r="M78" s="6"/>
      <c r="O78" s="6"/>
      <c r="Q78" s="6"/>
      <c r="R78" s="237">
        <v>37965</v>
      </c>
      <c r="S78" s="6"/>
      <c r="T78" s="6"/>
      <c r="U78" s="6"/>
      <c r="V78" s="6"/>
      <c r="X78" s="6"/>
      <c r="Z78" s="6"/>
      <c r="AB78" s="6"/>
      <c r="AD78" s="6"/>
      <c r="AI78"/>
      <c r="AK78"/>
      <c r="AM78"/>
      <c r="BL78" s="6"/>
      <c r="BM78" s="6"/>
      <c r="BN78" s="6">
        <f t="shared" si="16"/>
        <v>0</v>
      </c>
      <c r="BO78" s="6"/>
      <c r="BP78" s="6"/>
      <c r="BQ78" s="6"/>
      <c r="BR78" s="6">
        <f t="shared" si="17"/>
        <v>37965</v>
      </c>
      <c r="BT78" s="6">
        <f t="shared" si="18"/>
        <v>37965</v>
      </c>
      <c r="BV78" s="6">
        <f t="shared" si="19"/>
        <v>0</v>
      </c>
    </row>
    <row r="79" spans="1:74">
      <c r="A79"/>
      <c r="B79" s="235" t="s">
        <v>327</v>
      </c>
      <c r="C79"/>
      <c r="D79"/>
      <c r="E79"/>
      <c r="F79"/>
      <c r="G79"/>
      <c r="H79"/>
      <c r="I79"/>
      <c r="J79" s="49" t="s">
        <v>231</v>
      </c>
      <c r="K79"/>
      <c r="L79" s="134"/>
      <c r="M79" s="6"/>
      <c r="O79" s="6"/>
      <c r="Q79" s="6"/>
      <c r="R79" s="237">
        <v>19322</v>
      </c>
      <c r="S79" s="6"/>
      <c r="T79" s="6"/>
      <c r="U79" s="6"/>
      <c r="V79" s="6"/>
      <c r="X79" s="6"/>
      <c r="Z79" s="6"/>
      <c r="AB79" s="6"/>
      <c r="AD79" s="6"/>
      <c r="AI79"/>
      <c r="AK79"/>
      <c r="AM79"/>
      <c r="BL79" s="6"/>
      <c r="BM79" s="6"/>
      <c r="BN79" s="6">
        <f t="shared" si="16"/>
        <v>0</v>
      </c>
      <c r="BO79" s="6"/>
      <c r="BP79" s="6"/>
      <c r="BQ79" s="6"/>
      <c r="BR79" s="6">
        <f t="shared" si="17"/>
        <v>19322</v>
      </c>
      <c r="BT79" s="6">
        <f t="shared" si="18"/>
        <v>19322</v>
      </c>
      <c r="BV79" s="6">
        <f t="shared" si="19"/>
        <v>0</v>
      </c>
    </row>
    <row r="80" spans="1:74">
      <c r="A80"/>
      <c r="B80" s="235" t="s">
        <v>53</v>
      </c>
      <c r="C80"/>
      <c r="D80"/>
      <c r="E80"/>
      <c r="F80"/>
      <c r="G80"/>
      <c r="H80"/>
      <c r="I80"/>
      <c r="J80" s="49" t="s">
        <v>231</v>
      </c>
      <c r="K80"/>
      <c r="L80" s="134"/>
      <c r="M80" s="6"/>
      <c r="O80" s="6"/>
      <c r="Q80" s="6"/>
      <c r="R80" s="237">
        <v>123375</v>
      </c>
      <c r="S80" s="6"/>
      <c r="T80" s="6"/>
      <c r="U80" s="6"/>
      <c r="V80" s="6"/>
      <c r="X80" s="6"/>
      <c r="Z80" s="6"/>
      <c r="AB80" s="6"/>
      <c r="AD80" s="6"/>
      <c r="AI80"/>
      <c r="AK80"/>
      <c r="AM80"/>
      <c r="BL80" s="6"/>
      <c r="BM80" s="6"/>
      <c r="BN80" s="6">
        <f t="shared" si="16"/>
        <v>0</v>
      </c>
      <c r="BO80" s="6"/>
      <c r="BP80" s="6">
        <f>243375-123375</f>
        <v>120000</v>
      </c>
      <c r="BQ80" s="6"/>
      <c r="BR80" s="6">
        <f t="shared" si="17"/>
        <v>243375</v>
      </c>
      <c r="BT80" s="6">
        <f t="shared" si="18"/>
        <v>243375</v>
      </c>
      <c r="BV80" s="6">
        <f t="shared" si="19"/>
        <v>-120000</v>
      </c>
    </row>
    <row r="81" spans="1:74">
      <c r="A81"/>
      <c r="B81" s="235" t="s">
        <v>369</v>
      </c>
      <c r="C81"/>
      <c r="D81"/>
      <c r="E81"/>
      <c r="F81"/>
      <c r="G81"/>
      <c r="H81"/>
      <c r="I81"/>
      <c r="J81" s="49" t="s">
        <v>231</v>
      </c>
      <c r="K81"/>
      <c r="L81" s="134"/>
      <c r="M81" s="6"/>
      <c r="O81" s="6"/>
      <c r="Q81" s="6"/>
      <c r="R81" s="237">
        <v>0</v>
      </c>
      <c r="S81" s="6"/>
      <c r="T81" s="6"/>
      <c r="U81" s="6"/>
      <c r="V81" s="6"/>
      <c r="X81" s="6"/>
      <c r="Z81" s="6"/>
      <c r="AB81" s="6"/>
      <c r="AD81" s="6"/>
      <c r="AI81"/>
      <c r="AK81"/>
      <c r="AM81"/>
      <c r="BL81" s="6"/>
      <c r="BM81" s="6"/>
      <c r="BN81" s="6">
        <f t="shared" si="16"/>
        <v>0</v>
      </c>
      <c r="BO81" s="6"/>
      <c r="BP81" s="6"/>
      <c r="BQ81" s="6"/>
      <c r="BR81" s="6">
        <f t="shared" si="17"/>
        <v>0</v>
      </c>
      <c r="BT81" s="6">
        <f t="shared" si="18"/>
        <v>0</v>
      </c>
      <c r="BV81" s="6">
        <f t="shared" si="19"/>
        <v>0</v>
      </c>
    </row>
    <row r="82" spans="1:74">
      <c r="A82"/>
      <c r="B82" s="235" t="s">
        <v>175</v>
      </c>
      <c r="C82"/>
      <c r="D82"/>
      <c r="E82"/>
      <c r="F82"/>
      <c r="G82"/>
      <c r="H82"/>
      <c r="I82"/>
      <c r="J82" s="49" t="s">
        <v>231</v>
      </c>
      <c r="K82"/>
      <c r="L82" s="134"/>
      <c r="M82" s="6"/>
      <c r="O82" s="6"/>
      <c r="Q82" s="6"/>
      <c r="R82" s="237">
        <v>129500</v>
      </c>
      <c r="S82" s="6"/>
      <c r="T82" s="6"/>
      <c r="U82" s="6"/>
      <c r="V82" s="6"/>
      <c r="X82" s="6"/>
      <c r="Z82" s="6"/>
      <c r="AB82" s="6"/>
      <c r="AD82" s="6"/>
      <c r="AI82"/>
      <c r="AK82"/>
      <c r="AM82"/>
      <c r="BL82" s="6"/>
      <c r="BM82" s="6"/>
      <c r="BN82" s="6">
        <f t="shared" si="16"/>
        <v>0</v>
      </c>
      <c r="BO82" s="6"/>
      <c r="BP82" s="6">
        <f>92222-129500</f>
        <v>-37278</v>
      </c>
      <c r="BQ82" s="6"/>
      <c r="BR82" s="6">
        <f t="shared" si="17"/>
        <v>92222</v>
      </c>
      <c r="BT82" s="6">
        <f t="shared" si="18"/>
        <v>92222</v>
      </c>
      <c r="BV82" s="6">
        <f t="shared" si="19"/>
        <v>37278</v>
      </c>
    </row>
    <row r="83" spans="1:74">
      <c r="A83"/>
      <c r="B83" s="235" t="s">
        <v>328</v>
      </c>
      <c r="C83"/>
      <c r="D83"/>
      <c r="E83"/>
      <c r="F83"/>
      <c r="G83"/>
      <c r="H83"/>
      <c r="I83"/>
      <c r="J83" s="49" t="s">
        <v>231</v>
      </c>
      <c r="K83"/>
      <c r="L83" s="134"/>
      <c r="M83" s="6"/>
      <c r="O83" s="6"/>
      <c r="Q83" s="6"/>
      <c r="R83" s="237">
        <v>30000</v>
      </c>
      <c r="S83" s="6"/>
      <c r="T83" s="6"/>
      <c r="U83" s="6"/>
      <c r="V83" s="6"/>
      <c r="X83" s="6"/>
      <c r="Z83" s="6"/>
      <c r="AB83" s="6"/>
      <c r="AD83" s="6"/>
      <c r="AI83"/>
      <c r="AK83"/>
      <c r="AM83"/>
      <c r="BL83" s="6"/>
      <c r="BM83" s="6"/>
      <c r="BN83" s="6">
        <f t="shared" si="16"/>
        <v>0</v>
      </c>
      <c r="BO83" s="6"/>
      <c r="BP83" s="6">
        <f>46155-30000</f>
        <v>16155</v>
      </c>
      <c r="BQ83" s="6"/>
      <c r="BR83" s="6">
        <f t="shared" si="17"/>
        <v>46155</v>
      </c>
      <c r="BT83" s="6">
        <f t="shared" si="18"/>
        <v>46155</v>
      </c>
      <c r="BV83" s="6">
        <f t="shared" si="19"/>
        <v>-16155</v>
      </c>
    </row>
    <row r="84" spans="1:74">
      <c r="A84"/>
      <c r="B84" s="235" t="s">
        <v>329</v>
      </c>
      <c r="C84"/>
      <c r="D84"/>
      <c r="E84"/>
      <c r="F84"/>
      <c r="G84"/>
      <c r="H84"/>
      <c r="I84"/>
      <c r="J84" s="49" t="s">
        <v>231</v>
      </c>
      <c r="K84"/>
      <c r="L84" s="134"/>
      <c r="M84" s="6"/>
      <c r="O84" s="6"/>
      <c r="Q84" s="6"/>
      <c r="R84" s="237">
        <v>67500</v>
      </c>
      <c r="S84" s="6"/>
      <c r="T84" s="6"/>
      <c r="U84" s="6"/>
      <c r="V84" s="6"/>
      <c r="X84" s="6"/>
      <c r="Z84" s="6"/>
      <c r="AB84" s="6"/>
      <c r="AD84" s="6"/>
      <c r="AI84"/>
      <c r="AK84"/>
      <c r="AM84"/>
      <c r="BL84" s="6"/>
      <c r="BM84" s="6"/>
      <c r="BN84" s="6">
        <f t="shared" si="16"/>
        <v>0</v>
      </c>
      <c r="BO84" s="6"/>
      <c r="BP84" s="6">
        <f>57444-67500</f>
        <v>-10056</v>
      </c>
      <c r="BQ84" s="6"/>
      <c r="BR84" s="6">
        <f t="shared" si="17"/>
        <v>57444</v>
      </c>
      <c r="BT84" s="6">
        <f t="shared" si="18"/>
        <v>57444</v>
      </c>
      <c r="BV84" s="6">
        <f t="shared" si="19"/>
        <v>10056</v>
      </c>
    </row>
    <row r="85" spans="1:74">
      <c r="A85"/>
      <c r="B85" s="235" t="s">
        <v>370</v>
      </c>
      <c r="C85"/>
      <c r="D85"/>
      <c r="E85"/>
      <c r="F85"/>
      <c r="G85"/>
      <c r="H85"/>
      <c r="I85"/>
      <c r="J85" s="49" t="s">
        <v>231</v>
      </c>
      <c r="K85"/>
      <c r="L85" s="134"/>
      <c r="M85" s="6"/>
      <c r="O85" s="6"/>
      <c r="Q85" s="6"/>
      <c r="R85" s="237">
        <v>0</v>
      </c>
      <c r="S85" s="6"/>
      <c r="T85" s="6"/>
      <c r="U85" s="6"/>
      <c r="V85" s="6"/>
      <c r="X85" s="6"/>
      <c r="Z85" s="6"/>
      <c r="AB85" s="6"/>
      <c r="AD85" s="6"/>
      <c r="AI85"/>
      <c r="AK85"/>
      <c r="AM85"/>
      <c r="BL85" s="6"/>
      <c r="BM85" s="6"/>
      <c r="BN85" s="6">
        <f t="shared" si="16"/>
        <v>0</v>
      </c>
      <c r="BO85" s="6"/>
      <c r="BP85" s="6"/>
      <c r="BQ85" s="6"/>
      <c r="BR85" s="6">
        <f t="shared" si="17"/>
        <v>0</v>
      </c>
      <c r="BT85" s="6">
        <f t="shared" si="18"/>
        <v>0</v>
      </c>
      <c r="BV85" s="6">
        <f t="shared" si="19"/>
        <v>0</v>
      </c>
    </row>
    <row r="86" spans="1:74">
      <c r="A86"/>
      <c r="B86" s="235" t="s">
        <v>330</v>
      </c>
      <c r="C86"/>
      <c r="D86"/>
      <c r="E86"/>
      <c r="F86"/>
      <c r="G86"/>
      <c r="H86"/>
      <c r="I86"/>
      <c r="J86" s="49" t="s">
        <v>231</v>
      </c>
      <c r="K86"/>
      <c r="L86" s="134"/>
      <c r="M86" s="6"/>
      <c r="O86" s="6"/>
      <c r="Q86" s="6"/>
      <c r="R86" s="237">
        <v>210500</v>
      </c>
      <c r="S86" s="6"/>
      <c r="T86" s="6"/>
      <c r="U86" s="6"/>
      <c r="V86" s="6"/>
      <c r="X86" s="6"/>
      <c r="Z86" s="6"/>
      <c r="AB86" s="6"/>
      <c r="AD86" s="6"/>
      <c r="AI86"/>
      <c r="AK86"/>
      <c r="AM86"/>
      <c r="BL86" s="6"/>
      <c r="BM86" s="6"/>
      <c r="BN86" s="6">
        <f t="shared" si="16"/>
        <v>0</v>
      </c>
      <c r="BO86" s="6"/>
      <c r="BP86" s="6"/>
      <c r="BQ86" s="6"/>
      <c r="BR86" s="6">
        <f t="shared" si="17"/>
        <v>210500</v>
      </c>
      <c r="BT86" s="6">
        <f t="shared" si="18"/>
        <v>210500</v>
      </c>
      <c r="BV86" s="6">
        <f t="shared" si="19"/>
        <v>0</v>
      </c>
    </row>
    <row r="87" spans="1:74">
      <c r="A87"/>
      <c r="B87" s="235" t="s">
        <v>371</v>
      </c>
      <c r="C87"/>
      <c r="D87"/>
      <c r="E87"/>
      <c r="F87"/>
      <c r="G87"/>
      <c r="H87"/>
      <c r="I87"/>
      <c r="J87" s="49" t="s">
        <v>231</v>
      </c>
      <c r="K87"/>
      <c r="L87" s="134"/>
      <c r="M87" s="6"/>
      <c r="O87" s="6"/>
      <c r="Q87" s="6"/>
      <c r="R87" s="237">
        <v>0</v>
      </c>
      <c r="S87" s="6"/>
      <c r="T87" s="6"/>
      <c r="U87" s="6"/>
      <c r="V87" s="6"/>
      <c r="X87" s="6"/>
      <c r="Z87" s="6"/>
      <c r="AB87" s="6"/>
      <c r="AD87" s="6"/>
      <c r="AI87"/>
      <c r="AK87"/>
      <c r="AM87"/>
      <c r="BL87" s="6"/>
      <c r="BM87" s="6"/>
      <c r="BN87" s="6">
        <f t="shared" si="16"/>
        <v>0</v>
      </c>
      <c r="BO87" s="6"/>
      <c r="BP87" s="6"/>
      <c r="BQ87" s="6"/>
      <c r="BR87" s="6">
        <f t="shared" si="17"/>
        <v>0</v>
      </c>
      <c r="BT87" s="6">
        <f t="shared" si="18"/>
        <v>0</v>
      </c>
      <c r="BV87" s="6">
        <f t="shared" si="19"/>
        <v>0</v>
      </c>
    </row>
    <row r="88" spans="1:74">
      <c r="A88"/>
      <c r="B88" s="235" t="s">
        <v>332</v>
      </c>
      <c r="C88"/>
      <c r="D88"/>
      <c r="E88"/>
      <c r="F88"/>
      <c r="G88"/>
      <c r="H88"/>
      <c r="I88"/>
      <c r="J88" s="49" t="s">
        <v>231</v>
      </c>
      <c r="K88"/>
      <c r="L88" s="134"/>
      <c r="M88" s="6"/>
      <c r="O88" s="6"/>
      <c r="Q88" s="6"/>
      <c r="R88" s="237">
        <v>20500</v>
      </c>
      <c r="S88" s="6"/>
      <c r="T88" s="6"/>
      <c r="U88" s="6"/>
      <c r="V88" s="6"/>
      <c r="X88" s="6"/>
      <c r="Z88" s="6"/>
      <c r="AB88" s="6"/>
      <c r="AD88" s="6"/>
      <c r="AI88"/>
      <c r="AK88"/>
      <c r="AM88"/>
      <c r="BL88" s="6"/>
      <c r="BM88" s="6"/>
      <c r="BN88" s="6">
        <f t="shared" si="16"/>
        <v>0</v>
      </c>
      <c r="BO88" s="6"/>
      <c r="BP88" s="6">
        <f>10659-20500</f>
        <v>-9841</v>
      </c>
      <c r="BQ88" s="6"/>
      <c r="BR88" s="6">
        <f t="shared" si="17"/>
        <v>10659</v>
      </c>
      <c r="BT88" s="6">
        <f t="shared" si="18"/>
        <v>10659</v>
      </c>
      <c r="BV88" s="6">
        <f t="shared" si="19"/>
        <v>9841</v>
      </c>
    </row>
    <row r="89" spans="1:74" s="21" customFormat="1">
      <c r="B89" s="238" t="s">
        <v>335</v>
      </c>
      <c r="J89" s="8"/>
      <c r="L89" s="143" t="s">
        <v>204</v>
      </c>
      <c r="M89" s="9"/>
      <c r="N89" s="9">
        <v>0</v>
      </c>
      <c r="O89" s="9"/>
      <c r="P89" s="9">
        <v>0</v>
      </c>
      <c r="Q89" s="9"/>
      <c r="R89" s="9">
        <f>SUM(R64:R88)</f>
        <v>5163899</v>
      </c>
      <c r="S89" s="9">
        <f t="shared" ref="S89:BQ89" si="20">SUM(S64:S88)</f>
        <v>0</v>
      </c>
      <c r="T89" s="9">
        <f t="shared" si="20"/>
        <v>0</v>
      </c>
      <c r="U89" s="9">
        <f t="shared" si="20"/>
        <v>0</v>
      </c>
      <c r="V89" s="9">
        <f t="shared" si="20"/>
        <v>0</v>
      </c>
      <c r="W89" s="9">
        <f t="shared" si="20"/>
        <v>0</v>
      </c>
      <c r="X89" s="9">
        <f t="shared" si="20"/>
        <v>0</v>
      </c>
      <c r="Y89" s="9">
        <f t="shared" si="20"/>
        <v>0</v>
      </c>
      <c r="Z89" s="9">
        <f t="shared" si="20"/>
        <v>0</v>
      </c>
      <c r="AA89" s="9">
        <f t="shared" si="20"/>
        <v>0</v>
      </c>
      <c r="AB89" s="9">
        <f t="shared" si="20"/>
        <v>0</v>
      </c>
      <c r="AC89" s="9">
        <f t="shared" si="20"/>
        <v>0</v>
      </c>
      <c r="AD89" s="9">
        <f t="shared" si="20"/>
        <v>0</v>
      </c>
      <c r="AE89" s="9">
        <f t="shared" si="20"/>
        <v>0</v>
      </c>
      <c r="AF89" s="9">
        <f t="shared" si="20"/>
        <v>0</v>
      </c>
      <c r="AG89" s="9">
        <f t="shared" si="20"/>
        <v>0</v>
      </c>
      <c r="AH89" s="9">
        <f t="shared" si="20"/>
        <v>0</v>
      </c>
      <c r="AI89" s="9"/>
      <c r="AJ89" s="9">
        <f t="shared" si="20"/>
        <v>0</v>
      </c>
      <c r="AK89" s="9"/>
      <c r="AL89" s="9">
        <f t="shared" si="20"/>
        <v>0</v>
      </c>
      <c r="AM89" s="9"/>
      <c r="AN89" s="9">
        <f t="shared" si="20"/>
        <v>0</v>
      </c>
      <c r="AO89" s="9"/>
      <c r="AP89" s="9">
        <f t="shared" si="20"/>
        <v>0</v>
      </c>
      <c r="AQ89" s="9"/>
      <c r="AR89" s="9">
        <f t="shared" si="20"/>
        <v>84021</v>
      </c>
      <c r="AS89" s="9">
        <f t="shared" si="20"/>
        <v>0</v>
      </c>
      <c r="AT89" s="9">
        <f t="shared" si="20"/>
        <v>0</v>
      </c>
      <c r="AU89" s="9">
        <f t="shared" si="20"/>
        <v>0</v>
      </c>
      <c r="AV89" s="9">
        <f t="shared" si="20"/>
        <v>225269</v>
      </c>
      <c r="AW89" s="9">
        <f t="shared" si="20"/>
        <v>0</v>
      </c>
      <c r="AX89" s="9">
        <f t="shared" si="20"/>
        <v>0</v>
      </c>
      <c r="AY89" s="9">
        <f t="shared" si="20"/>
        <v>0</v>
      </c>
      <c r="AZ89" s="9">
        <f t="shared" si="20"/>
        <v>0</v>
      </c>
      <c r="BA89" s="9">
        <f t="shared" si="20"/>
        <v>0</v>
      </c>
      <c r="BB89" s="9">
        <f t="shared" si="20"/>
        <v>0</v>
      </c>
      <c r="BC89" s="9">
        <f t="shared" si="20"/>
        <v>0</v>
      </c>
      <c r="BD89" s="9">
        <f t="shared" si="20"/>
        <v>0</v>
      </c>
      <c r="BE89" s="9">
        <f t="shared" si="20"/>
        <v>0</v>
      </c>
      <c r="BF89" s="9">
        <f t="shared" si="20"/>
        <v>0</v>
      </c>
      <c r="BG89" s="9">
        <f t="shared" si="20"/>
        <v>0</v>
      </c>
      <c r="BH89" s="9">
        <f t="shared" si="20"/>
        <v>0</v>
      </c>
      <c r="BI89" s="9">
        <f t="shared" si="20"/>
        <v>0</v>
      </c>
      <c r="BJ89" s="9">
        <f t="shared" si="20"/>
        <v>0</v>
      </c>
      <c r="BK89" s="9">
        <f t="shared" si="20"/>
        <v>0</v>
      </c>
      <c r="BL89" s="9">
        <f t="shared" si="20"/>
        <v>0</v>
      </c>
      <c r="BM89" s="9">
        <f t="shared" si="20"/>
        <v>0</v>
      </c>
      <c r="BN89" s="9">
        <f t="shared" si="20"/>
        <v>309290</v>
      </c>
      <c r="BO89" s="9">
        <f t="shared" si="20"/>
        <v>0</v>
      </c>
      <c r="BP89" s="9">
        <f t="shared" si="20"/>
        <v>-902968</v>
      </c>
      <c r="BQ89" s="9">
        <f t="shared" si="20"/>
        <v>0</v>
      </c>
      <c r="BR89" s="9">
        <f>SUM(BR64:BR88)</f>
        <v>3951641</v>
      </c>
      <c r="BS89" s="9">
        <f>SUM(BS64:BS88)</f>
        <v>0</v>
      </c>
      <c r="BT89" s="9">
        <f>SUM(BT64:BT88)</f>
        <v>4260931</v>
      </c>
      <c r="BU89" s="9"/>
      <c r="BV89" s="9">
        <f t="shared" si="19"/>
        <v>902968</v>
      </c>
    </row>
    <row r="90" spans="1:74" s="21" customFormat="1">
      <c r="B90" s="238"/>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4" s="21" customFormat="1">
      <c r="B91" s="239" t="s">
        <v>363</v>
      </c>
      <c r="J91" s="8"/>
      <c r="L91" s="143"/>
      <c r="M91" s="9"/>
      <c r="N91" s="9"/>
      <c r="O91" s="9"/>
      <c r="P91" s="9"/>
      <c r="Q91" s="9"/>
      <c r="R91" s="9"/>
      <c r="S91" s="9"/>
      <c r="T91" s="9"/>
      <c r="U91" s="9"/>
      <c r="V91" s="9"/>
      <c r="W91" s="9"/>
      <c r="X91" s="9"/>
      <c r="Y91" s="9"/>
      <c r="Z91" s="9"/>
      <c r="AA91" s="9"/>
      <c r="AB91" s="9"/>
      <c r="AC91" s="9"/>
      <c r="AD91" s="9"/>
      <c r="AE91" s="9"/>
      <c r="AF91" s="9"/>
      <c r="AG91" s="9"/>
      <c r="AH91" s="9"/>
      <c r="AJ91" s="9"/>
      <c r="AL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row>
    <row r="92" spans="1:74" s="21" customFormat="1">
      <c r="B92" s="240" t="s">
        <v>336</v>
      </c>
      <c r="J92" s="8"/>
      <c r="L92" s="143"/>
      <c r="M92" s="9"/>
      <c r="N92" s="9"/>
      <c r="O92" s="9"/>
      <c r="P92" s="9"/>
      <c r="Q92" s="9"/>
      <c r="R92" s="237">
        <f>2221753</f>
        <v>2221753</v>
      </c>
      <c r="S92" s="9"/>
      <c r="T92" s="9"/>
      <c r="U92" s="9"/>
      <c r="V92" s="9"/>
      <c r="W92" s="9"/>
      <c r="X92" s="9"/>
      <c r="Y92" s="9"/>
      <c r="Z92" s="9"/>
      <c r="AA92" s="9"/>
      <c r="AB92" s="9"/>
      <c r="AC92" s="9"/>
      <c r="AD92" s="9"/>
      <c r="AE92" s="9"/>
      <c r="AF92" s="9"/>
      <c r="AG92" s="9"/>
      <c r="AH92" s="9"/>
      <c r="AJ92" s="9"/>
      <c r="AL92" s="9"/>
      <c r="AN92" s="9"/>
      <c r="AO92" s="9"/>
      <c r="AP92" s="9"/>
      <c r="AQ92" s="9"/>
      <c r="AR92" s="9">
        <v>204588</v>
      </c>
      <c r="AS92" s="9"/>
      <c r="AT92" s="9"/>
      <c r="AU92" s="9"/>
      <c r="AV92" s="6">
        <f>2389052-204588</f>
        <v>2184464</v>
      </c>
      <c r="AW92" s="9"/>
      <c r="AX92" s="9"/>
      <c r="AY92" s="9"/>
      <c r="AZ92" s="9"/>
      <c r="BA92" s="9"/>
      <c r="BB92" s="9"/>
      <c r="BC92" s="9"/>
      <c r="BD92" s="9"/>
      <c r="BE92" s="9"/>
      <c r="BF92" s="9"/>
      <c r="BG92" s="9"/>
      <c r="BH92" s="9"/>
      <c r="BI92" s="9"/>
      <c r="BJ92" s="9"/>
      <c r="BK92" s="9"/>
      <c r="BL92" s="9"/>
      <c r="BM92" s="9"/>
      <c r="BN92" s="6">
        <f t="shared" ref="BN92:BN120" si="21">SUM(T92:BM92)</f>
        <v>2389052</v>
      </c>
      <c r="BO92" s="9"/>
      <c r="BP92" s="6">
        <f>2221753-2389052</f>
        <v>-167299</v>
      </c>
      <c r="BQ92" s="6"/>
      <c r="BR92" s="6">
        <f t="shared" ref="BR92:BR121" si="22">IF(+R92-BN92+BP92&gt;0,R92-BN92+BP92,0)</f>
        <v>0</v>
      </c>
      <c r="BS92" s="6"/>
      <c r="BT92" s="6">
        <f t="shared" ref="BT92:BT121" si="23">+BN92+BR92</f>
        <v>2389052</v>
      </c>
      <c r="BU92" s="9"/>
      <c r="BV92" s="6">
        <f t="shared" ref="BV92:BV121" si="24">+R92-BT92</f>
        <v>-167299</v>
      </c>
    </row>
    <row r="93" spans="1:74" s="21" customFormat="1">
      <c r="B93" s="240" t="s">
        <v>337</v>
      </c>
      <c r="J93" s="8"/>
      <c r="L93" s="143"/>
      <c r="M93" s="9"/>
      <c r="N93" s="9"/>
      <c r="O93" s="9"/>
      <c r="P93" s="9"/>
      <c r="Q93" s="9"/>
      <c r="R93" s="237">
        <v>363263</v>
      </c>
      <c r="S93" s="9"/>
      <c r="T93" s="9"/>
      <c r="U93" s="9"/>
      <c r="V93" s="9"/>
      <c r="W93" s="9"/>
      <c r="X93" s="9"/>
      <c r="Y93" s="9"/>
      <c r="Z93" s="9"/>
      <c r="AA93" s="9"/>
      <c r="AB93" s="9"/>
      <c r="AC93" s="9"/>
      <c r="AD93" s="9"/>
      <c r="AE93" s="9"/>
      <c r="AF93" s="9"/>
      <c r="AG93" s="9"/>
      <c r="AH93" s="9"/>
      <c r="AJ93" s="9"/>
      <c r="AL93" s="9"/>
      <c r="AN93" s="9"/>
      <c r="AO93" s="9"/>
      <c r="AP93" s="9"/>
      <c r="AQ93" s="9"/>
      <c r="AR93" s="9"/>
      <c r="AS93" s="9"/>
      <c r="AT93" s="9"/>
      <c r="AU93" s="9"/>
      <c r="AV93" s="6">
        <f>13499</f>
        <v>13499</v>
      </c>
      <c r="AW93" s="9"/>
      <c r="AX93" s="9"/>
      <c r="AY93" s="9"/>
      <c r="AZ93" s="9"/>
      <c r="BA93" s="9"/>
      <c r="BB93" s="9"/>
      <c r="BC93" s="9"/>
      <c r="BD93" s="9"/>
      <c r="BE93" s="9"/>
      <c r="BF93" s="9"/>
      <c r="BG93" s="9"/>
      <c r="BH93" s="9"/>
      <c r="BI93" s="9"/>
      <c r="BJ93" s="9"/>
      <c r="BK93" s="9"/>
      <c r="BL93" s="9"/>
      <c r="BM93" s="9"/>
      <c r="BN93" s="6">
        <f t="shared" si="21"/>
        <v>13499</v>
      </c>
      <c r="BO93" s="9"/>
      <c r="BP93" s="6">
        <f>508478-363263</f>
        <v>145215</v>
      </c>
      <c r="BQ93" s="6"/>
      <c r="BR93" s="6">
        <f t="shared" si="22"/>
        <v>494979</v>
      </c>
      <c r="BS93" s="6"/>
      <c r="BT93" s="6">
        <f t="shared" si="23"/>
        <v>508478</v>
      </c>
      <c r="BU93" s="9"/>
      <c r="BV93" s="6">
        <f t="shared" si="24"/>
        <v>-145215</v>
      </c>
    </row>
    <row r="94" spans="1:74" s="21" customFormat="1">
      <c r="B94" s="240" t="s">
        <v>338</v>
      </c>
      <c r="J94" s="8"/>
      <c r="L94" s="143"/>
      <c r="M94" s="9"/>
      <c r="N94" s="9"/>
      <c r="O94" s="9"/>
      <c r="P94" s="9"/>
      <c r="Q94" s="9"/>
      <c r="R94" s="237">
        <v>272375</v>
      </c>
      <c r="S94" s="9"/>
      <c r="T94" s="9"/>
      <c r="U94" s="9"/>
      <c r="V94" s="9"/>
      <c r="W94" s="9"/>
      <c r="X94" s="9"/>
      <c r="Y94" s="9"/>
      <c r="Z94" s="9"/>
      <c r="AA94" s="9"/>
      <c r="AB94" s="9"/>
      <c r="AC94" s="9"/>
      <c r="AD94" s="9"/>
      <c r="AE94" s="9"/>
      <c r="AF94" s="9"/>
      <c r="AG94" s="9"/>
      <c r="AH94" s="9"/>
      <c r="AJ94" s="9"/>
      <c r="AL94" s="9"/>
      <c r="AN94" s="9"/>
      <c r="AO94" s="9"/>
      <c r="AP94" s="9"/>
      <c r="AQ94" s="9"/>
      <c r="AR94" s="9"/>
      <c r="AS94" s="9"/>
      <c r="AT94" s="9"/>
      <c r="AU94" s="9"/>
      <c r="AV94" s="6">
        <v>122734</v>
      </c>
      <c r="AW94" s="9"/>
      <c r="AX94" s="9"/>
      <c r="AY94" s="9"/>
      <c r="AZ94" s="9"/>
      <c r="BA94" s="9"/>
      <c r="BB94" s="9"/>
      <c r="BC94" s="9"/>
      <c r="BD94" s="9"/>
      <c r="BE94" s="9"/>
      <c r="BF94" s="9"/>
      <c r="BG94" s="9"/>
      <c r="BH94" s="9"/>
      <c r="BI94" s="9"/>
      <c r="BJ94" s="9"/>
      <c r="BK94" s="9"/>
      <c r="BL94" s="9"/>
      <c r="BM94" s="9"/>
      <c r="BN94" s="6">
        <f t="shared" si="21"/>
        <v>122734</v>
      </c>
      <c r="BO94" s="9"/>
      <c r="BP94" s="6"/>
      <c r="BQ94" s="6"/>
      <c r="BR94" s="6">
        <f t="shared" si="22"/>
        <v>149641</v>
      </c>
      <c r="BS94" s="6"/>
      <c r="BT94" s="6">
        <f t="shared" si="23"/>
        <v>272375</v>
      </c>
      <c r="BU94" s="9"/>
      <c r="BV94" s="6">
        <f t="shared" si="24"/>
        <v>0</v>
      </c>
    </row>
    <row r="95" spans="1:74" s="21" customFormat="1">
      <c r="B95" s="240" t="s">
        <v>339</v>
      </c>
      <c r="J95" s="8"/>
      <c r="L95" s="143"/>
      <c r="M95" s="9"/>
      <c r="N95" s="9"/>
      <c r="O95" s="9"/>
      <c r="P95" s="9"/>
      <c r="Q95" s="9"/>
      <c r="R95" s="237">
        <v>0</v>
      </c>
      <c r="S95" s="9"/>
      <c r="T95" s="9"/>
      <c r="U95" s="9"/>
      <c r="V95" s="9"/>
      <c r="W95" s="9"/>
      <c r="X95" s="9"/>
      <c r="Y95" s="9"/>
      <c r="Z95" s="9"/>
      <c r="AA95" s="9"/>
      <c r="AB95" s="9"/>
      <c r="AC95" s="9"/>
      <c r="AD95" s="9"/>
      <c r="AE95" s="9"/>
      <c r="AF95" s="9"/>
      <c r="AG95" s="9"/>
      <c r="AH95" s="9"/>
      <c r="AJ95" s="9"/>
      <c r="AL95" s="9"/>
      <c r="AN95" s="9"/>
      <c r="AO95" s="9"/>
      <c r="AP95" s="9"/>
      <c r="AQ95" s="9"/>
      <c r="AR95" s="9"/>
      <c r="AS95" s="9"/>
      <c r="AT95" s="9"/>
      <c r="AU95" s="9"/>
      <c r="AV95" s="6"/>
      <c r="AW95" s="9"/>
      <c r="AX95" s="9"/>
      <c r="AY95" s="9"/>
      <c r="AZ95" s="9"/>
      <c r="BA95" s="9"/>
      <c r="BB95" s="9"/>
      <c r="BC95" s="9"/>
      <c r="BD95" s="9"/>
      <c r="BE95" s="9"/>
      <c r="BF95" s="9"/>
      <c r="BG95" s="9"/>
      <c r="BH95" s="9"/>
      <c r="BI95" s="9"/>
      <c r="BJ95" s="9"/>
      <c r="BK95" s="9"/>
      <c r="BL95" s="9"/>
      <c r="BM95" s="9"/>
      <c r="BN95" s="6">
        <f t="shared" si="21"/>
        <v>0</v>
      </c>
      <c r="BO95" s="9"/>
      <c r="BP95" s="6"/>
      <c r="BQ95" s="6"/>
      <c r="BR95" s="6">
        <f t="shared" si="22"/>
        <v>0</v>
      </c>
      <c r="BS95" s="6"/>
      <c r="BT95" s="6">
        <f t="shared" si="23"/>
        <v>0</v>
      </c>
      <c r="BU95" s="9"/>
      <c r="BV95" s="6">
        <f t="shared" si="24"/>
        <v>0</v>
      </c>
    </row>
    <row r="96" spans="1:74" s="21" customFormat="1">
      <c r="B96" s="240" t="s">
        <v>340</v>
      </c>
      <c r="J96" s="8"/>
      <c r="L96" s="143"/>
      <c r="M96" s="9"/>
      <c r="N96" s="9"/>
      <c r="O96" s="9"/>
      <c r="P96" s="9"/>
      <c r="Q96" s="9"/>
      <c r="R96" s="237">
        <v>288919</v>
      </c>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6"/>
      <c r="AW96" s="9"/>
      <c r="AX96" s="9"/>
      <c r="AY96" s="9"/>
      <c r="AZ96" s="9"/>
      <c r="BA96" s="9"/>
      <c r="BB96" s="9"/>
      <c r="BC96" s="9"/>
      <c r="BD96" s="9"/>
      <c r="BE96" s="9"/>
      <c r="BF96" s="9"/>
      <c r="BG96" s="9"/>
      <c r="BH96" s="9"/>
      <c r="BI96" s="9"/>
      <c r="BJ96" s="9"/>
      <c r="BK96" s="9"/>
      <c r="BL96" s="9"/>
      <c r="BM96" s="9"/>
      <c r="BN96" s="6">
        <f t="shared" si="21"/>
        <v>0</v>
      </c>
      <c r="BO96" s="9"/>
      <c r="BP96" s="6">
        <f>371229-288919</f>
        <v>82310</v>
      </c>
      <c r="BQ96" s="6"/>
      <c r="BR96" s="6">
        <f t="shared" si="22"/>
        <v>371229</v>
      </c>
      <c r="BS96" s="6"/>
      <c r="BT96" s="6">
        <f t="shared" si="23"/>
        <v>371229</v>
      </c>
      <c r="BU96" s="9"/>
      <c r="BV96" s="6">
        <f t="shared" si="24"/>
        <v>-82310</v>
      </c>
    </row>
    <row r="97" spans="2:74" s="21" customFormat="1">
      <c r="B97" s="240" t="s">
        <v>341</v>
      </c>
      <c r="J97" s="8"/>
      <c r="L97" s="143"/>
      <c r="M97" s="9"/>
      <c r="N97" s="9"/>
      <c r="O97" s="9"/>
      <c r="P97" s="9"/>
      <c r="Q97" s="9"/>
      <c r="R97" s="237">
        <v>175031</v>
      </c>
      <c r="S97" s="9"/>
      <c r="T97" s="9"/>
      <c r="U97" s="9"/>
      <c r="V97" s="9"/>
      <c r="W97" s="9"/>
      <c r="X97" s="9"/>
      <c r="Y97" s="9"/>
      <c r="Z97" s="9"/>
      <c r="AA97" s="9"/>
      <c r="AB97" s="9"/>
      <c r="AC97" s="9"/>
      <c r="AD97" s="9"/>
      <c r="AE97" s="9"/>
      <c r="AF97" s="9"/>
      <c r="AG97" s="9"/>
      <c r="AH97" s="9"/>
      <c r="AJ97" s="9"/>
      <c r="AL97" s="9"/>
      <c r="AN97" s="9"/>
      <c r="AO97" s="9"/>
      <c r="AP97" s="9"/>
      <c r="AQ97" s="9"/>
      <c r="AR97" s="9"/>
      <c r="AS97" s="9"/>
      <c r="AT97" s="9"/>
      <c r="AU97" s="9"/>
      <c r="AV97" s="6">
        <v>116875</v>
      </c>
      <c r="AW97" s="9"/>
      <c r="AX97" s="9"/>
      <c r="AY97" s="9"/>
      <c r="AZ97" s="9"/>
      <c r="BA97" s="9"/>
      <c r="BB97" s="9"/>
      <c r="BC97" s="9"/>
      <c r="BD97" s="9"/>
      <c r="BE97" s="9"/>
      <c r="BF97" s="9"/>
      <c r="BG97" s="9"/>
      <c r="BH97" s="9"/>
      <c r="BI97" s="9"/>
      <c r="BJ97" s="9"/>
      <c r="BK97" s="9"/>
      <c r="BL97" s="9"/>
      <c r="BM97" s="9"/>
      <c r="BN97" s="6">
        <f t="shared" si="21"/>
        <v>116875</v>
      </c>
      <c r="BO97" s="9"/>
      <c r="BP97" s="6">
        <f>172231-175031</f>
        <v>-2800</v>
      </c>
      <c r="BQ97" s="6"/>
      <c r="BR97" s="6">
        <f t="shared" si="22"/>
        <v>55356</v>
      </c>
      <c r="BS97" s="6"/>
      <c r="BT97" s="6">
        <f t="shared" si="23"/>
        <v>172231</v>
      </c>
      <c r="BU97" s="9"/>
      <c r="BV97" s="6">
        <f t="shared" si="24"/>
        <v>2800</v>
      </c>
    </row>
    <row r="98" spans="2:74" s="21" customFormat="1">
      <c r="B98" s="240" t="s">
        <v>342</v>
      </c>
      <c r="J98" s="8"/>
      <c r="L98" s="143"/>
      <c r="M98" s="9"/>
      <c r="N98" s="9"/>
      <c r="O98" s="9"/>
      <c r="P98" s="9"/>
      <c r="Q98" s="9"/>
      <c r="R98" s="237">
        <v>0</v>
      </c>
      <c r="S98" s="9"/>
      <c r="T98" s="9"/>
      <c r="U98" s="9"/>
      <c r="V98" s="9"/>
      <c r="W98" s="9"/>
      <c r="X98" s="9"/>
      <c r="Y98" s="9"/>
      <c r="Z98" s="9"/>
      <c r="AA98" s="9"/>
      <c r="AB98" s="9"/>
      <c r="AC98" s="9"/>
      <c r="AD98" s="9"/>
      <c r="AE98" s="9"/>
      <c r="AF98" s="9"/>
      <c r="AG98" s="9"/>
      <c r="AH98" s="9"/>
      <c r="AJ98" s="9"/>
      <c r="AL98" s="9"/>
      <c r="AN98" s="9"/>
      <c r="AO98" s="9"/>
      <c r="AP98" s="9"/>
      <c r="AQ98" s="9"/>
      <c r="AR98" s="9"/>
      <c r="AS98" s="9"/>
      <c r="AT98" s="9"/>
      <c r="AU98" s="9"/>
      <c r="AV98" s="6"/>
      <c r="AW98" s="9"/>
      <c r="AX98" s="9"/>
      <c r="AY98" s="9"/>
      <c r="AZ98" s="9"/>
      <c r="BA98" s="9"/>
      <c r="BB98" s="9"/>
      <c r="BC98" s="9"/>
      <c r="BD98" s="9"/>
      <c r="BE98" s="9"/>
      <c r="BF98" s="9"/>
      <c r="BG98" s="9"/>
      <c r="BH98" s="9"/>
      <c r="BI98" s="9"/>
      <c r="BJ98" s="9"/>
      <c r="BK98" s="9"/>
      <c r="BL98" s="9"/>
      <c r="BM98" s="9"/>
      <c r="BN98" s="6">
        <f t="shared" si="21"/>
        <v>0</v>
      </c>
      <c r="BO98" s="9"/>
      <c r="BP98" s="6">
        <v>2800</v>
      </c>
      <c r="BQ98" s="6"/>
      <c r="BR98" s="6">
        <f t="shared" si="22"/>
        <v>2800</v>
      </c>
      <c r="BS98" s="6"/>
      <c r="BT98" s="6">
        <f t="shared" si="23"/>
        <v>2800</v>
      </c>
      <c r="BU98" s="9"/>
      <c r="BV98" s="6">
        <f t="shared" si="24"/>
        <v>-2800</v>
      </c>
    </row>
    <row r="99" spans="2:74" s="21" customFormat="1">
      <c r="B99" s="240" t="s">
        <v>343</v>
      </c>
      <c r="J99" s="8"/>
      <c r="L99" s="143"/>
      <c r="M99" s="9"/>
      <c r="N99" s="9"/>
      <c r="O99" s="9"/>
      <c r="P99" s="9"/>
      <c r="Q99" s="9"/>
      <c r="R99" s="237">
        <v>1115290</v>
      </c>
      <c r="S99" s="9"/>
      <c r="T99" s="9"/>
      <c r="U99" s="9"/>
      <c r="V99" s="9"/>
      <c r="W99" s="9"/>
      <c r="X99" s="9"/>
      <c r="Y99" s="9"/>
      <c r="Z99" s="9"/>
      <c r="AA99" s="9"/>
      <c r="AB99" s="9"/>
      <c r="AC99" s="9"/>
      <c r="AD99" s="9"/>
      <c r="AE99" s="9"/>
      <c r="AF99" s="9"/>
      <c r="AG99" s="9"/>
      <c r="AH99" s="9"/>
      <c r="AJ99" s="9"/>
      <c r="AL99" s="9"/>
      <c r="AN99" s="9"/>
      <c r="AO99" s="9"/>
      <c r="AP99" s="9"/>
      <c r="AQ99" s="9"/>
      <c r="AR99" s="9"/>
      <c r="AS99" s="9"/>
      <c r="AT99" s="9"/>
      <c r="AU99" s="9"/>
      <c r="AV99" s="6">
        <v>29294</v>
      </c>
      <c r="AW99" s="9"/>
      <c r="AX99" s="9"/>
      <c r="AY99" s="9"/>
      <c r="AZ99" s="9"/>
      <c r="BA99" s="9"/>
      <c r="BB99" s="9"/>
      <c r="BC99" s="9"/>
      <c r="BD99" s="9"/>
      <c r="BE99" s="9"/>
      <c r="BF99" s="9"/>
      <c r="BG99" s="9"/>
      <c r="BH99" s="9"/>
      <c r="BI99" s="9"/>
      <c r="BJ99" s="9"/>
      <c r="BK99" s="9"/>
      <c r="BL99" s="9"/>
      <c r="BM99" s="9"/>
      <c r="BN99" s="6">
        <f t="shared" si="21"/>
        <v>29294</v>
      </c>
      <c r="BO99" s="9"/>
      <c r="BP99" s="6">
        <f>1569383-1115290</f>
        <v>454093</v>
      </c>
      <c r="BQ99" s="6"/>
      <c r="BR99" s="6">
        <f t="shared" si="22"/>
        <v>1540089</v>
      </c>
      <c r="BS99" s="6"/>
      <c r="BT99" s="6">
        <f t="shared" si="23"/>
        <v>1569383</v>
      </c>
      <c r="BU99" s="9"/>
      <c r="BV99" s="6">
        <f t="shared" si="24"/>
        <v>-454093</v>
      </c>
    </row>
    <row r="100" spans="2:74" s="21" customFormat="1">
      <c r="B100" s="240" t="s">
        <v>344</v>
      </c>
      <c r="J100" s="8"/>
      <c r="L100" s="143"/>
      <c r="M100" s="9"/>
      <c r="N100" s="9"/>
      <c r="O100" s="9"/>
      <c r="P100" s="9"/>
      <c r="Q100" s="9"/>
      <c r="R100" s="237">
        <v>751110</v>
      </c>
      <c r="S100" s="9"/>
      <c r="T100" s="9"/>
      <c r="U100" s="9"/>
      <c r="V100" s="9"/>
      <c r="W100" s="9"/>
      <c r="X100" s="9"/>
      <c r="Y100" s="9"/>
      <c r="Z100" s="9"/>
      <c r="AA100" s="9"/>
      <c r="AB100" s="9"/>
      <c r="AC100" s="9"/>
      <c r="AD100" s="9"/>
      <c r="AE100" s="9"/>
      <c r="AF100" s="9"/>
      <c r="AG100" s="9"/>
      <c r="AH100" s="9"/>
      <c r="AJ100" s="9"/>
      <c r="AL100" s="9"/>
      <c r="AN100" s="9"/>
      <c r="AO100" s="9"/>
      <c r="AP100" s="9"/>
      <c r="AQ100" s="9"/>
      <c r="AR100" s="9"/>
      <c r="AS100" s="9"/>
      <c r="AT100" s="9"/>
      <c r="AU100" s="9"/>
      <c r="AV100" s="6">
        <v>286589</v>
      </c>
      <c r="AW100" s="9"/>
      <c r="AX100" s="9"/>
      <c r="AY100" s="9"/>
      <c r="AZ100" s="9"/>
      <c r="BA100" s="9"/>
      <c r="BB100" s="9"/>
      <c r="BC100" s="9"/>
      <c r="BD100" s="9"/>
      <c r="BE100" s="9"/>
      <c r="BF100" s="9"/>
      <c r="BG100" s="9"/>
      <c r="BH100" s="9"/>
      <c r="BI100" s="9"/>
      <c r="BJ100" s="9"/>
      <c r="BK100" s="9"/>
      <c r="BL100" s="9"/>
      <c r="BM100" s="9"/>
      <c r="BN100" s="6">
        <f t="shared" si="21"/>
        <v>286589</v>
      </c>
      <c r="BO100" s="9"/>
      <c r="BP100" s="6"/>
      <c r="BQ100" s="6"/>
      <c r="BR100" s="6">
        <f t="shared" si="22"/>
        <v>464521</v>
      </c>
      <c r="BS100" s="6"/>
      <c r="BT100" s="6">
        <f t="shared" si="23"/>
        <v>751110</v>
      </c>
      <c r="BU100" s="9"/>
      <c r="BV100" s="6">
        <f t="shared" si="24"/>
        <v>0</v>
      </c>
    </row>
    <row r="101" spans="2:74" s="21" customFormat="1">
      <c r="B101" s="240" t="s">
        <v>374</v>
      </c>
      <c r="J101" s="8"/>
      <c r="L101" s="143"/>
      <c r="M101" s="9"/>
      <c r="N101" s="9"/>
      <c r="O101" s="9"/>
      <c r="P101" s="9"/>
      <c r="Q101" s="9"/>
      <c r="R101" s="237"/>
      <c r="S101" s="9"/>
      <c r="T101" s="9"/>
      <c r="U101" s="9"/>
      <c r="V101" s="9"/>
      <c r="W101" s="9"/>
      <c r="X101" s="9"/>
      <c r="Y101" s="9"/>
      <c r="Z101" s="9"/>
      <c r="AA101" s="9"/>
      <c r="AB101" s="9"/>
      <c r="AC101" s="9"/>
      <c r="AD101" s="9"/>
      <c r="AE101" s="9"/>
      <c r="AF101" s="9"/>
      <c r="AG101" s="9"/>
      <c r="AH101" s="9"/>
      <c r="AJ101" s="9"/>
      <c r="AL101" s="9"/>
      <c r="AN101" s="9"/>
      <c r="AO101" s="9"/>
      <c r="AP101" s="9"/>
      <c r="AQ101" s="9"/>
      <c r="AR101" s="9"/>
      <c r="AS101" s="9"/>
      <c r="AT101" s="9"/>
      <c r="AU101" s="9"/>
      <c r="AV101" s="6">
        <v>12922</v>
      </c>
      <c r="AW101" s="9"/>
      <c r="AX101" s="9"/>
      <c r="AY101" s="9"/>
      <c r="AZ101" s="9"/>
      <c r="BA101" s="9"/>
      <c r="BB101" s="9"/>
      <c r="BC101" s="9"/>
      <c r="BD101" s="9"/>
      <c r="BE101" s="9"/>
      <c r="BF101" s="9"/>
      <c r="BG101" s="9"/>
      <c r="BH101" s="9"/>
      <c r="BI101" s="9"/>
      <c r="BJ101" s="9"/>
      <c r="BK101" s="9"/>
      <c r="BL101" s="9"/>
      <c r="BM101" s="9"/>
      <c r="BN101" s="6">
        <f t="shared" si="21"/>
        <v>12922</v>
      </c>
      <c r="BO101" s="9"/>
      <c r="BP101" s="6"/>
      <c r="BQ101" s="6"/>
      <c r="BR101" s="6">
        <f>IF(+R101-BN101+BP101&gt;0,R101-BN101+BP101,0)</f>
        <v>0</v>
      </c>
      <c r="BS101" s="6"/>
      <c r="BT101" s="6">
        <f>+BN101+BR101</f>
        <v>12922</v>
      </c>
      <c r="BU101" s="9"/>
      <c r="BV101" s="6">
        <f>+R101-BT101</f>
        <v>-12922</v>
      </c>
    </row>
    <row r="102" spans="2:74" s="21" customFormat="1">
      <c r="B102" s="240" t="s">
        <v>345</v>
      </c>
      <c r="J102" s="8"/>
      <c r="L102" s="143"/>
      <c r="M102" s="9"/>
      <c r="N102" s="9"/>
      <c r="O102" s="9"/>
      <c r="P102" s="9"/>
      <c r="Q102" s="9"/>
      <c r="R102" s="237">
        <v>79043</v>
      </c>
      <c r="S102" s="9"/>
      <c r="T102" s="9"/>
      <c r="U102" s="9"/>
      <c r="V102" s="9"/>
      <c r="W102" s="9"/>
      <c r="X102" s="9"/>
      <c r="Y102" s="9"/>
      <c r="Z102" s="9"/>
      <c r="AA102" s="9"/>
      <c r="AB102" s="9"/>
      <c r="AC102" s="9"/>
      <c r="AD102" s="9"/>
      <c r="AE102" s="9"/>
      <c r="AF102" s="9"/>
      <c r="AG102" s="9"/>
      <c r="AH102" s="9"/>
      <c r="AJ102" s="9"/>
      <c r="AL102" s="9"/>
      <c r="AN102" s="9"/>
      <c r="AO102" s="9"/>
      <c r="AP102" s="9"/>
      <c r="AQ102" s="9"/>
      <c r="AR102" s="9"/>
      <c r="AS102" s="9"/>
      <c r="AT102" s="9"/>
      <c r="AU102" s="9"/>
      <c r="AV102" s="6">
        <v>0</v>
      </c>
      <c r="AW102" s="9"/>
      <c r="AX102" s="9"/>
      <c r="AY102" s="9"/>
      <c r="AZ102" s="9"/>
      <c r="BA102" s="9"/>
      <c r="BB102" s="9"/>
      <c r="BC102" s="9"/>
      <c r="BD102" s="9"/>
      <c r="BE102" s="9"/>
      <c r="BF102" s="9"/>
      <c r="BG102" s="9"/>
      <c r="BH102" s="9"/>
      <c r="BI102" s="9"/>
      <c r="BJ102" s="9"/>
      <c r="BK102" s="9"/>
      <c r="BL102" s="9"/>
      <c r="BM102" s="9"/>
      <c r="BN102" s="6">
        <f t="shared" si="21"/>
        <v>0</v>
      </c>
      <c r="BO102" s="9"/>
      <c r="BP102" s="6">
        <f>108028-79043</f>
        <v>28985</v>
      </c>
      <c r="BQ102" s="6"/>
      <c r="BR102" s="6">
        <f t="shared" si="22"/>
        <v>108028</v>
      </c>
      <c r="BS102" s="6"/>
      <c r="BT102" s="6">
        <f t="shared" si="23"/>
        <v>108028</v>
      </c>
      <c r="BU102" s="9"/>
      <c r="BV102" s="6">
        <f t="shared" si="24"/>
        <v>-28985</v>
      </c>
    </row>
    <row r="103" spans="2:74" s="21" customFormat="1">
      <c r="B103" s="240" t="s">
        <v>346</v>
      </c>
      <c r="J103" s="8"/>
      <c r="L103" s="143"/>
      <c r="M103" s="9"/>
      <c r="N103" s="9"/>
      <c r="O103" s="9"/>
      <c r="P103" s="9"/>
      <c r="Q103" s="9"/>
      <c r="R103" s="237">
        <v>43500</v>
      </c>
      <c r="S103" s="9"/>
      <c r="T103" s="9"/>
      <c r="U103" s="9"/>
      <c r="V103" s="9"/>
      <c r="W103" s="9"/>
      <c r="X103" s="9"/>
      <c r="Y103" s="9"/>
      <c r="Z103" s="9"/>
      <c r="AA103" s="9"/>
      <c r="AB103" s="9"/>
      <c r="AC103" s="9"/>
      <c r="AD103" s="9"/>
      <c r="AE103" s="9"/>
      <c r="AF103" s="9"/>
      <c r="AG103" s="9"/>
      <c r="AH103" s="9"/>
      <c r="AJ103" s="9"/>
      <c r="AL103" s="9"/>
      <c r="AN103" s="9"/>
      <c r="AO103" s="9"/>
      <c r="AP103" s="9"/>
      <c r="AQ103" s="9"/>
      <c r="AR103" s="9"/>
      <c r="AS103" s="9"/>
      <c r="AT103" s="9"/>
      <c r="AU103" s="9"/>
      <c r="AV103" s="6">
        <v>11125</v>
      </c>
      <c r="AW103" s="9"/>
      <c r="AX103" s="9"/>
      <c r="AY103" s="9"/>
      <c r="AZ103" s="9"/>
      <c r="BA103" s="9"/>
      <c r="BB103" s="9"/>
      <c r="BC103" s="9"/>
      <c r="BD103" s="9"/>
      <c r="BE103" s="9"/>
      <c r="BF103" s="9"/>
      <c r="BG103" s="9"/>
      <c r="BH103" s="9"/>
      <c r="BI103" s="9"/>
      <c r="BJ103" s="9"/>
      <c r="BK103" s="9"/>
      <c r="BL103" s="9"/>
      <c r="BM103" s="9"/>
      <c r="BN103" s="6">
        <f t="shared" si="21"/>
        <v>11125</v>
      </c>
      <c r="BO103" s="9"/>
      <c r="BP103" s="6"/>
      <c r="BQ103" s="6"/>
      <c r="BR103" s="6">
        <f t="shared" si="22"/>
        <v>32375</v>
      </c>
      <c r="BS103" s="6"/>
      <c r="BT103" s="6">
        <f t="shared" si="23"/>
        <v>43500</v>
      </c>
      <c r="BU103" s="9"/>
      <c r="BV103" s="6">
        <f t="shared" si="24"/>
        <v>0</v>
      </c>
    </row>
    <row r="104" spans="2:74" s="21" customFormat="1">
      <c r="B104" s="240" t="s">
        <v>347</v>
      </c>
      <c r="J104" s="8"/>
      <c r="L104" s="143"/>
      <c r="M104" s="9"/>
      <c r="N104" s="9"/>
      <c r="O104" s="9"/>
      <c r="P104" s="9"/>
      <c r="Q104" s="9"/>
      <c r="R104" s="237">
        <v>81962</v>
      </c>
      <c r="S104" s="9"/>
      <c r="T104" s="9"/>
      <c r="U104" s="9"/>
      <c r="V104" s="9"/>
      <c r="W104" s="9"/>
      <c r="X104" s="9"/>
      <c r="Y104" s="9"/>
      <c r="Z104" s="9"/>
      <c r="AA104" s="9"/>
      <c r="AB104" s="9"/>
      <c r="AC104" s="9"/>
      <c r="AD104" s="9"/>
      <c r="AE104" s="9"/>
      <c r="AF104" s="9"/>
      <c r="AG104" s="9"/>
      <c r="AH104" s="9"/>
      <c r="AJ104" s="9"/>
      <c r="AL104" s="9"/>
      <c r="AN104" s="9"/>
      <c r="AO104" s="9"/>
      <c r="AP104" s="9"/>
      <c r="AQ104" s="9"/>
      <c r="AR104" s="9"/>
      <c r="AS104" s="9"/>
      <c r="AT104" s="9"/>
      <c r="AU104" s="9"/>
      <c r="AV104" s="6">
        <v>1183</v>
      </c>
      <c r="AW104" s="9"/>
      <c r="AX104" s="9"/>
      <c r="AY104" s="9"/>
      <c r="AZ104" s="9"/>
      <c r="BA104" s="9"/>
      <c r="BB104" s="9"/>
      <c r="BC104" s="9"/>
      <c r="BD104" s="9"/>
      <c r="BE104" s="9"/>
      <c r="BF104" s="9"/>
      <c r="BG104" s="9"/>
      <c r="BH104" s="9"/>
      <c r="BI104" s="9"/>
      <c r="BJ104" s="9"/>
      <c r="BK104" s="9"/>
      <c r="BL104" s="9"/>
      <c r="BM104" s="9"/>
      <c r="BN104" s="6">
        <f t="shared" si="21"/>
        <v>1183</v>
      </c>
      <c r="BO104" s="9"/>
      <c r="BP104" s="6">
        <f>101797-81962</f>
        <v>19835</v>
      </c>
      <c r="BQ104" s="6"/>
      <c r="BR104" s="6">
        <f t="shared" si="22"/>
        <v>100614</v>
      </c>
      <c r="BS104" s="6"/>
      <c r="BT104" s="6">
        <f t="shared" si="23"/>
        <v>101797</v>
      </c>
      <c r="BU104" s="9"/>
      <c r="BV104" s="6">
        <f t="shared" si="24"/>
        <v>-19835</v>
      </c>
    </row>
    <row r="105" spans="2:74" s="21" customFormat="1">
      <c r="B105" s="240" t="s">
        <v>348</v>
      </c>
      <c r="J105" s="8"/>
      <c r="L105" s="143"/>
      <c r="M105" s="9"/>
      <c r="N105" s="9"/>
      <c r="O105" s="9"/>
      <c r="P105" s="9"/>
      <c r="Q105" s="9"/>
      <c r="R105" s="237">
        <v>217350</v>
      </c>
      <c r="S105" s="9"/>
      <c r="T105" s="9"/>
      <c r="U105" s="9"/>
      <c r="V105" s="9"/>
      <c r="W105" s="9"/>
      <c r="X105" s="9"/>
      <c r="Y105" s="9"/>
      <c r="Z105" s="9"/>
      <c r="AA105" s="9"/>
      <c r="AB105" s="9"/>
      <c r="AC105" s="9"/>
      <c r="AD105" s="9"/>
      <c r="AE105" s="9"/>
      <c r="AF105" s="9"/>
      <c r="AG105" s="9"/>
      <c r="AH105" s="9"/>
      <c r="AJ105" s="9"/>
      <c r="AL105" s="9"/>
      <c r="AN105" s="9"/>
      <c r="AO105" s="9"/>
      <c r="AP105" s="9"/>
      <c r="AQ105" s="9"/>
      <c r="AR105" s="9"/>
      <c r="AS105" s="9"/>
      <c r="AT105" s="9"/>
      <c r="AU105" s="9"/>
      <c r="AV105" s="6"/>
      <c r="AW105" s="9"/>
      <c r="AX105" s="9"/>
      <c r="AY105" s="9"/>
      <c r="AZ105" s="9"/>
      <c r="BA105" s="9"/>
      <c r="BB105" s="9"/>
      <c r="BC105" s="9"/>
      <c r="BD105" s="9"/>
      <c r="BE105" s="9"/>
      <c r="BF105" s="9"/>
      <c r="BG105" s="9"/>
      <c r="BH105" s="9"/>
      <c r="BI105" s="9"/>
      <c r="BJ105" s="9"/>
      <c r="BK105" s="9"/>
      <c r="BL105" s="9"/>
      <c r="BM105" s="9"/>
      <c r="BN105" s="6">
        <f t="shared" si="21"/>
        <v>0</v>
      </c>
      <c r="BO105" s="9"/>
      <c r="BP105" s="6"/>
      <c r="BQ105" s="6"/>
      <c r="BR105" s="6">
        <f t="shared" si="22"/>
        <v>217350</v>
      </c>
      <c r="BS105" s="6"/>
      <c r="BT105" s="6">
        <f t="shared" si="23"/>
        <v>217350</v>
      </c>
      <c r="BU105" s="9"/>
      <c r="BV105" s="6">
        <f t="shared" si="24"/>
        <v>0</v>
      </c>
    </row>
    <row r="106" spans="2:74" s="21" customFormat="1">
      <c r="B106" s="240" t="s">
        <v>349</v>
      </c>
      <c r="J106" s="8"/>
      <c r="L106" s="143"/>
      <c r="M106" s="9"/>
      <c r="N106" s="9"/>
      <c r="O106" s="9"/>
      <c r="P106" s="9"/>
      <c r="Q106" s="9"/>
      <c r="R106" s="237">
        <v>199748</v>
      </c>
      <c r="S106" s="9"/>
      <c r="T106" s="9"/>
      <c r="U106" s="9"/>
      <c r="V106" s="9"/>
      <c r="W106" s="9"/>
      <c r="X106" s="9"/>
      <c r="Y106" s="9"/>
      <c r="Z106" s="9"/>
      <c r="AA106" s="9"/>
      <c r="AB106" s="9"/>
      <c r="AC106" s="9"/>
      <c r="AD106" s="9"/>
      <c r="AE106" s="9"/>
      <c r="AF106" s="9"/>
      <c r="AG106" s="9"/>
      <c r="AH106" s="9"/>
      <c r="AJ106" s="9"/>
      <c r="AL106" s="9"/>
      <c r="AN106" s="9"/>
      <c r="AO106" s="9"/>
      <c r="AP106" s="9"/>
      <c r="AQ106" s="9"/>
      <c r="AR106" s="9"/>
      <c r="AS106" s="9"/>
      <c r="AT106" s="9"/>
      <c r="AU106" s="9"/>
      <c r="AV106" s="6">
        <v>0</v>
      </c>
      <c r="AW106" s="9"/>
      <c r="AX106" s="9"/>
      <c r="AY106" s="9"/>
      <c r="AZ106" s="9"/>
      <c r="BA106" s="9"/>
      <c r="BB106" s="9"/>
      <c r="BC106" s="9"/>
      <c r="BD106" s="9"/>
      <c r="BE106" s="9"/>
      <c r="BF106" s="9"/>
      <c r="BG106" s="9"/>
      <c r="BH106" s="9"/>
      <c r="BI106" s="9"/>
      <c r="BJ106" s="9"/>
      <c r="BK106" s="9"/>
      <c r="BL106" s="9"/>
      <c r="BM106" s="9"/>
      <c r="BN106" s="6">
        <f t="shared" si="21"/>
        <v>0</v>
      </c>
      <c r="BO106" s="9"/>
      <c r="BP106" s="6"/>
      <c r="BQ106" s="6"/>
      <c r="BR106" s="6">
        <f t="shared" si="22"/>
        <v>199748</v>
      </c>
      <c r="BS106" s="6"/>
      <c r="BT106" s="6">
        <f t="shared" si="23"/>
        <v>199748</v>
      </c>
      <c r="BU106" s="9"/>
      <c r="BV106" s="6">
        <f t="shared" si="24"/>
        <v>0</v>
      </c>
    </row>
    <row r="107" spans="2:74" s="21" customFormat="1">
      <c r="B107" s="240" t="s">
        <v>350</v>
      </c>
      <c r="J107" s="8"/>
      <c r="L107" s="143"/>
      <c r="M107" s="9"/>
      <c r="N107" s="9"/>
      <c r="O107" s="9"/>
      <c r="P107" s="9"/>
      <c r="Q107" s="9"/>
      <c r="R107" s="237">
        <v>390000</v>
      </c>
      <c r="S107" s="9"/>
      <c r="T107" s="9"/>
      <c r="U107" s="9"/>
      <c r="V107" s="9"/>
      <c r="W107" s="9"/>
      <c r="X107" s="9"/>
      <c r="Y107" s="9"/>
      <c r="Z107" s="9"/>
      <c r="AA107" s="9"/>
      <c r="AB107" s="9"/>
      <c r="AC107" s="9"/>
      <c r="AD107" s="9"/>
      <c r="AE107" s="9"/>
      <c r="AF107" s="9"/>
      <c r="AG107" s="9"/>
      <c r="AH107" s="9"/>
      <c r="AJ107" s="9"/>
      <c r="AL107" s="9"/>
      <c r="AN107" s="9"/>
      <c r="AO107" s="9"/>
      <c r="AP107" s="9"/>
      <c r="AQ107" s="9"/>
      <c r="AR107" s="9"/>
      <c r="AS107" s="9"/>
      <c r="AT107" s="9"/>
      <c r="AU107" s="9"/>
      <c r="AV107" s="6">
        <v>11300</v>
      </c>
      <c r="AW107" s="9"/>
      <c r="AX107" s="9"/>
      <c r="AY107" s="9"/>
      <c r="AZ107" s="9"/>
      <c r="BA107" s="9"/>
      <c r="BB107" s="9"/>
      <c r="BC107" s="9"/>
      <c r="BD107" s="9"/>
      <c r="BE107" s="9"/>
      <c r="BF107" s="9"/>
      <c r="BG107" s="9"/>
      <c r="BH107" s="9"/>
      <c r="BI107" s="9"/>
      <c r="BJ107" s="9"/>
      <c r="BK107" s="9"/>
      <c r="BL107" s="9"/>
      <c r="BM107" s="9"/>
      <c r="BN107" s="6">
        <f t="shared" si="21"/>
        <v>11300</v>
      </c>
      <c r="BO107" s="9"/>
      <c r="BP107" s="6"/>
      <c r="BQ107" s="6"/>
      <c r="BR107" s="6">
        <f t="shared" si="22"/>
        <v>378700</v>
      </c>
      <c r="BS107" s="6"/>
      <c r="BT107" s="6">
        <f t="shared" si="23"/>
        <v>390000</v>
      </c>
      <c r="BU107" s="9"/>
      <c r="BV107" s="6">
        <f t="shared" si="24"/>
        <v>0</v>
      </c>
    </row>
    <row r="108" spans="2:74" s="21" customFormat="1">
      <c r="B108" s="240" t="s">
        <v>351</v>
      </c>
      <c r="J108" s="8"/>
      <c r="L108" s="143"/>
      <c r="M108" s="9"/>
      <c r="N108" s="9"/>
      <c r="O108" s="9"/>
      <c r="P108" s="9"/>
      <c r="Q108" s="9"/>
      <c r="R108" s="237">
        <v>290527</v>
      </c>
      <c r="S108" s="9"/>
      <c r="T108" s="9"/>
      <c r="U108" s="9"/>
      <c r="V108" s="9"/>
      <c r="W108" s="9"/>
      <c r="X108" s="9"/>
      <c r="Y108" s="9"/>
      <c r="Z108" s="9"/>
      <c r="AA108" s="9"/>
      <c r="AB108" s="9"/>
      <c r="AC108" s="9"/>
      <c r="AD108" s="9"/>
      <c r="AE108" s="9"/>
      <c r="AF108" s="9"/>
      <c r="AG108" s="9"/>
      <c r="AH108" s="9"/>
      <c r="AJ108" s="9"/>
      <c r="AL108" s="9"/>
      <c r="AN108" s="9"/>
      <c r="AO108" s="9"/>
      <c r="AP108" s="9"/>
      <c r="AQ108" s="9"/>
      <c r="AR108" s="9"/>
      <c r="AS108" s="9"/>
      <c r="AT108" s="9"/>
      <c r="AU108" s="9"/>
      <c r="AV108" s="6">
        <v>958</v>
      </c>
      <c r="AW108" s="9"/>
      <c r="AX108" s="9"/>
      <c r="AY108" s="9"/>
      <c r="AZ108" s="9"/>
      <c r="BA108" s="9"/>
      <c r="BB108" s="9"/>
      <c r="BC108" s="9"/>
      <c r="BD108" s="9"/>
      <c r="BE108" s="9"/>
      <c r="BF108" s="9"/>
      <c r="BG108" s="9"/>
      <c r="BH108" s="9"/>
      <c r="BI108" s="9"/>
      <c r="BJ108" s="9"/>
      <c r="BK108" s="9"/>
      <c r="BL108" s="9"/>
      <c r="BM108" s="9"/>
      <c r="BN108" s="6">
        <f t="shared" si="21"/>
        <v>958</v>
      </c>
      <c r="BO108" s="9"/>
      <c r="BP108" s="6">
        <f>369868-290527</f>
        <v>79341</v>
      </c>
      <c r="BQ108" s="6"/>
      <c r="BR108" s="6">
        <f t="shared" si="22"/>
        <v>368910</v>
      </c>
      <c r="BS108" s="6"/>
      <c r="BT108" s="6">
        <f t="shared" si="23"/>
        <v>369868</v>
      </c>
      <c r="BU108" s="9"/>
      <c r="BV108" s="6">
        <f t="shared" si="24"/>
        <v>-79341</v>
      </c>
    </row>
    <row r="109" spans="2:74" s="21" customFormat="1">
      <c r="B109" s="240" t="s">
        <v>352</v>
      </c>
      <c r="J109" s="8"/>
      <c r="L109" s="143"/>
      <c r="M109" s="9"/>
      <c r="N109" s="9"/>
      <c r="O109" s="9"/>
      <c r="P109" s="9"/>
      <c r="Q109" s="9"/>
      <c r="R109" s="237">
        <v>0</v>
      </c>
      <c r="S109" s="9"/>
      <c r="T109" s="9"/>
      <c r="U109" s="9"/>
      <c r="V109" s="9"/>
      <c r="W109" s="9"/>
      <c r="X109" s="9"/>
      <c r="Y109" s="9"/>
      <c r="Z109" s="9"/>
      <c r="AA109" s="9"/>
      <c r="AB109" s="9"/>
      <c r="AC109" s="9"/>
      <c r="AD109" s="9"/>
      <c r="AE109" s="9"/>
      <c r="AF109" s="9"/>
      <c r="AG109" s="9"/>
      <c r="AH109" s="9"/>
      <c r="AJ109" s="9"/>
      <c r="AL109" s="9"/>
      <c r="AN109" s="9"/>
      <c r="AO109" s="9"/>
      <c r="AP109" s="9"/>
      <c r="AQ109" s="9"/>
      <c r="AR109" s="9"/>
      <c r="AS109" s="9"/>
      <c r="AT109" s="9"/>
      <c r="AU109" s="9"/>
      <c r="AV109" s="6"/>
      <c r="AW109" s="9"/>
      <c r="AX109" s="9"/>
      <c r="AY109" s="9"/>
      <c r="AZ109" s="9"/>
      <c r="BA109" s="9"/>
      <c r="BB109" s="9"/>
      <c r="BC109" s="9"/>
      <c r="BD109" s="9"/>
      <c r="BE109" s="9"/>
      <c r="BF109" s="9"/>
      <c r="BG109" s="9"/>
      <c r="BH109" s="9"/>
      <c r="BI109" s="9"/>
      <c r="BJ109" s="9"/>
      <c r="BK109" s="9"/>
      <c r="BL109" s="9"/>
      <c r="BM109" s="9"/>
      <c r="BN109" s="6">
        <f t="shared" si="21"/>
        <v>0</v>
      </c>
      <c r="BO109" s="9"/>
      <c r="BP109" s="6"/>
      <c r="BQ109" s="6"/>
      <c r="BR109" s="6">
        <f t="shared" si="22"/>
        <v>0</v>
      </c>
      <c r="BS109" s="6"/>
      <c r="BT109" s="6">
        <f t="shared" si="23"/>
        <v>0</v>
      </c>
      <c r="BU109" s="9"/>
      <c r="BV109" s="6">
        <f t="shared" si="24"/>
        <v>0</v>
      </c>
    </row>
    <row r="110" spans="2:74" s="21" customFormat="1">
      <c r="B110" s="240" t="s">
        <v>353</v>
      </c>
      <c r="J110" s="8"/>
      <c r="L110" s="143"/>
      <c r="M110" s="9"/>
      <c r="N110" s="9"/>
      <c r="O110" s="9"/>
      <c r="P110" s="9"/>
      <c r="Q110" s="9"/>
      <c r="R110" s="237">
        <v>890472</v>
      </c>
      <c r="S110" s="9"/>
      <c r="T110" s="9"/>
      <c r="U110" s="9"/>
      <c r="V110" s="9"/>
      <c r="W110" s="9"/>
      <c r="X110" s="9"/>
      <c r="Y110" s="9"/>
      <c r="Z110" s="9"/>
      <c r="AA110" s="9"/>
      <c r="AB110" s="9"/>
      <c r="AC110" s="9"/>
      <c r="AD110" s="9"/>
      <c r="AE110" s="9"/>
      <c r="AF110" s="9"/>
      <c r="AG110" s="9"/>
      <c r="AH110" s="9"/>
      <c r="AJ110" s="9"/>
      <c r="AL110" s="9"/>
      <c r="AN110" s="9"/>
      <c r="AO110" s="9"/>
      <c r="AP110" s="9"/>
      <c r="AQ110" s="9"/>
      <c r="AR110" s="9"/>
      <c r="AS110" s="9"/>
      <c r="AT110" s="9"/>
      <c r="AU110" s="9"/>
      <c r="AV110" s="6"/>
      <c r="AW110" s="9"/>
      <c r="AX110" s="9"/>
      <c r="AY110" s="9"/>
      <c r="AZ110" s="9"/>
      <c r="BA110" s="9"/>
      <c r="BB110" s="9"/>
      <c r="BC110" s="9"/>
      <c r="BD110" s="9"/>
      <c r="BE110" s="9"/>
      <c r="BF110" s="9"/>
      <c r="BG110" s="9"/>
      <c r="BH110" s="9"/>
      <c r="BI110" s="9"/>
      <c r="BJ110" s="9"/>
      <c r="BK110" s="9"/>
      <c r="BL110" s="9"/>
      <c r="BM110" s="9"/>
      <c r="BN110" s="6">
        <f t="shared" si="21"/>
        <v>0</v>
      </c>
      <c r="BO110" s="9"/>
      <c r="BP110" s="6">
        <f>1054896-890472</f>
        <v>164424</v>
      </c>
      <c r="BQ110" s="6"/>
      <c r="BR110" s="6">
        <f t="shared" si="22"/>
        <v>1054896</v>
      </c>
      <c r="BS110" s="6"/>
      <c r="BT110" s="6">
        <f t="shared" si="23"/>
        <v>1054896</v>
      </c>
      <c r="BU110" s="9"/>
      <c r="BV110" s="6">
        <f t="shared" si="24"/>
        <v>-164424</v>
      </c>
    </row>
    <row r="111" spans="2:74" s="21" customFormat="1">
      <c r="B111" s="240" t="s">
        <v>354</v>
      </c>
      <c r="J111" s="8"/>
      <c r="L111" s="143"/>
      <c r="M111" s="9"/>
      <c r="N111" s="9"/>
      <c r="O111" s="9"/>
      <c r="P111" s="9"/>
      <c r="Q111" s="9"/>
      <c r="R111" s="237">
        <v>125000</v>
      </c>
      <c r="S111" s="9"/>
      <c r="T111" s="9"/>
      <c r="U111" s="9"/>
      <c r="V111" s="9"/>
      <c r="W111" s="9"/>
      <c r="X111" s="9"/>
      <c r="Y111" s="9"/>
      <c r="Z111" s="9"/>
      <c r="AA111" s="9"/>
      <c r="AB111" s="9"/>
      <c r="AC111" s="9"/>
      <c r="AD111" s="9"/>
      <c r="AE111" s="9"/>
      <c r="AF111" s="9"/>
      <c r="AG111" s="9"/>
      <c r="AH111" s="9"/>
      <c r="AJ111" s="9"/>
      <c r="AL111" s="9"/>
      <c r="AN111" s="9"/>
      <c r="AO111" s="9"/>
      <c r="AP111" s="9"/>
      <c r="AQ111" s="9"/>
      <c r="AR111" s="9"/>
      <c r="AS111" s="9"/>
      <c r="AT111" s="9"/>
      <c r="AU111" s="9"/>
      <c r="AV111" s="6"/>
      <c r="AW111" s="9"/>
      <c r="AX111" s="9"/>
      <c r="AY111" s="9"/>
      <c r="AZ111" s="9"/>
      <c r="BA111" s="9"/>
      <c r="BB111" s="9"/>
      <c r="BC111" s="9"/>
      <c r="BD111" s="9"/>
      <c r="BE111" s="9"/>
      <c r="BF111" s="9"/>
      <c r="BG111" s="9"/>
      <c r="BH111" s="9"/>
      <c r="BI111" s="9"/>
      <c r="BJ111" s="9"/>
      <c r="BK111" s="9"/>
      <c r="BL111" s="9"/>
      <c r="BM111" s="9"/>
      <c r="BN111" s="6">
        <f t="shared" si="21"/>
        <v>0</v>
      </c>
      <c r="BO111" s="9"/>
      <c r="BP111" s="6">
        <f>822785-125000</f>
        <v>697785</v>
      </c>
      <c r="BQ111" s="6"/>
      <c r="BR111" s="6">
        <f t="shared" si="22"/>
        <v>822785</v>
      </c>
      <c r="BS111" s="6"/>
      <c r="BT111" s="6">
        <f t="shared" si="23"/>
        <v>822785</v>
      </c>
      <c r="BU111" s="9"/>
      <c r="BV111" s="6">
        <f t="shared" si="24"/>
        <v>-697785</v>
      </c>
    </row>
    <row r="112" spans="2:74" s="21" customFormat="1">
      <c r="B112" s="240" t="s">
        <v>355</v>
      </c>
      <c r="J112" s="8"/>
      <c r="L112" s="143"/>
      <c r="M112" s="9"/>
      <c r="N112" s="9"/>
      <c r="O112" s="9"/>
      <c r="P112" s="9"/>
      <c r="Q112" s="9"/>
      <c r="R112" s="237">
        <v>247404</v>
      </c>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6"/>
      <c r="AW112" s="9"/>
      <c r="AX112" s="9"/>
      <c r="AY112" s="9"/>
      <c r="AZ112" s="9"/>
      <c r="BA112" s="9"/>
      <c r="BB112" s="9"/>
      <c r="BC112" s="9"/>
      <c r="BD112" s="9"/>
      <c r="BE112" s="9"/>
      <c r="BF112" s="9"/>
      <c r="BG112" s="9"/>
      <c r="BH112" s="9"/>
      <c r="BI112" s="9"/>
      <c r="BJ112" s="9"/>
      <c r="BK112" s="9"/>
      <c r="BL112" s="9"/>
      <c r="BM112" s="9"/>
      <c r="BN112" s="6">
        <f t="shared" si="21"/>
        <v>0</v>
      </c>
      <c r="BO112" s="9"/>
      <c r="BP112" s="6">
        <f>267240-247404</f>
        <v>19836</v>
      </c>
      <c r="BQ112" s="6"/>
      <c r="BR112" s="6">
        <f t="shared" si="22"/>
        <v>267240</v>
      </c>
      <c r="BS112" s="6"/>
      <c r="BT112" s="6">
        <f t="shared" si="23"/>
        <v>267240</v>
      </c>
      <c r="BU112" s="9"/>
      <c r="BV112" s="6">
        <f t="shared" si="24"/>
        <v>-19836</v>
      </c>
    </row>
    <row r="113" spans="2:74" s="21" customFormat="1">
      <c r="B113" s="240" t="s">
        <v>368</v>
      </c>
      <c r="J113" s="8"/>
      <c r="L113" s="143"/>
      <c r="M113" s="9"/>
      <c r="N113" s="9"/>
      <c r="O113" s="9"/>
      <c r="P113" s="9"/>
      <c r="Q113" s="9"/>
      <c r="R113" s="237">
        <v>75000</v>
      </c>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6"/>
      <c r="AW113" s="9"/>
      <c r="AX113" s="9"/>
      <c r="AY113" s="9"/>
      <c r="AZ113" s="9"/>
      <c r="BA113" s="9"/>
      <c r="BB113" s="9"/>
      <c r="BC113" s="9"/>
      <c r="BD113" s="9"/>
      <c r="BE113" s="9"/>
      <c r="BF113" s="9"/>
      <c r="BG113" s="9"/>
      <c r="BH113" s="9"/>
      <c r="BI113" s="9"/>
      <c r="BJ113" s="9"/>
      <c r="BK113" s="9"/>
      <c r="BL113" s="9"/>
      <c r="BM113" s="9"/>
      <c r="BN113" s="6">
        <f t="shared" si="21"/>
        <v>0</v>
      </c>
      <c r="BO113" s="9"/>
      <c r="BP113" s="6">
        <v>0</v>
      </c>
      <c r="BQ113" s="6"/>
      <c r="BR113" s="6">
        <f t="shared" si="22"/>
        <v>75000</v>
      </c>
      <c r="BS113" s="6"/>
      <c r="BT113" s="6">
        <f t="shared" si="23"/>
        <v>75000</v>
      </c>
      <c r="BU113" s="9"/>
      <c r="BV113" s="6">
        <f t="shared" si="24"/>
        <v>0</v>
      </c>
    </row>
    <row r="114" spans="2:74" s="21" customFormat="1">
      <c r="B114" s="240" t="s">
        <v>356</v>
      </c>
      <c r="J114" s="8"/>
      <c r="L114" s="143"/>
      <c r="M114" s="9"/>
      <c r="N114" s="9"/>
      <c r="O114" s="9"/>
      <c r="P114" s="9"/>
      <c r="Q114" s="9"/>
      <c r="R114" s="237">
        <v>564947</v>
      </c>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c r="AU114" s="9"/>
      <c r="AV114" s="6"/>
      <c r="AW114" s="9"/>
      <c r="AX114" s="9"/>
      <c r="AY114" s="9"/>
      <c r="AZ114" s="9"/>
      <c r="BA114" s="9"/>
      <c r="BB114" s="9"/>
      <c r="BC114" s="9"/>
      <c r="BD114" s="9"/>
      <c r="BE114" s="9"/>
      <c r="BF114" s="9"/>
      <c r="BG114" s="9"/>
      <c r="BH114" s="9"/>
      <c r="BI114" s="9"/>
      <c r="BJ114" s="9"/>
      <c r="BK114" s="9"/>
      <c r="BL114" s="9"/>
      <c r="BM114" s="9"/>
      <c r="BN114" s="6">
        <f t="shared" si="21"/>
        <v>0</v>
      </c>
      <c r="BO114" s="9"/>
      <c r="BP114" s="6">
        <v>0</v>
      </c>
      <c r="BQ114" s="6"/>
      <c r="BR114" s="6">
        <f t="shared" si="22"/>
        <v>564947</v>
      </c>
      <c r="BS114" s="6"/>
      <c r="BT114" s="6">
        <f t="shared" si="23"/>
        <v>564947</v>
      </c>
      <c r="BU114" s="9"/>
      <c r="BV114" s="6">
        <f t="shared" si="24"/>
        <v>0</v>
      </c>
    </row>
    <row r="115" spans="2:74" s="21" customFormat="1">
      <c r="B115" s="240" t="s">
        <v>357</v>
      </c>
      <c r="J115" s="8"/>
      <c r="L115" s="143"/>
      <c r="M115" s="9"/>
      <c r="N115" s="9"/>
      <c r="O115" s="9"/>
      <c r="P115" s="9"/>
      <c r="Q115" s="9"/>
      <c r="R115" s="237">
        <v>1754309</v>
      </c>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6">
        <v>1953</v>
      </c>
      <c r="AW115" s="9"/>
      <c r="AX115" s="9"/>
      <c r="AY115" s="9"/>
      <c r="AZ115" s="9"/>
      <c r="BA115" s="9"/>
      <c r="BB115" s="9"/>
      <c r="BC115" s="9"/>
      <c r="BD115" s="9"/>
      <c r="BE115" s="9"/>
      <c r="BF115" s="9"/>
      <c r="BG115" s="9"/>
      <c r="BH115" s="9"/>
      <c r="BI115" s="9"/>
      <c r="BJ115" s="9"/>
      <c r="BK115" s="9"/>
      <c r="BL115" s="9"/>
      <c r="BM115" s="9"/>
      <c r="BN115" s="6">
        <f t="shared" si="21"/>
        <v>1953</v>
      </c>
      <c r="BO115" s="9"/>
      <c r="BP115" s="6">
        <f>2674875-1754309</f>
        <v>920566</v>
      </c>
      <c r="BQ115" s="6"/>
      <c r="BR115" s="6">
        <f t="shared" si="22"/>
        <v>2672922</v>
      </c>
      <c r="BS115" s="6"/>
      <c r="BT115" s="6">
        <f t="shared" si="23"/>
        <v>2674875</v>
      </c>
      <c r="BU115" s="9"/>
      <c r="BV115" s="6">
        <f t="shared" si="24"/>
        <v>-920566</v>
      </c>
    </row>
    <row r="116" spans="2:74" s="21" customFormat="1">
      <c r="B116" s="240" t="s">
        <v>358</v>
      </c>
      <c r="J116" s="8"/>
      <c r="L116" s="143"/>
      <c r="M116" s="9"/>
      <c r="N116" s="9"/>
      <c r="O116" s="9"/>
      <c r="P116" s="9"/>
      <c r="Q116" s="9"/>
      <c r="R116" s="237">
        <v>1667825</v>
      </c>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6"/>
      <c r="AW116" s="9"/>
      <c r="AX116" s="9"/>
      <c r="AY116" s="9"/>
      <c r="AZ116" s="9"/>
      <c r="BA116" s="9"/>
      <c r="BB116" s="9"/>
      <c r="BC116" s="9"/>
      <c r="BD116" s="9"/>
      <c r="BE116" s="9"/>
      <c r="BF116" s="9"/>
      <c r="BG116" s="9"/>
      <c r="BH116" s="9"/>
      <c r="BI116" s="9"/>
      <c r="BJ116" s="9"/>
      <c r="BK116" s="9"/>
      <c r="BL116" s="9"/>
      <c r="BM116" s="9"/>
      <c r="BN116" s="6">
        <f t="shared" si="21"/>
        <v>0</v>
      </c>
      <c r="BO116" s="9"/>
      <c r="BP116" s="6"/>
      <c r="BQ116" s="6"/>
      <c r="BR116" s="6">
        <f t="shared" si="22"/>
        <v>1667825</v>
      </c>
      <c r="BS116" s="6"/>
      <c r="BT116" s="6">
        <f t="shared" si="23"/>
        <v>1667825</v>
      </c>
      <c r="BU116" s="9"/>
      <c r="BV116" s="6">
        <f t="shared" si="24"/>
        <v>0</v>
      </c>
    </row>
    <row r="117" spans="2:74" s="21" customFormat="1">
      <c r="B117" s="240" t="s">
        <v>359</v>
      </c>
      <c r="J117" s="8"/>
      <c r="L117" s="143"/>
      <c r="M117" s="9"/>
      <c r="N117" s="9"/>
      <c r="O117" s="9"/>
      <c r="P117" s="9"/>
      <c r="Q117" s="9"/>
      <c r="R117" s="237">
        <v>582059</v>
      </c>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6"/>
      <c r="AW117" s="9"/>
      <c r="AX117" s="9"/>
      <c r="AY117" s="9"/>
      <c r="AZ117" s="9"/>
      <c r="BA117" s="9"/>
      <c r="BB117" s="9"/>
      <c r="BC117" s="9"/>
      <c r="BD117" s="9"/>
      <c r="BE117" s="9"/>
      <c r="BF117" s="9"/>
      <c r="BG117" s="9"/>
      <c r="BH117" s="9"/>
      <c r="BI117" s="9"/>
      <c r="BJ117" s="9"/>
      <c r="BK117" s="9"/>
      <c r="BL117" s="9"/>
      <c r="BM117" s="9"/>
      <c r="BN117" s="6">
        <f t="shared" si="21"/>
        <v>0</v>
      </c>
      <c r="BO117" s="9"/>
      <c r="BP117" s="6">
        <f>638309-582059</f>
        <v>56250</v>
      </c>
      <c r="BQ117" s="6"/>
      <c r="BR117" s="6">
        <f t="shared" si="22"/>
        <v>638309</v>
      </c>
      <c r="BS117" s="6"/>
      <c r="BT117" s="6">
        <f t="shared" si="23"/>
        <v>638309</v>
      </c>
      <c r="BU117" s="9"/>
      <c r="BV117" s="6">
        <f t="shared" si="24"/>
        <v>-56250</v>
      </c>
    </row>
    <row r="118" spans="2:74" s="21" customFormat="1">
      <c r="B118" s="240" t="s">
        <v>360</v>
      </c>
      <c r="J118" s="8"/>
      <c r="L118" s="143"/>
      <c r="M118" s="9"/>
      <c r="N118" s="9"/>
      <c r="O118" s="9"/>
      <c r="P118" s="9"/>
      <c r="Q118" s="9"/>
      <c r="R118" s="237">
        <v>0</v>
      </c>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6"/>
      <c r="AW118" s="9"/>
      <c r="AX118" s="9"/>
      <c r="AY118" s="9"/>
      <c r="AZ118" s="9"/>
      <c r="BA118" s="9"/>
      <c r="BB118" s="9"/>
      <c r="BC118" s="9"/>
      <c r="BD118" s="9"/>
      <c r="BE118" s="9"/>
      <c r="BF118" s="9"/>
      <c r="BG118" s="9"/>
      <c r="BH118" s="9"/>
      <c r="BI118" s="9"/>
      <c r="BJ118" s="9"/>
      <c r="BK118" s="9"/>
      <c r="BL118" s="9"/>
      <c r="BM118" s="9"/>
      <c r="BN118" s="6">
        <f t="shared" si="21"/>
        <v>0</v>
      </c>
      <c r="BO118" s="9"/>
      <c r="BP118" s="6">
        <v>148000</v>
      </c>
      <c r="BQ118" s="6"/>
      <c r="BR118" s="6">
        <f t="shared" si="22"/>
        <v>148000</v>
      </c>
      <c r="BS118" s="6"/>
      <c r="BT118" s="6">
        <f t="shared" si="23"/>
        <v>148000</v>
      </c>
      <c r="BU118" s="9"/>
      <c r="BV118" s="6">
        <f t="shared" si="24"/>
        <v>-148000</v>
      </c>
    </row>
    <row r="119" spans="2:74" s="21" customFormat="1">
      <c r="B119" s="240" t="s">
        <v>361</v>
      </c>
      <c r="J119" s="8"/>
      <c r="L119" s="143"/>
      <c r="M119" s="9"/>
      <c r="N119" s="9"/>
      <c r="O119" s="9"/>
      <c r="P119" s="9"/>
      <c r="Q119" s="9"/>
      <c r="R119" s="237">
        <v>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6"/>
      <c r="AW119" s="9"/>
      <c r="AX119" s="9"/>
      <c r="AY119" s="9"/>
      <c r="AZ119" s="9"/>
      <c r="BA119" s="9"/>
      <c r="BB119" s="9"/>
      <c r="BC119" s="9"/>
      <c r="BD119" s="9"/>
      <c r="BE119" s="9"/>
      <c r="BF119" s="9"/>
      <c r="BG119" s="9"/>
      <c r="BH119" s="9"/>
      <c r="BI119" s="9"/>
      <c r="BJ119" s="9"/>
      <c r="BK119" s="9"/>
      <c r="BL119" s="9"/>
      <c r="BM119" s="9"/>
      <c r="BN119" s="6">
        <f t="shared" si="21"/>
        <v>0</v>
      </c>
      <c r="BO119" s="9"/>
      <c r="BP119" s="6">
        <v>50000</v>
      </c>
      <c r="BQ119" s="6"/>
      <c r="BR119" s="6">
        <f t="shared" si="22"/>
        <v>50000</v>
      </c>
      <c r="BS119" s="6"/>
      <c r="BT119" s="6">
        <f t="shared" si="23"/>
        <v>50000</v>
      </c>
      <c r="BU119" s="9"/>
      <c r="BV119" s="6">
        <f t="shared" si="24"/>
        <v>-50000</v>
      </c>
    </row>
    <row r="120" spans="2:74" s="21" customFormat="1">
      <c r="B120" s="240"/>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6">
        <f t="shared" si="21"/>
        <v>0</v>
      </c>
      <c r="BO120" s="9"/>
      <c r="BP120" s="6"/>
      <c r="BQ120" s="6"/>
      <c r="BR120" s="6">
        <f t="shared" si="22"/>
        <v>0</v>
      </c>
      <c r="BS120" s="6"/>
      <c r="BT120" s="6">
        <f t="shared" si="23"/>
        <v>0</v>
      </c>
      <c r="BU120" s="9"/>
      <c r="BV120" s="6">
        <f t="shared" si="24"/>
        <v>0</v>
      </c>
    </row>
    <row r="121" spans="2:74" s="21" customFormat="1">
      <c r="B121" s="241"/>
      <c r="J121" s="8"/>
      <c r="L121" s="143"/>
      <c r="M121" s="9"/>
      <c r="N121" s="9"/>
      <c r="O121" s="9"/>
      <c r="P121" s="9"/>
      <c r="Q121" s="9"/>
      <c r="R121" s="9"/>
      <c r="S121" s="9"/>
      <c r="T121" s="9"/>
      <c r="U121" s="9"/>
      <c r="V121" s="9"/>
      <c r="W121" s="9"/>
      <c r="X121" s="9"/>
      <c r="Y121" s="9"/>
      <c r="Z121" s="9"/>
      <c r="AA121" s="9"/>
      <c r="AB121" s="9"/>
      <c r="AC121" s="9"/>
      <c r="AD121" s="9"/>
      <c r="AE121" s="9"/>
      <c r="AF121" s="9"/>
      <c r="AG121" s="9"/>
      <c r="AH121" s="9"/>
      <c r="AJ121" s="9"/>
      <c r="AL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6">
        <f t="shared" si="22"/>
        <v>0</v>
      </c>
      <c r="BS121" s="6"/>
      <c r="BT121" s="6">
        <f t="shared" si="23"/>
        <v>0</v>
      </c>
      <c r="BU121" s="9"/>
      <c r="BV121" s="6">
        <f t="shared" si="24"/>
        <v>0</v>
      </c>
    </row>
    <row r="122" spans="2:74" s="21" customFormat="1">
      <c r="B122" s="238" t="s">
        <v>364</v>
      </c>
      <c r="J122" s="8"/>
      <c r="L122" s="143"/>
      <c r="M122" s="9"/>
      <c r="N122" s="9"/>
      <c r="O122" s="9"/>
      <c r="P122" s="9"/>
      <c r="Q122" s="9"/>
      <c r="R122" s="9">
        <f>SUM(R92:R121)</f>
        <v>12396887</v>
      </c>
      <c r="S122" s="9">
        <f t="shared" ref="S122:BU122" si="25">SUM(S92:S121)</f>
        <v>0</v>
      </c>
      <c r="T122" s="9">
        <f t="shared" si="25"/>
        <v>0</v>
      </c>
      <c r="U122" s="9">
        <f t="shared" si="25"/>
        <v>0</v>
      </c>
      <c r="V122" s="9">
        <f t="shared" si="25"/>
        <v>0</v>
      </c>
      <c r="W122" s="9">
        <f t="shared" si="25"/>
        <v>0</v>
      </c>
      <c r="X122" s="9">
        <f t="shared" si="25"/>
        <v>0</v>
      </c>
      <c r="Y122" s="9">
        <f t="shared" si="25"/>
        <v>0</v>
      </c>
      <c r="Z122" s="9">
        <f t="shared" si="25"/>
        <v>0</v>
      </c>
      <c r="AA122" s="9">
        <f t="shared" si="25"/>
        <v>0</v>
      </c>
      <c r="AB122" s="9">
        <f t="shared" si="25"/>
        <v>0</v>
      </c>
      <c r="AC122" s="9">
        <f t="shared" si="25"/>
        <v>0</v>
      </c>
      <c r="AD122" s="9">
        <f t="shared" si="25"/>
        <v>0</v>
      </c>
      <c r="AE122" s="9">
        <f t="shared" si="25"/>
        <v>0</v>
      </c>
      <c r="AF122" s="9">
        <f t="shared" si="25"/>
        <v>0</v>
      </c>
      <c r="AG122" s="9">
        <f t="shared" si="25"/>
        <v>0</v>
      </c>
      <c r="AH122" s="9">
        <f t="shared" si="25"/>
        <v>0</v>
      </c>
      <c r="AI122" s="9"/>
      <c r="AJ122" s="9">
        <f t="shared" si="25"/>
        <v>0</v>
      </c>
      <c r="AK122" s="9"/>
      <c r="AL122" s="9">
        <f t="shared" si="25"/>
        <v>0</v>
      </c>
      <c r="AM122" s="9"/>
      <c r="AN122" s="9">
        <f t="shared" si="25"/>
        <v>0</v>
      </c>
      <c r="AO122" s="9"/>
      <c r="AP122" s="9">
        <f t="shared" si="25"/>
        <v>0</v>
      </c>
      <c r="AQ122" s="9"/>
      <c r="AR122" s="9">
        <f t="shared" si="25"/>
        <v>204588</v>
      </c>
      <c r="AS122" s="9">
        <f t="shared" si="25"/>
        <v>0</v>
      </c>
      <c r="AT122" s="9">
        <f t="shared" si="25"/>
        <v>0</v>
      </c>
      <c r="AU122" s="9">
        <f t="shared" si="25"/>
        <v>0</v>
      </c>
      <c r="AV122" s="9">
        <f t="shared" si="25"/>
        <v>2792896</v>
      </c>
      <c r="AW122" s="9">
        <f t="shared" si="25"/>
        <v>0</v>
      </c>
      <c r="AX122" s="9">
        <f t="shared" si="25"/>
        <v>0</v>
      </c>
      <c r="AY122" s="9">
        <f t="shared" si="25"/>
        <v>0</v>
      </c>
      <c r="AZ122" s="9">
        <f t="shared" si="25"/>
        <v>0</v>
      </c>
      <c r="BA122" s="9">
        <f t="shared" si="25"/>
        <v>0</v>
      </c>
      <c r="BB122" s="9">
        <f t="shared" si="25"/>
        <v>0</v>
      </c>
      <c r="BC122" s="9">
        <f t="shared" si="25"/>
        <v>0</v>
      </c>
      <c r="BD122" s="9">
        <f t="shared" si="25"/>
        <v>0</v>
      </c>
      <c r="BE122" s="9">
        <f t="shared" si="25"/>
        <v>0</v>
      </c>
      <c r="BF122" s="9">
        <f t="shared" si="25"/>
        <v>0</v>
      </c>
      <c r="BG122" s="9">
        <f t="shared" si="25"/>
        <v>0</v>
      </c>
      <c r="BH122" s="9">
        <f t="shared" si="25"/>
        <v>0</v>
      </c>
      <c r="BI122" s="9">
        <f t="shared" si="25"/>
        <v>0</v>
      </c>
      <c r="BJ122" s="9">
        <f t="shared" si="25"/>
        <v>0</v>
      </c>
      <c r="BK122" s="9">
        <f t="shared" si="25"/>
        <v>0</v>
      </c>
      <c r="BL122" s="9">
        <f t="shared" si="25"/>
        <v>0</v>
      </c>
      <c r="BM122" s="9">
        <f t="shared" si="25"/>
        <v>0</v>
      </c>
      <c r="BN122" s="9">
        <f t="shared" si="25"/>
        <v>2997484</v>
      </c>
      <c r="BO122" s="9">
        <f t="shared" si="25"/>
        <v>0</v>
      </c>
      <c r="BP122" s="9">
        <f t="shared" si="25"/>
        <v>2699341</v>
      </c>
      <c r="BQ122" s="9">
        <f t="shared" si="25"/>
        <v>0</v>
      </c>
      <c r="BR122" s="9">
        <f>SUM(BR92:BR121)</f>
        <v>12446264</v>
      </c>
      <c r="BS122" s="9">
        <f>SUM(BS92:BS121)</f>
        <v>0</v>
      </c>
      <c r="BT122" s="9">
        <f>SUM(BT92:BT121)</f>
        <v>15443748</v>
      </c>
      <c r="BU122" s="9">
        <f t="shared" si="25"/>
        <v>0</v>
      </c>
      <c r="BV122" s="9">
        <f>+R122-BT122</f>
        <v>-3046861</v>
      </c>
    </row>
    <row r="123" spans="2:74" s="21" customFormat="1">
      <c r="B123" s="238"/>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2:74" s="21" customFormat="1">
      <c r="B124" s="243" t="s">
        <v>366</v>
      </c>
      <c r="J124" s="8"/>
      <c r="L124" s="143"/>
      <c r="M124" s="9"/>
      <c r="N124" s="9"/>
      <c r="O124" s="9"/>
      <c r="P124" s="9"/>
      <c r="Q124" s="9"/>
      <c r="R124" s="9"/>
      <c r="S124" s="9"/>
      <c r="T124" s="9"/>
      <c r="U124" s="9"/>
      <c r="V124" s="9"/>
      <c r="W124" s="9"/>
      <c r="X124" s="9"/>
      <c r="Y124" s="9"/>
      <c r="Z124" s="9"/>
      <c r="AA124" s="9"/>
      <c r="AB124" s="9"/>
      <c r="AC124" s="9"/>
      <c r="AD124" s="9"/>
      <c r="AE124" s="9"/>
      <c r="AF124" s="9"/>
      <c r="AG124" s="9"/>
      <c r="AH124" s="9"/>
      <c r="AJ124" s="9"/>
      <c r="AL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2:74" s="21" customFormat="1">
      <c r="B125" s="242" t="s">
        <v>68</v>
      </c>
      <c r="J125" s="8"/>
      <c r="L125" s="143"/>
      <c r="M125" s="9"/>
      <c r="N125" s="9"/>
      <c r="O125" s="9"/>
      <c r="P125" s="9"/>
      <c r="Q125" s="9"/>
      <c r="R125" s="237">
        <v>9230000</v>
      </c>
      <c r="S125" s="9"/>
      <c r="T125" s="9"/>
      <c r="U125" s="9"/>
      <c r="V125" s="9"/>
      <c r="W125" s="9"/>
      <c r="X125" s="9"/>
      <c r="Y125" s="9"/>
      <c r="Z125" s="9"/>
      <c r="AA125" s="9"/>
      <c r="AB125" s="9"/>
      <c r="AC125" s="9"/>
      <c r="AD125" s="9"/>
      <c r="AE125" s="9"/>
      <c r="AF125" s="9"/>
      <c r="AG125" s="9"/>
      <c r="AH125" s="9"/>
      <c r="AJ125" s="9"/>
      <c r="AL125" s="9"/>
      <c r="AN125" s="9"/>
      <c r="AO125" s="9"/>
      <c r="AP125" s="9"/>
      <c r="AQ125" s="9"/>
      <c r="AR125" s="9"/>
      <c r="AS125" s="9"/>
      <c r="AT125" s="9"/>
      <c r="AU125" s="9"/>
      <c r="AV125" s="6">
        <v>848349</v>
      </c>
      <c r="AW125" s="9"/>
      <c r="AX125" s="9"/>
      <c r="AY125" s="9"/>
      <c r="AZ125" s="9"/>
      <c r="BA125" s="9"/>
      <c r="BB125" s="9"/>
      <c r="BC125" s="9"/>
      <c r="BD125" s="9"/>
      <c r="BE125" s="9"/>
      <c r="BF125" s="9"/>
      <c r="BG125" s="9"/>
      <c r="BH125" s="9"/>
      <c r="BI125" s="9"/>
      <c r="BJ125" s="9"/>
      <c r="BK125" s="9"/>
      <c r="BL125" s="9"/>
      <c r="BM125" s="9"/>
      <c r="BN125" s="6">
        <f>SUM(T125:BM125)</f>
        <v>848349</v>
      </c>
      <c r="BO125" s="9"/>
      <c r="BP125" s="6">
        <f>12136785-9230000</f>
        <v>2906785</v>
      </c>
      <c r="BQ125" s="6"/>
      <c r="BR125" s="6">
        <f>IF(+R125-BN125+BP125&gt;0,R125-BN125+BP125,0)</f>
        <v>11288436</v>
      </c>
      <c r="BS125" s="6"/>
      <c r="BT125" s="6">
        <f>+BN125+BR125</f>
        <v>12136785</v>
      </c>
      <c r="BU125" s="9"/>
      <c r="BV125" s="6">
        <f>+R125-BT125</f>
        <v>-2906785</v>
      </c>
    </row>
    <row r="126" spans="2:74" s="21" customFormat="1">
      <c r="B126" s="235"/>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2:74" s="21" customFormat="1">
      <c r="B127" s="236" t="s">
        <v>365</v>
      </c>
      <c r="J127" s="8"/>
      <c r="L127" s="143"/>
      <c r="M127" s="9"/>
      <c r="N127" s="9"/>
      <c r="O127" s="9"/>
      <c r="P127" s="9"/>
      <c r="Q127" s="9"/>
      <c r="R127" s="9">
        <f t="shared" ref="R127:AH127" si="26">SUM(R125:R126)</f>
        <v>9230000</v>
      </c>
      <c r="S127" s="9">
        <f t="shared" si="26"/>
        <v>0</v>
      </c>
      <c r="T127" s="9">
        <f t="shared" si="26"/>
        <v>0</v>
      </c>
      <c r="U127" s="9">
        <f t="shared" si="26"/>
        <v>0</v>
      </c>
      <c r="V127" s="9">
        <f t="shared" si="26"/>
        <v>0</v>
      </c>
      <c r="W127" s="9">
        <f t="shared" si="26"/>
        <v>0</v>
      </c>
      <c r="X127" s="9">
        <f t="shared" si="26"/>
        <v>0</v>
      </c>
      <c r="Y127" s="9">
        <f t="shared" si="26"/>
        <v>0</v>
      </c>
      <c r="Z127" s="9">
        <f t="shared" si="26"/>
        <v>0</v>
      </c>
      <c r="AA127" s="9">
        <f t="shared" si="26"/>
        <v>0</v>
      </c>
      <c r="AB127" s="9">
        <f t="shared" si="26"/>
        <v>0</v>
      </c>
      <c r="AC127" s="9">
        <f t="shared" si="26"/>
        <v>0</v>
      </c>
      <c r="AD127" s="9">
        <f t="shared" si="26"/>
        <v>0</v>
      </c>
      <c r="AE127" s="9">
        <f t="shared" si="26"/>
        <v>0</v>
      </c>
      <c r="AF127" s="9">
        <f t="shared" si="26"/>
        <v>0</v>
      </c>
      <c r="AG127" s="9">
        <f t="shared" si="26"/>
        <v>0</v>
      </c>
      <c r="AH127" s="9">
        <f t="shared" si="26"/>
        <v>0</v>
      </c>
      <c r="AI127" s="9"/>
      <c r="AJ127" s="9">
        <f>SUM(AJ125:AJ126)</f>
        <v>0</v>
      </c>
      <c r="AK127" s="9"/>
      <c r="AL127" s="9">
        <f>SUM(AL125:AL126)</f>
        <v>0</v>
      </c>
      <c r="AM127" s="9"/>
      <c r="AN127" s="9">
        <f>SUM(AN125:AN126)</f>
        <v>0</v>
      </c>
      <c r="AO127" s="9"/>
      <c r="AP127" s="9">
        <f>SUM(AP125:AP126)</f>
        <v>0</v>
      </c>
      <c r="AQ127" s="9"/>
      <c r="AR127" s="9">
        <f t="shared" ref="AR127:BT127" si="27">SUM(AR125:AR126)</f>
        <v>0</v>
      </c>
      <c r="AS127" s="9">
        <f t="shared" si="27"/>
        <v>0</v>
      </c>
      <c r="AT127" s="9">
        <f t="shared" si="27"/>
        <v>0</v>
      </c>
      <c r="AU127" s="9">
        <f t="shared" si="27"/>
        <v>0</v>
      </c>
      <c r="AV127" s="9">
        <f t="shared" si="27"/>
        <v>848349</v>
      </c>
      <c r="AW127" s="9">
        <f t="shared" si="27"/>
        <v>0</v>
      </c>
      <c r="AX127" s="9">
        <f t="shared" si="27"/>
        <v>0</v>
      </c>
      <c r="AY127" s="9">
        <f t="shared" si="27"/>
        <v>0</v>
      </c>
      <c r="AZ127" s="9">
        <f t="shared" si="27"/>
        <v>0</v>
      </c>
      <c r="BA127" s="9">
        <f t="shared" si="27"/>
        <v>0</v>
      </c>
      <c r="BB127" s="9">
        <f t="shared" si="27"/>
        <v>0</v>
      </c>
      <c r="BC127" s="9">
        <f t="shared" si="27"/>
        <v>0</v>
      </c>
      <c r="BD127" s="9">
        <f t="shared" si="27"/>
        <v>0</v>
      </c>
      <c r="BE127" s="9">
        <f t="shared" si="27"/>
        <v>0</v>
      </c>
      <c r="BF127" s="9">
        <f t="shared" si="27"/>
        <v>0</v>
      </c>
      <c r="BG127" s="9">
        <f t="shared" si="27"/>
        <v>0</v>
      </c>
      <c r="BH127" s="9">
        <f t="shared" si="27"/>
        <v>0</v>
      </c>
      <c r="BI127" s="9">
        <f t="shared" si="27"/>
        <v>0</v>
      </c>
      <c r="BJ127" s="9">
        <f t="shared" si="27"/>
        <v>0</v>
      </c>
      <c r="BK127" s="9">
        <f t="shared" si="27"/>
        <v>0</v>
      </c>
      <c r="BL127" s="9">
        <f t="shared" si="27"/>
        <v>0</v>
      </c>
      <c r="BM127" s="9">
        <f t="shared" si="27"/>
        <v>0</v>
      </c>
      <c r="BN127" s="9">
        <f t="shared" si="27"/>
        <v>848349</v>
      </c>
      <c r="BO127" s="9">
        <f t="shared" si="27"/>
        <v>0</v>
      </c>
      <c r="BP127" s="9">
        <f t="shared" si="27"/>
        <v>2906785</v>
      </c>
      <c r="BQ127" s="9">
        <f t="shared" si="27"/>
        <v>0</v>
      </c>
      <c r="BR127" s="9">
        <f t="shared" si="27"/>
        <v>11288436</v>
      </c>
      <c r="BS127" s="9">
        <f t="shared" si="27"/>
        <v>0</v>
      </c>
      <c r="BT127" s="9">
        <f t="shared" si="27"/>
        <v>12136785</v>
      </c>
      <c r="BU127" s="9"/>
      <c r="BV127" s="9">
        <f>+R127-BT127</f>
        <v>-2906785</v>
      </c>
    </row>
    <row r="128" spans="2:74" s="21" customFormat="1">
      <c r="B128" s="236"/>
      <c r="J128" s="8"/>
      <c r="L128" s="143"/>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row>
    <row r="129" spans="1:75" s="21" customFormat="1">
      <c r="B129" s="243" t="s">
        <v>546</v>
      </c>
      <c r="J129" s="8"/>
      <c r="L129" s="143"/>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f>-5586274+5295206</f>
        <v>-291068</v>
      </c>
      <c r="AW129" s="9"/>
      <c r="AX129" s="9"/>
      <c r="AY129" s="9"/>
      <c r="AZ129" s="9"/>
      <c r="BA129" s="9"/>
      <c r="BB129" s="9"/>
      <c r="BC129" s="9"/>
      <c r="BD129" s="9"/>
      <c r="BE129" s="9"/>
      <c r="BF129" s="9"/>
      <c r="BG129" s="9"/>
      <c r="BH129" s="9"/>
      <c r="BI129" s="9"/>
      <c r="BJ129" s="9"/>
      <c r="BK129" s="9"/>
      <c r="BL129" s="9"/>
      <c r="BM129" s="9"/>
      <c r="BN129" s="6">
        <f>SUM(T129:BM129)</f>
        <v>-291068</v>
      </c>
      <c r="BO129" s="9"/>
      <c r="BP129" s="9"/>
      <c r="BQ129" s="9"/>
      <c r="BR129" s="6">
        <v>-3387761</v>
      </c>
      <c r="BS129" s="9"/>
      <c r="BT129" s="6">
        <v>-3387761</v>
      </c>
      <c r="BU129" s="9"/>
      <c r="BV129" s="6">
        <f>+R129-BT129</f>
        <v>3387761</v>
      </c>
    </row>
    <row r="130" spans="1:75" s="21" customFormat="1">
      <c r="B130" s="236"/>
      <c r="J130" s="8"/>
      <c r="L130" s="143"/>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6"/>
    </row>
    <row r="131" spans="1:75" s="21" customFormat="1">
      <c r="B131" s="243" t="s">
        <v>367</v>
      </c>
      <c r="J131" s="8"/>
      <c r="L131" s="143"/>
      <c r="M131" s="9"/>
      <c r="N131" s="9"/>
      <c r="O131" s="9"/>
      <c r="P131" s="9"/>
      <c r="Q131" s="9"/>
      <c r="R131" s="9">
        <v>0</v>
      </c>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f>6054031.56-709427</f>
        <v>5344604.5599999996</v>
      </c>
      <c r="AS131" s="9"/>
      <c r="AT131" s="9"/>
      <c r="AU131" s="9"/>
      <c r="AV131" s="6">
        <f>-5344605+5295206</f>
        <v>-49399</v>
      </c>
      <c r="AW131" s="9"/>
      <c r="AX131" s="9"/>
      <c r="AY131" s="9"/>
      <c r="AZ131" s="9"/>
      <c r="BA131" s="9"/>
      <c r="BB131" s="9"/>
      <c r="BC131" s="9"/>
      <c r="BD131" s="9"/>
      <c r="BE131" s="9"/>
      <c r="BF131" s="9"/>
      <c r="BG131" s="9"/>
      <c r="BH131" s="9"/>
      <c r="BI131" s="9"/>
      <c r="BJ131" s="9"/>
      <c r="BK131" s="9"/>
      <c r="BL131" s="9"/>
      <c r="BM131" s="9"/>
      <c r="BN131" s="6">
        <f>SUM(T131:BM131)</f>
        <v>5295205.5599999996</v>
      </c>
      <c r="BO131" s="9"/>
      <c r="BP131" s="9"/>
      <c r="BQ131" s="9"/>
      <c r="BR131" s="9">
        <f>-5295206</f>
        <v>-5295206</v>
      </c>
      <c r="BS131" s="9"/>
      <c r="BT131" s="6">
        <f>+BN131+BR131</f>
        <v>-0.44000000040978193</v>
      </c>
      <c r="BU131" s="9"/>
      <c r="BV131" s="6">
        <f>+R131-BT131</f>
        <v>0.44000000040978193</v>
      </c>
    </row>
    <row r="132" spans="1:75" s="21" customFormat="1">
      <c r="B132" s="238"/>
      <c r="J132" s="8"/>
      <c r="L132" s="143"/>
      <c r="M132" s="9"/>
      <c r="N132" s="9"/>
      <c r="O132" s="9"/>
      <c r="P132" s="9"/>
      <c r="Q132" s="9"/>
      <c r="R132" s="9"/>
      <c r="S132" s="9"/>
      <c r="T132" s="9"/>
      <c r="U132" s="9"/>
      <c r="V132" s="9"/>
      <c r="W132" s="9"/>
      <c r="X132" s="9"/>
      <c r="Y132" s="9"/>
      <c r="Z132" s="9"/>
      <c r="AA132" s="9"/>
      <c r="AB132" s="9"/>
      <c r="AC132" s="9"/>
      <c r="AD132" s="9"/>
      <c r="AE132" s="9"/>
      <c r="AF132" s="9"/>
      <c r="AG132" s="9"/>
      <c r="AH132" s="9"/>
      <c r="AJ132" s="9"/>
      <c r="AL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5" s="105" customFormat="1">
      <c r="A133" s="244"/>
      <c r="B133" s="245" t="s">
        <v>245</v>
      </c>
      <c r="J133" s="158"/>
      <c r="L133" s="144"/>
      <c r="M133" s="13"/>
      <c r="N133" s="246">
        <f>SUM(N41:N132)</f>
        <v>0</v>
      </c>
      <c r="O133" s="13"/>
      <c r="P133" s="246">
        <f>SUM(P41:P132)</f>
        <v>0</v>
      </c>
      <c r="Q133" s="13"/>
      <c r="R133" s="246">
        <f t="shared" ref="R133:AH133" si="28">R127+R122+R89+R61+R131</f>
        <v>41741400</v>
      </c>
      <c r="S133" s="246">
        <f t="shared" si="28"/>
        <v>0</v>
      </c>
      <c r="T133" s="246">
        <f t="shared" si="28"/>
        <v>0</v>
      </c>
      <c r="U133" s="246">
        <f t="shared" si="28"/>
        <v>0</v>
      </c>
      <c r="V133" s="246">
        <f t="shared" si="28"/>
        <v>0</v>
      </c>
      <c r="W133" s="246">
        <f t="shared" si="28"/>
        <v>0</v>
      </c>
      <c r="X133" s="246">
        <f t="shared" si="28"/>
        <v>0</v>
      </c>
      <c r="Y133" s="246">
        <f t="shared" si="28"/>
        <v>0</v>
      </c>
      <c r="Z133" s="246">
        <f t="shared" si="28"/>
        <v>0</v>
      </c>
      <c r="AA133" s="246">
        <f t="shared" si="28"/>
        <v>0</v>
      </c>
      <c r="AB133" s="246">
        <f t="shared" si="28"/>
        <v>0</v>
      </c>
      <c r="AC133" s="246">
        <f t="shared" si="28"/>
        <v>0</v>
      </c>
      <c r="AD133" s="246">
        <f t="shared" si="28"/>
        <v>0</v>
      </c>
      <c r="AE133" s="246">
        <f t="shared" si="28"/>
        <v>0</v>
      </c>
      <c r="AF133" s="246">
        <f t="shared" si="28"/>
        <v>0</v>
      </c>
      <c r="AG133" s="246">
        <f t="shared" si="28"/>
        <v>0</v>
      </c>
      <c r="AH133" s="246">
        <f t="shared" si="28"/>
        <v>0</v>
      </c>
      <c r="AI133" s="246"/>
      <c r="AJ133" s="246">
        <f>AJ127+AJ122+AJ89+AJ61+AJ131</f>
        <v>0</v>
      </c>
      <c r="AK133" s="246"/>
      <c r="AL133" s="246">
        <f>AL127+AL122+AL89+AL61+AL131</f>
        <v>0</v>
      </c>
      <c r="AM133" s="246"/>
      <c r="AN133" s="246">
        <f>AN127+AN122+AN89+AN61+AN131</f>
        <v>0</v>
      </c>
      <c r="AO133" s="246"/>
      <c r="AP133" s="246">
        <f>AP127+AP122+AP89+AP61+AP131</f>
        <v>0</v>
      </c>
      <c r="AQ133" s="246"/>
      <c r="AR133" s="246">
        <f>AR127+AR122+AR89+AR61+AR131</f>
        <v>6054031.5599999996</v>
      </c>
      <c r="AS133" s="246">
        <f>AS127+AS122+AS89+AS61+AS131</f>
        <v>0</v>
      </c>
      <c r="AT133" s="246">
        <f>AT127+AT122+AT89+AT61+AT131</f>
        <v>0</v>
      </c>
      <c r="AU133" s="246">
        <f>AU127+AU122+AU89+AU61+AU131</f>
        <v>0</v>
      </c>
      <c r="AV133" s="246">
        <f>AV127+AV122+AV89+AV61+AV131+AV129</f>
        <v>5295206</v>
      </c>
      <c r="AW133" s="246">
        <f t="shared" ref="AW133:BW133" si="29">AW127+AW122+AW89+AW61+AW131+AW129</f>
        <v>0</v>
      </c>
      <c r="AX133" s="246">
        <f t="shared" si="29"/>
        <v>0</v>
      </c>
      <c r="AY133" s="246">
        <f t="shared" si="29"/>
        <v>0</v>
      </c>
      <c r="AZ133" s="246">
        <f t="shared" si="29"/>
        <v>0</v>
      </c>
      <c r="BA133" s="246">
        <f t="shared" si="29"/>
        <v>0</v>
      </c>
      <c r="BB133" s="246">
        <f t="shared" si="29"/>
        <v>0</v>
      </c>
      <c r="BC133" s="246">
        <f t="shared" si="29"/>
        <v>0</v>
      </c>
      <c r="BD133" s="246">
        <f t="shared" si="29"/>
        <v>0</v>
      </c>
      <c r="BE133" s="246">
        <f t="shared" si="29"/>
        <v>0</v>
      </c>
      <c r="BF133" s="246">
        <f t="shared" si="29"/>
        <v>0</v>
      </c>
      <c r="BG133" s="246">
        <f t="shared" si="29"/>
        <v>0</v>
      </c>
      <c r="BH133" s="246">
        <f t="shared" si="29"/>
        <v>0</v>
      </c>
      <c r="BI133" s="246">
        <f t="shared" si="29"/>
        <v>0</v>
      </c>
      <c r="BJ133" s="246">
        <f t="shared" si="29"/>
        <v>0</v>
      </c>
      <c r="BK133" s="246">
        <f t="shared" si="29"/>
        <v>0</v>
      </c>
      <c r="BL133" s="246">
        <f t="shared" si="29"/>
        <v>0</v>
      </c>
      <c r="BM133" s="246">
        <f t="shared" si="29"/>
        <v>0</v>
      </c>
      <c r="BN133" s="246">
        <f t="shared" si="29"/>
        <v>11349237.559999999</v>
      </c>
      <c r="BO133" s="246">
        <f t="shared" si="29"/>
        <v>0</v>
      </c>
      <c r="BP133" s="246">
        <f t="shared" si="29"/>
        <v>6561239</v>
      </c>
      <c r="BQ133" s="246">
        <f t="shared" si="29"/>
        <v>0</v>
      </c>
      <c r="BR133" s="246">
        <f t="shared" si="29"/>
        <v>35386396</v>
      </c>
      <c r="BS133" s="246">
        <f t="shared" si="29"/>
        <v>0</v>
      </c>
      <c r="BT133" s="246">
        <f t="shared" si="29"/>
        <v>45601413.560000002</v>
      </c>
      <c r="BU133" s="246">
        <f t="shared" si="29"/>
        <v>0</v>
      </c>
      <c r="BV133" s="246">
        <f t="shared" si="29"/>
        <v>-3860013.5599999996</v>
      </c>
      <c r="BW133" s="246">
        <f t="shared" si="29"/>
        <v>0</v>
      </c>
    </row>
    <row r="134" spans="1:75">
      <c r="A134" s="57"/>
      <c r="B134" s="17"/>
      <c r="C134"/>
      <c r="D134"/>
      <c r="E134"/>
      <c r="F134"/>
      <c r="G134"/>
      <c r="H134"/>
      <c r="I134"/>
      <c r="J134" s="49"/>
      <c r="K134"/>
      <c r="L134" s="134"/>
      <c r="M134" s="6"/>
      <c r="O134" s="6"/>
      <c r="Q134" s="6"/>
      <c r="S134" s="6"/>
      <c r="T134" s="6"/>
      <c r="U134" s="6"/>
      <c r="V134" s="6"/>
      <c r="X134" s="6"/>
      <c r="Z134" s="6"/>
      <c r="AB134" s="6"/>
      <c r="AD134" s="6"/>
      <c r="BL134" s="6"/>
      <c r="BM134" s="6"/>
      <c r="BO134" s="6"/>
      <c r="BP134" s="6"/>
      <c r="BQ134" s="6"/>
      <c r="BW134" s="6"/>
    </row>
    <row r="135" spans="1:75">
      <c r="A135" s="56" t="s">
        <v>229</v>
      </c>
      <c r="B135" s="11"/>
      <c r="C135"/>
      <c r="D135"/>
      <c r="E135"/>
      <c r="F135"/>
      <c r="G135"/>
      <c r="H135"/>
      <c r="I135"/>
      <c r="J135" s="49"/>
      <c r="K135"/>
      <c r="L135" s="134"/>
      <c r="M135" s="6"/>
      <c r="O135" s="6"/>
      <c r="Q135" s="6"/>
      <c r="S135" s="6"/>
      <c r="T135" s="6"/>
      <c r="U135" s="6"/>
      <c r="V135" s="6"/>
      <c r="X135" s="6"/>
      <c r="Z135" s="6"/>
      <c r="AB135" s="6"/>
      <c r="AD135" s="6"/>
      <c r="BL135" s="6"/>
      <c r="BM135" s="6"/>
      <c r="BO135" s="6"/>
      <c r="BP135" s="6"/>
      <c r="BQ135" s="6"/>
      <c r="BW135" s="6"/>
    </row>
    <row r="136" spans="1:75">
      <c r="A136" s="61"/>
      <c r="B136" s="17" t="s">
        <v>230</v>
      </c>
      <c r="C136"/>
      <c r="D136"/>
      <c r="E136"/>
      <c r="F136"/>
      <c r="G136"/>
      <c r="H136"/>
      <c r="I136"/>
      <c r="J136" s="49" t="s">
        <v>238</v>
      </c>
      <c r="K136"/>
      <c r="L136" s="134" t="s">
        <v>204</v>
      </c>
      <c r="M136" s="6"/>
      <c r="N136" s="6">
        <v>0</v>
      </c>
      <c r="O136" s="6"/>
      <c r="P136" s="6">
        <v>0</v>
      </c>
      <c r="Q136" s="6"/>
      <c r="R136" s="6">
        <v>929800</v>
      </c>
      <c r="S136" s="6"/>
      <c r="T136" s="6">
        <v>0</v>
      </c>
      <c r="U136" s="22"/>
      <c r="V136" s="6">
        <v>0</v>
      </c>
      <c r="W136" s="22"/>
      <c r="X136" s="6">
        <v>0</v>
      </c>
      <c r="Y136" s="22"/>
      <c r="Z136" s="6">
        <v>0</v>
      </c>
      <c r="AA136" s="22"/>
      <c r="AB136" s="6">
        <v>0</v>
      </c>
      <c r="AC136" s="22"/>
      <c r="AD136" s="6">
        <v>0</v>
      </c>
      <c r="AE136" s="22"/>
      <c r="AF136" s="6">
        <v>0</v>
      </c>
      <c r="AG136" s="22"/>
      <c r="AH136" s="6">
        <v>0</v>
      </c>
      <c r="AI136" s="22"/>
      <c r="AJ136" s="6">
        <v>0</v>
      </c>
      <c r="AK136" s="22"/>
      <c r="AL136" s="6">
        <v>232450</v>
      </c>
      <c r="AM136" s="22"/>
      <c r="AN136" s="6">
        <v>0</v>
      </c>
      <c r="AO136" s="22"/>
      <c r="AP136" s="6">
        <v>77483.34</v>
      </c>
      <c r="AQ136" s="22"/>
      <c r="AR136" s="6">
        <v>77483.33</v>
      </c>
      <c r="AS136" s="22"/>
      <c r="AT136" s="6">
        <v>77483.33</v>
      </c>
      <c r="AU136" s="22"/>
      <c r="AV136" s="6">
        <v>77483.34</v>
      </c>
      <c r="AX136" s="6">
        <v>0</v>
      </c>
      <c r="AZ136" s="6">
        <v>0</v>
      </c>
      <c r="BB136" s="6">
        <v>0</v>
      </c>
      <c r="BD136" s="6">
        <v>0</v>
      </c>
      <c r="BF136" s="6">
        <v>0</v>
      </c>
      <c r="BH136" s="6">
        <v>0</v>
      </c>
      <c r="BJ136" s="6">
        <v>0</v>
      </c>
      <c r="BL136" s="6">
        <v>0</v>
      </c>
      <c r="BM136" s="6"/>
      <c r="BN136" s="6">
        <f t="shared" ref="BN136:BN141" si="30">SUM(T136:BM136)</f>
        <v>542383.34</v>
      </c>
      <c r="BO136" s="6"/>
      <c r="BP136" s="6">
        <v>0</v>
      </c>
      <c r="BQ136" s="6"/>
      <c r="BR136" s="6">
        <f t="shared" ref="BR136:BR142" si="31">IF(+R136-BN136+BP136&gt;0,R136-BN136+BP136,0)</f>
        <v>387416.66000000003</v>
      </c>
      <c r="BT136" s="6">
        <f t="shared" ref="BT136:BT141" si="32">+BN136+BR136</f>
        <v>929800</v>
      </c>
      <c r="BV136" s="6">
        <f t="shared" ref="BV136:BV141" si="33">+R136-BT136</f>
        <v>0</v>
      </c>
      <c r="BW136" s="6"/>
    </row>
    <row r="137" spans="1:75">
      <c r="A137" s="61"/>
      <c r="B137" s="17" t="s">
        <v>232</v>
      </c>
      <c r="C137"/>
      <c r="D137"/>
      <c r="E137"/>
      <c r="F137"/>
      <c r="G137"/>
      <c r="H137"/>
      <c r="I137"/>
      <c r="J137" s="49" t="s">
        <v>232</v>
      </c>
      <c r="K137"/>
      <c r="L137" s="134" t="s">
        <v>204</v>
      </c>
      <c r="M137" s="6"/>
      <c r="N137" s="6">
        <v>0</v>
      </c>
      <c r="O137" s="6"/>
      <c r="P137" s="6">
        <v>0</v>
      </c>
      <c r="Q137" s="6"/>
      <c r="R137" s="6">
        <v>2840700</v>
      </c>
      <c r="S137" s="6"/>
      <c r="T137" s="6">
        <v>0</v>
      </c>
      <c r="U137" s="22"/>
      <c r="V137" s="6">
        <v>0</v>
      </c>
      <c r="W137" s="22"/>
      <c r="X137" s="6">
        <v>0</v>
      </c>
      <c r="Y137" s="22"/>
      <c r="Z137" s="6">
        <v>0</v>
      </c>
      <c r="AA137" s="22"/>
      <c r="AB137" s="6">
        <v>0</v>
      </c>
      <c r="AC137" s="22"/>
      <c r="AD137" s="6">
        <v>0</v>
      </c>
      <c r="AE137" s="22"/>
      <c r="AF137" s="6">
        <v>0</v>
      </c>
      <c r="AG137" s="22"/>
      <c r="AH137" s="6">
        <v>0</v>
      </c>
      <c r="AI137" s="22"/>
      <c r="AJ137" s="6">
        <v>0</v>
      </c>
      <c r="AK137" s="22"/>
      <c r="AL137" s="6">
        <v>710172</v>
      </c>
      <c r="AM137" s="22"/>
      <c r="AN137" s="6">
        <v>0</v>
      </c>
      <c r="AO137" s="22"/>
      <c r="AP137" s="6">
        <v>236722.33</v>
      </c>
      <c r="AQ137" s="22"/>
      <c r="AR137" s="6">
        <v>236722.33</v>
      </c>
      <c r="AS137" s="22"/>
      <c r="AT137" s="6">
        <v>236722</v>
      </c>
      <c r="AU137" s="22"/>
      <c r="AV137" s="6">
        <v>236722</v>
      </c>
      <c r="AX137" s="6">
        <v>0</v>
      </c>
      <c r="AZ137" s="6">
        <v>0</v>
      </c>
      <c r="BB137" s="6">
        <v>0</v>
      </c>
      <c r="BD137" s="6">
        <v>0</v>
      </c>
      <c r="BF137" s="6">
        <v>0</v>
      </c>
      <c r="BH137" s="6">
        <v>0</v>
      </c>
      <c r="BJ137" s="6">
        <v>0</v>
      </c>
      <c r="BL137" s="6">
        <v>0</v>
      </c>
      <c r="BM137" s="6"/>
      <c r="BN137" s="6">
        <f t="shared" si="30"/>
        <v>1657060.66</v>
      </c>
      <c r="BO137" s="6"/>
      <c r="BP137" s="6">
        <v>0</v>
      </c>
      <c r="BQ137" s="6"/>
      <c r="BR137" s="6">
        <f t="shared" si="31"/>
        <v>1183639.3400000001</v>
      </c>
      <c r="BT137" s="6">
        <f t="shared" si="32"/>
        <v>2840700</v>
      </c>
      <c r="BV137" s="6">
        <f t="shared" si="33"/>
        <v>0</v>
      </c>
      <c r="BW137" s="6"/>
    </row>
    <row r="138" spans="1:75">
      <c r="A138" s="61"/>
      <c r="B138" s="17" t="s">
        <v>233</v>
      </c>
      <c r="C138"/>
      <c r="D138"/>
      <c r="E138"/>
      <c r="F138"/>
      <c r="G138"/>
      <c r="H138"/>
      <c r="I138"/>
      <c r="J138" s="49" t="s">
        <v>238</v>
      </c>
      <c r="K138"/>
      <c r="L138" s="134" t="s">
        <v>204</v>
      </c>
      <c r="M138" s="6"/>
      <c r="N138" s="6">
        <v>0</v>
      </c>
      <c r="O138" s="6"/>
      <c r="P138" s="6">
        <v>0</v>
      </c>
      <c r="Q138" s="6"/>
      <c r="R138" s="6">
        <v>3066700</v>
      </c>
      <c r="S138" s="6"/>
      <c r="T138" s="6">
        <v>0</v>
      </c>
      <c r="U138" s="22"/>
      <c r="V138" s="6">
        <v>0</v>
      </c>
      <c r="W138" s="22"/>
      <c r="X138" s="6">
        <v>0</v>
      </c>
      <c r="Y138" s="22"/>
      <c r="Z138" s="6">
        <v>0</v>
      </c>
      <c r="AA138" s="22"/>
      <c r="AB138" s="6">
        <v>0</v>
      </c>
      <c r="AC138" s="22"/>
      <c r="AD138" s="6">
        <v>0</v>
      </c>
      <c r="AE138" s="22"/>
      <c r="AF138" s="6">
        <v>0</v>
      </c>
      <c r="AG138" s="22"/>
      <c r="AH138" s="6">
        <v>0</v>
      </c>
      <c r="AI138" s="22"/>
      <c r="AJ138" s="6">
        <v>0</v>
      </c>
      <c r="AK138" s="22"/>
      <c r="AM138" s="22"/>
      <c r="AN138" s="6">
        <v>0</v>
      </c>
      <c r="AO138" s="22"/>
      <c r="AP138" s="6">
        <v>0</v>
      </c>
      <c r="AQ138" s="22"/>
      <c r="AR138" s="6">
        <v>0</v>
      </c>
      <c r="AS138" s="22"/>
      <c r="AT138" s="6">
        <v>0</v>
      </c>
      <c r="AU138" s="22"/>
      <c r="AV138" s="6">
        <v>0</v>
      </c>
      <c r="AX138" s="6">
        <v>0</v>
      </c>
      <c r="AZ138" s="6">
        <v>0</v>
      </c>
      <c r="BB138" s="6">
        <v>0</v>
      </c>
      <c r="BD138" s="6">
        <v>0</v>
      </c>
      <c r="BF138" s="6">
        <v>0</v>
      </c>
      <c r="BH138" s="6">
        <v>0</v>
      </c>
      <c r="BJ138" s="6">
        <v>0</v>
      </c>
      <c r="BL138" s="6">
        <v>0</v>
      </c>
      <c r="BM138" s="6"/>
      <c r="BN138" s="6">
        <f t="shared" si="30"/>
        <v>0</v>
      </c>
      <c r="BO138" s="6"/>
      <c r="BP138" s="6">
        <v>0</v>
      </c>
      <c r="BQ138" s="6"/>
      <c r="BR138" s="6">
        <f t="shared" si="31"/>
        <v>3066700</v>
      </c>
      <c r="BT138" s="6">
        <f t="shared" si="32"/>
        <v>3066700</v>
      </c>
      <c r="BV138" s="6">
        <f t="shared" si="33"/>
        <v>0</v>
      </c>
      <c r="BW138" s="6"/>
    </row>
    <row r="139" spans="1:75">
      <c r="A139" s="61"/>
      <c r="B139" s="17" t="s">
        <v>234</v>
      </c>
      <c r="C139"/>
      <c r="D139"/>
      <c r="E139"/>
      <c r="F139"/>
      <c r="G139"/>
      <c r="H139"/>
      <c r="I139"/>
      <c r="J139" s="49" t="s">
        <v>238</v>
      </c>
      <c r="K139"/>
      <c r="L139" s="134" t="s">
        <v>204</v>
      </c>
      <c r="M139" s="6"/>
      <c r="N139" s="12">
        <v>0</v>
      </c>
      <c r="O139" s="12"/>
      <c r="P139" s="12">
        <v>0</v>
      </c>
      <c r="Q139" s="12"/>
      <c r="R139" s="6">
        <f>+N139+P139</f>
        <v>0</v>
      </c>
      <c r="S139" s="12"/>
      <c r="T139" s="12">
        <v>0</v>
      </c>
      <c r="U139" s="80"/>
      <c r="V139" s="12">
        <v>0</v>
      </c>
      <c r="W139" s="80"/>
      <c r="X139" s="12">
        <v>0</v>
      </c>
      <c r="Y139" s="80"/>
      <c r="Z139" s="12">
        <v>0</v>
      </c>
      <c r="AA139" s="80"/>
      <c r="AB139" s="12">
        <v>0</v>
      </c>
      <c r="AC139" s="80"/>
      <c r="AD139" s="12">
        <v>0</v>
      </c>
      <c r="AE139" s="80"/>
      <c r="AF139" s="12">
        <v>0</v>
      </c>
      <c r="AG139" s="80"/>
      <c r="AH139" s="12">
        <v>0</v>
      </c>
      <c r="AI139" s="80"/>
      <c r="AJ139" s="12">
        <v>0</v>
      </c>
      <c r="AK139" s="80"/>
      <c r="AL139" s="12"/>
      <c r="AM139" s="80"/>
      <c r="AN139" s="12">
        <v>0</v>
      </c>
      <c r="AO139" s="80"/>
      <c r="AP139" s="12">
        <v>0</v>
      </c>
      <c r="AQ139" s="80"/>
      <c r="AR139" s="12">
        <v>0</v>
      </c>
      <c r="AS139" s="80"/>
      <c r="AT139" s="12">
        <v>0</v>
      </c>
      <c r="AU139" s="80"/>
      <c r="AV139" s="12">
        <v>0</v>
      </c>
      <c r="AW139" s="12"/>
      <c r="AX139" s="12">
        <v>0</v>
      </c>
      <c r="AY139" s="12"/>
      <c r="AZ139" s="12">
        <v>0</v>
      </c>
      <c r="BA139" s="12"/>
      <c r="BB139" s="12">
        <v>0</v>
      </c>
      <c r="BC139" s="12"/>
      <c r="BD139" s="12">
        <v>0</v>
      </c>
      <c r="BE139" s="12"/>
      <c r="BF139" s="12">
        <v>0</v>
      </c>
      <c r="BG139" s="12"/>
      <c r="BH139" s="12">
        <v>0</v>
      </c>
      <c r="BI139" s="12"/>
      <c r="BJ139" s="12">
        <v>0</v>
      </c>
      <c r="BK139" s="12"/>
      <c r="BL139" s="12">
        <v>0</v>
      </c>
      <c r="BM139" s="12"/>
      <c r="BN139" s="12">
        <f t="shared" si="30"/>
        <v>0</v>
      </c>
      <c r="BO139" s="6"/>
      <c r="BP139" s="12">
        <v>0</v>
      </c>
      <c r="BQ139" s="6"/>
      <c r="BR139" s="6">
        <f t="shared" si="31"/>
        <v>0</v>
      </c>
      <c r="BS139" s="12"/>
      <c r="BT139" s="6">
        <f t="shared" si="32"/>
        <v>0</v>
      </c>
      <c r="BU139" s="12"/>
      <c r="BV139" s="6">
        <f t="shared" si="33"/>
        <v>0</v>
      </c>
      <c r="BW139" s="12"/>
    </row>
    <row r="140" spans="1:75" s="11" customFormat="1">
      <c r="A140" s="17"/>
      <c r="B140" s="17" t="s">
        <v>235</v>
      </c>
      <c r="C140" s="30"/>
      <c r="D140" s="30"/>
      <c r="E140" s="30"/>
      <c r="F140" s="30"/>
      <c r="G140" s="30"/>
      <c r="H140" s="30"/>
      <c r="I140" s="30"/>
      <c r="J140" s="156" t="s">
        <v>238</v>
      </c>
      <c r="K140" s="30"/>
      <c r="L140" s="134" t="s">
        <v>204</v>
      </c>
      <c r="M140" s="12"/>
      <c r="N140" s="12">
        <v>0</v>
      </c>
      <c r="O140" s="12"/>
      <c r="P140" s="12">
        <v>0</v>
      </c>
      <c r="Q140" s="12"/>
      <c r="R140" s="6">
        <f>+N140+P140</f>
        <v>0</v>
      </c>
      <c r="S140" s="12"/>
      <c r="T140" s="12">
        <v>0</v>
      </c>
      <c r="U140" s="80"/>
      <c r="V140" s="12">
        <v>0</v>
      </c>
      <c r="W140" s="80"/>
      <c r="X140" s="12">
        <v>0</v>
      </c>
      <c r="Y140" s="80"/>
      <c r="Z140" s="12">
        <v>0</v>
      </c>
      <c r="AA140" s="80"/>
      <c r="AB140" s="12">
        <v>0</v>
      </c>
      <c r="AC140" s="80"/>
      <c r="AD140" s="12">
        <v>0</v>
      </c>
      <c r="AE140" s="80"/>
      <c r="AF140" s="12">
        <v>0</v>
      </c>
      <c r="AG140" s="80"/>
      <c r="AH140" s="12">
        <v>0</v>
      </c>
      <c r="AI140" s="80"/>
      <c r="AJ140" s="12">
        <v>0</v>
      </c>
      <c r="AK140" s="80"/>
      <c r="AL140" s="12"/>
      <c r="AM140" s="80"/>
      <c r="AN140" s="12">
        <v>0</v>
      </c>
      <c r="AO140" s="80"/>
      <c r="AP140" s="12">
        <v>0</v>
      </c>
      <c r="AQ140" s="80"/>
      <c r="AR140" s="12">
        <v>0</v>
      </c>
      <c r="AS140" s="80"/>
      <c r="AT140" s="12">
        <v>0</v>
      </c>
      <c r="AU140" s="80"/>
      <c r="AV140" s="12">
        <v>0</v>
      </c>
      <c r="AW140" s="12"/>
      <c r="AX140" s="12">
        <v>0</v>
      </c>
      <c r="AY140" s="12"/>
      <c r="AZ140" s="12">
        <v>0</v>
      </c>
      <c r="BA140" s="12"/>
      <c r="BB140" s="12">
        <v>0</v>
      </c>
      <c r="BC140" s="12"/>
      <c r="BD140" s="12">
        <v>0</v>
      </c>
      <c r="BE140" s="12"/>
      <c r="BF140" s="12">
        <v>0</v>
      </c>
      <c r="BG140" s="12"/>
      <c r="BH140" s="12">
        <v>0</v>
      </c>
      <c r="BI140" s="12"/>
      <c r="BJ140" s="12">
        <v>0</v>
      </c>
      <c r="BK140" s="12"/>
      <c r="BL140" s="12">
        <v>0</v>
      </c>
      <c r="BM140" s="12"/>
      <c r="BN140" s="12">
        <f t="shared" si="30"/>
        <v>0</v>
      </c>
      <c r="BO140" s="12"/>
      <c r="BP140" s="12">
        <v>0</v>
      </c>
      <c r="BQ140" s="12"/>
      <c r="BR140" s="6">
        <f t="shared" si="31"/>
        <v>0</v>
      </c>
      <c r="BS140" s="12"/>
      <c r="BT140" s="6">
        <f t="shared" si="32"/>
        <v>0</v>
      </c>
      <c r="BU140" s="12"/>
      <c r="BV140" s="6">
        <f t="shared" si="33"/>
        <v>0</v>
      </c>
      <c r="BW140" s="12"/>
    </row>
    <row r="141" spans="1:75">
      <c r="A141" s="61"/>
      <c r="B141" s="17" t="s">
        <v>502</v>
      </c>
      <c r="C141"/>
      <c r="D141"/>
      <c r="E141"/>
      <c r="F141"/>
      <c r="G141"/>
      <c r="H141"/>
      <c r="I141"/>
      <c r="J141" s="49"/>
      <c r="K141"/>
      <c r="L141" s="134" t="s">
        <v>204</v>
      </c>
      <c r="M141" s="6"/>
      <c r="N141" s="12">
        <v>0</v>
      </c>
      <c r="O141" s="12"/>
      <c r="P141" s="12">
        <v>0</v>
      </c>
      <c r="Q141" s="12"/>
      <c r="R141" s="6">
        <f>+N141+P141</f>
        <v>0</v>
      </c>
      <c r="S141" s="12"/>
      <c r="T141" s="12">
        <v>0</v>
      </c>
      <c r="U141" s="80"/>
      <c r="V141" s="12">
        <v>0</v>
      </c>
      <c r="W141" s="80"/>
      <c r="X141" s="12">
        <v>0</v>
      </c>
      <c r="Y141" s="80"/>
      <c r="Z141" s="12">
        <v>0</v>
      </c>
      <c r="AA141" s="80"/>
      <c r="AB141" s="12">
        <v>0</v>
      </c>
      <c r="AC141" s="80"/>
      <c r="AD141" s="12">
        <v>0</v>
      </c>
      <c r="AE141" s="80"/>
      <c r="AF141" s="12">
        <v>0</v>
      </c>
      <c r="AG141" s="80"/>
      <c r="AH141" s="12">
        <v>0</v>
      </c>
      <c r="AI141" s="80"/>
      <c r="AJ141" s="12">
        <v>0</v>
      </c>
      <c r="AK141" s="80"/>
      <c r="AL141" s="12"/>
      <c r="AM141" s="80"/>
      <c r="AN141" s="12">
        <v>0</v>
      </c>
      <c r="AO141" s="80"/>
      <c r="AP141" s="12">
        <v>0</v>
      </c>
      <c r="AQ141" s="80"/>
      <c r="AR141" s="12">
        <v>0</v>
      </c>
      <c r="AS141" s="80"/>
      <c r="AT141" s="12">
        <v>-250000</v>
      </c>
      <c r="AU141" s="80"/>
      <c r="AV141" s="12">
        <v>0</v>
      </c>
      <c r="AW141" s="12"/>
      <c r="AX141" s="12">
        <v>0</v>
      </c>
      <c r="AY141" s="12"/>
      <c r="AZ141" s="12">
        <v>0</v>
      </c>
      <c r="BA141" s="12"/>
      <c r="BB141" s="12">
        <v>0</v>
      </c>
      <c r="BC141" s="12"/>
      <c r="BD141" s="12">
        <v>0</v>
      </c>
      <c r="BE141" s="12"/>
      <c r="BF141" s="12">
        <v>0</v>
      </c>
      <c r="BG141" s="12"/>
      <c r="BH141" s="12">
        <v>0</v>
      </c>
      <c r="BI141" s="12"/>
      <c r="BJ141" s="12">
        <v>0</v>
      </c>
      <c r="BK141" s="12"/>
      <c r="BL141" s="12">
        <v>0</v>
      </c>
      <c r="BM141" s="12"/>
      <c r="BN141" s="12">
        <f t="shared" si="30"/>
        <v>-250000</v>
      </c>
      <c r="BO141" s="6"/>
      <c r="BP141" s="12">
        <v>0</v>
      </c>
      <c r="BQ141" s="6"/>
      <c r="BR141" s="6">
        <v>0</v>
      </c>
      <c r="BS141" s="12"/>
      <c r="BT141" s="9">
        <f t="shared" si="32"/>
        <v>-250000</v>
      </c>
      <c r="BU141" s="12"/>
      <c r="BV141" s="6">
        <f t="shared" si="33"/>
        <v>250000</v>
      </c>
      <c r="BW141" s="12"/>
    </row>
    <row r="142" spans="1:75">
      <c r="A142" s="61"/>
      <c r="B142" s="17"/>
      <c r="C142"/>
      <c r="D142"/>
      <c r="E142"/>
      <c r="F142"/>
      <c r="G142"/>
      <c r="H142"/>
      <c r="I142"/>
      <c r="J142" s="49"/>
      <c r="K142"/>
      <c r="L142" s="134"/>
      <c r="M142" s="6"/>
      <c r="N142" s="12"/>
      <c r="O142" s="12"/>
      <c r="P142" s="12"/>
      <c r="Q142" s="12"/>
      <c r="R142" s="12"/>
      <c r="S142" s="12"/>
      <c r="T142" s="12"/>
      <c r="U142" s="80"/>
      <c r="V142" s="12"/>
      <c r="W142" s="80"/>
      <c r="X142" s="12"/>
      <c r="Y142" s="80"/>
      <c r="Z142" s="12"/>
      <c r="AA142" s="80"/>
      <c r="AB142" s="12"/>
      <c r="AC142" s="80"/>
      <c r="AD142" s="12"/>
      <c r="AE142" s="80"/>
      <c r="AF142" s="12"/>
      <c r="AG142" s="80"/>
      <c r="AH142" s="12"/>
      <c r="AI142" s="80"/>
      <c r="AJ142" s="12"/>
      <c r="AK142" s="80"/>
      <c r="AL142" s="12"/>
      <c r="AM142" s="80"/>
      <c r="AN142" s="12"/>
      <c r="AO142" s="80"/>
      <c r="AP142" s="12"/>
      <c r="AQ142" s="80"/>
      <c r="AR142" s="12"/>
      <c r="AS142" s="80"/>
      <c r="AT142" s="12"/>
      <c r="AU142" s="80"/>
      <c r="AV142" s="12"/>
      <c r="AW142" s="12"/>
      <c r="AX142" s="12"/>
      <c r="AY142" s="12"/>
      <c r="AZ142" s="12"/>
      <c r="BA142" s="12"/>
      <c r="BB142" s="12"/>
      <c r="BC142" s="12"/>
      <c r="BD142" s="12"/>
      <c r="BE142" s="12"/>
      <c r="BF142" s="12"/>
      <c r="BG142" s="12"/>
      <c r="BH142" s="12"/>
      <c r="BI142" s="12"/>
      <c r="BJ142" s="12"/>
      <c r="BK142" s="12"/>
      <c r="BL142" s="12"/>
      <c r="BM142" s="12"/>
      <c r="BN142" s="12"/>
      <c r="BO142" s="6"/>
      <c r="BP142" s="12"/>
      <c r="BQ142" s="6"/>
      <c r="BR142" s="6">
        <f t="shared" si="31"/>
        <v>0</v>
      </c>
      <c r="BS142" s="12"/>
      <c r="BT142" s="12"/>
      <c r="BU142" s="12"/>
      <c r="BV142" s="12"/>
      <c r="BW142" s="12"/>
    </row>
    <row r="143" spans="1:75" s="114" customFormat="1">
      <c r="A143" s="112"/>
      <c r="B143" s="113" t="s">
        <v>246</v>
      </c>
      <c r="J143" s="157"/>
      <c r="L143" s="142"/>
      <c r="M143" s="115"/>
      <c r="N143" s="116">
        <f>SUM(N136:N142)</f>
        <v>0</v>
      </c>
      <c r="O143" s="115"/>
      <c r="P143" s="116">
        <f>SUM(P136:P142)</f>
        <v>0</v>
      </c>
      <c r="Q143" s="115"/>
      <c r="R143" s="116">
        <f>SUM(R136:R142)</f>
        <v>6837200</v>
      </c>
      <c r="S143" s="115"/>
      <c r="T143" s="116">
        <f>SUM(T136:T142)</f>
        <v>0</v>
      </c>
      <c r="U143" s="115"/>
      <c r="V143" s="116">
        <f>SUM(V136:V142)</f>
        <v>0</v>
      </c>
      <c r="W143" s="115"/>
      <c r="X143" s="116">
        <f>SUM(X136:X142)</f>
        <v>0</v>
      </c>
      <c r="Y143" s="115"/>
      <c r="Z143" s="116">
        <f>SUM(Z136:Z142)</f>
        <v>0</v>
      </c>
      <c r="AA143" s="115"/>
      <c r="AB143" s="116">
        <f>SUM(AB136:AB142)</f>
        <v>0</v>
      </c>
      <c r="AC143" s="115"/>
      <c r="AD143" s="116">
        <f>SUM(AD136:AD142)</f>
        <v>0</v>
      </c>
      <c r="AE143" s="115"/>
      <c r="AF143" s="116">
        <f>SUM(AF136:AF142)</f>
        <v>0</v>
      </c>
      <c r="AG143" s="115"/>
      <c r="AH143" s="116">
        <f>SUM(AH136:AH142)</f>
        <v>0</v>
      </c>
      <c r="AI143" s="115"/>
      <c r="AJ143" s="116">
        <f>SUM(AJ136:AJ142)</f>
        <v>0</v>
      </c>
      <c r="AK143" s="115"/>
      <c r="AL143" s="116">
        <f>SUM(AL136:AL142)</f>
        <v>942622</v>
      </c>
      <c r="AM143" s="116"/>
      <c r="AN143" s="116">
        <f>SUM(AN136:AN142)</f>
        <v>0</v>
      </c>
      <c r="AO143" s="115"/>
      <c r="AP143" s="116">
        <f>SUM(AP136:AP142)</f>
        <v>314205.67</v>
      </c>
      <c r="AQ143" s="115"/>
      <c r="AR143" s="116">
        <f>SUM(AR136:AR142)</f>
        <v>314205.65999999997</v>
      </c>
      <c r="AS143" s="115"/>
      <c r="AT143" s="116">
        <f>SUM(AT136:AT142)</f>
        <v>64205.330000000016</v>
      </c>
      <c r="AU143" s="115"/>
      <c r="AV143" s="116">
        <f>SUM(AV136:AV142)</f>
        <v>314205.33999999997</v>
      </c>
      <c r="AW143" s="117"/>
      <c r="AX143" s="116">
        <f>SUM(AX136:AX142)</f>
        <v>0</v>
      </c>
      <c r="AY143" s="117"/>
      <c r="AZ143" s="116">
        <f>SUM(AZ136:AZ142)</f>
        <v>0</v>
      </c>
      <c r="BA143" s="117"/>
      <c r="BB143" s="116">
        <f>SUM(BB136:BB142)</f>
        <v>0</v>
      </c>
      <c r="BC143" s="117"/>
      <c r="BD143" s="116">
        <f>SUM(BD136:BD142)</f>
        <v>0</v>
      </c>
      <c r="BE143" s="117"/>
      <c r="BF143" s="116">
        <f>SUM(BF136:BF142)</f>
        <v>0</v>
      </c>
      <c r="BG143" s="117"/>
      <c r="BH143" s="116">
        <f>SUM(BH136:BH142)</f>
        <v>0</v>
      </c>
      <c r="BI143" s="117"/>
      <c r="BJ143" s="116">
        <f>SUM(BJ136:BJ142)</f>
        <v>0</v>
      </c>
      <c r="BK143" s="117"/>
      <c r="BL143" s="116">
        <f>SUM(BL136:BL142)</f>
        <v>0</v>
      </c>
      <c r="BM143" s="115"/>
      <c r="BN143" s="116">
        <f>SUM(BN136:BN142)</f>
        <v>1949444</v>
      </c>
      <c r="BO143" s="115"/>
      <c r="BP143" s="116">
        <f>SUM(BP136:BP142)</f>
        <v>0</v>
      </c>
      <c r="BQ143" s="115"/>
      <c r="BR143" s="116">
        <f>SUM(BR136:BR142)</f>
        <v>4637756</v>
      </c>
      <c r="BS143" s="115"/>
      <c r="BT143" s="116">
        <f>SUM(BT136:BT142)</f>
        <v>6587200</v>
      </c>
      <c r="BU143" s="115"/>
      <c r="BV143" s="116">
        <f>SUM(BV136:BV142)</f>
        <v>250000</v>
      </c>
      <c r="BW143" s="117"/>
    </row>
    <row r="144" spans="1:75" customFormat="1"/>
    <row r="145" spans="1:75" s="15" customFormat="1">
      <c r="A145" s="62" t="s">
        <v>244</v>
      </c>
      <c r="B145" s="17"/>
      <c r="C145"/>
      <c r="D145"/>
      <c r="E145"/>
      <c r="F145"/>
      <c r="G145"/>
      <c r="H145"/>
      <c r="I145"/>
      <c r="J145" s="49"/>
      <c r="K145"/>
      <c r="L145" s="134" t="s">
        <v>204</v>
      </c>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row>
    <row r="146" spans="1:75" s="15" customFormat="1">
      <c r="A146" s="57"/>
      <c r="B146" s="17" t="s">
        <v>122</v>
      </c>
      <c r="C146"/>
      <c r="D146"/>
      <c r="E146"/>
      <c r="F146"/>
      <c r="G146"/>
      <c r="H146"/>
      <c r="I146"/>
      <c r="J146" s="49" t="s">
        <v>0</v>
      </c>
      <c r="K146"/>
      <c r="L146" s="134" t="s">
        <v>204</v>
      </c>
      <c r="M146" s="22"/>
      <c r="N146" s="80">
        <v>0</v>
      </c>
      <c r="O146" s="22"/>
      <c r="P146" s="80">
        <v>0</v>
      </c>
      <c r="Q146" s="22"/>
      <c r="R146" s="6">
        <f>+N146+P146</f>
        <v>0</v>
      </c>
      <c r="S146" s="22"/>
      <c r="T146" s="80">
        <v>0</v>
      </c>
      <c r="U146" s="80"/>
      <c r="V146" s="80">
        <v>0</v>
      </c>
      <c r="W146" s="80"/>
      <c r="X146" s="80">
        <v>0</v>
      </c>
      <c r="Y146" s="80"/>
      <c r="Z146" s="80">
        <v>0</v>
      </c>
      <c r="AA146" s="80"/>
      <c r="AB146" s="80">
        <v>0</v>
      </c>
      <c r="AC146" s="80"/>
      <c r="AD146" s="80">
        <v>0</v>
      </c>
      <c r="AE146" s="80"/>
      <c r="AF146" s="80">
        <v>0</v>
      </c>
      <c r="AG146" s="80"/>
      <c r="AH146" s="80">
        <v>0</v>
      </c>
      <c r="AI146" s="80"/>
      <c r="AJ146" s="80">
        <v>0</v>
      </c>
      <c r="AK146" s="80"/>
      <c r="AL146" s="80"/>
      <c r="AM146" s="80"/>
      <c r="AN146" s="80">
        <v>0</v>
      </c>
      <c r="AO146" s="80"/>
      <c r="AP146" s="80">
        <v>0</v>
      </c>
      <c r="AQ146" s="80"/>
      <c r="AR146" s="80">
        <v>0</v>
      </c>
      <c r="AS146" s="80"/>
      <c r="AT146" s="80">
        <v>0</v>
      </c>
      <c r="AU146" s="80"/>
      <c r="AV146" s="80">
        <v>0</v>
      </c>
      <c r="AW146" s="80"/>
      <c r="AX146" s="80">
        <v>0</v>
      </c>
      <c r="AY146" s="80"/>
      <c r="AZ146" s="80">
        <v>0</v>
      </c>
      <c r="BA146" s="80"/>
      <c r="BB146" s="80">
        <v>0</v>
      </c>
      <c r="BC146" s="80"/>
      <c r="BD146" s="80">
        <v>0</v>
      </c>
      <c r="BE146" s="80"/>
      <c r="BF146" s="80">
        <v>0</v>
      </c>
      <c r="BG146" s="80"/>
      <c r="BH146" s="80">
        <v>0</v>
      </c>
      <c r="BI146" s="80"/>
      <c r="BJ146" s="80">
        <v>0</v>
      </c>
      <c r="BK146" s="80"/>
      <c r="BL146" s="80">
        <v>0</v>
      </c>
      <c r="BM146" s="22"/>
      <c r="BN146" s="80">
        <f>SUM(T146:BM146)</f>
        <v>0</v>
      </c>
      <c r="BO146" s="22"/>
      <c r="BP146" s="80">
        <v>0</v>
      </c>
      <c r="BQ146" s="22"/>
      <c r="BR146" s="6">
        <f>IF(+R146-BN146+BP146&gt;0,R146-BN146+BP146,0)</f>
        <v>0</v>
      </c>
      <c r="BS146" s="22"/>
      <c r="BT146" s="6">
        <f>+BN146+BR146</f>
        <v>0</v>
      </c>
      <c r="BU146" s="22"/>
      <c r="BV146" s="6">
        <f>+R146-BT146</f>
        <v>0</v>
      </c>
      <c r="BW146" s="80"/>
    </row>
    <row r="147" spans="1:75" s="15" customFormat="1">
      <c r="A147" s="57"/>
      <c r="B147" s="17"/>
      <c r="C147"/>
      <c r="D147"/>
      <c r="E147"/>
      <c r="F147"/>
      <c r="G147"/>
      <c r="H147"/>
      <c r="I147"/>
      <c r="J147" s="49"/>
      <c r="K147"/>
      <c r="L147" s="134"/>
      <c r="M147" s="22"/>
      <c r="N147" s="80"/>
      <c r="O147" s="22"/>
      <c r="P147" s="80"/>
      <c r="Q147" s="22"/>
      <c r="R147" s="80"/>
      <c r="S147" s="22"/>
      <c r="T147" s="80"/>
      <c r="U147" s="80"/>
      <c r="V147" s="80"/>
      <c r="W147" s="80"/>
      <c r="X147" s="80"/>
      <c r="Y147" s="80"/>
      <c r="Z147" s="80"/>
      <c r="AA147" s="80"/>
      <c r="AB147" s="80"/>
      <c r="AC147" s="80"/>
      <c r="AD147" s="80"/>
      <c r="AE147" s="80"/>
      <c r="AF147" s="80"/>
      <c r="AG147" s="80"/>
      <c r="AH147" s="80"/>
      <c r="AI147" s="80"/>
      <c r="AJ147" s="80"/>
      <c r="AK147" s="80"/>
      <c r="AL147" s="80"/>
      <c r="AM147" s="80"/>
      <c r="AN147" s="80"/>
      <c r="AO147" s="80"/>
      <c r="AP147" s="80"/>
      <c r="AQ147" s="80"/>
      <c r="AR147" s="80"/>
      <c r="AS147" s="80"/>
      <c r="AT147" s="80"/>
      <c r="AU147" s="80"/>
      <c r="AV147" s="80"/>
      <c r="AW147" s="80"/>
      <c r="AX147" s="80"/>
      <c r="AY147" s="80"/>
      <c r="AZ147" s="80"/>
      <c r="BA147" s="80"/>
      <c r="BB147" s="80"/>
      <c r="BC147" s="80"/>
      <c r="BD147" s="80"/>
      <c r="BE147" s="80"/>
      <c r="BF147" s="80"/>
      <c r="BG147" s="80"/>
      <c r="BH147" s="80"/>
      <c r="BI147" s="80"/>
      <c r="BJ147" s="80"/>
      <c r="BK147" s="80"/>
      <c r="BL147" s="80"/>
      <c r="BM147" s="22"/>
      <c r="BN147" s="80"/>
      <c r="BO147" s="22"/>
      <c r="BP147" s="80"/>
      <c r="BQ147" s="22"/>
      <c r="BR147" s="80"/>
      <c r="BS147" s="22"/>
      <c r="BT147" s="80"/>
      <c r="BU147" s="22"/>
      <c r="BV147" s="80"/>
      <c r="BW147" s="80"/>
    </row>
    <row r="148" spans="1:75" s="104" customFormat="1">
      <c r="A148" s="111"/>
      <c r="B148" s="77" t="s">
        <v>247</v>
      </c>
      <c r="C148" s="21"/>
      <c r="D148" s="21"/>
      <c r="E148" s="21"/>
      <c r="F148" s="21"/>
      <c r="G148" s="21"/>
      <c r="H148" s="21"/>
      <c r="I148" s="21"/>
      <c r="J148" s="8"/>
      <c r="K148" s="21"/>
      <c r="L148" s="143"/>
      <c r="M148" s="16"/>
      <c r="N148" s="108">
        <f>SUM(N146:N147)</f>
        <v>0</v>
      </c>
      <c r="O148" s="16"/>
      <c r="P148" s="108">
        <f>SUM(P146:P147)</f>
        <v>0</v>
      </c>
      <c r="Q148" s="16"/>
      <c r="R148" s="108">
        <f>SUM(R146:R147)</f>
        <v>0</v>
      </c>
      <c r="S148" s="16"/>
      <c r="T148" s="108">
        <f>SUM(T146:T147)</f>
        <v>0</v>
      </c>
      <c r="U148" s="16"/>
      <c r="V148" s="108">
        <f>SUM(V146:V147)</f>
        <v>0</v>
      </c>
      <c r="W148" s="16"/>
      <c r="X148" s="108">
        <f>SUM(X146:X147)</f>
        <v>0</v>
      </c>
      <c r="Y148" s="16"/>
      <c r="Z148" s="108">
        <f>SUM(Z146:Z147)</f>
        <v>0</v>
      </c>
      <c r="AA148" s="16"/>
      <c r="AB148" s="108">
        <f>SUM(AB146:AB147)</f>
        <v>0</v>
      </c>
      <c r="AC148" s="16"/>
      <c r="AD148" s="108">
        <f>SUM(AD146:AD147)</f>
        <v>0</v>
      </c>
      <c r="AE148" s="16"/>
      <c r="AF148" s="108">
        <f>SUM(AF146:AF147)</f>
        <v>0</v>
      </c>
      <c r="AG148" s="16"/>
      <c r="AH148" s="108">
        <f>SUM(AH146:AH147)</f>
        <v>0</v>
      </c>
      <c r="AI148" s="16"/>
      <c r="AJ148" s="108">
        <f>SUM(AJ146:AJ147)</f>
        <v>0</v>
      </c>
      <c r="AK148" s="16"/>
      <c r="AL148" s="108">
        <f>SUM(AL146:AL147)</f>
        <v>0</v>
      </c>
      <c r="AM148" s="108"/>
      <c r="AN148" s="108">
        <f>SUM(AN146:AN147)</f>
        <v>0</v>
      </c>
      <c r="AO148" s="16"/>
      <c r="AP148" s="108">
        <f>SUM(AP146:AP147)</f>
        <v>0</v>
      </c>
      <c r="AQ148" s="16"/>
      <c r="AR148" s="108">
        <f>SUM(AR146:AR147)</f>
        <v>0</v>
      </c>
      <c r="AS148" s="16"/>
      <c r="AT148" s="108">
        <f>SUM(AT146:AT147)</f>
        <v>0</v>
      </c>
      <c r="AU148" s="16"/>
      <c r="AV148" s="108">
        <f>SUM(AV146:AV147)</f>
        <v>0</v>
      </c>
      <c r="AW148" s="103"/>
      <c r="AX148" s="108">
        <f>SUM(AX146:AX147)</f>
        <v>0</v>
      </c>
      <c r="AY148" s="103"/>
      <c r="AZ148" s="108">
        <f>SUM(AZ146:AZ147)</f>
        <v>0</v>
      </c>
      <c r="BA148" s="103"/>
      <c r="BB148" s="108">
        <f>SUM(BB146:BB147)</f>
        <v>0</v>
      </c>
      <c r="BC148" s="103"/>
      <c r="BD148" s="108">
        <f>SUM(BD146:BD147)</f>
        <v>0</v>
      </c>
      <c r="BE148" s="103"/>
      <c r="BF148" s="108">
        <f>SUM(BF146:BF147)</f>
        <v>0</v>
      </c>
      <c r="BG148" s="103"/>
      <c r="BH148" s="108">
        <f>SUM(BH146:BH147)</f>
        <v>0</v>
      </c>
      <c r="BI148" s="103"/>
      <c r="BJ148" s="108">
        <f>SUM(BJ146:BJ147)</f>
        <v>0</v>
      </c>
      <c r="BK148" s="103"/>
      <c r="BL148" s="108">
        <f>SUM(BL146:BL147)</f>
        <v>0</v>
      </c>
      <c r="BM148" s="16"/>
      <c r="BN148" s="108">
        <f>SUM(BN146:BN147)</f>
        <v>0</v>
      </c>
      <c r="BO148" s="16"/>
      <c r="BP148" s="108">
        <f>SUM(BP146:BP147)</f>
        <v>0</v>
      </c>
      <c r="BQ148" s="16"/>
      <c r="BR148" s="108">
        <f>SUM(BR146:BR147)</f>
        <v>0</v>
      </c>
      <c r="BS148" s="16"/>
      <c r="BT148" s="108">
        <f>SUM(BT146:BT147)</f>
        <v>0</v>
      </c>
      <c r="BU148" s="16"/>
      <c r="BV148" s="108">
        <f>SUM(BV146:BV147)</f>
        <v>0</v>
      </c>
      <c r="BW148" s="16"/>
    </row>
    <row r="149" spans="1:75" s="15" customFormat="1">
      <c r="A149" s="57"/>
      <c r="B149" s="17"/>
      <c r="C149"/>
      <c r="D149"/>
      <c r="E149"/>
      <c r="F149"/>
      <c r="G149"/>
      <c r="H149"/>
      <c r="I149"/>
      <c r="J149" s="49"/>
      <c r="K149"/>
      <c r="L149" s="134"/>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row>
    <row r="150" spans="1:75" s="105" customFormat="1">
      <c r="A150" s="162" t="s">
        <v>248</v>
      </c>
      <c r="B150" s="63"/>
      <c r="J150" s="158"/>
      <c r="L150" s="144"/>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row>
    <row r="151" spans="1:75" s="15" customFormat="1" hidden="1">
      <c r="A151" s="62" t="s">
        <v>22</v>
      </c>
      <c r="B151" s="17"/>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row>
    <row r="152" spans="1:75" s="15" customFormat="1" hidden="1">
      <c r="A152" s="62"/>
      <c r="B152" s="17" t="s">
        <v>164</v>
      </c>
      <c r="C152"/>
      <c r="D152"/>
      <c r="E152"/>
      <c r="F152"/>
      <c r="G152"/>
      <c r="H152"/>
      <c r="I152"/>
      <c r="J152" s="49"/>
      <c r="K152"/>
      <c r="L152" s="134" t="s">
        <v>204</v>
      </c>
      <c r="M152" s="22"/>
      <c r="N152" s="22">
        <v>0</v>
      </c>
      <c r="O152" s="22"/>
      <c r="P152" s="22">
        <v>0</v>
      </c>
      <c r="Q152" s="22"/>
      <c r="R152" s="6">
        <f t="shared" ref="R152:R161" si="34">+N152+P152</f>
        <v>0</v>
      </c>
      <c r="S152" s="22"/>
      <c r="T152" s="22">
        <v>0</v>
      </c>
      <c r="U152" s="22"/>
      <c r="V152" s="22">
        <v>0</v>
      </c>
      <c r="W152" s="22"/>
      <c r="X152" s="22">
        <v>0</v>
      </c>
      <c r="Y152" s="22"/>
      <c r="Z152" s="22">
        <v>0</v>
      </c>
      <c r="AA152" s="22"/>
      <c r="AB152" s="22">
        <v>0</v>
      </c>
      <c r="AC152" s="22"/>
      <c r="AD152" s="22">
        <v>0</v>
      </c>
      <c r="AE152" s="22"/>
      <c r="AF152" s="22">
        <v>0</v>
      </c>
      <c r="AG152" s="22"/>
      <c r="AH152" s="22">
        <v>0</v>
      </c>
      <c r="AI152" s="22"/>
      <c r="AJ152" s="22">
        <v>0</v>
      </c>
      <c r="AK152" s="22"/>
      <c r="AL152" s="22"/>
      <c r="AM152" s="22"/>
      <c r="AN152" s="22">
        <v>0</v>
      </c>
      <c r="AO152" s="22"/>
      <c r="AP152" s="22">
        <v>0</v>
      </c>
      <c r="AQ152" s="22"/>
      <c r="AR152" s="22">
        <v>0</v>
      </c>
      <c r="AS152" s="22"/>
      <c r="AT152" s="22">
        <v>0</v>
      </c>
      <c r="AU152" s="22"/>
      <c r="AV152" s="22">
        <v>0</v>
      </c>
      <c r="AW152" s="22"/>
      <c r="AX152" s="22">
        <v>0</v>
      </c>
      <c r="AY152" s="22"/>
      <c r="AZ152" s="22">
        <v>0</v>
      </c>
      <c r="BA152" s="22"/>
      <c r="BB152" s="22">
        <v>0</v>
      </c>
      <c r="BC152" s="22"/>
      <c r="BD152" s="22">
        <v>0</v>
      </c>
      <c r="BE152" s="22"/>
      <c r="BF152" s="22">
        <v>0</v>
      </c>
      <c r="BG152" s="22"/>
      <c r="BH152" s="22">
        <v>0</v>
      </c>
      <c r="BI152" s="22"/>
      <c r="BJ152" s="22">
        <v>0</v>
      </c>
      <c r="BK152" s="22"/>
      <c r="BL152" s="22">
        <v>0</v>
      </c>
      <c r="BM152" s="22"/>
      <c r="BN152" s="22">
        <f t="shared" ref="BN152:BN161" si="35">SUM(T152:BM152)</f>
        <v>0</v>
      </c>
      <c r="BO152" s="22"/>
      <c r="BP152" s="22">
        <v>0</v>
      </c>
      <c r="BQ152" s="22"/>
      <c r="BR152" s="22">
        <f t="shared" ref="BR152:BR161" si="36">+R152-BN152+BP152</f>
        <v>0</v>
      </c>
      <c r="BS152" s="22"/>
      <c r="BT152" s="6">
        <f t="shared" ref="BT152:BT161" si="37">+BN152+BR152</f>
        <v>0</v>
      </c>
      <c r="BU152" s="22"/>
      <c r="BV152" s="6">
        <f t="shared" ref="BV152:BV161" si="38">+R152-BT152</f>
        <v>0</v>
      </c>
      <c r="BW152" s="22"/>
    </row>
    <row r="153" spans="1:75" s="15" customFormat="1" hidden="1">
      <c r="A153" s="62"/>
      <c r="B153" s="17" t="s">
        <v>165</v>
      </c>
      <c r="C153"/>
      <c r="D153"/>
      <c r="E153"/>
      <c r="F153"/>
      <c r="G153"/>
      <c r="H153"/>
      <c r="I153"/>
      <c r="J153" s="49"/>
      <c r="K153"/>
      <c r="L153" s="134" t="s">
        <v>204</v>
      </c>
      <c r="M153" s="22"/>
      <c r="N153" s="22">
        <v>0</v>
      </c>
      <c r="O153" s="22"/>
      <c r="P153" s="22">
        <v>0</v>
      </c>
      <c r="Q153" s="22"/>
      <c r="R153" s="6">
        <f t="shared" si="34"/>
        <v>0</v>
      </c>
      <c r="S153" s="22"/>
      <c r="T153" s="22">
        <v>0</v>
      </c>
      <c r="U153" s="22"/>
      <c r="V153" s="22">
        <v>0</v>
      </c>
      <c r="W153" s="22"/>
      <c r="X153" s="22">
        <v>0</v>
      </c>
      <c r="Y153" s="22"/>
      <c r="Z153" s="22">
        <v>0</v>
      </c>
      <c r="AA153" s="22"/>
      <c r="AB153" s="22">
        <v>0</v>
      </c>
      <c r="AC153" s="22"/>
      <c r="AD153" s="22">
        <v>0</v>
      </c>
      <c r="AE153" s="22"/>
      <c r="AF153" s="22">
        <v>0</v>
      </c>
      <c r="AG153" s="22"/>
      <c r="AH153" s="22">
        <v>0</v>
      </c>
      <c r="AI153" s="22"/>
      <c r="AJ153" s="22">
        <v>0</v>
      </c>
      <c r="AK153" s="22"/>
      <c r="AL153" s="22"/>
      <c r="AM153" s="22"/>
      <c r="AN153" s="22">
        <v>0</v>
      </c>
      <c r="AO153" s="22"/>
      <c r="AP153" s="22">
        <v>0</v>
      </c>
      <c r="AQ153" s="22"/>
      <c r="AR153" s="22">
        <v>0</v>
      </c>
      <c r="AS153" s="22"/>
      <c r="AT153" s="22">
        <v>0</v>
      </c>
      <c r="AU153" s="22"/>
      <c r="AV153" s="22">
        <v>0</v>
      </c>
      <c r="AW153" s="22"/>
      <c r="AX153" s="22">
        <v>0</v>
      </c>
      <c r="AY153" s="22"/>
      <c r="AZ153" s="22">
        <v>0</v>
      </c>
      <c r="BA153" s="22"/>
      <c r="BB153" s="22">
        <v>0</v>
      </c>
      <c r="BC153" s="22"/>
      <c r="BD153" s="22">
        <v>0</v>
      </c>
      <c r="BE153" s="22"/>
      <c r="BF153" s="22">
        <v>0</v>
      </c>
      <c r="BG153" s="22"/>
      <c r="BH153" s="22">
        <v>0</v>
      </c>
      <c r="BI153" s="22"/>
      <c r="BJ153" s="22">
        <v>0</v>
      </c>
      <c r="BK153" s="22"/>
      <c r="BL153" s="22">
        <v>0</v>
      </c>
      <c r="BM153" s="22"/>
      <c r="BN153" s="22">
        <f t="shared" si="35"/>
        <v>0</v>
      </c>
      <c r="BO153" s="22"/>
      <c r="BP153" s="22">
        <v>0</v>
      </c>
      <c r="BQ153" s="22"/>
      <c r="BR153" s="22">
        <f t="shared" si="36"/>
        <v>0</v>
      </c>
      <c r="BS153" s="22"/>
      <c r="BT153" s="6">
        <f t="shared" si="37"/>
        <v>0</v>
      </c>
      <c r="BU153" s="22"/>
      <c r="BV153" s="6">
        <f t="shared" si="38"/>
        <v>0</v>
      </c>
      <c r="BW153" s="22"/>
    </row>
    <row r="154" spans="1:75" s="15" customFormat="1" hidden="1">
      <c r="A154" s="62"/>
      <c r="B154" s="17" t="s">
        <v>166</v>
      </c>
      <c r="C154"/>
      <c r="D154"/>
      <c r="E154"/>
      <c r="F154"/>
      <c r="G154"/>
      <c r="H154"/>
      <c r="I154"/>
      <c r="J154" s="49"/>
      <c r="K154"/>
      <c r="L154" s="134" t="s">
        <v>204</v>
      </c>
      <c r="M154" s="22"/>
      <c r="N154" s="22">
        <v>0</v>
      </c>
      <c r="O154" s="22"/>
      <c r="P154" s="22">
        <v>0</v>
      </c>
      <c r="Q154" s="22"/>
      <c r="R154" s="6">
        <f t="shared" si="34"/>
        <v>0</v>
      </c>
      <c r="S154" s="22"/>
      <c r="T154" s="22">
        <v>0</v>
      </c>
      <c r="U154" s="22"/>
      <c r="V154" s="22">
        <v>0</v>
      </c>
      <c r="W154" s="22"/>
      <c r="X154" s="22">
        <v>0</v>
      </c>
      <c r="Y154" s="22"/>
      <c r="Z154" s="22">
        <v>0</v>
      </c>
      <c r="AA154" s="22"/>
      <c r="AB154" s="22">
        <v>0</v>
      </c>
      <c r="AC154" s="22"/>
      <c r="AD154" s="22">
        <v>0</v>
      </c>
      <c r="AE154" s="22"/>
      <c r="AF154" s="22">
        <v>0</v>
      </c>
      <c r="AG154" s="22"/>
      <c r="AH154" s="22">
        <v>0</v>
      </c>
      <c r="AI154" s="22"/>
      <c r="AJ154" s="22">
        <v>0</v>
      </c>
      <c r="AK154" s="22"/>
      <c r="AL154" s="22"/>
      <c r="AM154" s="22"/>
      <c r="AN154" s="22">
        <v>0</v>
      </c>
      <c r="AO154" s="22"/>
      <c r="AP154" s="22">
        <v>0</v>
      </c>
      <c r="AQ154" s="22"/>
      <c r="AR154" s="22">
        <v>0</v>
      </c>
      <c r="AS154" s="22"/>
      <c r="AT154" s="22">
        <v>0</v>
      </c>
      <c r="AU154" s="22"/>
      <c r="AV154" s="22">
        <v>0</v>
      </c>
      <c r="AW154" s="22"/>
      <c r="AX154" s="22">
        <v>0</v>
      </c>
      <c r="AY154" s="22"/>
      <c r="AZ154" s="22">
        <v>0</v>
      </c>
      <c r="BA154" s="22"/>
      <c r="BB154" s="22">
        <v>0</v>
      </c>
      <c r="BC154" s="22"/>
      <c r="BD154" s="22">
        <v>0</v>
      </c>
      <c r="BE154" s="22"/>
      <c r="BF154" s="22">
        <v>0</v>
      </c>
      <c r="BG154" s="22"/>
      <c r="BH154" s="22">
        <v>0</v>
      </c>
      <c r="BI154" s="22"/>
      <c r="BJ154" s="22">
        <v>0</v>
      </c>
      <c r="BK154" s="22"/>
      <c r="BL154" s="22">
        <v>0</v>
      </c>
      <c r="BM154" s="22"/>
      <c r="BN154" s="22">
        <f t="shared" si="35"/>
        <v>0</v>
      </c>
      <c r="BO154" s="22"/>
      <c r="BP154" s="22">
        <v>0</v>
      </c>
      <c r="BQ154" s="22"/>
      <c r="BR154" s="22">
        <f t="shared" si="36"/>
        <v>0</v>
      </c>
      <c r="BS154" s="22"/>
      <c r="BT154" s="6">
        <f t="shared" si="37"/>
        <v>0</v>
      </c>
      <c r="BU154" s="22"/>
      <c r="BV154" s="6">
        <f t="shared" si="38"/>
        <v>0</v>
      </c>
      <c r="BW154" s="22"/>
    </row>
    <row r="155" spans="1:75" s="15" customFormat="1" hidden="1">
      <c r="A155" s="62"/>
      <c r="B155" s="17" t="s">
        <v>167</v>
      </c>
      <c r="C155"/>
      <c r="D155"/>
      <c r="E155"/>
      <c r="F155"/>
      <c r="G155"/>
      <c r="H155"/>
      <c r="I155"/>
      <c r="J155" s="49"/>
      <c r="K155"/>
      <c r="L155" s="134" t="s">
        <v>204</v>
      </c>
      <c r="M155" s="22"/>
      <c r="N155" s="22">
        <v>0</v>
      </c>
      <c r="O155" s="22"/>
      <c r="P155" s="22">
        <v>0</v>
      </c>
      <c r="Q155" s="22"/>
      <c r="R155" s="6">
        <f t="shared" si="34"/>
        <v>0</v>
      </c>
      <c r="S155" s="22"/>
      <c r="T155" s="22">
        <v>0</v>
      </c>
      <c r="U155" s="22"/>
      <c r="V155" s="22">
        <v>0</v>
      </c>
      <c r="W155" s="22"/>
      <c r="X155" s="22">
        <v>0</v>
      </c>
      <c r="Y155" s="22"/>
      <c r="Z155" s="22">
        <v>0</v>
      </c>
      <c r="AA155" s="22"/>
      <c r="AB155" s="22">
        <v>0</v>
      </c>
      <c r="AC155" s="22"/>
      <c r="AD155" s="22">
        <v>0</v>
      </c>
      <c r="AE155" s="22"/>
      <c r="AF155" s="22">
        <v>0</v>
      </c>
      <c r="AG155" s="22"/>
      <c r="AH155" s="22">
        <v>0</v>
      </c>
      <c r="AI155" s="22"/>
      <c r="AJ155" s="22">
        <v>0</v>
      </c>
      <c r="AK155" s="22"/>
      <c r="AL155" s="22"/>
      <c r="AM155" s="22"/>
      <c r="AN155" s="22">
        <v>0</v>
      </c>
      <c r="AO155" s="22"/>
      <c r="AP155" s="22">
        <v>0</v>
      </c>
      <c r="AQ155" s="22"/>
      <c r="AR155" s="22">
        <v>0</v>
      </c>
      <c r="AS155" s="22"/>
      <c r="AT155" s="22">
        <v>0</v>
      </c>
      <c r="AU155" s="22"/>
      <c r="AV155" s="22">
        <v>0</v>
      </c>
      <c r="AW155" s="22"/>
      <c r="AX155" s="22">
        <v>0</v>
      </c>
      <c r="AY155" s="22"/>
      <c r="AZ155" s="22">
        <v>0</v>
      </c>
      <c r="BA155" s="22"/>
      <c r="BB155" s="22">
        <v>0</v>
      </c>
      <c r="BC155" s="22"/>
      <c r="BD155" s="22">
        <v>0</v>
      </c>
      <c r="BE155" s="22"/>
      <c r="BF155" s="22">
        <v>0</v>
      </c>
      <c r="BG155" s="22"/>
      <c r="BH155" s="22">
        <v>0</v>
      </c>
      <c r="BI155" s="22"/>
      <c r="BJ155" s="22">
        <v>0</v>
      </c>
      <c r="BK155" s="22"/>
      <c r="BL155" s="22">
        <v>0</v>
      </c>
      <c r="BM155" s="22"/>
      <c r="BN155" s="22">
        <f t="shared" si="35"/>
        <v>0</v>
      </c>
      <c r="BO155" s="22"/>
      <c r="BP155" s="22">
        <v>0</v>
      </c>
      <c r="BQ155" s="22"/>
      <c r="BR155" s="22">
        <f t="shared" si="36"/>
        <v>0</v>
      </c>
      <c r="BS155" s="22"/>
      <c r="BT155" s="6">
        <f t="shared" si="37"/>
        <v>0</v>
      </c>
      <c r="BU155" s="22"/>
      <c r="BV155" s="6">
        <f t="shared" si="38"/>
        <v>0</v>
      </c>
      <c r="BW155" s="22"/>
    </row>
    <row r="156" spans="1:75" s="15" customFormat="1" hidden="1">
      <c r="A156" s="62"/>
      <c r="B156" s="17" t="s">
        <v>69</v>
      </c>
      <c r="C156"/>
      <c r="D156"/>
      <c r="E156"/>
      <c r="F156"/>
      <c r="G156"/>
      <c r="H156"/>
      <c r="I156"/>
      <c r="J156" s="49"/>
      <c r="K156"/>
      <c r="L156" s="134" t="s">
        <v>204</v>
      </c>
      <c r="M156" s="22"/>
      <c r="N156" s="22">
        <v>0</v>
      </c>
      <c r="O156" s="22"/>
      <c r="P156" s="22">
        <v>0</v>
      </c>
      <c r="Q156" s="22"/>
      <c r="R156" s="6">
        <f t="shared" si="34"/>
        <v>0</v>
      </c>
      <c r="S156" s="22"/>
      <c r="T156" s="22">
        <v>0</v>
      </c>
      <c r="U156" s="22"/>
      <c r="V156" s="22">
        <v>0</v>
      </c>
      <c r="W156" s="22"/>
      <c r="X156" s="22">
        <v>0</v>
      </c>
      <c r="Y156" s="22"/>
      <c r="Z156" s="22">
        <v>0</v>
      </c>
      <c r="AA156" s="22"/>
      <c r="AB156" s="22">
        <v>0</v>
      </c>
      <c r="AC156" s="22"/>
      <c r="AD156" s="22">
        <v>0</v>
      </c>
      <c r="AE156" s="22"/>
      <c r="AF156" s="22">
        <v>0</v>
      </c>
      <c r="AG156" s="22"/>
      <c r="AH156" s="22">
        <v>0</v>
      </c>
      <c r="AI156" s="22"/>
      <c r="AJ156" s="22">
        <v>0</v>
      </c>
      <c r="AK156" s="22"/>
      <c r="AL156" s="22"/>
      <c r="AM156" s="22"/>
      <c r="AN156" s="22">
        <v>0</v>
      </c>
      <c r="AO156" s="22"/>
      <c r="AP156" s="22">
        <v>0</v>
      </c>
      <c r="AQ156" s="22"/>
      <c r="AR156" s="22">
        <v>0</v>
      </c>
      <c r="AS156" s="22"/>
      <c r="AT156" s="22">
        <v>0</v>
      </c>
      <c r="AU156" s="22"/>
      <c r="AV156" s="22">
        <v>0</v>
      </c>
      <c r="AW156" s="22"/>
      <c r="AX156" s="22">
        <v>0</v>
      </c>
      <c r="AY156" s="22"/>
      <c r="AZ156" s="22">
        <v>0</v>
      </c>
      <c r="BA156" s="22"/>
      <c r="BB156" s="22">
        <v>0</v>
      </c>
      <c r="BC156" s="22"/>
      <c r="BD156" s="22">
        <v>0</v>
      </c>
      <c r="BE156" s="22"/>
      <c r="BF156" s="22">
        <v>0</v>
      </c>
      <c r="BG156" s="22"/>
      <c r="BH156" s="22">
        <v>0</v>
      </c>
      <c r="BI156" s="22"/>
      <c r="BJ156" s="22">
        <v>0</v>
      </c>
      <c r="BK156" s="22"/>
      <c r="BL156" s="22">
        <v>0</v>
      </c>
      <c r="BM156" s="22"/>
      <c r="BN156" s="22">
        <f t="shared" si="35"/>
        <v>0</v>
      </c>
      <c r="BO156" s="22"/>
      <c r="BP156" s="22">
        <v>0</v>
      </c>
      <c r="BQ156" s="22"/>
      <c r="BR156" s="22">
        <f t="shared" si="36"/>
        <v>0</v>
      </c>
      <c r="BS156" s="22"/>
      <c r="BT156" s="6">
        <f t="shared" si="37"/>
        <v>0</v>
      </c>
      <c r="BU156" s="22"/>
      <c r="BV156" s="6">
        <f t="shared" si="38"/>
        <v>0</v>
      </c>
      <c r="BW156" s="22"/>
    </row>
    <row r="157" spans="1:75" s="15" customFormat="1" hidden="1">
      <c r="A157" s="62"/>
      <c r="B157" s="17" t="s">
        <v>70</v>
      </c>
      <c r="C157"/>
      <c r="D157"/>
      <c r="E157"/>
      <c r="F157"/>
      <c r="G157"/>
      <c r="H157"/>
      <c r="I157"/>
      <c r="J157" s="49"/>
      <c r="K157"/>
      <c r="L157" s="134" t="s">
        <v>204</v>
      </c>
      <c r="M157" s="22"/>
      <c r="N157" s="22">
        <v>0</v>
      </c>
      <c r="O157" s="22"/>
      <c r="P157" s="22">
        <v>0</v>
      </c>
      <c r="Q157" s="22"/>
      <c r="R157" s="6">
        <f t="shared" si="34"/>
        <v>0</v>
      </c>
      <c r="S157" s="22"/>
      <c r="T157" s="22">
        <v>0</v>
      </c>
      <c r="U157" s="22"/>
      <c r="V157" s="22">
        <v>0</v>
      </c>
      <c r="W157" s="22"/>
      <c r="X157" s="22">
        <v>0</v>
      </c>
      <c r="Y157" s="22"/>
      <c r="Z157" s="22">
        <v>0</v>
      </c>
      <c r="AA157" s="22"/>
      <c r="AB157" s="22">
        <v>0</v>
      </c>
      <c r="AC157" s="22"/>
      <c r="AD157" s="22">
        <v>0</v>
      </c>
      <c r="AE157" s="22"/>
      <c r="AF157" s="22">
        <v>0</v>
      </c>
      <c r="AG157" s="22"/>
      <c r="AH157" s="22">
        <v>0</v>
      </c>
      <c r="AI157" s="22"/>
      <c r="AJ157" s="22">
        <v>0</v>
      </c>
      <c r="AK157" s="22"/>
      <c r="AL157" s="22"/>
      <c r="AM157" s="22"/>
      <c r="AN157" s="22">
        <v>0</v>
      </c>
      <c r="AO157" s="22"/>
      <c r="AP157" s="22">
        <v>0</v>
      </c>
      <c r="AQ157" s="22"/>
      <c r="AR157" s="22">
        <v>0</v>
      </c>
      <c r="AS157" s="22"/>
      <c r="AT157" s="22">
        <v>0</v>
      </c>
      <c r="AU157" s="22"/>
      <c r="AV157" s="22">
        <v>0</v>
      </c>
      <c r="AW157" s="22"/>
      <c r="AX157" s="22">
        <v>0</v>
      </c>
      <c r="AY157" s="22"/>
      <c r="AZ157" s="22">
        <v>0</v>
      </c>
      <c r="BA157" s="22"/>
      <c r="BB157" s="22">
        <v>0</v>
      </c>
      <c r="BC157" s="22"/>
      <c r="BD157" s="22">
        <v>0</v>
      </c>
      <c r="BE157" s="22"/>
      <c r="BF157" s="22">
        <v>0</v>
      </c>
      <c r="BG157" s="22"/>
      <c r="BH157" s="22">
        <v>0</v>
      </c>
      <c r="BI157" s="22"/>
      <c r="BJ157" s="22">
        <v>0</v>
      </c>
      <c r="BK157" s="22"/>
      <c r="BL157" s="22">
        <v>0</v>
      </c>
      <c r="BM157" s="22"/>
      <c r="BN157" s="22">
        <f t="shared" si="35"/>
        <v>0</v>
      </c>
      <c r="BO157" s="22"/>
      <c r="BP157" s="22">
        <v>0</v>
      </c>
      <c r="BQ157" s="22"/>
      <c r="BR157" s="22">
        <f t="shared" si="36"/>
        <v>0</v>
      </c>
      <c r="BS157" s="22"/>
      <c r="BT157" s="6">
        <f t="shared" si="37"/>
        <v>0</v>
      </c>
      <c r="BU157" s="22"/>
      <c r="BV157" s="6">
        <f t="shared" si="38"/>
        <v>0</v>
      </c>
      <c r="BW157" s="22"/>
    </row>
    <row r="158" spans="1:75" s="15" customFormat="1" hidden="1">
      <c r="A158" s="62"/>
      <c r="B158" s="17" t="s">
        <v>168</v>
      </c>
      <c r="C158"/>
      <c r="D158"/>
      <c r="E158"/>
      <c r="F158"/>
      <c r="G158"/>
      <c r="H158"/>
      <c r="I158"/>
      <c r="J158" s="49"/>
      <c r="K158"/>
      <c r="L158" s="134" t="s">
        <v>204</v>
      </c>
      <c r="M158" s="22"/>
      <c r="N158" s="22">
        <v>0</v>
      </c>
      <c r="O158" s="22"/>
      <c r="P158" s="22">
        <v>0</v>
      </c>
      <c r="Q158" s="22"/>
      <c r="R158" s="6">
        <f t="shared" si="34"/>
        <v>0</v>
      </c>
      <c r="S158" s="22"/>
      <c r="T158" s="22">
        <v>0</v>
      </c>
      <c r="U158" s="22"/>
      <c r="V158" s="22">
        <v>0</v>
      </c>
      <c r="W158" s="22"/>
      <c r="X158" s="22">
        <v>0</v>
      </c>
      <c r="Y158" s="22"/>
      <c r="Z158" s="22">
        <v>0</v>
      </c>
      <c r="AA158" s="22"/>
      <c r="AB158" s="22">
        <v>0</v>
      </c>
      <c r="AC158" s="22"/>
      <c r="AD158" s="22">
        <v>0</v>
      </c>
      <c r="AE158" s="22"/>
      <c r="AF158" s="22">
        <v>0</v>
      </c>
      <c r="AG158" s="22"/>
      <c r="AH158" s="22">
        <v>0</v>
      </c>
      <c r="AI158" s="22"/>
      <c r="AJ158" s="22">
        <v>0</v>
      </c>
      <c r="AK158" s="22"/>
      <c r="AL158" s="22"/>
      <c r="AM158" s="22"/>
      <c r="AN158" s="22">
        <v>0</v>
      </c>
      <c r="AO158" s="22"/>
      <c r="AP158" s="22">
        <v>0</v>
      </c>
      <c r="AQ158" s="22"/>
      <c r="AR158" s="22">
        <v>0</v>
      </c>
      <c r="AS158" s="22"/>
      <c r="AT158" s="22">
        <v>0</v>
      </c>
      <c r="AU158" s="22"/>
      <c r="AV158" s="22">
        <v>0</v>
      </c>
      <c r="AW158" s="22"/>
      <c r="AX158" s="22">
        <v>0</v>
      </c>
      <c r="AY158" s="22"/>
      <c r="AZ158" s="22">
        <v>0</v>
      </c>
      <c r="BA158" s="22"/>
      <c r="BB158" s="22">
        <v>0</v>
      </c>
      <c r="BC158" s="22"/>
      <c r="BD158" s="22">
        <v>0</v>
      </c>
      <c r="BE158" s="22"/>
      <c r="BF158" s="22">
        <v>0</v>
      </c>
      <c r="BG158" s="22"/>
      <c r="BH158" s="22">
        <v>0</v>
      </c>
      <c r="BI158" s="22"/>
      <c r="BJ158" s="22">
        <v>0</v>
      </c>
      <c r="BK158" s="22"/>
      <c r="BL158" s="22">
        <v>0</v>
      </c>
      <c r="BM158" s="22"/>
      <c r="BN158" s="22">
        <f t="shared" si="35"/>
        <v>0</v>
      </c>
      <c r="BO158" s="22"/>
      <c r="BP158" s="22">
        <v>0</v>
      </c>
      <c r="BQ158" s="22"/>
      <c r="BR158" s="22">
        <f t="shared" si="36"/>
        <v>0</v>
      </c>
      <c r="BS158" s="22"/>
      <c r="BT158" s="6">
        <f t="shared" si="37"/>
        <v>0</v>
      </c>
      <c r="BU158" s="22"/>
      <c r="BV158" s="6">
        <f t="shared" si="38"/>
        <v>0</v>
      </c>
      <c r="BW158" s="22"/>
    </row>
    <row r="159" spans="1:75" s="15" customFormat="1" hidden="1">
      <c r="A159" s="62"/>
      <c r="B159" s="17" t="s">
        <v>169</v>
      </c>
      <c r="C159"/>
      <c r="D159"/>
      <c r="E159"/>
      <c r="F159"/>
      <c r="G159"/>
      <c r="H159"/>
      <c r="I159"/>
      <c r="J159" s="49"/>
      <c r="K159"/>
      <c r="L159" s="134" t="s">
        <v>204</v>
      </c>
      <c r="M159" s="22"/>
      <c r="N159" s="22">
        <v>0</v>
      </c>
      <c r="O159" s="22"/>
      <c r="P159" s="22">
        <v>0</v>
      </c>
      <c r="Q159" s="22"/>
      <c r="R159" s="6">
        <f t="shared" si="34"/>
        <v>0</v>
      </c>
      <c r="S159" s="22"/>
      <c r="T159" s="22">
        <v>0</v>
      </c>
      <c r="U159" s="22"/>
      <c r="V159" s="22">
        <v>0</v>
      </c>
      <c r="W159" s="22"/>
      <c r="X159" s="22">
        <v>0</v>
      </c>
      <c r="Y159" s="22"/>
      <c r="Z159" s="22">
        <v>0</v>
      </c>
      <c r="AA159" s="22"/>
      <c r="AB159" s="22">
        <v>0</v>
      </c>
      <c r="AC159" s="22"/>
      <c r="AD159" s="22">
        <v>0</v>
      </c>
      <c r="AE159" s="22"/>
      <c r="AF159" s="22">
        <v>0</v>
      </c>
      <c r="AG159" s="22"/>
      <c r="AH159" s="22">
        <v>0</v>
      </c>
      <c r="AI159" s="22"/>
      <c r="AJ159" s="22">
        <v>0</v>
      </c>
      <c r="AK159" s="22"/>
      <c r="AL159" s="22"/>
      <c r="AM159" s="22"/>
      <c r="AN159" s="22">
        <v>0</v>
      </c>
      <c r="AO159" s="22"/>
      <c r="AP159" s="22">
        <v>0</v>
      </c>
      <c r="AQ159" s="22"/>
      <c r="AR159" s="22">
        <v>0</v>
      </c>
      <c r="AS159" s="22"/>
      <c r="AT159" s="22">
        <v>0</v>
      </c>
      <c r="AU159" s="22"/>
      <c r="AV159" s="22">
        <v>0</v>
      </c>
      <c r="AW159" s="22"/>
      <c r="AX159" s="22">
        <v>0</v>
      </c>
      <c r="AY159" s="22"/>
      <c r="AZ159" s="22">
        <v>0</v>
      </c>
      <c r="BA159" s="22"/>
      <c r="BB159" s="22">
        <v>0</v>
      </c>
      <c r="BC159" s="22"/>
      <c r="BD159" s="22">
        <v>0</v>
      </c>
      <c r="BE159" s="22"/>
      <c r="BF159" s="22">
        <v>0</v>
      </c>
      <c r="BG159" s="22"/>
      <c r="BH159" s="22">
        <v>0</v>
      </c>
      <c r="BI159" s="22"/>
      <c r="BJ159" s="22">
        <v>0</v>
      </c>
      <c r="BK159" s="22"/>
      <c r="BL159" s="22">
        <v>0</v>
      </c>
      <c r="BM159" s="22"/>
      <c r="BN159" s="22">
        <f t="shared" si="35"/>
        <v>0</v>
      </c>
      <c r="BO159" s="22"/>
      <c r="BP159" s="22">
        <v>0</v>
      </c>
      <c r="BQ159" s="22"/>
      <c r="BR159" s="22">
        <f t="shared" si="36"/>
        <v>0</v>
      </c>
      <c r="BS159" s="22"/>
      <c r="BT159" s="6">
        <f t="shared" si="37"/>
        <v>0</v>
      </c>
      <c r="BU159" s="22"/>
      <c r="BV159" s="6">
        <f t="shared" si="38"/>
        <v>0</v>
      </c>
      <c r="BW159" s="22"/>
    </row>
    <row r="160" spans="1:75" s="109" customFormat="1" hidden="1">
      <c r="A160" s="77"/>
      <c r="B160" s="17" t="s">
        <v>23</v>
      </c>
      <c r="C160" s="30"/>
      <c r="D160" s="30"/>
      <c r="E160" s="30"/>
      <c r="F160" s="30"/>
      <c r="G160" s="30"/>
      <c r="H160" s="30"/>
      <c r="I160" s="30"/>
      <c r="J160" s="156"/>
      <c r="K160" s="30"/>
      <c r="L160" s="134" t="s">
        <v>204</v>
      </c>
      <c r="M160" s="80"/>
      <c r="N160" s="80">
        <v>0</v>
      </c>
      <c r="O160" s="80"/>
      <c r="P160" s="80">
        <v>0</v>
      </c>
      <c r="Q160" s="80"/>
      <c r="R160" s="6">
        <f t="shared" si="34"/>
        <v>0</v>
      </c>
      <c r="S160" s="80"/>
      <c r="T160" s="80">
        <v>0</v>
      </c>
      <c r="U160" s="80"/>
      <c r="V160" s="80">
        <v>0</v>
      </c>
      <c r="W160" s="80"/>
      <c r="X160" s="80">
        <v>0</v>
      </c>
      <c r="Y160" s="80"/>
      <c r="Z160" s="80">
        <v>0</v>
      </c>
      <c r="AA160" s="80"/>
      <c r="AB160" s="80">
        <v>0</v>
      </c>
      <c r="AC160" s="80"/>
      <c r="AD160" s="80">
        <v>0</v>
      </c>
      <c r="AE160" s="80"/>
      <c r="AF160" s="80">
        <v>0</v>
      </c>
      <c r="AG160" s="80"/>
      <c r="AH160" s="80">
        <v>0</v>
      </c>
      <c r="AI160" s="80"/>
      <c r="AJ160" s="80">
        <v>0</v>
      </c>
      <c r="AK160" s="80"/>
      <c r="AL160" s="80"/>
      <c r="AM160" s="80"/>
      <c r="AN160" s="80">
        <v>0</v>
      </c>
      <c r="AO160" s="80"/>
      <c r="AP160" s="80">
        <v>0</v>
      </c>
      <c r="AQ160" s="80"/>
      <c r="AR160" s="80">
        <v>0</v>
      </c>
      <c r="AS160" s="80"/>
      <c r="AT160" s="80">
        <v>0</v>
      </c>
      <c r="AU160" s="80"/>
      <c r="AV160" s="80">
        <v>0</v>
      </c>
      <c r="AW160" s="80"/>
      <c r="AX160" s="80">
        <v>0</v>
      </c>
      <c r="AY160" s="80"/>
      <c r="AZ160" s="80">
        <v>0</v>
      </c>
      <c r="BA160" s="80"/>
      <c r="BB160" s="80">
        <v>0</v>
      </c>
      <c r="BC160" s="80"/>
      <c r="BD160" s="80">
        <v>0</v>
      </c>
      <c r="BE160" s="80"/>
      <c r="BF160" s="80">
        <v>0</v>
      </c>
      <c r="BG160" s="80"/>
      <c r="BH160" s="80">
        <v>0</v>
      </c>
      <c r="BI160" s="80"/>
      <c r="BJ160" s="80">
        <v>0</v>
      </c>
      <c r="BK160" s="80"/>
      <c r="BL160" s="80">
        <v>0</v>
      </c>
      <c r="BM160" s="80"/>
      <c r="BN160" s="80">
        <f t="shared" si="35"/>
        <v>0</v>
      </c>
      <c r="BO160" s="80"/>
      <c r="BP160" s="80">
        <v>0</v>
      </c>
      <c r="BQ160" s="80"/>
      <c r="BR160" s="80">
        <f t="shared" si="36"/>
        <v>0</v>
      </c>
      <c r="BS160" s="80"/>
      <c r="BT160" s="6">
        <f t="shared" si="37"/>
        <v>0</v>
      </c>
      <c r="BU160" s="80"/>
      <c r="BV160" s="6">
        <f t="shared" si="38"/>
        <v>0</v>
      </c>
      <c r="BW160" s="80"/>
    </row>
    <row r="161" spans="1:75" s="109" customFormat="1" hidden="1">
      <c r="A161" s="77"/>
      <c r="B161" s="17" t="s">
        <v>122</v>
      </c>
      <c r="C161" s="30"/>
      <c r="D161" s="30"/>
      <c r="E161" s="30"/>
      <c r="F161" s="30"/>
      <c r="G161" s="30"/>
      <c r="H161" s="30"/>
      <c r="I161" s="30"/>
      <c r="J161" s="156"/>
      <c r="K161" s="30"/>
      <c r="L161" s="134" t="s">
        <v>204</v>
      </c>
      <c r="M161" s="80"/>
      <c r="N161" s="80">
        <v>0</v>
      </c>
      <c r="O161" s="80"/>
      <c r="P161" s="80">
        <v>0</v>
      </c>
      <c r="Q161" s="80"/>
      <c r="R161" s="6">
        <f t="shared" si="34"/>
        <v>0</v>
      </c>
      <c r="S161" s="80"/>
      <c r="T161" s="80">
        <v>0</v>
      </c>
      <c r="U161" s="80"/>
      <c r="V161" s="80">
        <v>0</v>
      </c>
      <c r="W161" s="80"/>
      <c r="X161" s="80">
        <v>0</v>
      </c>
      <c r="Y161" s="80"/>
      <c r="Z161" s="80">
        <v>0</v>
      </c>
      <c r="AA161" s="80"/>
      <c r="AB161" s="80">
        <v>0</v>
      </c>
      <c r="AC161" s="80"/>
      <c r="AD161" s="80">
        <v>0</v>
      </c>
      <c r="AE161" s="80"/>
      <c r="AF161" s="80">
        <v>0</v>
      </c>
      <c r="AG161" s="80"/>
      <c r="AH161" s="80">
        <v>0</v>
      </c>
      <c r="AI161" s="80"/>
      <c r="AJ161" s="80">
        <v>0</v>
      </c>
      <c r="AK161" s="80"/>
      <c r="AL161" s="80"/>
      <c r="AM161" s="80"/>
      <c r="AN161" s="80">
        <v>0</v>
      </c>
      <c r="AO161" s="80"/>
      <c r="AP161" s="80">
        <v>0</v>
      </c>
      <c r="AQ161" s="80"/>
      <c r="AR161" s="80">
        <v>0</v>
      </c>
      <c r="AS161" s="80"/>
      <c r="AT161" s="80">
        <v>0</v>
      </c>
      <c r="AU161" s="80"/>
      <c r="AV161" s="80">
        <v>0</v>
      </c>
      <c r="AW161" s="80"/>
      <c r="AX161" s="80">
        <v>0</v>
      </c>
      <c r="AY161" s="80"/>
      <c r="AZ161" s="80">
        <v>0</v>
      </c>
      <c r="BA161" s="80"/>
      <c r="BB161" s="80">
        <v>0</v>
      </c>
      <c r="BC161" s="80"/>
      <c r="BD161" s="80">
        <v>0</v>
      </c>
      <c r="BE161" s="80"/>
      <c r="BF161" s="80">
        <v>0</v>
      </c>
      <c r="BG161" s="80"/>
      <c r="BH161" s="80">
        <v>0</v>
      </c>
      <c r="BI161" s="80"/>
      <c r="BJ161" s="80">
        <v>0</v>
      </c>
      <c r="BK161" s="80"/>
      <c r="BL161" s="80">
        <v>0</v>
      </c>
      <c r="BM161" s="80"/>
      <c r="BN161" s="80">
        <f t="shared" si="35"/>
        <v>0</v>
      </c>
      <c r="BO161" s="80"/>
      <c r="BP161" s="80">
        <v>0</v>
      </c>
      <c r="BQ161" s="80"/>
      <c r="BR161" s="80">
        <f t="shared" si="36"/>
        <v>0</v>
      </c>
      <c r="BS161" s="80"/>
      <c r="BT161" s="6">
        <f t="shared" si="37"/>
        <v>0</v>
      </c>
      <c r="BU161" s="80"/>
      <c r="BV161" s="6">
        <f t="shared" si="38"/>
        <v>0</v>
      </c>
      <c r="BW161" s="80"/>
    </row>
    <row r="162" spans="1:75" s="109" customFormat="1" hidden="1">
      <c r="A162" s="77"/>
      <c r="B162" s="17"/>
      <c r="C162" s="30"/>
      <c r="D162" s="30"/>
      <c r="E162" s="30"/>
      <c r="F162" s="30"/>
      <c r="G162" s="30"/>
      <c r="H162" s="30"/>
      <c r="I162" s="30"/>
      <c r="J162" s="156"/>
      <c r="K162" s="30"/>
      <c r="L162" s="141"/>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c r="BE162" s="80"/>
      <c r="BF162" s="80"/>
      <c r="BG162" s="80"/>
      <c r="BH162" s="80"/>
      <c r="BI162" s="80"/>
      <c r="BJ162" s="80"/>
      <c r="BK162" s="80"/>
      <c r="BL162" s="80"/>
      <c r="BM162" s="80"/>
      <c r="BN162" s="80"/>
      <c r="BO162" s="80"/>
      <c r="BP162" s="80"/>
      <c r="BQ162" s="80"/>
      <c r="BR162" s="80"/>
      <c r="BS162" s="80"/>
      <c r="BT162" s="80"/>
      <c r="BU162" s="80"/>
      <c r="BV162" s="80"/>
      <c r="BW162" s="80"/>
    </row>
    <row r="163" spans="1:75" s="104" customFormat="1" hidden="1">
      <c r="A163" s="111"/>
      <c r="B163" s="77" t="s">
        <v>24</v>
      </c>
      <c r="C163" s="21"/>
      <c r="D163" s="21"/>
      <c r="E163" s="21"/>
      <c r="F163" s="21"/>
      <c r="G163" s="21"/>
      <c r="H163" s="21"/>
      <c r="I163" s="21"/>
      <c r="J163" s="8"/>
      <c r="K163" s="21"/>
      <c r="L163" s="143"/>
      <c r="M163" s="16"/>
      <c r="N163" s="108">
        <f>SUM(N152:N162)</f>
        <v>0</v>
      </c>
      <c r="O163" s="16"/>
      <c r="P163" s="108">
        <f>SUM(P152:P162)</f>
        <v>0</v>
      </c>
      <c r="Q163" s="16"/>
      <c r="R163" s="108">
        <f>SUM(R152:R162)</f>
        <v>0</v>
      </c>
      <c r="S163" s="16"/>
      <c r="T163" s="108">
        <f>SUM(T152:T162)</f>
        <v>0</v>
      </c>
      <c r="U163" s="16"/>
      <c r="V163" s="108">
        <f>SUM(V152:V162)</f>
        <v>0</v>
      </c>
      <c r="W163" s="16"/>
      <c r="X163" s="108">
        <f>SUM(X152:X162)</f>
        <v>0</v>
      </c>
      <c r="Y163" s="16"/>
      <c r="Z163" s="108">
        <f>SUM(Z152:Z162)</f>
        <v>0</v>
      </c>
      <c r="AA163" s="16"/>
      <c r="AB163" s="108">
        <f>SUM(AB152:AB162)</f>
        <v>0</v>
      </c>
      <c r="AC163" s="16"/>
      <c r="AD163" s="108">
        <f>SUM(AD152:AD162)</f>
        <v>0</v>
      </c>
      <c r="AE163" s="16"/>
      <c r="AF163" s="108">
        <f>SUM(AF152:AF162)</f>
        <v>0</v>
      </c>
      <c r="AG163" s="16"/>
      <c r="AH163" s="108">
        <f>SUM(AH152:AH162)</f>
        <v>0</v>
      </c>
      <c r="AI163" s="16"/>
      <c r="AJ163" s="108">
        <f>SUM(AJ152:AJ162)</f>
        <v>0</v>
      </c>
      <c r="AK163" s="16"/>
      <c r="AL163" s="108"/>
      <c r="AM163" s="16"/>
      <c r="AN163" s="108">
        <f>SUM(AN152:AN162)</f>
        <v>0</v>
      </c>
      <c r="AO163" s="16"/>
      <c r="AP163" s="108">
        <f>SUM(AP152:AP162)</f>
        <v>0</v>
      </c>
      <c r="AQ163" s="16"/>
      <c r="AR163" s="108">
        <f>SUM(AR152:AR162)</f>
        <v>0</v>
      </c>
      <c r="AS163" s="16"/>
      <c r="AT163" s="108">
        <f>SUM(AT152:AT162)</f>
        <v>0</v>
      </c>
      <c r="AU163" s="16"/>
      <c r="AV163" s="108">
        <f>SUM(AV152:AV162)</f>
        <v>0</v>
      </c>
      <c r="AW163" s="103"/>
      <c r="AX163" s="108">
        <f>SUM(AX152:AX162)</f>
        <v>0</v>
      </c>
      <c r="AY163" s="103"/>
      <c r="AZ163" s="108">
        <f>SUM(AZ152:AZ162)</f>
        <v>0</v>
      </c>
      <c r="BA163" s="103"/>
      <c r="BB163" s="108">
        <f>SUM(BB152:BB162)</f>
        <v>0</v>
      </c>
      <c r="BC163" s="103"/>
      <c r="BD163" s="108">
        <f>SUM(BD152:BD162)</f>
        <v>0</v>
      </c>
      <c r="BE163" s="103"/>
      <c r="BF163" s="108">
        <f>SUM(BF152:BF162)</f>
        <v>0</v>
      </c>
      <c r="BG163" s="103"/>
      <c r="BH163" s="108">
        <f>SUM(BH152:BH162)</f>
        <v>0</v>
      </c>
      <c r="BI163" s="103"/>
      <c r="BJ163" s="108">
        <f>SUM(BJ152:BJ162)</f>
        <v>0</v>
      </c>
      <c r="BK163" s="103"/>
      <c r="BL163" s="108">
        <f>SUM(BL152:BL162)</f>
        <v>0</v>
      </c>
      <c r="BM163" s="16"/>
      <c r="BN163" s="108">
        <f>SUM(BN152:BN162)</f>
        <v>0</v>
      </c>
      <c r="BO163" s="16"/>
      <c r="BP163" s="108">
        <f>SUM(BP152:BP162)</f>
        <v>0</v>
      </c>
      <c r="BQ163" s="16"/>
      <c r="BR163" s="108">
        <f>SUM(BR152:BR162)</f>
        <v>0</v>
      </c>
      <c r="BS163" s="16"/>
      <c r="BT163" s="108">
        <f>SUM(BT152:BT162)</f>
        <v>0</v>
      </c>
      <c r="BU163" s="16"/>
      <c r="BV163" s="108">
        <f>SUM(BV152:BV162)</f>
        <v>0</v>
      </c>
      <c r="BW163" s="103"/>
    </row>
    <row r="164" spans="1:75" s="15" customFormat="1" hidden="1">
      <c r="A164" s="14"/>
      <c r="B164" s="60"/>
      <c r="C164"/>
      <c r="D164"/>
      <c r="E164"/>
      <c r="F164"/>
      <c r="G164"/>
      <c r="H164"/>
      <c r="I164"/>
      <c r="J164" s="49"/>
      <c r="K164"/>
      <c r="L164" s="134"/>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row>
    <row r="165" spans="1:75" s="15" customFormat="1">
      <c r="A165" s="14"/>
      <c r="B165" s="60"/>
      <c r="C165"/>
      <c r="D165"/>
      <c r="E165"/>
      <c r="F165"/>
      <c r="G165"/>
      <c r="H165"/>
      <c r="I165"/>
      <c r="J165" s="49"/>
      <c r="K165"/>
      <c r="L165" s="134"/>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row>
    <row r="166" spans="1:75">
      <c r="A166" s="56" t="s">
        <v>25</v>
      </c>
      <c r="B166" s="58"/>
      <c r="C166"/>
      <c r="D166"/>
      <c r="E166"/>
      <c r="F166"/>
      <c r="G166"/>
      <c r="H166"/>
      <c r="I166"/>
      <c r="J166" s="49"/>
      <c r="K166"/>
      <c r="L166" s="134"/>
      <c r="M166" s="22"/>
      <c r="O166" s="22"/>
      <c r="Q166" s="22"/>
      <c r="S166" s="22"/>
      <c r="T166" s="6"/>
      <c r="U166" s="6"/>
      <c r="V166" s="6"/>
      <c r="X166" s="6"/>
      <c r="Z166" s="6"/>
      <c r="AB166" s="6"/>
      <c r="AD166" s="6"/>
      <c r="BL166" s="6"/>
      <c r="BM166" s="6"/>
      <c r="BO166" s="6"/>
      <c r="BP166" s="6"/>
      <c r="BQ166" s="6"/>
      <c r="BS166" s="22"/>
      <c r="BU166" s="22"/>
      <c r="BW166" s="6"/>
    </row>
    <row r="167" spans="1:75">
      <c r="A167" s="61"/>
      <c r="B167" s="17" t="s">
        <v>183</v>
      </c>
      <c r="E167" s="4"/>
      <c r="G167" s="4"/>
      <c r="I167" s="4"/>
      <c r="J167" s="5" t="s">
        <v>0</v>
      </c>
      <c r="L167" s="134" t="s">
        <v>204</v>
      </c>
      <c r="M167" s="22"/>
      <c r="N167" s="6">
        <v>0</v>
      </c>
      <c r="O167" s="22"/>
      <c r="P167" s="6">
        <v>0</v>
      </c>
      <c r="Q167" s="22"/>
      <c r="R167" s="6">
        <v>908786</v>
      </c>
      <c r="S167" s="22"/>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908786</v>
      </c>
      <c r="BS167" s="22"/>
      <c r="BT167" s="6">
        <f>+BN167+BR167</f>
        <v>908786</v>
      </c>
      <c r="BU167" s="22"/>
      <c r="BV167" s="6">
        <f>+R167-BT167</f>
        <v>0</v>
      </c>
      <c r="BW167" s="6"/>
    </row>
    <row r="168" spans="1:75" hidden="1">
      <c r="A168" s="61"/>
      <c r="B168" s="17" t="s">
        <v>40</v>
      </c>
      <c r="E168" s="4"/>
      <c r="G168" s="4"/>
      <c r="I168" s="4"/>
      <c r="L168" s="134" t="s">
        <v>204</v>
      </c>
      <c r="M168" s="22"/>
      <c r="N168" s="6">
        <v>0</v>
      </c>
      <c r="O168" s="22"/>
      <c r="P168" s="6">
        <v>0</v>
      </c>
      <c r="Q168" s="22"/>
      <c r="R168" s="6">
        <f>+N168+P168</f>
        <v>0</v>
      </c>
      <c r="S168" s="22"/>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+R168-BN168+BP168</f>
        <v>0</v>
      </c>
      <c r="BS168" s="22"/>
      <c r="BT168" s="6">
        <f>+BN168+BR168</f>
        <v>0</v>
      </c>
      <c r="BU168" s="22"/>
      <c r="BV168" s="6">
        <f>+R168-BT168</f>
        <v>0</v>
      </c>
      <c r="BW168" s="6"/>
    </row>
    <row r="169" spans="1:75" hidden="1">
      <c r="A169" s="61"/>
      <c r="B169" s="17" t="s">
        <v>122</v>
      </c>
      <c r="E169" s="4"/>
      <c r="G169" s="4"/>
      <c r="I169" s="4"/>
      <c r="L169" s="134" t="s">
        <v>204</v>
      </c>
      <c r="M169" s="22"/>
      <c r="N169" s="6">
        <v>0</v>
      </c>
      <c r="O169" s="22"/>
      <c r="P169" s="6">
        <v>0</v>
      </c>
      <c r="Q169" s="22"/>
      <c r="R169" s="6">
        <v>0</v>
      </c>
      <c r="S169" s="22"/>
      <c r="T169" s="6">
        <v>0</v>
      </c>
      <c r="U169" s="6"/>
      <c r="V169" s="6">
        <v>0</v>
      </c>
      <c r="X169" s="6">
        <v>0</v>
      </c>
      <c r="Z169" s="6">
        <v>0</v>
      </c>
      <c r="AB169" s="6">
        <v>0</v>
      </c>
      <c r="AD169" s="6">
        <v>0</v>
      </c>
      <c r="AF169" s="6">
        <v>0</v>
      </c>
      <c r="AH169" s="6">
        <v>0</v>
      </c>
      <c r="AJ169" s="6">
        <v>0</v>
      </c>
      <c r="AN169" s="6">
        <v>0</v>
      </c>
      <c r="AP169" s="6">
        <v>0</v>
      </c>
      <c r="AR169" s="6">
        <v>0</v>
      </c>
      <c r="AT169" s="6">
        <v>0</v>
      </c>
      <c r="AV169" s="6">
        <v>0</v>
      </c>
      <c r="AX169" s="6">
        <v>0</v>
      </c>
      <c r="AZ169" s="6">
        <v>0</v>
      </c>
      <c r="BB169" s="6">
        <v>0</v>
      </c>
      <c r="BD169" s="6">
        <v>0</v>
      </c>
      <c r="BF169" s="6">
        <v>0</v>
      </c>
      <c r="BH169" s="6">
        <v>0</v>
      </c>
      <c r="BJ169" s="6">
        <v>0</v>
      </c>
      <c r="BL169" s="6">
        <v>0</v>
      </c>
      <c r="BM169" s="6"/>
      <c r="BN169" s="6">
        <f>SUM(T169:BM169)</f>
        <v>0</v>
      </c>
      <c r="BO169" s="6"/>
      <c r="BP169" s="6">
        <v>0</v>
      </c>
      <c r="BQ169" s="6"/>
      <c r="BR169" s="6">
        <f>+R169-BN169+BP169</f>
        <v>0</v>
      </c>
      <c r="BS169" s="22"/>
      <c r="BT169" s="6">
        <f>+BN169+BR169</f>
        <v>0</v>
      </c>
      <c r="BU169" s="22"/>
      <c r="BV169" s="6">
        <f>+R169-BT169</f>
        <v>0</v>
      </c>
      <c r="BW169" s="6"/>
    </row>
    <row r="170" spans="1:75" s="21" customFormat="1">
      <c r="A170" s="56"/>
      <c r="B170" s="58" t="s">
        <v>249</v>
      </c>
      <c r="J170" s="8"/>
      <c r="L170" s="143"/>
      <c r="M170" s="16"/>
      <c r="N170" s="102">
        <f>SUM(N167:N169)</f>
        <v>0</v>
      </c>
      <c r="O170" s="16"/>
      <c r="P170" s="102">
        <f>SUM(P167:P169)</f>
        <v>0</v>
      </c>
      <c r="Q170" s="16"/>
      <c r="R170" s="102">
        <f>SUM(R167:R169)</f>
        <v>908786</v>
      </c>
      <c r="S170" s="16"/>
      <c r="T170" s="102">
        <f>SUM(T167:T169)</f>
        <v>0</v>
      </c>
      <c r="U170" s="9"/>
      <c r="V170" s="102">
        <f>SUM(V167:V169)</f>
        <v>0</v>
      </c>
      <c r="W170" s="9"/>
      <c r="X170" s="102">
        <f>SUM(X167:X169)</f>
        <v>0</v>
      </c>
      <c r="Y170" s="9"/>
      <c r="Z170" s="102">
        <f>SUM(Z167:Z169)</f>
        <v>0</v>
      </c>
      <c r="AA170" s="9"/>
      <c r="AB170" s="102">
        <f>SUM(AB167:AB169)</f>
        <v>0</v>
      </c>
      <c r="AC170" s="9"/>
      <c r="AD170" s="102">
        <f>SUM(AD167:AD169)</f>
        <v>0</v>
      </c>
      <c r="AE170" s="9"/>
      <c r="AF170" s="102">
        <f>SUM(AF167:AF169)</f>
        <v>0</v>
      </c>
      <c r="AG170" s="9"/>
      <c r="AH170" s="102">
        <f>SUM(AH167:AH169)</f>
        <v>0</v>
      </c>
      <c r="AI170" s="9"/>
      <c r="AJ170" s="102">
        <f>SUM(AJ167:AJ169)</f>
        <v>0</v>
      </c>
      <c r="AK170" s="9"/>
      <c r="AL170" s="102">
        <f>SUM(AL167:AL169)</f>
        <v>0</v>
      </c>
      <c r="AM170" s="102"/>
      <c r="AN170" s="102">
        <f>SUM(AN167:AN169)</f>
        <v>0</v>
      </c>
      <c r="AO170" s="9"/>
      <c r="AP170" s="102">
        <f>SUM(AP167:AP169)</f>
        <v>0</v>
      </c>
      <c r="AQ170" s="9"/>
      <c r="AR170" s="102">
        <f>SUM(AR167:AR169)</f>
        <v>0</v>
      </c>
      <c r="AS170" s="9"/>
      <c r="AT170" s="102">
        <f>SUM(AT167:AT169)</f>
        <v>0</v>
      </c>
      <c r="AU170" s="9"/>
      <c r="AV170" s="102">
        <f>SUM(AV167:AV169)</f>
        <v>0</v>
      </c>
      <c r="AW170" s="10"/>
      <c r="AX170" s="102">
        <f>SUM(AX167:AX169)</f>
        <v>0</v>
      </c>
      <c r="AY170" s="10"/>
      <c r="AZ170" s="102">
        <f>SUM(AZ167:AZ169)</f>
        <v>0</v>
      </c>
      <c r="BA170" s="10"/>
      <c r="BB170" s="102">
        <f>SUM(BB167:BB169)</f>
        <v>0</v>
      </c>
      <c r="BC170" s="10"/>
      <c r="BD170" s="102">
        <f>SUM(BD167:BD169)</f>
        <v>0</v>
      </c>
      <c r="BE170" s="10"/>
      <c r="BF170" s="102">
        <f>SUM(BF167:BF169)</f>
        <v>0</v>
      </c>
      <c r="BG170" s="10"/>
      <c r="BH170" s="102">
        <f>SUM(BH167:BH169)</f>
        <v>0</v>
      </c>
      <c r="BI170" s="10"/>
      <c r="BJ170" s="102">
        <f>SUM(BJ167:BJ169)</f>
        <v>0</v>
      </c>
      <c r="BK170" s="10"/>
      <c r="BL170" s="102">
        <f>SUM(BL167:BL169)</f>
        <v>0</v>
      </c>
      <c r="BM170" s="9"/>
      <c r="BN170" s="102">
        <f>SUM(BN167:BN169)</f>
        <v>0</v>
      </c>
      <c r="BO170" s="9"/>
      <c r="BP170" s="102">
        <f>SUM(BP167:BP169)</f>
        <v>0</v>
      </c>
      <c r="BQ170" s="9"/>
      <c r="BR170" s="102">
        <f>SUM(BR167:BR169)</f>
        <v>908786</v>
      </c>
      <c r="BS170" s="16"/>
      <c r="BT170" s="102">
        <f>SUM(BT167:BT169)</f>
        <v>908786</v>
      </c>
      <c r="BU170" s="16"/>
      <c r="BV170" s="102">
        <f>SUM(BV167:BV169)</f>
        <v>0</v>
      </c>
      <c r="BW170" s="9"/>
    </row>
    <row r="171" spans="1:75" s="21" customFormat="1">
      <c r="A171" s="56"/>
      <c r="B171" s="58"/>
      <c r="J171" s="8"/>
      <c r="L171" s="143"/>
      <c r="M171" s="16"/>
      <c r="N171" s="10"/>
      <c r="O171" s="16"/>
      <c r="P171" s="10"/>
      <c r="Q171" s="16"/>
      <c r="R171" s="10"/>
      <c r="S171" s="16"/>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9"/>
      <c r="AV171" s="10"/>
      <c r="AW171" s="10"/>
      <c r="AX171" s="10"/>
      <c r="AY171" s="10"/>
      <c r="AZ171" s="10"/>
      <c r="BA171" s="10"/>
      <c r="BB171" s="10"/>
      <c r="BC171" s="10"/>
      <c r="BD171" s="10"/>
      <c r="BE171" s="10"/>
      <c r="BF171" s="10"/>
      <c r="BG171" s="10"/>
      <c r="BH171" s="10"/>
      <c r="BI171" s="10"/>
      <c r="BJ171" s="10"/>
      <c r="BK171" s="10"/>
      <c r="BL171" s="10"/>
      <c r="BM171" s="9"/>
      <c r="BN171" s="10"/>
      <c r="BO171" s="9"/>
      <c r="BP171" s="10"/>
      <c r="BQ171" s="9"/>
      <c r="BR171" s="10"/>
      <c r="BS171" s="16"/>
      <c r="BT171" s="10"/>
      <c r="BU171" s="16"/>
      <c r="BV171" s="10"/>
      <c r="BW171" s="9"/>
    </row>
    <row r="172" spans="1:75" s="21" customFormat="1">
      <c r="A172" s="62" t="s">
        <v>121</v>
      </c>
      <c r="B172" s="58"/>
      <c r="J172" s="8" t="s">
        <v>0</v>
      </c>
      <c r="L172" s="143" t="s">
        <v>204</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62"/>
      <c r="B173" s="58"/>
      <c r="J173" s="8"/>
      <c r="L173" s="143"/>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row>
    <row r="174" spans="1:75" s="21" customFormat="1" hidden="1">
      <c r="A174" s="56" t="s">
        <v>218</v>
      </c>
      <c r="B174" s="31"/>
      <c r="J174" s="8" t="s">
        <v>0</v>
      </c>
      <c r="L174" s="134" t="s">
        <v>204</v>
      </c>
      <c r="M174" s="9"/>
      <c r="N174" s="9">
        <v>400000</v>
      </c>
      <c r="O174" s="9"/>
      <c r="P174" s="9">
        <v>100000</v>
      </c>
      <c r="Q174" s="9"/>
      <c r="R174" s="9">
        <v>0</v>
      </c>
      <c r="S174" s="9"/>
      <c r="T174" s="9">
        <v>0</v>
      </c>
      <c r="U174" s="9"/>
      <c r="V174" s="9">
        <v>0</v>
      </c>
      <c r="W174" s="9"/>
      <c r="X174" s="9">
        <v>0</v>
      </c>
      <c r="Y174" s="9"/>
      <c r="Z174" s="9">
        <v>0</v>
      </c>
      <c r="AA174" s="9"/>
      <c r="AB174" s="9">
        <v>0</v>
      </c>
      <c r="AC174" s="9"/>
      <c r="AD174" s="9">
        <v>0</v>
      </c>
      <c r="AE174" s="9"/>
      <c r="AF174" s="9">
        <v>0</v>
      </c>
      <c r="AG174" s="9"/>
      <c r="AH174" s="9">
        <v>0</v>
      </c>
      <c r="AI174" s="9"/>
      <c r="AJ174" s="9">
        <v>0</v>
      </c>
      <c r="AK174" s="9"/>
      <c r="AL174" s="9"/>
      <c r="AM174" s="9"/>
      <c r="AN174" s="9">
        <v>0</v>
      </c>
      <c r="AO174" s="9"/>
      <c r="AP174" s="9">
        <v>0</v>
      </c>
      <c r="AQ174" s="9"/>
      <c r="AR174" s="9">
        <v>0</v>
      </c>
      <c r="AS174" s="9"/>
      <c r="AT174" s="9">
        <v>0</v>
      </c>
      <c r="AU174" s="9"/>
      <c r="AV174" s="9">
        <v>0</v>
      </c>
      <c r="AW174" s="9"/>
      <c r="AX174" s="9">
        <v>0</v>
      </c>
      <c r="AY174" s="9"/>
      <c r="AZ174" s="9">
        <v>0</v>
      </c>
      <c r="BA174" s="9"/>
      <c r="BB174" s="9">
        <v>0</v>
      </c>
      <c r="BC174" s="9"/>
      <c r="BD174" s="9">
        <v>0</v>
      </c>
      <c r="BE174" s="9"/>
      <c r="BF174" s="9">
        <v>0</v>
      </c>
      <c r="BG174" s="9"/>
      <c r="BH174" s="9">
        <v>0</v>
      </c>
      <c r="BI174" s="9"/>
      <c r="BJ174" s="9">
        <v>0</v>
      </c>
      <c r="BK174" s="9"/>
      <c r="BL174" s="9">
        <v>0</v>
      </c>
      <c r="BM174" s="9"/>
      <c r="BN174" s="9">
        <f>SUM(T174:BM174)</f>
        <v>0</v>
      </c>
      <c r="BO174" s="9"/>
      <c r="BP174" s="9">
        <v>0</v>
      </c>
      <c r="BQ174" s="9"/>
      <c r="BR174" s="6">
        <f>IF(+R174-BN174+BP174&gt;0,R174-BN174+BP174,0)</f>
        <v>0</v>
      </c>
      <c r="BS174" s="9"/>
      <c r="BT174" s="9">
        <f>+BN174+BR174</f>
        <v>0</v>
      </c>
      <c r="BU174" s="9"/>
      <c r="BV174" s="9">
        <f>+R174-BT174</f>
        <v>0</v>
      </c>
      <c r="BW174" s="9"/>
    </row>
    <row r="175" spans="1:75" s="21" customFormat="1" hidden="1">
      <c r="A175" s="56"/>
      <c r="B175" s="31"/>
      <c r="J175" s="8"/>
      <c r="L175" s="134"/>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row>
    <row r="176" spans="1:75" s="31" customFormat="1">
      <c r="A176" s="58" t="s">
        <v>300</v>
      </c>
      <c r="J176" s="159" t="s">
        <v>0</v>
      </c>
      <c r="L176" s="145" t="s">
        <v>204</v>
      </c>
      <c r="M176" s="10"/>
      <c r="N176" s="10">
        <v>0</v>
      </c>
      <c r="O176" s="10"/>
      <c r="P176" s="10">
        <v>0</v>
      </c>
      <c r="Q176" s="10"/>
      <c r="R176" s="9">
        <v>675000</v>
      </c>
      <c r="S176" s="10"/>
      <c r="T176" s="10">
        <v>0</v>
      </c>
      <c r="U176" s="10"/>
      <c r="V176" s="10">
        <v>0</v>
      </c>
      <c r="W176" s="10"/>
      <c r="X176" s="10">
        <v>0</v>
      </c>
      <c r="Y176" s="10"/>
      <c r="Z176" s="10">
        <v>0</v>
      </c>
      <c r="AA176" s="10"/>
      <c r="AB176" s="10">
        <v>0</v>
      </c>
      <c r="AC176" s="10"/>
      <c r="AD176" s="10">
        <v>0</v>
      </c>
      <c r="AE176" s="10"/>
      <c r="AF176" s="10">
        <v>0</v>
      </c>
      <c r="AG176" s="10"/>
      <c r="AH176" s="10">
        <v>0</v>
      </c>
      <c r="AI176" s="10"/>
      <c r="AJ176" s="10">
        <v>0</v>
      </c>
      <c r="AK176" s="10"/>
      <c r="AL176" s="10"/>
      <c r="AM176" s="10"/>
      <c r="AN176" s="10">
        <v>0</v>
      </c>
      <c r="AO176" s="10"/>
      <c r="AP176" s="10">
        <v>0</v>
      </c>
      <c r="AQ176" s="10"/>
      <c r="AR176" s="10">
        <v>0</v>
      </c>
      <c r="AS176" s="10"/>
      <c r="AT176" s="10">
        <v>0</v>
      </c>
      <c r="AU176" s="10"/>
      <c r="AV176" s="10">
        <v>0</v>
      </c>
      <c r="AW176" s="10"/>
      <c r="AX176" s="10">
        <v>0</v>
      </c>
      <c r="AY176" s="10"/>
      <c r="AZ176" s="10">
        <v>0</v>
      </c>
      <c r="BA176" s="10"/>
      <c r="BB176" s="10">
        <v>0</v>
      </c>
      <c r="BC176" s="10"/>
      <c r="BD176" s="10">
        <v>0</v>
      </c>
      <c r="BE176" s="10"/>
      <c r="BF176" s="10">
        <v>0</v>
      </c>
      <c r="BG176" s="10"/>
      <c r="BH176" s="10">
        <v>0</v>
      </c>
      <c r="BI176" s="10"/>
      <c r="BJ176" s="10">
        <v>0</v>
      </c>
      <c r="BK176" s="10"/>
      <c r="BL176" s="10">
        <v>0</v>
      </c>
      <c r="BM176" s="10"/>
      <c r="BN176" s="10">
        <f>SUM(T176:BM176)</f>
        <v>0</v>
      </c>
      <c r="BO176" s="10"/>
      <c r="BP176" s="10">
        <v>0</v>
      </c>
      <c r="BQ176" s="10"/>
      <c r="BR176" s="6">
        <f>IF(+R176-BN176+BP176&gt;0,R176-BN176+BP176,0)</f>
        <v>675000</v>
      </c>
      <c r="BS176" s="10"/>
      <c r="BT176" s="9">
        <f>+BN176+BR176</f>
        <v>675000</v>
      </c>
      <c r="BU176" s="10"/>
      <c r="BV176" s="9">
        <f>+R176-BT176</f>
        <v>0</v>
      </c>
      <c r="BW176" s="10"/>
    </row>
    <row r="177" spans="1:75" s="21" customFormat="1">
      <c r="A177" s="56"/>
      <c r="B177" s="31"/>
      <c r="J177" s="8"/>
      <c r="L177" s="134"/>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row>
    <row r="178" spans="1:75" s="21" customFormat="1">
      <c r="A178" s="56" t="s">
        <v>26</v>
      </c>
      <c r="B178" s="58"/>
      <c r="J178" s="8" t="s">
        <v>0</v>
      </c>
      <c r="L178" s="134" t="s">
        <v>204</v>
      </c>
      <c r="M178" s="16"/>
      <c r="N178" s="9">
        <v>0</v>
      </c>
      <c r="O178" s="16"/>
      <c r="P178" s="9">
        <v>0</v>
      </c>
      <c r="Q178" s="16"/>
      <c r="R178" s="9">
        <v>1247007</v>
      </c>
      <c r="S178" s="16"/>
      <c r="T178" s="9">
        <v>0</v>
      </c>
      <c r="U178" s="9"/>
      <c r="V178" s="9">
        <v>0</v>
      </c>
      <c r="W178" s="9"/>
      <c r="X178" s="9">
        <v>0</v>
      </c>
      <c r="Y178" s="9"/>
      <c r="Z178" s="9">
        <v>0</v>
      </c>
      <c r="AA178" s="9"/>
      <c r="AB178" s="9">
        <v>0</v>
      </c>
      <c r="AC178" s="9"/>
      <c r="AD178" s="9">
        <v>0</v>
      </c>
      <c r="AE178" s="9"/>
      <c r="AF178" s="9">
        <v>0</v>
      </c>
      <c r="AG178" s="9"/>
      <c r="AH178" s="9">
        <v>0</v>
      </c>
      <c r="AI178" s="9"/>
      <c r="AJ178" s="9">
        <v>0</v>
      </c>
      <c r="AK178" s="9"/>
      <c r="AL178" s="9"/>
      <c r="AM178" s="9"/>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v>0</v>
      </c>
      <c r="BM178" s="9"/>
      <c r="BN178" s="9">
        <f>SUM(T178:BM178)</f>
        <v>0</v>
      </c>
      <c r="BO178" s="9"/>
      <c r="BP178" s="9">
        <v>0</v>
      </c>
      <c r="BQ178" s="9"/>
      <c r="BR178" s="6">
        <f>IF(+R178-BN178+BP178&gt;0,R178-BN178+BP178,0)</f>
        <v>1247007</v>
      </c>
      <c r="BS178" s="16"/>
      <c r="BT178" s="9">
        <f>+BN178+BR178</f>
        <v>1247007</v>
      </c>
      <c r="BU178" s="16"/>
      <c r="BV178" s="9">
        <f>+R178-BT178</f>
        <v>0</v>
      </c>
      <c r="BW178" s="9"/>
    </row>
    <row r="179" spans="1:75" s="21" customFormat="1">
      <c r="A179" s="56"/>
      <c r="B179" s="31"/>
      <c r="J179" s="8"/>
      <c r="L179" s="134"/>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row>
    <row r="180" spans="1:75">
      <c r="A180" s="56" t="s">
        <v>27</v>
      </c>
      <c r="B180" s="11"/>
      <c r="C180"/>
      <c r="D180"/>
      <c r="E180"/>
      <c r="F180"/>
      <c r="G180"/>
      <c r="H180"/>
      <c r="I180"/>
      <c r="J180" s="49"/>
      <c r="K180"/>
      <c r="L180" s="134"/>
      <c r="M180" s="6"/>
      <c r="O180" s="6"/>
      <c r="Q180" s="6"/>
      <c r="S180" s="6"/>
      <c r="T180" s="6"/>
      <c r="U180" s="6"/>
      <c r="V180" s="6"/>
      <c r="X180" s="6"/>
      <c r="Z180" s="6"/>
      <c r="AB180" s="6"/>
      <c r="AD180" s="6"/>
      <c r="BL180" s="6"/>
      <c r="BM180" s="6"/>
      <c r="BO180" s="6"/>
      <c r="BP180" s="6"/>
      <c r="BQ180" s="6"/>
      <c r="BW180" s="6"/>
    </row>
    <row r="181" spans="1:75">
      <c r="A181" s="61"/>
      <c r="B181" s="11" t="s">
        <v>209</v>
      </c>
      <c r="E181" s="4"/>
      <c r="G181" s="4"/>
      <c r="I181" s="4"/>
      <c r="J181" s="5" t="s">
        <v>0</v>
      </c>
      <c r="L181" s="134" t="s">
        <v>204</v>
      </c>
      <c r="M181" s="6"/>
      <c r="N181" s="6">
        <v>0</v>
      </c>
      <c r="O181" s="6"/>
      <c r="P181" s="6">
        <v>0</v>
      </c>
      <c r="Q181" s="6"/>
      <c r="R181" s="6">
        <v>0</v>
      </c>
      <c r="S181" s="6"/>
      <c r="T181" s="6">
        <v>0</v>
      </c>
      <c r="U181" s="6"/>
      <c r="V181" s="6">
        <v>0</v>
      </c>
      <c r="X181" s="6">
        <v>0</v>
      </c>
      <c r="Z181" s="6">
        <v>0</v>
      </c>
      <c r="AB181" s="6">
        <v>0</v>
      </c>
      <c r="AD181" s="6">
        <v>0</v>
      </c>
      <c r="AF181" s="6">
        <v>0</v>
      </c>
      <c r="AH181" s="6">
        <v>0</v>
      </c>
      <c r="AJ181" s="6">
        <v>0</v>
      </c>
      <c r="AN181" s="6">
        <v>0</v>
      </c>
      <c r="AP181" s="6">
        <v>0</v>
      </c>
      <c r="AR181" s="6">
        <v>0</v>
      </c>
      <c r="AT181" s="6">
        <v>0</v>
      </c>
      <c r="AV181" s="6">
        <v>0</v>
      </c>
      <c r="AX181" s="6">
        <v>0</v>
      </c>
      <c r="AZ181" s="6">
        <v>0</v>
      </c>
      <c r="BB181" s="6">
        <v>0</v>
      </c>
      <c r="BD181" s="6">
        <v>0</v>
      </c>
      <c r="BF181" s="6">
        <v>0</v>
      </c>
      <c r="BH181" s="6">
        <v>0</v>
      </c>
      <c r="BJ181" s="6">
        <v>0</v>
      </c>
      <c r="BL181" s="6">
        <v>0</v>
      </c>
      <c r="BM181" s="6"/>
      <c r="BN181" s="6">
        <f>SUM(T181:BM181)</f>
        <v>0</v>
      </c>
      <c r="BO181" s="6"/>
      <c r="BP181" s="6">
        <v>0</v>
      </c>
      <c r="BQ181" s="6"/>
      <c r="BR181" s="6">
        <f>IF(+R181-BN181+BP181&gt;0,R181-BN181+BP181,0)</f>
        <v>0</v>
      </c>
      <c r="BT181" s="6">
        <f>+BN181+BR181</f>
        <v>0</v>
      </c>
      <c r="BV181" s="6">
        <f>+R181-BT181</f>
        <v>0</v>
      </c>
      <c r="BW181" s="6"/>
    </row>
    <row r="182" spans="1:75">
      <c r="A182" s="61"/>
      <c r="B182" s="11" t="s">
        <v>210</v>
      </c>
      <c r="E182" s="4"/>
      <c r="G182" s="4"/>
      <c r="I182" s="4"/>
      <c r="J182" s="5" t="s">
        <v>0</v>
      </c>
      <c r="L182" s="134" t="s">
        <v>204</v>
      </c>
      <c r="M182" s="6"/>
      <c r="O182" s="6"/>
      <c r="Q182" s="6"/>
      <c r="R182" s="6">
        <v>0</v>
      </c>
      <c r="S182" s="6"/>
      <c r="T182" s="6">
        <v>0</v>
      </c>
      <c r="U182" s="6"/>
      <c r="V182" s="6">
        <v>0</v>
      </c>
      <c r="X182" s="6">
        <v>0</v>
      </c>
      <c r="Z182" s="6">
        <v>0</v>
      </c>
      <c r="AB182" s="6">
        <v>0</v>
      </c>
      <c r="AD182" s="6">
        <v>0</v>
      </c>
      <c r="AF182" s="6">
        <v>0</v>
      </c>
      <c r="AH182" s="6">
        <v>0</v>
      </c>
      <c r="AJ182" s="6">
        <v>0</v>
      </c>
      <c r="AN182" s="6">
        <v>0</v>
      </c>
      <c r="AP182" s="6">
        <v>0</v>
      </c>
      <c r="AR182" s="6">
        <v>0</v>
      </c>
      <c r="AT182" s="6">
        <v>0</v>
      </c>
      <c r="AV182" s="6">
        <v>0</v>
      </c>
      <c r="AX182" s="6">
        <v>0</v>
      </c>
      <c r="AZ182" s="6">
        <v>0</v>
      </c>
      <c r="BB182" s="6">
        <v>0</v>
      </c>
      <c r="BD182" s="6">
        <v>0</v>
      </c>
      <c r="BF182" s="6">
        <v>0</v>
      </c>
      <c r="BH182" s="6">
        <v>0</v>
      </c>
      <c r="BJ182" s="6">
        <v>0</v>
      </c>
      <c r="BL182" s="6">
        <v>0</v>
      </c>
      <c r="BM182" s="6"/>
      <c r="BN182" s="6">
        <f>SUM(T182:BM182)</f>
        <v>0</v>
      </c>
      <c r="BO182" s="6"/>
      <c r="BP182" s="6">
        <v>0</v>
      </c>
      <c r="BQ182" s="6"/>
      <c r="BR182" s="6">
        <f>IF(+R182-BN182+BP182&gt;0,R182-BN182+BP182,0)</f>
        <v>0</v>
      </c>
      <c r="BT182" s="6">
        <f>+BN182+BR182</f>
        <v>0</v>
      </c>
      <c r="BV182" s="6">
        <f>+R182-BT182</f>
        <v>0</v>
      </c>
      <c r="BW182" s="6"/>
    </row>
    <row r="183" spans="1:75">
      <c r="A183" s="61"/>
      <c r="B183" s="11" t="s">
        <v>211</v>
      </c>
      <c r="E183" s="4"/>
      <c r="G183" s="4"/>
      <c r="I183" s="4"/>
      <c r="J183" s="5" t="s">
        <v>0</v>
      </c>
      <c r="L183" s="134" t="s">
        <v>204</v>
      </c>
      <c r="M183" s="6"/>
      <c r="O183" s="6"/>
      <c r="Q183" s="6"/>
      <c r="R183" s="6">
        <v>369041</v>
      </c>
      <c r="S183" s="6"/>
      <c r="T183" s="6">
        <v>0</v>
      </c>
      <c r="U183" s="6"/>
      <c r="V183" s="6">
        <v>0</v>
      </c>
      <c r="X183" s="6">
        <v>0</v>
      </c>
      <c r="Z183" s="6">
        <v>0</v>
      </c>
      <c r="AB183" s="6">
        <v>0</v>
      </c>
      <c r="AD183" s="6">
        <v>0</v>
      </c>
      <c r="AF183" s="6">
        <v>0</v>
      </c>
      <c r="AH183" s="6">
        <v>0</v>
      </c>
      <c r="AJ183" s="6">
        <v>0</v>
      </c>
      <c r="AL183" s="6">
        <v>369041</v>
      </c>
      <c r="AN183" s="6">
        <v>0</v>
      </c>
      <c r="AP183" s="6">
        <v>0</v>
      </c>
      <c r="AR183" s="6">
        <v>0</v>
      </c>
      <c r="AT183" s="6">
        <v>0</v>
      </c>
      <c r="AV183" s="6">
        <v>14500</v>
      </c>
      <c r="AX183" s="6">
        <v>0</v>
      </c>
      <c r="AZ183" s="6">
        <v>0</v>
      </c>
      <c r="BB183" s="6">
        <v>0</v>
      </c>
      <c r="BD183" s="6">
        <v>0</v>
      </c>
      <c r="BF183" s="6">
        <v>0</v>
      </c>
      <c r="BH183" s="6">
        <v>0</v>
      </c>
      <c r="BJ183" s="6">
        <v>0</v>
      </c>
      <c r="BL183" s="6">
        <v>0</v>
      </c>
      <c r="BM183" s="6"/>
      <c r="BN183" s="6">
        <f>SUM(T183:BM183)</f>
        <v>383541</v>
      </c>
      <c r="BO183" s="6"/>
      <c r="BP183" s="6">
        <v>0</v>
      </c>
      <c r="BQ183" s="6"/>
      <c r="BR183" s="6">
        <f>IF(+R183-BN183+BP183&gt;0,R183-BN183+BP183,0)</f>
        <v>0</v>
      </c>
      <c r="BT183" s="6">
        <f>+BN183+BR183</f>
        <v>383541</v>
      </c>
      <c r="BV183" s="6">
        <f>+R183-BT183</f>
        <v>-14500</v>
      </c>
      <c r="BW183" s="6"/>
    </row>
    <row r="184" spans="1:75">
      <c r="A184" s="61"/>
      <c r="B184" s="11" t="s">
        <v>212</v>
      </c>
      <c r="E184" s="4"/>
      <c r="G184" s="4"/>
      <c r="I184" s="4"/>
      <c r="J184" s="5" t="s">
        <v>0</v>
      </c>
      <c r="L184" s="134" t="s">
        <v>204</v>
      </c>
      <c r="M184" s="6"/>
      <c r="O184" s="6"/>
      <c r="Q184" s="6"/>
      <c r="R184" s="6">
        <v>0</v>
      </c>
      <c r="S184" s="6"/>
      <c r="T184" s="6"/>
      <c r="U184" s="6"/>
      <c r="V184" s="6"/>
      <c r="X184" s="6"/>
      <c r="Z184" s="6"/>
      <c r="AB184" s="6"/>
      <c r="AD184" s="6"/>
      <c r="BL184" s="6"/>
      <c r="BM184" s="6"/>
      <c r="BO184" s="6"/>
      <c r="BP184" s="6"/>
      <c r="BQ184" s="6"/>
      <c r="BR184" s="6">
        <f>IF(+R184-BN184+BP184&gt;0,R184-BN184+BP184,0)</f>
        <v>0</v>
      </c>
      <c r="BT184" s="6">
        <f>+BN184+BR184</f>
        <v>0</v>
      </c>
      <c r="BV184" s="6">
        <f>+R184-BT184</f>
        <v>0</v>
      </c>
      <c r="BW184" s="6"/>
    </row>
    <row r="185" spans="1:75" s="21" customFormat="1">
      <c r="A185" s="56"/>
      <c r="B185" s="31" t="s">
        <v>184</v>
      </c>
      <c r="J185" s="8"/>
      <c r="L185" s="143"/>
      <c r="M185" s="9"/>
      <c r="N185" s="102">
        <f>SUM(N181:N184)</f>
        <v>0</v>
      </c>
      <c r="O185" s="9"/>
      <c r="P185" s="102">
        <f>SUM(P181:P184)</f>
        <v>0</v>
      </c>
      <c r="Q185" s="9"/>
      <c r="R185" s="102">
        <f>SUM(R181:R184)</f>
        <v>369041</v>
      </c>
      <c r="S185" s="9"/>
      <c r="T185" s="102">
        <f>SUM(T181:T184)</f>
        <v>0</v>
      </c>
      <c r="U185" s="9"/>
      <c r="V185" s="102">
        <f>SUM(V181:V184)</f>
        <v>0</v>
      </c>
      <c r="W185" s="9"/>
      <c r="X185" s="102">
        <f>SUM(X181:X184)</f>
        <v>0</v>
      </c>
      <c r="Y185" s="9"/>
      <c r="Z185" s="102">
        <f>SUM(Z181:Z184)</f>
        <v>0</v>
      </c>
      <c r="AA185" s="9"/>
      <c r="AB185" s="102">
        <f>SUM(AB181:AB184)</f>
        <v>0</v>
      </c>
      <c r="AC185" s="9"/>
      <c r="AD185" s="102">
        <f>SUM(AD181:AD184)</f>
        <v>0</v>
      </c>
      <c r="AE185" s="9"/>
      <c r="AF185" s="102">
        <f>SUM(AF181:AF184)</f>
        <v>0</v>
      </c>
      <c r="AG185" s="9"/>
      <c r="AH185" s="102">
        <f>SUM(AH181:AH184)</f>
        <v>0</v>
      </c>
      <c r="AI185" s="9"/>
      <c r="AJ185" s="102">
        <f>SUM(AJ181:AJ184)</f>
        <v>0</v>
      </c>
      <c r="AK185" s="9"/>
      <c r="AL185" s="102">
        <f>SUM(AL181:AL184)</f>
        <v>369041</v>
      </c>
      <c r="AM185" s="102"/>
      <c r="AN185" s="102">
        <f>SUM(AN181:AN184)</f>
        <v>0</v>
      </c>
      <c r="AO185" s="9"/>
      <c r="AP185" s="102">
        <f>SUM(AP181:AP184)</f>
        <v>0</v>
      </c>
      <c r="AQ185" s="9"/>
      <c r="AR185" s="102">
        <f>SUM(AR181:AR184)</f>
        <v>0</v>
      </c>
      <c r="AS185" s="9"/>
      <c r="AT185" s="102">
        <f>SUM(AT181:AT184)</f>
        <v>0</v>
      </c>
      <c r="AU185" s="9"/>
      <c r="AV185" s="102">
        <f>SUM(AV181:AV184)</f>
        <v>14500</v>
      </c>
      <c r="AW185" s="10"/>
      <c r="AX185" s="102">
        <f>SUM(AX181:AX184)</f>
        <v>0</v>
      </c>
      <c r="AY185" s="10"/>
      <c r="AZ185" s="102">
        <f>SUM(AZ181:AZ184)</f>
        <v>0</v>
      </c>
      <c r="BA185" s="10"/>
      <c r="BB185" s="102">
        <f>SUM(BB181:BB184)</f>
        <v>0</v>
      </c>
      <c r="BC185" s="10"/>
      <c r="BD185" s="102">
        <f>SUM(BD181:BD184)</f>
        <v>0</v>
      </c>
      <c r="BE185" s="10"/>
      <c r="BF185" s="102">
        <f>SUM(BF181:BF184)</f>
        <v>0</v>
      </c>
      <c r="BG185" s="10"/>
      <c r="BH185" s="102">
        <f>SUM(BH181:BH184)</f>
        <v>0</v>
      </c>
      <c r="BI185" s="10"/>
      <c r="BJ185" s="102">
        <f>SUM(BJ181:BJ184)</f>
        <v>0</v>
      </c>
      <c r="BK185" s="10"/>
      <c r="BL185" s="102">
        <f>SUM(BL181:BL184)</f>
        <v>0</v>
      </c>
      <c r="BM185" s="9"/>
      <c r="BN185" s="102">
        <f>SUM(BN181:BN184)</f>
        <v>383541</v>
      </c>
      <c r="BO185" s="9"/>
      <c r="BP185" s="102">
        <f>SUM(BP181:BP184)</f>
        <v>0</v>
      </c>
      <c r="BQ185" s="9"/>
      <c r="BR185" s="102">
        <f>SUM(BR181:BR184)</f>
        <v>0</v>
      </c>
      <c r="BS185" s="9"/>
      <c r="BT185" s="102">
        <f>SUM(BT181:BT184)</f>
        <v>383541</v>
      </c>
      <c r="BU185" s="9"/>
      <c r="BV185" s="102">
        <f>SUM(BV181:BV184)</f>
        <v>-14500</v>
      </c>
      <c r="BW185" s="9"/>
    </row>
    <row r="186" spans="1:75" s="21" customFormat="1">
      <c r="A186" s="56"/>
      <c r="B186" s="31"/>
      <c r="J186" s="8"/>
      <c r="L186" s="134"/>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row>
    <row r="187" spans="1:75">
      <c r="A187" s="56" t="s">
        <v>28</v>
      </c>
      <c r="B187" s="11"/>
      <c r="C187"/>
      <c r="D187"/>
      <c r="E187"/>
      <c r="F187"/>
      <c r="G187"/>
      <c r="H187"/>
      <c r="I187"/>
      <c r="J187" s="49"/>
      <c r="K187"/>
      <c r="L187" s="134"/>
      <c r="M187" s="6"/>
      <c r="O187" s="6"/>
      <c r="Q187" s="6"/>
      <c r="S187" s="6"/>
      <c r="T187" s="6"/>
      <c r="U187" s="6"/>
      <c r="V187" s="6"/>
      <c r="X187" s="6"/>
      <c r="Z187" s="6"/>
      <c r="AB187" s="6"/>
      <c r="AD187" s="6"/>
      <c r="BL187" s="6"/>
      <c r="BM187" s="6"/>
      <c r="BO187" s="6"/>
      <c r="BP187" s="6"/>
      <c r="BQ187" s="6"/>
      <c r="BW187" s="6"/>
    </row>
    <row r="188" spans="1:75">
      <c r="A188" s="56"/>
      <c r="B188" s="11" t="s">
        <v>213</v>
      </c>
      <c r="C188"/>
      <c r="D188"/>
      <c r="E188"/>
      <c r="F188"/>
      <c r="G188"/>
      <c r="H188"/>
      <c r="I188"/>
      <c r="J188" s="49"/>
      <c r="K188"/>
      <c r="L188" s="134" t="s">
        <v>205</v>
      </c>
      <c r="M188" s="6"/>
      <c r="N188" s="6">
        <v>0</v>
      </c>
      <c r="O188" s="6"/>
      <c r="P188" s="6">
        <v>0</v>
      </c>
      <c r="Q188" s="6"/>
      <c r="R188" s="6">
        <v>69419</v>
      </c>
      <c r="S188" s="6"/>
      <c r="T188" s="6"/>
      <c r="U188" s="6"/>
      <c r="V188" s="6"/>
      <c r="X188" s="6"/>
      <c r="Z188" s="6"/>
      <c r="AB188" s="6"/>
      <c r="AD188" s="6"/>
      <c r="AL188" s="6">
        <v>69419</v>
      </c>
      <c r="AN188" s="6">
        <v>0</v>
      </c>
      <c r="AP188" s="6">
        <v>0</v>
      </c>
      <c r="AR188" s="6">
        <v>0</v>
      </c>
      <c r="AT188" s="6">
        <v>0</v>
      </c>
      <c r="AV188" s="6">
        <v>0</v>
      </c>
      <c r="AX188" s="6">
        <v>0</v>
      </c>
      <c r="AZ188" s="6">
        <v>0</v>
      </c>
      <c r="BB188" s="6">
        <v>0</v>
      </c>
      <c r="BD188" s="6">
        <v>0</v>
      </c>
      <c r="BF188" s="6">
        <v>0</v>
      </c>
      <c r="BH188" s="6">
        <v>0</v>
      </c>
      <c r="BJ188" s="6">
        <v>0</v>
      </c>
      <c r="BL188" s="6">
        <v>0</v>
      </c>
      <c r="BM188" s="6"/>
      <c r="BN188" s="6">
        <f t="shared" ref="BN188:BN193" si="39">SUM(T188:BM188)</f>
        <v>69419</v>
      </c>
      <c r="BO188" s="6"/>
      <c r="BP188" s="229">
        <v>0</v>
      </c>
      <c r="BQ188" s="6"/>
      <c r="BR188" s="6">
        <f t="shared" ref="BR188:BR194" si="40">IF(+R188-BN188+BP188&gt;0,R188-BN188+BP188,0)</f>
        <v>0</v>
      </c>
      <c r="BT188" s="6">
        <f t="shared" ref="BT188:BT193" si="41">+BN188+BR188</f>
        <v>69419</v>
      </c>
      <c r="BV188" s="6">
        <f>+R188-BN188-BR188</f>
        <v>0</v>
      </c>
      <c r="BW188" s="6"/>
    </row>
    <row r="189" spans="1:75">
      <c r="A189" s="57"/>
      <c r="B189" s="17" t="s">
        <v>214</v>
      </c>
      <c r="C189"/>
      <c r="D189"/>
      <c r="E189"/>
      <c r="F189"/>
      <c r="G189"/>
      <c r="H189"/>
      <c r="I189"/>
      <c r="J189" s="49"/>
      <c r="K189"/>
      <c r="L189" s="134" t="s">
        <v>205</v>
      </c>
      <c r="M189" s="6"/>
      <c r="N189" s="6">
        <v>0</v>
      </c>
      <c r="O189" s="6"/>
      <c r="P189" s="6">
        <v>0</v>
      </c>
      <c r="Q189" s="6"/>
      <c r="R189" s="6">
        <v>0</v>
      </c>
      <c r="S189" s="6"/>
      <c r="T189" s="6"/>
      <c r="U189" s="6"/>
      <c r="V189" s="6"/>
      <c r="X189" s="6"/>
      <c r="Z189" s="6"/>
      <c r="AB189" s="6"/>
      <c r="AD189" s="6"/>
      <c r="AN189" s="6">
        <v>0</v>
      </c>
      <c r="AP189" s="6">
        <v>0</v>
      </c>
      <c r="AR189" s="6">
        <v>0</v>
      </c>
      <c r="AT189" s="6">
        <v>0</v>
      </c>
      <c r="AV189" s="6">
        <v>0</v>
      </c>
      <c r="AX189" s="6">
        <v>0</v>
      </c>
      <c r="AZ189" s="6">
        <v>0</v>
      </c>
      <c r="BB189" s="6">
        <v>0</v>
      </c>
      <c r="BD189" s="6">
        <v>0</v>
      </c>
      <c r="BF189" s="6">
        <v>0</v>
      </c>
      <c r="BH189" s="6">
        <v>0</v>
      </c>
      <c r="BJ189" s="6">
        <v>0</v>
      </c>
      <c r="BL189" s="6">
        <v>0</v>
      </c>
      <c r="BM189" s="6"/>
      <c r="BN189" s="6">
        <f t="shared" si="39"/>
        <v>0</v>
      </c>
      <c r="BO189" s="6"/>
      <c r="BP189" s="229">
        <v>0</v>
      </c>
      <c r="BQ189" s="6"/>
      <c r="BR189" s="6">
        <f t="shared" si="40"/>
        <v>0</v>
      </c>
      <c r="BT189" s="6">
        <f t="shared" si="41"/>
        <v>0</v>
      </c>
      <c r="BV189" s="6">
        <f>+R189-BT189</f>
        <v>0</v>
      </c>
      <c r="BW189" s="6"/>
    </row>
    <row r="190" spans="1:75">
      <c r="A190" s="57"/>
      <c r="B190" s="17" t="s">
        <v>215</v>
      </c>
      <c r="C190"/>
      <c r="D190"/>
      <c r="E190"/>
      <c r="F190"/>
      <c r="G190"/>
      <c r="H190"/>
      <c r="I190"/>
      <c r="J190" s="49"/>
      <c r="K190"/>
      <c r="L190" s="134" t="s">
        <v>205</v>
      </c>
      <c r="M190" s="6"/>
      <c r="O190" s="6"/>
      <c r="P190" s="6">
        <v>0</v>
      </c>
      <c r="Q190" s="6"/>
      <c r="R190" s="6">
        <v>0</v>
      </c>
      <c r="S190" s="6"/>
      <c r="T190" s="6"/>
      <c r="U190" s="6"/>
      <c r="V190" s="6"/>
      <c r="X190" s="6"/>
      <c r="Z190" s="6"/>
      <c r="AB190" s="6"/>
      <c r="AD190" s="6"/>
      <c r="AN190" s="6">
        <v>0</v>
      </c>
      <c r="AP190" s="6">
        <v>0</v>
      </c>
      <c r="AR190" s="6">
        <v>0</v>
      </c>
      <c r="AT190" s="6">
        <v>0</v>
      </c>
      <c r="AV190" s="6">
        <v>0</v>
      </c>
      <c r="AX190" s="6">
        <v>0</v>
      </c>
      <c r="AZ190" s="6">
        <v>0</v>
      </c>
      <c r="BB190" s="6">
        <v>0</v>
      </c>
      <c r="BD190" s="6">
        <v>0</v>
      </c>
      <c r="BF190" s="6">
        <v>0</v>
      </c>
      <c r="BH190" s="6">
        <v>0</v>
      </c>
      <c r="BJ190" s="6">
        <v>0</v>
      </c>
      <c r="BL190" s="6">
        <v>0</v>
      </c>
      <c r="BM190" s="6"/>
      <c r="BN190" s="6">
        <f t="shared" si="39"/>
        <v>0</v>
      </c>
      <c r="BO190" s="6"/>
      <c r="BP190" s="229">
        <v>0</v>
      </c>
      <c r="BQ190" s="6"/>
      <c r="BR190" s="6">
        <f t="shared" si="40"/>
        <v>0</v>
      </c>
      <c r="BT190" s="6">
        <f t="shared" si="41"/>
        <v>0</v>
      </c>
      <c r="BV190" s="6">
        <f>+R190-BT190</f>
        <v>0</v>
      </c>
      <c r="BW190" s="6"/>
    </row>
    <row r="191" spans="1:75">
      <c r="A191" s="57"/>
      <c r="B191" s="17" t="s">
        <v>216</v>
      </c>
      <c r="C191"/>
      <c r="D191"/>
      <c r="E191"/>
      <c r="F191"/>
      <c r="G191"/>
      <c r="H191"/>
      <c r="I191"/>
      <c r="J191" s="49"/>
      <c r="K191"/>
      <c r="L191" s="134" t="s">
        <v>205</v>
      </c>
      <c r="M191" s="6"/>
      <c r="O191" s="6"/>
      <c r="P191" s="6">
        <v>0</v>
      </c>
      <c r="Q191" s="6"/>
      <c r="R191" s="6">
        <v>0</v>
      </c>
      <c r="S191" s="6"/>
      <c r="T191" s="6"/>
      <c r="U191" s="6"/>
      <c r="V191" s="6"/>
      <c r="X191" s="6"/>
      <c r="Z191" s="6"/>
      <c r="AB191" s="6"/>
      <c r="AD191" s="6"/>
      <c r="AN191" s="6">
        <v>0</v>
      </c>
      <c r="AP191" s="6">
        <v>0</v>
      </c>
      <c r="AR191" s="6">
        <v>0</v>
      </c>
      <c r="AT191" s="6">
        <v>0</v>
      </c>
      <c r="AX191" s="6">
        <v>0</v>
      </c>
      <c r="AZ191" s="6">
        <v>0</v>
      </c>
      <c r="BB191" s="6">
        <v>0</v>
      </c>
      <c r="BD191" s="6">
        <v>0</v>
      </c>
      <c r="BF191" s="6">
        <v>0</v>
      </c>
      <c r="BH191" s="6">
        <v>0</v>
      </c>
      <c r="BJ191" s="6">
        <v>0</v>
      </c>
      <c r="BL191" s="6">
        <v>0</v>
      </c>
      <c r="BM191" s="6"/>
      <c r="BN191" s="6">
        <f t="shared" si="39"/>
        <v>0</v>
      </c>
      <c r="BO191" s="6"/>
      <c r="BP191" s="229">
        <v>0</v>
      </c>
      <c r="BQ191" s="6"/>
      <c r="BR191" s="6">
        <f t="shared" si="40"/>
        <v>0</v>
      </c>
      <c r="BT191" s="6">
        <f t="shared" si="41"/>
        <v>0</v>
      </c>
      <c r="BV191" s="6">
        <f>+R191-BT191</f>
        <v>0</v>
      </c>
      <c r="BW191" s="6"/>
    </row>
    <row r="192" spans="1:75">
      <c r="A192" s="57"/>
      <c r="B192" s="17" t="s">
        <v>217</v>
      </c>
      <c r="C192"/>
      <c r="D192"/>
      <c r="E192"/>
      <c r="F192"/>
      <c r="G192"/>
      <c r="H192"/>
      <c r="I192"/>
      <c r="J192" s="49"/>
      <c r="K192"/>
      <c r="L192" s="134" t="s">
        <v>205</v>
      </c>
      <c r="M192" s="6"/>
      <c r="O192" s="6"/>
      <c r="P192" s="6">
        <v>0</v>
      </c>
      <c r="Q192" s="6"/>
      <c r="R192" s="6">
        <v>0</v>
      </c>
      <c r="S192" s="6"/>
      <c r="T192" s="6"/>
      <c r="U192" s="6"/>
      <c r="V192" s="6"/>
      <c r="X192" s="6"/>
      <c r="Z192" s="6"/>
      <c r="AB192" s="6"/>
      <c r="AD192" s="6"/>
      <c r="AN192" s="6">
        <v>0</v>
      </c>
      <c r="AP192" s="6">
        <v>0</v>
      </c>
      <c r="AR192" s="6">
        <v>0</v>
      </c>
      <c r="AT192" s="6">
        <v>0</v>
      </c>
      <c r="AV192" s="6">
        <v>0</v>
      </c>
      <c r="AX192" s="6">
        <v>0</v>
      </c>
      <c r="AZ192" s="6">
        <v>0</v>
      </c>
      <c r="BB192" s="6">
        <v>0</v>
      </c>
      <c r="BD192" s="6">
        <v>0</v>
      </c>
      <c r="BF192" s="6">
        <v>0</v>
      </c>
      <c r="BH192" s="6">
        <v>0</v>
      </c>
      <c r="BJ192" s="6">
        <v>0</v>
      </c>
      <c r="BL192" s="6">
        <v>0</v>
      </c>
      <c r="BM192" s="6"/>
      <c r="BN192" s="6">
        <f t="shared" si="39"/>
        <v>0</v>
      </c>
      <c r="BO192" s="6"/>
      <c r="BP192" s="229">
        <v>0</v>
      </c>
      <c r="BQ192" s="6"/>
      <c r="BR192" s="6">
        <f t="shared" si="40"/>
        <v>0</v>
      </c>
      <c r="BT192" s="6">
        <f t="shared" si="41"/>
        <v>0</v>
      </c>
      <c r="BV192" s="6">
        <f>+R192-BT192</f>
        <v>0</v>
      </c>
      <c r="BW192" s="6"/>
    </row>
    <row r="193" spans="1:75">
      <c r="A193" s="57"/>
      <c r="B193" s="17" t="s">
        <v>122</v>
      </c>
      <c r="C193"/>
      <c r="D193"/>
      <c r="E193"/>
      <c r="F193"/>
      <c r="G193"/>
      <c r="H193"/>
      <c r="I193"/>
      <c r="J193" s="49"/>
      <c r="K193"/>
      <c r="L193" s="134"/>
      <c r="M193" s="6"/>
      <c r="O193" s="6"/>
      <c r="Q193" s="6"/>
      <c r="R193" s="6">
        <v>470581</v>
      </c>
      <c r="S193" s="6"/>
      <c r="T193" s="6"/>
      <c r="U193" s="6"/>
      <c r="V193" s="6"/>
      <c r="X193" s="6"/>
      <c r="Z193" s="6"/>
      <c r="AB193" s="6"/>
      <c r="AD193" s="6"/>
      <c r="AN193" s="6">
        <f>183926.3+6645.1</f>
        <v>190571.4</v>
      </c>
      <c r="AR193" s="6">
        <v>264856.32000000001</v>
      </c>
      <c r="AV193" s="6">
        <v>38191.68</v>
      </c>
      <c r="BL193" s="6"/>
      <c r="BM193" s="6"/>
      <c r="BN193" s="6">
        <f t="shared" si="39"/>
        <v>493619.39999999997</v>
      </c>
      <c r="BO193" s="6"/>
      <c r="BP193" s="229">
        <v>0</v>
      </c>
      <c r="BQ193" s="6"/>
      <c r="BR193" s="6">
        <f t="shared" si="40"/>
        <v>0</v>
      </c>
      <c r="BT193" s="6">
        <f t="shared" si="41"/>
        <v>493619.39999999997</v>
      </c>
      <c r="BV193" s="6">
        <f>+R193-BT193</f>
        <v>-23038.399999999965</v>
      </c>
      <c r="BW193" s="6"/>
    </row>
    <row r="194" spans="1:75">
      <c r="A194" s="57"/>
      <c r="B194" s="17"/>
      <c r="C194"/>
      <c r="D194"/>
      <c r="E194"/>
      <c r="F194"/>
      <c r="G194"/>
      <c r="H194"/>
      <c r="I194"/>
      <c r="J194" s="49"/>
      <c r="K194"/>
      <c r="L194" s="134"/>
      <c r="M194" s="6"/>
      <c r="O194" s="6"/>
      <c r="Q194" s="6"/>
      <c r="S194" s="6"/>
      <c r="T194" s="6"/>
      <c r="U194" s="6"/>
      <c r="V194" s="6"/>
      <c r="X194" s="6"/>
      <c r="Z194" s="6"/>
      <c r="AB194" s="6"/>
      <c r="AD194" s="6"/>
      <c r="BL194" s="6"/>
      <c r="BM194" s="6"/>
      <c r="BO194" s="6"/>
      <c r="BP194" s="229"/>
      <c r="BQ194" s="6"/>
      <c r="BR194" s="6">
        <f t="shared" si="40"/>
        <v>0</v>
      </c>
      <c r="BW194" s="6"/>
    </row>
    <row r="195" spans="1:75" s="21" customFormat="1">
      <c r="A195" s="118"/>
      <c r="B195" s="58" t="s">
        <v>185</v>
      </c>
      <c r="J195" s="8"/>
      <c r="L195" s="143"/>
      <c r="M195" s="9"/>
      <c r="N195" s="102">
        <f>SUM(N188:N194)</f>
        <v>0</v>
      </c>
      <c r="O195" s="9"/>
      <c r="P195" s="102">
        <f>SUM(P188:P194)</f>
        <v>0</v>
      </c>
      <c r="Q195" s="9"/>
      <c r="R195" s="102">
        <f>SUM(R188:R194)</f>
        <v>540000</v>
      </c>
      <c r="S195" s="9"/>
      <c r="T195" s="102">
        <f>SUM(T188:T194)</f>
        <v>0</v>
      </c>
      <c r="U195" s="9"/>
      <c r="V195" s="102">
        <f>SUM(V188:V194)</f>
        <v>0</v>
      </c>
      <c r="W195" s="9"/>
      <c r="X195" s="102">
        <f>SUM(X188:X194)</f>
        <v>0</v>
      </c>
      <c r="Y195" s="9"/>
      <c r="Z195" s="102">
        <f>SUM(Z188:Z194)</f>
        <v>0</v>
      </c>
      <c r="AA195" s="9"/>
      <c r="AB195" s="102">
        <f>SUM(AB188:AB194)</f>
        <v>0</v>
      </c>
      <c r="AC195" s="9"/>
      <c r="AD195" s="102">
        <f>SUM(AD188:AD194)</f>
        <v>0</v>
      </c>
      <c r="AE195" s="9"/>
      <c r="AF195" s="102">
        <f>SUM(AF188:AF194)</f>
        <v>0</v>
      </c>
      <c r="AG195" s="9"/>
      <c r="AH195" s="102">
        <f>SUM(AH188:AH194)</f>
        <v>0</v>
      </c>
      <c r="AI195" s="9"/>
      <c r="AJ195" s="102">
        <f>SUM(AJ188:AJ194)</f>
        <v>0</v>
      </c>
      <c r="AK195" s="9"/>
      <c r="AL195" s="102">
        <f>SUM(AL188:AL194)</f>
        <v>69419</v>
      </c>
      <c r="AM195" s="102"/>
      <c r="AN195" s="102">
        <f>SUM(AN188:AN194)</f>
        <v>190571.4</v>
      </c>
      <c r="AO195" s="9"/>
      <c r="AP195" s="102">
        <f>SUM(AP188:AP194)</f>
        <v>0</v>
      </c>
      <c r="AQ195" s="9"/>
      <c r="AR195" s="102">
        <f>SUM(AR188:AR194)</f>
        <v>264856.32000000001</v>
      </c>
      <c r="AS195" s="9"/>
      <c r="AT195" s="102">
        <f>SUM(AT188:AT194)</f>
        <v>0</v>
      </c>
      <c r="AU195" s="9"/>
      <c r="AV195" s="102">
        <f>SUM(AV188:AV194)</f>
        <v>38191.68</v>
      </c>
      <c r="AW195" s="10"/>
      <c r="AX195" s="102">
        <f>SUM(AX188:AX194)</f>
        <v>0</v>
      </c>
      <c r="AY195" s="10"/>
      <c r="AZ195" s="102">
        <f>SUM(AZ188:AZ194)</f>
        <v>0</v>
      </c>
      <c r="BA195" s="10"/>
      <c r="BB195" s="102">
        <f>SUM(BB188:BB194)</f>
        <v>0</v>
      </c>
      <c r="BC195" s="10"/>
      <c r="BD195" s="102">
        <f>SUM(BD188:BD194)</f>
        <v>0</v>
      </c>
      <c r="BE195" s="10"/>
      <c r="BF195" s="102">
        <f>SUM(BF188:BF194)</f>
        <v>0</v>
      </c>
      <c r="BG195" s="10"/>
      <c r="BH195" s="102">
        <f>SUM(BH188:BH194)</f>
        <v>0</v>
      </c>
      <c r="BI195" s="10"/>
      <c r="BJ195" s="102">
        <f>SUM(BJ188:BJ194)</f>
        <v>0</v>
      </c>
      <c r="BK195" s="10"/>
      <c r="BL195" s="102">
        <f>SUM(BL188:BL194)</f>
        <v>0</v>
      </c>
      <c r="BM195" s="9"/>
      <c r="BN195" s="102">
        <f>SUM(BN188:BN194)</f>
        <v>563038.39999999991</v>
      </c>
      <c r="BO195" s="9"/>
      <c r="BP195" s="102">
        <f>SUM(BP188:BP194)</f>
        <v>0</v>
      </c>
      <c r="BQ195" s="9"/>
      <c r="BR195" s="102">
        <f>SUM(BR188:BR194)</f>
        <v>0</v>
      </c>
      <c r="BS195" s="9"/>
      <c r="BT195" s="102">
        <f>SUM(BT188:BT194)</f>
        <v>563038.39999999991</v>
      </c>
      <c r="BU195" s="9"/>
      <c r="BV195" s="102">
        <f>SUM(BV188:BV194)</f>
        <v>-23038.399999999965</v>
      </c>
      <c r="BW195" s="9"/>
    </row>
    <row r="196" spans="1:75" s="21" customFormat="1">
      <c r="A196" s="118"/>
      <c r="B196" s="58"/>
      <c r="J196" s="8"/>
      <c r="L196" s="143"/>
      <c r="M196" s="9"/>
      <c r="N196" s="10"/>
      <c r="O196" s="9"/>
      <c r="P196" s="10"/>
      <c r="Q196" s="9"/>
      <c r="R196" s="10"/>
      <c r="S196" s="9"/>
      <c r="T196" s="10"/>
      <c r="U196" s="9"/>
      <c r="V196" s="10"/>
      <c r="W196" s="9"/>
      <c r="X196" s="10"/>
      <c r="Y196" s="9"/>
      <c r="Z196" s="10"/>
      <c r="AA196" s="9"/>
      <c r="AB196" s="10"/>
      <c r="AC196" s="9"/>
      <c r="AD196" s="10"/>
      <c r="AE196" s="9"/>
      <c r="AF196" s="10"/>
      <c r="AG196" s="9"/>
      <c r="AH196" s="10"/>
      <c r="AI196" s="9"/>
      <c r="AJ196" s="10"/>
      <c r="AK196" s="9"/>
      <c r="AL196" s="10"/>
      <c r="AM196" s="9"/>
      <c r="AN196" s="10"/>
      <c r="AO196" s="9"/>
      <c r="AP196" s="10"/>
      <c r="AQ196" s="9"/>
      <c r="AR196" s="10"/>
      <c r="AS196" s="9"/>
      <c r="AT196" s="10"/>
      <c r="AU196" s="9"/>
      <c r="AV196" s="10"/>
      <c r="AW196" s="10"/>
      <c r="AX196" s="10"/>
      <c r="AY196" s="10"/>
      <c r="AZ196" s="10"/>
      <c r="BA196" s="10"/>
      <c r="BB196" s="10"/>
      <c r="BC196" s="10"/>
      <c r="BD196" s="10"/>
      <c r="BE196" s="10"/>
      <c r="BF196" s="10"/>
      <c r="BG196" s="10"/>
      <c r="BH196" s="10"/>
      <c r="BI196" s="10"/>
      <c r="BJ196" s="10"/>
      <c r="BK196" s="10"/>
      <c r="BL196" s="10"/>
      <c r="BM196" s="9"/>
      <c r="BN196" s="10"/>
      <c r="BO196" s="9"/>
      <c r="BP196" s="10"/>
      <c r="BQ196" s="9"/>
      <c r="BR196" s="10"/>
      <c r="BS196" s="9"/>
      <c r="BT196" s="10"/>
      <c r="BU196" s="9"/>
      <c r="BV196" s="10"/>
      <c r="BW196" s="9"/>
    </row>
    <row r="197" spans="1:75">
      <c r="A197" s="56" t="s">
        <v>292</v>
      </c>
      <c r="B197" s="11"/>
      <c r="C197"/>
      <c r="D197"/>
      <c r="E197"/>
      <c r="F197"/>
      <c r="G197"/>
      <c r="H197"/>
      <c r="I197"/>
      <c r="J197"/>
      <c r="K197" s="134"/>
      <c r="L197" s="6"/>
      <c r="M197" s="6"/>
      <c r="O197" s="6"/>
      <c r="Q197" s="6"/>
      <c r="S197" s="6"/>
      <c r="T197" s="6"/>
      <c r="U197" s="6"/>
      <c r="V197" s="6"/>
      <c r="X197" s="6"/>
      <c r="Z197" s="6"/>
      <c r="AB197" s="6"/>
      <c r="AD197" s="6"/>
      <c r="BL197" s="6"/>
      <c r="BM197" s="6"/>
      <c r="BO197" s="6"/>
      <c r="BP197" s="6"/>
      <c r="BQ197" s="6"/>
      <c r="BV197" s="4"/>
    </row>
    <row r="198" spans="1:75">
      <c r="A198" s="56"/>
      <c r="B198" s="11" t="s">
        <v>277</v>
      </c>
      <c r="C198"/>
      <c r="D198"/>
      <c r="E198"/>
      <c r="F198"/>
      <c r="G198"/>
      <c r="H198"/>
      <c r="I198"/>
      <c r="J198"/>
      <c r="K198" s="134" t="s">
        <v>204</v>
      </c>
      <c r="L198" s="6"/>
      <c r="M198" s="6">
        <v>0</v>
      </c>
      <c r="O198" s="6">
        <v>60000</v>
      </c>
      <c r="Q198" s="6">
        <f>+M198+O198</f>
        <v>60000</v>
      </c>
      <c r="R198" s="6">
        <v>60000</v>
      </c>
      <c r="S198" s="6"/>
      <c r="T198" s="6">
        <v>0</v>
      </c>
      <c r="U198" s="6"/>
      <c r="V198" s="4"/>
      <c r="X198" s="6">
        <v>0</v>
      </c>
      <c r="Z198" s="6">
        <v>0</v>
      </c>
      <c r="AB198" s="6">
        <v>0</v>
      </c>
      <c r="AD198" s="6">
        <v>0</v>
      </c>
      <c r="AF198" s="6">
        <v>0</v>
      </c>
      <c r="AH198" s="6">
        <v>0</v>
      </c>
      <c r="AJ198" s="6">
        <v>0</v>
      </c>
      <c r="AN198" s="6">
        <v>0</v>
      </c>
      <c r="AP198" s="6">
        <v>7500</v>
      </c>
      <c r="AR198" s="6">
        <v>0</v>
      </c>
      <c r="AT198" s="6">
        <v>7500</v>
      </c>
      <c r="AV198" s="6">
        <v>20486.25</v>
      </c>
      <c r="AX198" s="6">
        <v>0</v>
      </c>
      <c r="AZ198" s="6">
        <v>0</v>
      </c>
      <c r="BB198" s="6">
        <v>0</v>
      </c>
      <c r="BD198" s="6">
        <v>0</v>
      </c>
      <c r="BF198" s="6">
        <v>0</v>
      </c>
      <c r="BH198" s="6">
        <v>0</v>
      </c>
      <c r="BJ198" s="6">
        <v>0</v>
      </c>
      <c r="BL198" s="6">
        <v>0</v>
      </c>
      <c r="BM198" s="6"/>
      <c r="BN198" s="6">
        <f>SUM(T198:BM198)</f>
        <v>35486.25</v>
      </c>
      <c r="BO198" s="6"/>
      <c r="BP198" s="6">
        <v>0</v>
      </c>
      <c r="BQ198" s="6"/>
      <c r="BR198" s="6">
        <f>IF(+R198-BN198+BP198&gt;0,R198-BN198+BP198,0)</f>
        <v>24513.75</v>
      </c>
      <c r="BT198" s="6">
        <f>+BN198+BR198</f>
        <v>60000</v>
      </c>
      <c r="BV198" s="6">
        <f>+R198-BT198</f>
        <v>0</v>
      </c>
    </row>
    <row r="199" spans="1:75">
      <c r="A199" s="56"/>
      <c r="B199" s="11" t="s">
        <v>278</v>
      </c>
      <c r="C199"/>
      <c r="D199"/>
      <c r="E199"/>
      <c r="F199"/>
      <c r="G199"/>
      <c r="H199"/>
      <c r="I199"/>
      <c r="J199"/>
      <c r="K199" s="134" t="s">
        <v>204</v>
      </c>
      <c r="L199" s="6"/>
      <c r="M199" s="6">
        <v>7500</v>
      </c>
      <c r="O199" s="6">
        <f>35000-M199</f>
        <v>27500</v>
      </c>
      <c r="Q199" s="6">
        <f>+M199+O199</f>
        <v>35000</v>
      </c>
      <c r="R199" s="6">
        <v>35000</v>
      </c>
      <c r="S199" s="6"/>
      <c r="T199" s="6">
        <v>0</v>
      </c>
      <c r="U199" s="6"/>
      <c r="V199" s="6">
        <v>0</v>
      </c>
      <c r="X199" s="6">
        <v>0</v>
      </c>
      <c r="Z199" s="6">
        <v>0</v>
      </c>
      <c r="AB199" s="6">
        <v>0</v>
      </c>
      <c r="AD199" s="6">
        <v>0</v>
      </c>
      <c r="AF199" s="6">
        <v>0</v>
      </c>
      <c r="AH199" s="6">
        <v>0</v>
      </c>
      <c r="AJ199" s="6">
        <v>0</v>
      </c>
      <c r="AN199" s="6">
        <v>0</v>
      </c>
      <c r="AP199" s="6">
        <v>10517.87</v>
      </c>
      <c r="AR199" s="6">
        <v>0</v>
      </c>
      <c r="AT199" s="6">
        <v>0</v>
      </c>
      <c r="AV199" s="6">
        <v>0</v>
      </c>
      <c r="AX199" s="6">
        <v>0</v>
      </c>
      <c r="AZ199" s="6">
        <v>0</v>
      </c>
      <c r="BB199" s="6">
        <v>0</v>
      </c>
      <c r="BD199" s="6">
        <v>0</v>
      </c>
      <c r="BF199" s="6">
        <v>0</v>
      </c>
      <c r="BH199" s="6">
        <v>0</v>
      </c>
      <c r="BJ199" s="6">
        <v>0</v>
      </c>
      <c r="BL199" s="6">
        <v>0</v>
      </c>
      <c r="BM199" s="6"/>
      <c r="BN199" s="6">
        <f>SUM(T199:BM199)</f>
        <v>10517.87</v>
      </c>
      <c r="BO199" s="6"/>
      <c r="BP199" s="6">
        <v>0</v>
      </c>
      <c r="BQ199" s="6"/>
      <c r="BR199" s="6">
        <f>IF(+R199-BN199+BP199&gt;0,R199-BN199+BP199,0)</f>
        <v>24482.129999999997</v>
      </c>
      <c r="BT199" s="6">
        <f>+BN199+BR199</f>
        <v>35000</v>
      </c>
      <c r="BV199" s="6">
        <f t="shared" ref="BV199:BV217" si="42">+R199-BT199</f>
        <v>0</v>
      </c>
    </row>
    <row r="200" spans="1:75">
      <c r="A200" s="56"/>
      <c r="B200" s="11" t="s">
        <v>520</v>
      </c>
      <c r="C200"/>
      <c r="D200"/>
      <c r="E200"/>
      <c r="F200"/>
      <c r="G200"/>
      <c r="H200"/>
      <c r="I200"/>
      <c r="J200"/>
      <c r="K200" s="134" t="s">
        <v>204</v>
      </c>
      <c r="L200" s="427">
        <v>44468</v>
      </c>
      <c r="M200" s="6">
        <f>1992500</f>
        <v>1992500</v>
      </c>
      <c r="O200" s="6">
        <f>2200000-M200</f>
        <v>207500</v>
      </c>
      <c r="Q200" s="6">
        <f>+M200+O200</f>
        <v>2200000</v>
      </c>
      <c r="R200" s="6">
        <v>1604313</v>
      </c>
      <c r="S200" s="6"/>
      <c r="T200" s="6">
        <v>0</v>
      </c>
      <c r="U200" s="6"/>
      <c r="V200" s="6">
        <v>0</v>
      </c>
      <c r="X200" s="6">
        <v>0</v>
      </c>
      <c r="Z200" s="6">
        <v>0</v>
      </c>
      <c r="AB200" s="6">
        <v>0</v>
      </c>
      <c r="AD200" s="6">
        <v>0</v>
      </c>
      <c r="AF200" s="6">
        <v>0</v>
      </c>
      <c r="AH200" s="6">
        <v>0</v>
      </c>
      <c r="AJ200" s="6">
        <v>0</v>
      </c>
      <c r="AN200" s="6">
        <v>0</v>
      </c>
      <c r="AR200" s="6">
        <v>0</v>
      </c>
      <c r="AT200" s="6">
        <v>0</v>
      </c>
      <c r="AV200" s="6">
        <v>0</v>
      </c>
      <c r="AX200" s="6">
        <v>0</v>
      </c>
      <c r="AZ200" s="6">
        <v>0</v>
      </c>
      <c r="BB200" s="6">
        <v>0</v>
      </c>
      <c r="BD200" s="6">
        <v>0</v>
      </c>
      <c r="BF200" s="6">
        <v>0</v>
      </c>
      <c r="BH200" s="6">
        <v>0</v>
      </c>
      <c r="BJ200" s="6">
        <v>0</v>
      </c>
      <c r="BL200" s="6">
        <v>0</v>
      </c>
      <c r="BM200" s="6"/>
      <c r="BN200" s="6">
        <f>SUM(T200:BM200)</f>
        <v>0</v>
      </c>
      <c r="BO200" s="6"/>
      <c r="BP200" s="6"/>
      <c r="BQ200" s="6"/>
      <c r="BR200" s="6">
        <f>IF(+R200-BN200+BP200&gt;0,R200-BN200+BP200,0)</f>
        <v>1604313</v>
      </c>
      <c r="BT200" s="6">
        <f>+BN200+BR200</f>
        <v>1604313</v>
      </c>
      <c r="BV200" s="6">
        <f t="shared" si="42"/>
        <v>0</v>
      </c>
    </row>
    <row r="201" spans="1:75">
      <c r="A201" s="56"/>
      <c r="B201" s="11" t="s">
        <v>521</v>
      </c>
      <c r="C201"/>
      <c r="D201"/>
      <c r="E201"/>
      <c r="F201"/>
      <c r="G201"/>
      <c r="H201"/>
      <c r="I201"/>
      <c r="J201"/>
      <c r="K201" s="134"/>
      <c r="L201" s="427">
        <v>43853</v>
      </c>
      <c r="M201" s="6"/>
      <c r="O201" s="6"/>
      <c r="Q201" s="6"/>
      <c r="R201" s="6">
        <v>756363</v>
      </c>
      <c r="S201" s="6"/>
      <c r="T201" s="6"/>
      <c r="U201" s="6"/>
      <c r="V201" s="6"/>
      <c r="X201" s="6"/>
      <c r="Z201" s="6"/>
      <c r="AB201" s="6"/>
      <c r="AD201" s="6"/>
      <c r="BL201" s="6"/>
      <c r="BM201" s="6"/>
      <c r="BO201" s="6"/>
      <c r="BP201" s="6"/>
      <c r="BQ201" s="6"/>
      <c r="BR201" s="6">
        <f t="shared" ref="BR201:BR212" si="43">IF(+R201-BN201+BP201&gt;0,R201-BN201+BP201,0)</f>
        <v>756363</v>
      </c>
      <c r="BT201" s="6">
        <f t="shared" ref="BT201:BT217" si="44">+BN201+BR201</f>
        <v>756363</v>
      </c>
      <c r="BV201" s="6">
        <f t="shared" si="42"/>
        <v>0</v>
      </c>
    </row>
    <row r="202" spans="1:75">
      <c r="A202" s="56"/>
      <c r="B202" s="11" t="s">
        <v>522</v>
      </c>
      <c r="C202"/>
      <c r="D202"/>
      <c r="E202"/>
      <c r="F202"/>
      <c r="G202"/>
      <c r="H202"/>
      <c r="I202"/>
      <c r="J202"/>
      <c r="K202" s="134"/>
      <c r="L202" s="427">
        <v>60299</v>
      </c>
      <c r="M202" s="6"/>
      <c r="O202" s="6"/>
      <c r="Q202" s="6"/>
      <c r="R202" s="6">
        <v>21072</v>
      </c>
      <c r="S202" s="6"/>
      <c r="T202" s="6"/>
      <c r="U202" s="6"/>
      <c r="V202" s="6"/>
      <c r="X202" s="6"/>
      <c r="Z202" s="6"/>
      <c r="AB202" s="6"/>
      <c r="AD202" s="6"/>
      <c r="BL202" s="6"/>
      <c r="BM202" s="6"/>
      <c r="BO202" s="6"/>
      <c r="BP202" s="6"/>
      <c r="BQ202" s="6"/>
      <c r="BR202" s="6">
        <f t="shared" si="43"/>
        <v>21072</v>
      </c>
      <c r="BT202" s="6">
        <f t="shared" si="44"/>
        <v>21072</v>
      </c>
      <c r="BV202" s="6">
        <f t="shared" si="42"/>
        <v>0</v>
      </c>
    </row>
    <row r="203" spans="1:75">
      <c r="A203" s="56"/>
      <c r="B203" s="11" t="s">
        <v>523</v>
      </c>
      <c r="C203"/>
      <c r="D203"/>
      <c r="E203"/>
      <c r="F203"/>
      <c r="G203"/>
      <c r="H203"/>
      <c r="I203"/>
      <c r="J203"/>
      <c r="K203" s="134"/>
      <c r="L203" s="427">
        <v>45630</v>
      </c>
      <c r="M203" s="6"/>
      <c r="O203" s="6"/>
      <c r="Q203" s="6"/>
      <c r="R203" s="6">
        <v>136716</v>
      </c>
      <c r="S203" s="6"/>
      <c r="T203" s="6"/>
      <c r="U203" s="6"/>
      <c r="V203" s="6"/>
      <c r="X203" s="6"/>
      <c r="Z203" s="6"/>
      <c r="AB203" s="6"/>
      <c r="AD203" s="6"/>
      <c r="BL203" s="6"/>
      <c r="BM203" s="6"/>
      <c r="BO203" s="6"/>
      <c r="BP203" s="6"/>
      <c r="BQ203" s="6"/>
      <c r="BR203" s="6">
        <f t="shared" si="43"/>
        <v>136716</v>
      </c>
      <c r="BT203" s="6">
        <f t="shared" si="44"/>
        <v>136716</v>
      </c>
      <c r="BV203" s="6">
        <f t="shared" si="42"/>
        <v>0</v>
      </c>
    </row>
    <row r="204" spans="1:75">
      <c r="A204" s="56"/>
      <c r="B204" s="11" t="s">
        <v>524</v>
      </c>
      <c r="C204"/>
      <c r="D204"/>
      <c r="E204"/>
      <c r="F204"/>
      <c r="G204"/>
      <c r="H204"/>
      <c r="I204"/>
      <c r="J204"/>
      <c r="K204" s="134"/>
      <c r="L204" s="427">
        <v>45631</v>
      </c>
      <c r="M204" s="6"/>
      <c r="O204" s="6"/>
      <c r="Q204" s="6"/>
      <c r="R204" s="6">
        <v>418906</v>
      </c>
      <c r="S204" s="6"/>
      <c r="T204" s="6"/>
      <c r="U204" s="6"/>
      <c r="V204" s="6"/>
      <c r="X204" s="6"/>
      <c r="Z204" s="6"/>
      <c r="AB204" s="6"/>
      <c r="AD204" s="6"/>
      <c r="BL204" s="6"/>
      <c r="BM204" s="6"/>
      <c r="BO204" s="6"/>
      <c r="BP204" s="6"/>
      <c r="BQ204" s="6"/>
      <c r="BR204" s="6">
        <f t="shared" si="43"/>
        <v>418906</v>
      </c>
      <c r="BT204" s="6">
        <f t="shared" si="44"/>
        <v>418906</v>
      </c>
      <c r="BV204" s="6">
        <f t="shared" si="42"/>
        <v>0</v>
      </c>
    </row>
    <row r="205" spans="1:75">
      <c r="A205" s="56"/>
      <c r="B205" s="11" t="s">
        <v>525</v>
      </c>
      <c r="C205"/>
      <c r="D205"/>
      <c r="E205"/>
      <c r="F205"/>
      <c r="G205"/>
      <c r="H205"/>
      <c r="I205"/>
      <c r="J205"/>
      <c r="K205" s="134"/>
      <c r="L205" s="427">
        <v>45632</v>
      </c>
      <c r="M205" s="6"/>
      <c r="O205" s="6"/>
      <c r="Q205" s="6"/>
      <c r="R205" s="6">
        <v>80018</v>
      </c>
      <c r="S205" s="6"/>
      <c r="T205" s="6"/>
      <c r="U205" s="6"/>
      <c r="V205" s="6"/>
      <c r="X205" s="6"/>
      <c r="Z205" s="6"/>
      <c r="AB205" s="6"/>
      <c r="AD205" s="6"/>
      <c r="BL205" s="6"/>
      <c r="BM205" s="6"/>
      <c r="BO205" s="6"/>
      <c r="BP205" s="6"/>
      <c r="BQ205" s="6"/>
      <c r="BR205" s="6">
        <f t="shared" si="43"/>
        <v>80018</v>
      </c>
      <c r="BT205" s="6">
        <f t="shared" si="44"/>
        <v>80018</v>
      </c>
      <c r="BV205" s="6">
        <f t="shared" si="42"/>
        <v>0</v>
      </c>
    </row>
    <row r="206" spans="1:75">
      <c r="A206" s="56"/>
      <c r="B206" s="11" t="s">
        <v>526</v>
      </c>
      <c r="C206"/>
      <c r="D206"/>
      <c r="E206"/>
      <c r="F206"/>
      <c r="G206"/>
      <c r="H206"/>
      <c r="I206"/>
      <c r="J206"/>
      <c r="K206" s="134"/>
      <c r="L206" s="427">
        <v>45633</v>
      </c>
      <c r="M206" s="6"/>
      <c r="O206" s="6"/>
      <c r="Q206" s="6"/>
      <c r="R206" s="6">
        <v>50029</v>
      </c>
      <c r="S206" s="6"/>
      <c r="T206" s="6"/>
      <c r="U206" s="6"/>
      <c r="V206" s="6"/>
      <c r="X206" s="6"/>
      <c r="Z206" s="6"/>
      <c r="AB206" s="6"/>
      <c r="AD206" s="6"/>
      <c r="BL206" s="6"/>
      <c r="BM206" s="6"/>
      <c r="BO206" s="6"/>
      <c r="BP206" s="6"/>
      <c r="BQ206" s="6"/>
      <c r="BR206" s="6">
        <f t="shared" si="43"/>
        <v>50029</v>
      </c>
      <c r="BT206" s="6">
        <f t="shared" si="44"/>
        <v>50029</v>
      </c>
      <c r="BV206" s="6">
        <f t="shared" si="42"/>
        <v>0</v>
      </c>
    </row>
    <row r="207" spans="1:75">
      <c r="A207" s="56"/>
      <c r="B207" s="11" t="s">
        <v>527</v>
      </c>
      <c r="C207"/>
      <c r="D207"/>
      <c r="E207"/>
      <c r="F207"/>
      <c r="G207"/>
      <c r="H207"/>
      <c r="I207"/>
      <c r="J207"/>
      <c r="K207" s="134"/>
      <c r="L207" s="427">
        <v>45634</v>
      </c>
      <c r="M207" s="6"/>
      <c r="O207" s="6"/>
      <c r="Q207" s="6"/>
      <c r="R207" s="6">
        <v>61757</v>
      </c>
      <c r="S207" s="6"/>
      <c r="T207" s="6"/>
      <c r="U207" s="6"/>
      <c r="V207" s="6"/>
      <c r="X207" s="6"/>
      <c r="Z207" s="6"/>
      <c r="AB207" s="6"/>
      <c r="AD207" s="6"/>
      <c r="BL207" s="6"/>
      <c r="BM207" s="6"/>
      <c r="BO207" s="6"/>
      <c r="BP207" s="6"/>
      <c r="BQ207" s="6"/>
      <c r="BR207" s="6">
        <f t="shared" si="43"/>
        <v>61757</v>
      </c>
      <c r="BT207" s="6">
        <f t="shared" si="44"/>
        <v>61757</v>
      </c>
      <c r="BV207" s="6">
        <f t="shared" si="42"/>
        <v>0</v>
      </c>
    </row>
    <row r="208" spans="1:75">
      <c r="A208" s="56"/>
      <c r="B208" s="11" t="s">
        <v>528</v>
      </c>
      <c r="C208"/>
      <c r="D208"/>
      <c r="E208"/>
      <c r="F208"/>
      <c r="G208"/>
      <c r="H208"/>
      <c r="I208"/>
      <c r="J208"/>
      <c r="K208" s="134"/>
      <c r="L208" s="427">
        <v>45635</v>
      </c>
      <c r="M208" s="6"/>
      <c r="O208" s="6"/>
      <c r="Q208" s="6"/>
      <c r="R208" s="6">
        <v>21962</v>
      </c>
      <c r="S208" s="6"/>
      <c r="T208" s="6"/>
      <c r="U208" s="6"/>
      <c r="V208" s="6"/>
      <c r="X208" s="6"/>
      <c r="Z208" s="6"/>
      <c r="AB208" s="6"/>
      <c r="AD208" s="6"/>
      <c r="BL208" s="6"/>
      <c r="BM208" s="6"/>
      <c r="BO208" s="6"/>
      <c r="BP208" s="6"/>
      <c r="BQ208" s="6"/>
      <c r="BR208" s="6">
        <f t="shared" si="43"/>
        <v>21962</v>
      </c>
      <c r="BT208" s="6">
        <f t="shared" si="44"/>
        <v>21962</v>
      </c>
      <c r="BV208" s="6">
        <f t="shared" si="42"/>
        <v>0</v>
      </c>
    </row>
    <row r="209" spans="1:75">
      <c r="A209" s="56"/>
      <c r="B209" s="11" t="s">
        <v>529</v>
      </c>
      <c r="C209"/>
      <c r="D209"/>
      <c r="E209"/>
      <c r="F209"/>
      <c r="G209"/>
      <c r="H209"/>
      <c r="I209"/>
      <c r="J209"/>
      <c r="K209" s="134"/>
      <c r="L209" s="427">
        <v>45636</v>
      </c>
      <c r="M209" s="6"/>
      <c r="O209" s="6"/>
      <c r="Q209" s="6"/>
      <c r="R209" s="6">
        <v>125513</v>
      </c>
      <c r="S209" s="6"/>
      <c r="T209" s="6"/>
      <c r="U209" s="6"/>
      <c r="V209" s="6"/>
      <c r="X209" s="6"/>
      <c r="Z209" s="6"/>
      <c r="AB209" s="6"/>
      <c r="AD209" s="6"/>
      <c r="BL209" s="6"/>
      <c r="BM209" s="6"/>
      <c r="BO209" s="6"/>
      <c r="BP209" s="6"/>
      <c r="BQ209" s="6"/>
      <c r="BR209" s="6">
        <f t="shared" si="43"/>
        <v>125513</v>
      </c>
      <c r="BT209" s="6">
        <f t="shared" si="44"/>
        <v>125513</v>
      </c>
      <c r="BV209" s="6">
        <f t="shared" si="42"/>
        <v>0</v>
      </c>
    </row>
    <row r="210" spans="1:75">
      <c r="A210" s="56"/>
      <c r="B210" s="11" t="s">
        <v>530</v>
      </c>
      <c r="C210"/>
      <c r="D210"/>
      <c r="E210"/>
      <c r="F210"/>
      <c r="G210"/>
      <c r="H210"/>
      <c r="I210"/>
      <c r="J210"/>
      <c r="K210" s="134"/>
      <c r="L210" s="427">
        <v>45637</v>
      </c>
      <c r="M210" s="6"/>
      <c r="O210" s="6"/>
      <c r="Q210" s="6"/>
      <c r="R210" s="6">
        <v>259130</v>
      </c>
      <c r="S210" s="6"/>
      <c r="T210" s="6"/>
      <c r="U210" s="6"/>
      <c r="V210" s="6"/>
      <c r="X210" s="6"/>
      <c r="Z210" s="6"/>
      <c r="AB210" s="6"/>
      <c r="AD210" s="6"/>
      <c r="BL210" s="6"/>
      <c r="BM210" s="6"/>
      <c r="BO210" s="6"/>
      <c r="BP210" s="6"/>
      <c r="BQ210" s="6"/>
      <c r="BR210" s="6">
        <f t="shared" si="43"/>
        <v>259130</v>
      </c>
      <c r="BT210" s="6">
        <f t="shared" si="44"/>
        <v>259130</v>
      </c>
      <c r="BV210" s="6">
        <f t="shared" si="42"/>
        <v>0</v>
      </c>
    </row>
    <row r="211" spans="1:75">
      <c r="A211" s="56"/>
      <c r="B211" s="11" t="s">
        <v>531</v>
      </c>
      <c r="C211"/>
      <c r="D211"/>
      <c r="E211"/>
      <c r="F211"/>
      <c r="G211"/>
      <c r="H211"/>
      <c r="I211"/>
      <c r="J211"/>
      <c r="K211" s="134"/>
      <c r="L211" s="427">
        <v>45638</v>
      </c>
      <c r="M211" s="6"/>
      <c r="O211" s="6"/>
      <c r="Q211" s="6"/>
      <c r="R211" s="6">
        <v>30502</v>
      </c>
      <c r="S211" s="6"/>
      <c r="T211" s="6"/>
      <c r="U211" s="6"/>
      <c r="V211" s="6"/>
      <c r="X211" s="6"/>
      <c r="Z211" s="6"/>
      <c r="AB211" s="6"/>
      <c r="AD211" s="6"/>
      <c r="BL211" s="6"/>
      <c r="BM211" s="6"/>
      <c r="BO211" s="6"/>
      <c r="BP211" s="6"/>
      <c r="BQ211" s="6"/>
      <c r="BR211" s="6">
        <f t="shared" si="43"/>
        <v>30502</v>
      </c>
      <c r="BT211" s="6">
        <f t="shared" si="44"/>
        <v>30502</v>
      </c>
      <c r="BV211" s="6">
        <f t="shared" si="42"/>
        <v>0</v>
      </c>
    </row>
    <row r="212" spans="1:75">
      <c r="A212" s="56"/>
      <c r="B212" s="11" t="s">
        <v>532</v>
      </c>
      <c r="C212"/>
      <c r="D212"/>
      <c r="E212"/>
      <c r="F212"/>
      <c r="G212"/>
      <c r="H212"/>
      <c r="I212"/>
      <c r="J212"/>
      <c r="K212" s="134"/>
      <c r="L212" s="427">
        <v>45639</v>
      </c>
      <c r="M212" s="6"/>
      <c r="O212" s="6"/>
      <c r="Q212" s="6"/>
      <c r="R212" s="6">
        <v>12923</v>
      </c>
      <c r="S212" s="6"/>
      <c r="T212" s="6"/>
      <c r="U212" s="6"/>
      <c r="V212" s="6"/>
      <c r="X212" s="6"/>
      <c r="Z212" s="6"/>
      <c r="AB212" s="6"/>
      <c r="AD212" s="6"/>
      <c r="BL212" s="6"/>
      <c r="BM212" s="6"/>
      <c r="BO212" s="6"/>
      <c r="BP212" s="6"/>
      <c r="BQ212" s="6"/>
      <c r="BR212" s="6">
        <f t="shared" si="43"/>
        <v>12923</v>
      </c>
      <c r="BT212" s="6">
        <f t="shared" si="44"/>
        <v>12923</v>
      </c>
      <c r="BV212" s="6">
        <f t="shared" si="42"/>
        <v>0</v>
      </c>
    </row>
    <row r="213" spans="1:75">
      <c r="A213" s="56"/>
      <c r="B213" s="11" t="s">
        <v>533</v>
      </c>
      <c r="C213"/>
      <c r="D213"/>
      <c r="E213"/>
      <c r="F213"/>
      <c r="G213"/>
      <c r="H213"/>
      <c r="I213"/>
      <c r="J213"/>
      <c r="K213" s="134"/>
      <c r="L213" s="427">
        <v>45642</v>
      </c>
      <c r="M213" s="6"/>
      <c r="O213" s="6"/>
      <c r="Q213" s="6"/>
      <c r="R213" s="6">
        <v>29543</v>
      </c>
      <c r="S213" s="6"/>
      <c r="T213" s="6"/>
      <c r="U213" s="6"/>
      <c r="V213" s="6"/>
      <c r="X213" s="6"/>
      <c r="Z213" s="6"/>
      <c r="AB213" s="6"/>
      <c r="AD213" s="6"/>
      <c r="BL213" s="6"/>
      <c r="BM213" s="6"/>
      <c r="BO213" s="6"/>
      <c r="BP213" s="6"/>
      <c r="BQ213" s="6"/>
      <c r="BR213" s="6">
        <f>IF(+R213-BN213+BP213&gt;0,R213-BN213+BP213,0)</f>
        <v>29543</v>
      </c>
      <c r="BT213" s="6">
        <f t="shared" si="44"/>
        <v>29543</v>
      </c>
      <c r="BV213" s="6">
        <f t="shared" si="42"/>
        <v>0</v>
      </c>
    </row>
    <row r="214" spans="1:75">
      <c r="A214" s="56"/>
      <c r="B214" s="11" t="s">
        <v>534</v>
      </c>
      <c r="C214"/>
      <c r="D214"/>
      <c r="E214"/>
      <c r="F214"/>
      <c r="G214"/>
      <c r="H214"/>
      <c r="I214"/>
      <c r="J214"/>
      <c r="K214" s="134"/>
      <c r="L214" s="427">
        <v>45643</v>
      </c>
      <c r="M214" s="6"/>
      <c r="O214" s="6"/>
      <c r="Q214" s="6"/>
      <c r="R214" s="6">
        <v>31391</v>
      </c>
      <c r="S214" s="6"/>
      <c r="T214" s="6"/>
      <c r="U214" s="6"/>
      <c r="V214" s="6"/>
      <c r="X214" s="6"/>
      <c r="Z214" s="6"/>
      <c r="AB214" s="6"/>
      <c r="AD214" s="6"/>
      <c r="BL214" s="6"/>
      <c r="BM214" s="6"/>
      <c r="BO214" s="6"/>
      <c r="BP214" s="6"/>
      <c r="BQ214" s="6"/>
      <c r="BR214" s="6">
        <f>IF(+R214-BN214+BP214&gt;0,R214-BN214+BP214,0)</f>
        <v>31391</v>
      </c>
      <c r="BT214" s="6">
        <f t="shared" si="44"/>
        <v>31391</v>
      </c>
      <c r="BV214" s="6">
        <f t="shared" si="42"/>
        <v>0</v>
      </c>
    </row>
    <row r="215" spans="1:75">
      <c r="A215" s="56"/>
      <c r="B215" s="11" t="s">
        <v>535</v>
      </c>
      <c r="C215"/>
      <c r="D215"/>
      <c r="E215"/>
      <c r="F215"/>
      <c r="G215"/>
      <c r="H215"/>
      <c r="I215"/>
      <c r="J215"/>
      <c r="K215" s="134"/>
      <c r="L215" s="427">
        <v>45644</v>
      </c>
      <c r="M215" s="6"/>
      <c r="O215" s="6"/>
      <c r="Q215" s="6"/>
      <c r="R215" s="6">
        <v>22237</v>
      </c>
      <c r="S215" s="6"/>
      <c r="T215" s="6"/>
      <c r="U215" s="6"/>
      <c r="V215" s="6"/>
      <c r="X215" s="6"/>
      <c r="Z215" s="6"/>
      <c r="AB215" s="6"/>
      <c r="AD215" s="6"/>
      <c r="BL215" s="6"/>
      <c r="BM215" s="6"/>
      <c r="BO215" s="6"/>
      <c r="BP215" s="6"/>
      <c r="BQ215" s="6"/>
      <c r="BR215" s="6">
        <f>IF(+R215-BN215+BP215&gt;0,R215-BN215+BP215,0)</f>
        <v>22237</v>
      </c>
      <c r="BT215" s="6">
        <f t="shared" si="44"/>
        <v>22237</v>
      </c>
      <c r="BV215" s="6">
        <f t="shared" si="42"/>
        <v>0</v>
      </c>
    </row>
    <row r="216" spans="1:75">
      <c r="A216" s="56"/>
      <c r="B216" s="11" t="s">
        <v>536</v>
      </c>
      <c r="C216"/>
      <c r="D216"/>
      <c r="E216"/>
      <c r="F216"/>
      <c r="G216"/>
      <c r="H216"/>
      <c r="I216"/>
      <c r="J216"/>
      <c r="K216" s="134"/>
      <c r="L216" s="427">
        <v>44484</v>
      </c>
      <c r="M216" s="6"/>
      <c r="O216" s="6"/>
      <c r="Q216" s="6"/>
      <c r="R216" s="6">
        <v>132742</v>
      </c>
      <c r="S216" s="6"/>
      <c r="T216" s="6"/>
      <c r="U216" s="6"/>
      <c r="V216" s="6"/>
      <c r="X216" s="6"/>
      <c r="Z216" s="6"/>
      <c r="AB216" s="6"/>
      <c r="AD216" s="6"/>
      <c r="BL216" s="6"/>
      <c r="BM216" s="6"/>
      <c r="BO216" s="6"/>
      <c r="BP216" s="6"/>
      <c r="BQ216" s="6"/>
      <c r="BR216" s="6">
        <f>IF(+R216-BN216+BP216&gt;0,R216-BN216+BP216,0)</f>
        <v>132742</v>
      </c>
      <c r="BT216" s="6">
        <f t="shared" si="44"/>
        <v>132742</v>
      </c>
      <c r="BV216" s="6">
        <f t="shared" si="42"/>
        <v>0</v>
      </c>
    </row>
    <row r="217" spans="1:75">
      <c r="A217" s="56"/>
      <c r="B217" s="11" t="s">
        <v>537</v>
      </c>
      <c r="C217"/>
      <c r="D217"/>
      <c r="E217"/>
      <c r="F217"/>
      <c r="G217"/>
      <c r="H217"/>
      <c r="I217"/>
      <c r="J217"/>
      <c r="K217" s="134"/>
      <c r="L217" s="427"/>
      <c r="M217" s="6"/>
      <c r="O217" s="6"/>
      <c r="Q217" s="6"/>
      <c r="R217" s="6">
        <f>-3890117+2200000</f>
        <v>-1690117</v>
      </c>
      <c r="S217" s="6"/>
      <c r="T217" s="6"/>
      <c r="U217" s="6"/>
      <c r="V217" s="6"/>
      <c r="X217" s="6"/>
      <c r="Z217" s="6"/>
      <c r="AB217" s="6"/>
      <c r="AD217" s="6"/>
      <c r="BL217" s="6"/>
      <c r="BM217" s="6"/>
      <c r="BO217" s="6"/>
      <c r="BP217" s="6">
        <v>1690117</v>
      </c>
      <c r="BQ217" s="6"/>
      <c r="BR217" s="6">
        <f>IF(+R217-BN217+BP217&gt;0,R217-BN217+BP217,0)</f>
        <v>0</v>
      </c>
      <c r="BT217" s="6">
        <f t="shared" si="44"/>
        <v>0</v>
      </c>
      <c r="BV217" s="6">
        <f t="shared" si="42"/>
        <v>-1690117</v>
      </c>
    </row>
    <row r="218" spans="1:75" s="21" customFormat="1">
      <c r="A218" s="56"/>
      <c r="B218" s="31" t="s">
        <v>280</v>
      </c>
      <c r="K218" s="143"/>
      <c r="L218" s="9"/>
      <c r="M218" s="102">
        <f>SUM(M198:M213)</f>
        <v>2000000</v>
      </c>
      <c r="N218" s="9"/>
      <c r="O218" s="102">
        <f>SUM(O198:O213)</f>
        <v>295000</v>
      </c>
      <c r="P218" s="9"/>
      <c r="Q218" s="102">
        <f>SUM(Q198:Q213)</f>
        <v>2295000</v>
      </c>
      <c r="R218" s="102">
        <f>SUM(R198:R217)</f>
        <v>2200000</v>
      </c>
      <c r="S218" s="9"/>
      <c r="T218" s="102">
        <f>SUM(T198:T213)</f>
        <v>0</v>
      </c>
      <c r="U218" s="9"/>
      <c r="V218" s="102">
        <f>SUM(V198:V213)</f>
        <v>0</v>
      </c>
      <c r="W218" s="9"/>
      <c r="X218" s="102">
        <f>SUM(X198:X213)</f>
        <v>0</v>
      </c>
      <c r="Y218" s="9"/>
      <c r="Z218" s="102">
        <f>SUM(Z198:Z213)</f>
        <v>0</v>
      </c>
      <c r="AA218" s="9"/>
      <c r="AB218" s="102">
        <f>SUM(AB198:AB213)</f>
        <v>0</v>
      </c>
      <c r="AC218" s="9"/>
      <c r="AD218" s="102">
        <f>SUM(AD198:AD213)</f>
        <v>0</v>
      </c>
      <c r="AE218" s="9"/>
      <c r="AF218" s="102">
        <f>SUM(AF198:AF213)</f>
        <v>0</v>
      </c>
      <c r="AG218" s="9"/>
      <c r="AH218" s="102">
        <f>SUM(AH198:AH213)</f>
        <v>0</v>
      </c>
      <c r="AI218" s="9"/>
      <c r="AJ218" s="102">
        <f>SUM(AJ198:AJ213)</f>
        <v>0</v>
      </c>
      <c r="AK218" s="9"/>
      <c r="AL218" s="102">
        <f>SUM(AL198:AL213)</f>
        <v>0</v>
      </c>
      <c r="AM218" s="102"/>
      <c r="AN218" s="102">
        <f>SUM(AN198:AN213)</f>
        <v>0</v>
      </c>
      <c r="AO218" s="9"/>
      <c r="AP218" s="102">
        <f>SUM(AP198:AP213)</f>
        <v>18017.870000000003</v>
      </c>
      <c r="AQ218" s="9"/>
      <c r="AR218" s="102">
        <f>SUM(AR198:AR213)</f>
        <v>0</v>
      </c>
      <c r="AS218" s="9"/>
      <c r="AT218" s="102">
        <f>SUM(AT198:AT217)</f>
        <v>7500</v>
      </c>
      <c r="AU218" s="102">
        <f t="shared" ref="AU218:BW218" si="45">SUM(AU198:AU217)</f>
        <v>0</v>
      </c>
      <c r="AV218" s="102">
        <f t="shared" si="45"/>
        <v>20486.25</v>
      </c>
      <c r="AW218" s="102">
        <f t="shared" si="45"/>
        <v>0</v>
      </c>
      <c r="AX218" s="102">
        <f t="shared" si="45"/>
        <v>0</v>
      </c>
      <c r="AY218" s="102">
        <f t="shared" si="45"/>
        <v>0</v>
      </c>
      <c r="AZ218" s="102">
        <f t="shared" si="45"/>
        <v>0</v>
      </c>
      <c r="BA218" s="102">
        <f t="shared" si="45"/>
        <v>0</v>
      </c>
      <c r="BB218" s="102">
        <f t="shared" si="45"/>
        <v>0</v>
      </c>
      <c r="BC218" s="102">
        <f t="shared" si="45"/>
        <v>0</v>
      </c>
      <c r="BD218" s="102">
        <f t="shared" si="45"/>
        <v>0</v>
      </c>
      <c r="BE218" s="102">
        <f t="shared" si="45"/>
        <v>0</v>
      </c>
      <c r="BF218" s="102">
        <f t="shared" si="45"/>
        <v>0</v>
      </c>
      <c r="BG218" s="102">
        <f t="shared" si="45"/>
        <v>0</v>
      </c>
      <c r="BH218" s="102">
        <f t="shared" si="45"/>
        <v>0</v>
      </c>
      <c r="BI218" s="102">
        <f t="shared" si="45"/>
        <v>0</v>
      </c>
      <c r="BJ218" s="102">
        <f t="shared" si="45"/>
        <v>0</v>
      </c>
      <c r="BK218" s="102">
        <f t="shared" si="45"/>
        <v>0</v>
      </c>
      <c r="BL218" s="102">
        <f t="shared" si="45"/>
        <v>0</v>
      </c>
      <c r="BM218" s="102">
        <f t="shared" si="45"/>
        <v>0</v>
      </c>
      <c r="BN218" s="102">
        <f t="shared" si="45"/>
        <v>46004.12</v>
      </c>
      <c r="BO218" s="102">
        <f t="shared" si="45"/>
        <v>0</v>
      </c>
      <c r="BP218" s="102">
        <f t="shared" si="45"/>
        <v>1690117</v>
      </c>
      <c r="BQ218" s="102">
        <f t="shared" si="45"/>
        <v>0</v>
      </c>
      <c r="BR218" s="102">
        <f t="shared" si="45"/>
        <v>3844112.88</v>
      </c>
      <c r="BS218" s="102">
        <f t="shared" si="45"/>
        <v>0</v>
      </c>
      <c r="BT218" s="102">
        <f t="shared" si="45"/>
        <v>3890117</v>
      </c>
      <c r="BU218" s="102">
        <f t="shared" si="45"/>
        <v>0</v>
      </c>
      <c r="BV218" s="102">
        <f t="shared" si="45"/>
        <v>-1690117</v>
      </c>
      <c r="BW218" s="102">
        <f t="shared" si="45"/>
        <v>0</v>
      </c>
    </row>
    <row r="219" spans="1:75" s="21" customFormat="1">
      <c r="A219" s="56"/>
      <c r="B219" s="31"/>
      <c r="K219" s="143"/>
      <c r="L219" s="9"/>
      <c r="M219" s="10"/>
      <c r="N219" s="9"/>
      <c r="O219" s="10"/>
      <c r="P219" s="9"/>
      <c r="Q219" s="10"/>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row>
    <row r="220" spans="1:75" s="21" customFormat="1">
      <c r="A220" s="56" t="s">
        <v>29</v>
      </c>
      <c r="B220" s="31"/>
      <c r="J220" s="8" t="s">
        <v>0</v>
      </c>
      <c r="L220" s="134" t="s">
        <v>204</v>
      </c>
      <c r="M220" s="9"/>
      <c r="N220" s="9">
        <v>0</v>
      </c>
      <c r="O220" s="9"/>
      <c r="P220" s="9">
        <v>0</v>
      </c>
      <c r="Q220" s="9"/>
      <c r="R220" s="9">
        <v>1100000</v>
      </c>
      <c r="S220" s="9"/>
      <c r="T220" s="9">
        <v>0</v>
      </c>
      <c r="U220" s="9"/>
      <c r="V220" s="9">
        <v>0</v>
      </c>
      <c r="W220" s="9"/>
      <c r="X220" s="9">
        <v>0</v>
      </c>
      <c r="Y220" s="9"/>
      <c r="Z220" s="9">
        <v>0</v>
      </c>
      <c r="AA220" s="9"/>
      <c r="AB220" s="9">
        <v>0</v>
      </c>
      <c r="AC220" s="9"/>
      <c r="AD220" s="9">
        <v>0</v>
      </c>
      <c r="AE220" s="9"/>
      <c r="AF220" s="9">
        <v>0</v>
      </c>
      <c r="AG220" s="9"/>
      <c r="AH220" s="9">
        <v>0</v>
      </c>
      <c r="AI220" s="9"/>
      <c r="AJ220" s="9">
        <v>0</v>
      </c>
      <c r="AK220" s="9"/>
      <c r="AL220" s="9"/>
      <c r="AM220" s="9"/>
      <c r="AN220" s="9">
        <v>0</v>
      </c>
      <c r="AO220" s="9"/>
      <c r="AP220" s="9">
        <v>0</v>
      </c>
      <c r="AQ220" s="9"/>
      <c r="AR220" s="9">
        <v>0</v>
      </c>
      <c r="AS220" s="9"/>
      <c r="AT220" s="9">
        <v>0</v>
      </c>
      <c r="AU220" s="9"/>
      <c r="AV220" s="9">
        <v>0</v>
      </c>
      <c r="AW220" s="9"/>
      <c r="AX220" s="9">
        <v>0</v>
      </c>
      <c r="AY220" s="9"/>
      <c r="AZ220" s="9">
        <v>0</v>
      </c>
      <c r="BA220" s="9"/>
      <c r="BB220" s="9">
        <v>0</v>
      </c>
      <c r="BC220" s="9"/>
      <c r="BD220" s="9">
        <v>0</v>
      </c>
      <c r="BE220" s="9"/>
      <c r="BF220" s="9">
        <v>0</v>
      </c>
      <c r="BG220" s="9"/>
      <c r="BH220" s="9">
        <v>0</v>
      </c>
      <c r="BI220" s="9"/>
      <c r="BJ220" s="9">
        <v>0</v>
      </c>
      <c r="BK220" s="9"/>
      <c r="BL220" s="9">
        <v>0</v>
      </c>
      <c r="BM220" s="9"/>
      <c r="BN220" s="9">
        <f>SUM(T220:BM220)</f>
        <v>0</v>
      </c>
      <c r="BO220" s="9"/>
      <c r="BP220" s="9">
        <v>0</v>
      </c>
      <c r="BQ220" s="9"/>
      <c r="BR220" s="6">
        <f>IF(+R220-BN220+BP220&gt;0,R220-BN220+BP220,0)</f>
        <v>1100000</v>
      </c>
      <c r="BS220" s="9"/>
      <c r="BT220" s="9">
        <f>+BN220+BR220</f>
        <v>1100000</v>
      </c>
      <c r="BU220" s="9"/>
      <c r="BV220" s="9">
        <f>+R220-BT220</f>
        <v>0</v>
      </c>
      <c r="BW220" s="9"/>
    </row>
    <row r="221" spans="1:75" s="21" customFormat="1">
      <c r="A221" s="118"/>
      <c r="B221" s="58"/>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s="10"/>
      <c r="BD221" s="10"/>
      <c r="BE221" s="10"/>
      <c r="BF221" s="10"/>
      <c r="BG221" s="10"/>
      <c r="BH221" s="10"/>
      <c r="BI221" s="10"/>
      <c r="BJ221" s="10"/>
      <c r="BK221" s="10"/>
      <c r="BL221" s="10"/>
      <c r="BM221" s="9"/>
      <c r="BN221" s="10"/>
      <c r="BO221" s="9"/>
      <c r="BP221" s="10"/>
      <c r="BQ221" s="9"/>
      <c r="BR221" s="10"/>
      <c r="BS221" s="9"/>
      <c r="BT221" s="10"/>
      <c r="BU221" s="9"/>
      <c r="BV221" s="10"/>
      <c r="BW221" s="9"/>
    </row>
    <row r="222" spans="1:75" s="15" customFormat="1">
      <c r="A222" s="111" t="s">
        <v>293</v>
      </c>
      <c r="B222" s="60"/>
      <c r="C222"/>
      <c r="D222"/>
      <c r="E222"/>
      <c r="F222"/>
      <c r="G222"/>
      <c r="H222"/>
      <c r="I222"/>
      <c r="J222" s="49"/>
      <c r="K222"/>
      <c r="L222" s="134"/>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row>
    <row r="223" spans="1:75" s="15" customFormat="1" hidden="1">
      <c r="A223" s="14"/>
      <c r="B223" s="60" t="s">
        <v>180</v>
      </c>
      <c r="C223"/>
      <c r="D223"/>
      <c r="E223"/>
      <c r="F223"/>
      <c r="G223"/>
      <c r="H223"/>
      <c r="I223"/>
      <c r="J223" s="49"/>
      <c r="K223"/>
      <c r="L223" s="134" t="s">
        <v>204</v>
      </c>
      <c r="M223" s="22"/>
      <c r="N223" s="22">
        <v>0</v>
      </c>
      <c r="O223" s="22"/>
      <c r="P223" s="22">
        <v>0</v>
      </c>
      <c r="Q223" s="22"/>
      <c r="R223" s="6">
        <f>+N223+P223</f>
        <v>0</v>
      </c>
      <c r="S223" s="22"/>
      <c r="T223" s="22">
        <v>0</v>
      </c>
      <c r="U223" s="22"/>
      <c r="V223" s="22">
        <v>0</v>
      </c>
      <c r="W223" s="22"/>
      <c r="X223" s="22">
        <v>0</v>
      </c>
      <c r="Y223" s="22"/>
      <c r="Z223" s="22">
        <v>0</v>
      </c>
      <c r="AA223" s="22"/>
      <c r="AB223" s="22">
        <v>0</v>
      </c>
      <c r="AC223" s="22"/>
      <c r="AD223" s="22">
        <v>0</v>
      </c>
      <c r="AE223" s="22"/>
      <c r="AF223" s="22">
        <v>0</v>
      </c>
      <c r="AG223" s="22"/>
      <c r="AH223" s="22">
        <v>0</v>
      </c>
      <c r="AI223" s="22"/>
      <c r="AJ223" s="22">
        <v>0</v>
      </c>
      <c r="AK223" s="22"/>
      <c r="AL223" s="22"/>
      <c r="AM223" s="22"/>
      <c r="AN223" s="22">
        <v>0</v>
      </c>
      <c r="AO223" s="22"/>
      <c r="AP223" s="22">
        <v>0</v>
      </c>
      <c r="AQ223" s="22"/>
      <c r="AR223" s="22">
        <v>0</v>
      </c>
      <c r="AS223" s="22"/>
      <c r="AT223" s="22">
        <v>0</v>
      </c>
      <c r="AU223" s="22"/>
      <c r="AV223" s="22">
        <v>0</v>
      </c>
      <c r="AW223" s="22"/>
      <c r="AX223" s="22">
        <v>0</v>
      </c>
      <c r="AY223" s="22"/>
      <c r="AZ223" s="22">
        <v>0</v>
      </c>
      <c r="BA223" s="22"/>
      <c r="BB223" s="22">
        <v>0</v>
      </c>
      <c r="BC223" s="22"/>
      <c r="BD223" s="22">
        <v>0</v>
      </c>
      <c r="BE223" s="22"/>
      <c r="BF223" s="22">
        <v>0</v>
      </c>
      <c r="BG223" s="22"/>
      <c r="BH223" s="22">
        <v>0</v>
      </c>
      <c r="BI223" s="22"/>
      <c r="BJ223" s="22">
        <v>0</v>
      </c>
      <c r="BK223" s="22"/>
      <c r="BL223" s="22">
        <v>0</v>
      </c>
      <c r="BM223" s="22"/>
      <c r="BN223" s="22">
        <f>SUM(T223:BM223)</f>
        <v>0</v>
      </c>
      <c r="BO223" s="22"/>
      <c r="BP223" s="22">
        <v>0</v>
      </c>
      <c r="BQ223" s="22"/>
      <c r="BR223" s="22">
        <f>+R223-BN223+BP223</f>
        <v>0</v>
      </c>
      <c r="BS223" s="22"/>
      <c r="BT223" s="6">
        <f>+BN223+BR223</f>
        <v>0</v>
      </c>
      <c r="BU223" s="22"/>
      <c r="BV223" s="6">
        <f>+R223-BT223</f>
        <v>0</v>
      </c>
      <c r="BW223" s="22"/>
    </row>
    <row r="224" spans="1:75" s="15" customFormat="1">
      <c r="A224" s="14"/>
      <c r="B224" s="60" t="s">
        <v>294</v>
      </c>
      <c r="C224"/>
      <c r="D224"/>
      <c r="E224"/>
      <c r="F224"/>
      <c r="G224"/>
      <c r="H224"/>
      <c r="I224"/>
      <c r="J224" s="49"/>
      <c r="K224"/>
      <c r="L224" s="134" t="s">
        <v>204</v>
      </c>
      <c r="M224" s="22"/>
      <c r="N224" s="22">
        <v>0</v>
      </c>
      <c r="O224" s="22"/>
      <c r="P224" s="22">
        <v>0</v>
      </c>
      <c r="Q224" s="22"/>
      <c r="R224" s="6">
        <v>500000</v>
      </c>
      <c r="S224" s="22"/>
      <c r="T224" s="22">
        <v>0</v>
      </c>
      <c r="U224" s="22"/>
      <c r="V224" s="22">
        <v>0</v>
      </c>
      <c r="W224" s="22"/>
      <c r="X224" s="22">
        <v>0</v>
      </c>
      <c r="Y224" s="22"/>
      <c r="Z224" s="22">
        <v>0</v>
      </c>
      <c r="AA224" s="22"/>
      <c r="AB224" s="22">
        <v>0</v>
      </c>
      <c r="AC224" s="22"/>
      <c r="AD224" s="22">
        <v>0</v>
      </c>
      <c r="AE224" s="22"/>
      <c r="AF224" s="22">
        <v>0</v>
      </c>
      <c r="AG224" s="22"/>
      <c r="AH224" s="22">
        <v>0</v>
      </c>
      <c r="AI224" s="22"/>
      <c r="AJ224" s="22">
        <v>0</v>
      </c>
      <c r="AK224" s="22"/>
      <c r="AL224" s="22"/>
      <c r="AM224" s="22"/>
      <c r="AN224" s="22">
        <v>0</v>
      </c>
      <c r="AO224" s="22"/>
      <c r="AP224" s="22">
        <v>0</v>
      </c>
      <c r="AQ224" s="22"/>
      <c r="AR224" s="22">
        <v>0</v>
      </c>
      <c r="AS224" s="22"/>
      <c r="AT224" s="22">
        <v>0</v>
      </c>
      <c r="AU224" s="22"/>
      <c r="AV224" s="22">
        <v>0</v>
      </c>
      <c r="AW224" s="22"/>
      <c r="AX224" s="22">
        <v>0</v>
      </c>
      <c r="AY224" s="22"/>
      <c r="AZ224" s="22">
        <v>0</v>
      </c>
      <c r="BA224" s="22"/>
      <c r="BB224" s="22">
        <v>0</v>
      </c>
      <c r="BC224" s="22"/>
      <c r="BD224" s="22">
        <v>0</v>
      </c>
      <c r="BE224" s="22"/>
      <c r="BF224" s="22">
        <v>0</v>
      </c>
      <c r="BG224" s="22"/>
      <c r="BH224" s="22">
        <v>0</v>
      </c>
      <c r="BI224" s="22"/>
      <c r="BJ224" s="22">
        <v>0</v>
      </c>
      <c r="BK224" s="22"/>
      <c r="BL224" s="22">
        <v>0</v>
      </c>
      <c r="BM224" s="22"/>
      <c r="BN224" s="22">
        <f>SUM(T224:BM224)</f>
        <v>0</v>
      </c>
      <c r="BO224" s="22"/>
      <c r="BP224" s="22">
        <v>0</v>
      </c>
      <c r="BQ224" s="22"/>
      <c r="BR224" s="6">
        <f>IF(+R224-BN224+BP224&gt;0,R224-BN224+BP224,0)</f>
        <v>500000</v>
      </c>
      <c r="BS224" s="22"/>
      <c r="BT224" s="6">
        <f>+BN224+BR224</f>
        <v>500000</v>
      </c>
      <c r="BU224" s="22"/>
      <c r="BV224" s="6">
        <f>+R224-BT224</f>
        <v>0</v>
      </c>
      <c r="BW224" s="22"/>
    </row>
    <row r="225" spans="1:124" s="15" customFormat="1" hidden="1">
      <c r="A225" s="14"/>
      <c r="B225" s="60" t="s">
        <v>122</v>
      </c>
      <c r="C225"/>
      <c r="D225"/>
      <c r="E225"/>
      <c r="F225"/>
      <c r="G225"/>
      <c r="H225"/>
      <c r="I225"/>
      <c r="J225" s="49"/>
      <c r="K225"/>
      <c r="L225" s="134" t="s">
        <v>204</v>
      </c>
      <c r="M225" s="22"/>
      <c r="N225" s="22">
        <v>0</v>
      </c>
      <c r="O225" s="22"/>
      <c r="P225" s="22">
        <v>0</v>
      </c>
      <c r="Q225" s="22"/>
      <c r="R225" s="6">
        <v>0</v>
      </c>
      <c r="S225" s="22"/>
      <c r="T225" s="22">
        <v>0</v>
      </c>
      <c r="U225" s="22"/>
      <c r="V225" s="22">
        <v>0</v>
      </c>
      <c r="W225" s="22"/>
      <c r="X225" s="22">
        <v>0</v>
      </c>
      <c r="Y225" s="22"/>
      <c r="Z225" s="22">
        <v>0</v>
      </c>
      <c r="AA225" s="22"/>
      <c r="AB225" s="22">
        <v>0</v>
      </c>
      <c r="AC225" s="22"/>
      <c r="AD225" s="22">
        <v>0</v>
      </c>
      <c r="AE225" s="22"/>
      <c r="AF225" s="22">
        <v>0</v>
      </c>
      <c r="AG225" s="22"/>
      <c r="AH225" s="22">
        <v>0</v>
      </c>
      <c r="AI225" s="22"/>
      <c r="AJ225" s="22">
        <v>0</v>
      </c>
      <c r="AK225" s="22"/>
      <c r="AL225" s="22"/>
      <c r="AM225" s="22"/>
      <c r="AN225" s="22">
        <v>0</v>
      </c>
      <c r="AO225" s="22"/>
      <c r="AP225" s="22">
        <v>0</v>
      </c>
      <c r="AQ225" s="22"/>
      <c r="AR225" s="22">
        <v>0</v>
      </c>
      <c r="AS225" s="22"/>
      <c r="AT225" s="22">
        <v>0</v>
      </c>
      <c r="AU225" s="22"/>
      <c r="AV225" s="22">
        <v>0</v>
      </c>
      <c r="AW225" s="22"/>
      <c r="AX225" s="22">
        <v>0</v>
      </c>
      <c r="AY225" s="22"/>
      <c r="AZ225" s="22">
        <v>0</v>
      </c>
      <c r="BA225" s="22"/>
      <c r="BB225" s="22">
        <v>0</v>
      </c>
      <c r="BC225" s="22"/>
      <c r="BD225" s="22">
        <v>0</v>
      </c>
      <c r="BE225" s="22"/>
      <c r="BF225" s="22">
        <v>0</v>
      </c>
      <c r="BG225" s="22"/>
      <c r="BH225" s="22">
        <v>0</v>
      </c>
      <c r="BI225" s="22"/>
      <c r="BJ225" s="22">
        <v>0</v>
      </c>
      <c r="BK225" s="22"/>
      <c r="BL225" s="22">
        <v>0</v>
      </c>
      <c r="BM225" s="22"/>
      <c r="BN225" s="22">
        <f>SUM(T225:BM225)</f>
        <v>0</v>
      </c>
      <c r="BO225" s="22"/>
      <c r="BP225" s="22">
        <v>0</v>
      </c>
      <c r="BQ225" s="22"/>
      <c r="BR225" s="22">
        <f>+R225-BN225+BP225</f>
        <v>0</v>
      </c>
      <c r="BS225" s="22"/>
      <c r="BT225" s="6">
        <f>+BN225+BR225</f>
        <v>0</v>
      </c>
      <c r="BU225" s="22"/>
      <c r="BV225" s="6">
        <f>+R225-BT225</f>
        <v>0</v>
      </c>
      <c r="BW225" s="22"/>
    </row>
    <row r="226" spans="1:124" s="104" customFormat="1">
      <c r="A226" s="111"/>
      <c r="B226" s="77" t="s">
        <v>182</v>
      </c>
      <c r="C226" s="21"/>
      <c r="D226" s="21"/>
      <c r="E226" s="21"/>
      <c r="F226" s="21"/>
      <c r="G226" s="21"/>
      <c r="H226" s="21"/>
      <c r="I226" s="21"/>
      <c r="J226" s="8"/>
      <c r="K226" s="21"/>
      <c r="L226" s="143"/>
      <c r="M226" s="16"/>
      <c r="N226" s="108">
        <f>SUM(N223:N225)</f>
        <v>0</v>
      </c>
      <c r="O226" s="16"/>
      <c r="P226" s="108">
        <f>SUM(P223:P225)</f>
        <v>0</v>
      </c>
      <c r="Q226" s="16"/>
      <c r="R226" s="108">
        <f>SUM(R223:R225)</f>
        <v>500000</v>
      </c>
      <c r="S226" s="16"/>
      <c r="T226" s="108">
        <f>SUM(T223:T225)</f>
        <v>0</v>
      </c>
      <c r="U226" s="16"/>
      <c r="V226" s="108">
        <f>SUM(V223:V225)</f>
        <v>0</v>
      </c>
      <c r="W226" s="16"/>
      <c r="X226" s="108">
        <f>SUM(X223:X225)</f>
        <v>0</v>
      </c>
      <c r="Y226" s="16"/>
      <c r="Z226" s="108">
        <f>SUM(Z223:Z225)</f>
        <v>0</v>
      </c>
      <c r="AA226" s="16"/>
      <c r="AB226" s="108">
        <f>SUM(AB223:AB225)</f>
        <v>0</v>
      </c>
      <c r="AC226" s="16"/>
      <c r="AD226" s="108">
        <f>SUM(AD223:AD225)</f>
        <v>0</v>
      </c>
      <c r="AE226" s="16"/>
      <c r="AF226" s="108">
        <f>SUM(AF223:AF225)</f>
        <v>0</v>
      </c>
      <c r="AG226" s="16"/>
      <c r="AH226" s="108">
        <f>SUM(AH223:AH225)</f>
        <v>0</v>
      </c>
      <c r="AI226" s="16"/>
      <c r="AJ226" s="108">
        <f>SUM(AJ223:AJ225)</f>
        <v>0</v>
      </c>
      <c r="AK226" s="16"/>
      <c r="AL226" s="108">
        <f>SUM(AL223:AL225)</f>
        <v>0</v>
      </c>
      <c r="AM226" s="108"/>
      <c r="AN226" s="108">
        <f>SUM(AN223:AN225)</f>
        <v>0</v>
      </c>
      <c r="AO226" s="16"/>
      <c r="AP226" s="108">
        <f>SUM(AP223:AP225)</f>
        <v>0</v>
      </c>
      <c r="AQ226" s="16"/>
      <c r="AR226" s="108">
        <f>SUM(AR223:AR225)</f>
        <v>0</v>
      </c>
      <c r="AS226" s="16"/>
      <c r="AT226" s="108">
        <f>SUM(AT223:AT225)</f>
        <v>0</v>
      </c>
      <c r="AU226" s="16"/>
      <c r="AV226" s="108">
        <f>SUM(AV223:AV225)</f>
        <v>0</v>
      </c>
      <c r="AW226" s="103"/>
      <c r="AX226" s="108">
        <f>SUM(AX223:AX225)</f>
        <v>0</v>
      </c>
      <c r="AY226" s="103"/>
      <c r="AZ226" s="108">
        <f>SUM(AZ223:AZ225)</f>
        <v>0</v>
      </c>
      <c r="BA226" s="103"/>
      <c r="BB226" s="108">
        <f>SUM(BB223:BB225)</f>
        <v>0</v>
      </c>
      <c r="BC226" s="103"/>
      <c r="BD226" s="108">
        <f>SUM(BD223:BD225)</f>
        <v>0</v>
      </c>
      <c r="BE226" s="103"/>
      <c r="BF226" s="108">
        <f>SUM(BF223:BF225)</f>
        <v>0</v>
      </c>
      <c r="BG226" s="103"/>
      <c r="BH226" s="108">
        <f>SUM(BH223:BH225)</f>
        <v>0</v>
      </c>
      <c r="BI226" s="103"/>
      <c r="BJ226" s="108">
        <f>SUM(BJ223:BJ225)</f>
        <v>0</v>
      </c>
      <c r="BK226" s="103"/>
      <c r="BL226" s="108">
        <f>SUM(BL223:BL225)</f>
        <v>0</v>
      </c>
      <c r="BM226" s="16"/>
      <c r="BN226" s="108">
        <f>SUM(BN223:BN225)</f>
        <v>0</v>
      </c>
      <c r="BO226" s="16"/>
      <c r="BP226" s="108">
        <f>SUM(BP223:BP225)</f>
        <v>0</v>
      </c>
      <c r="BQ226" s="16"/>
      <c r="BR226" s="108">
        <f>SUM(BR223:BR225)</f>
        <v>500000</v>
      </c>
      <c r="BS226" s="16"/>
      <c r="BT226" s="108">
        <f>SUM(BT223:BT225)</f>
        <v>500000</v>
      </c>
      <c r="BU226" s="16"/>
      <c r="BV226" s="108">
        <f>SUM(BV223:BV225)</f>
        <v>0</v>
      </c>
      <c r="BW226" s="16"/>
    </row>
    <row r="227" spans="1:124" s="104" customFormat="1">
      <c r="A227" s="32"/>
      <c r="B227" s="77"/>
      <c r="C227" s="21"/>
      <c r="D227" s="21"/>
      <c r="E227" s="21"/>
      <c r="F227" s="21"/>
      <c r="G227" s="21"/>
      <c r="H227" s="21"/>
      <c r="I227" s="21"/>
      <c r="J227" s="8"/>
      <c r="K227" s="21"/>
      <c r="L227" s="143"/>
      <c r="M227" s="16"/>
      <c r="N227" s="103"/>
      <c r="O227" s="16"/>
      <c r="P227" s="103"/>
      <c r="Q227" s="16"/>
      <c r="R227" s="103"/>
      <c r="S227" s="16"/>
      <c r="T227" s="103"/>
      <c r="U227" s="16"/>
      <c r="V227" s="103"/>
      <c r="W227" s="16"/>
      <c r="X227" s="103"/>
      <c r="Y227" s="16"/>
      <c r="Z227" s="103"/>
      <c r="AA227" s="16"/>
      <c r="AB227" s="103"/>
      <c r="AC227" s="16"/>
      <c r="AD227" s="103"/>
      <c r="AE227" s="16"/>
      <c r="AF227" s="103"/>
      <c r="AG227" s="16"/>
      <c r="AH227" s="103"/>
      <c r="AI227" s="16"/>
      <c r="AJ227" s="103"/>
      <c r="AK227" s="16"/>
      <c r="AL227" s="103"/>
      <c r="AM227" s="16"/>
      <c r="AN227" s="103"/>
      <c r="AO227" s="16"/>
      <c r="AP227" s="103"/>
      <c r="AQ227" s="16"/>
      <c r="AR227" s="103"/>
      <c r="AS227" s="16"/>
      <c r="AT227" s="103"/>
      <c r="AU227" s="16"/>
      <c r="AV227" s="103"/>
      <c r="AW227" s="103"/>
      <c r="AX227" s="103"/>
      <c r="AY227" s="103"/>
      <c r="AZ227" s="103"/>
      <c r="BA227" s="103"/>
      <c r="BB227" s="103"/>
      <c r="BC227" s="103"/>
      <c r="BD227" s="103"/>
      <c r="BE227" s="103"/>
      <c r="BF227" s="103"/>
      <c r="BG227" s="103"/>
      <c r="BH227" s="103"/>
      <c r="BI227" s="103"/>
      <c r="BJ227" s="103"/>
      <c r="BK227" s="103"/>
      <c r="BL227" s="103"/>
      <c r="BM227" s="16"/>
      <c r="BN227" s="103"/>
      <c r="BO227" s="16"/>
      <c r="BP227" s="103"/>
      <c r="BQ227" s="16"/>
      <c r="BR227" s="103"/>
      <c r="BS227" s="16"/>
      <c r="BT227" s="103"/>
      <c r="BU227" s="16"/>
      <c r="BV227" s="103"/>
      <c r="BW227" s="16"/>
    </row>
    <row r="228" spans="1:124" s="31" customFormat="1">
      <c r="A228" s="58" t="s">
        <v>31</v>
      </c>
      <c r="J228" s="159"/>
      <c r="L228" s="145" t="s">
        <v>204</v>
      </c>
      <c r="M228" s="10"/>
      <c r="N228" s="10">
        <v>0</v>
      </c>
      <c r="O228" s="10"/>
      <c r="P228" s="10">
        <v>0</v>
      </c>
      <c r="Q228" s="10"/>
      <c r="R228" s="9">
        <v>200000</v>
      </c>
      <c r="S228" s="10"/>
      <c r="T228" s="10">
        <v>0</v>
      </c>
      <c r="U228" s="10"/>
      <c r="V228" s="10">
        <v>0</v>
      </c>
      <c r="W228" s="10"/>
      <c r="X228" s="10">
        <v>0</v>
      </c>
      <c r="Y228" s="10"/>
      <c r="Z228" s="10">
        <v>0</v>
      </c>
      <c r="AA228" s="10"/>
      <c r="AB228" s="10">
        <v>0</v>
      </c>
      <c r="AC228" s="10"/>
      <c r="AD228" s="10">
        <v>0</v>
      </c>
      <c r="AE228" s="10"/>
      <c r="AF228" s="10">
        <v>0</v>
      </c>
      <c r="AG228" s="10"/>
      <c r="AH228" s="10">
        <v>0</v>
      </c>
      <c r="AI228" s="10"/>
      <c r="AJ228" s="10">
        <v>0</v>
      </c>
      <c r="AK228" s="10"/>
      <c r="AL228" s="10"/>
      <c r="AM228" s="10"/>
      <c r="AN228" s="10">
        <v>0</v>
      </c>
      <c r="AO228" s="10"/>
      <c r="AP228" s="10">
        <v>0</v>
      </c>
      <c r="AQ228" s="10"/>
      <c r="AR228" s="10">
        <v>0</v>
      </c>
      <c r="AS228" s="10"/>
      <c r="AT228" s="10">
        <v>200935.25</v>
      </c>
      <c r="AU228" s="10"/>
      <c r="AV228" s="10">
        <v>0</v>
      </c>
      <c r="AW228" s="10"/>
      <c r="AX228" s="10">
        <v>0</v>
      </c>
      <c r="AY228" s="10"/>
      <c r="AZ228" s="10">
        <v>0</v>
      </c>
      <c r="BA228" s="10"/>
      <c r="BB228" s="10">
        <v>0</v>
      </c>
      <c r="BC228" s="10"/>
      <c r="BD228" s="10">
        <v>0</v>
      </c>
      <c r="BE228" s="10"/>
      <c r="BF228" s="10">
        <v>0</v>
      </c>
      <c r="BG228" s="10"/>
      <c r="BH228" s="10">
        <v>0</v>
      </c>
      <c r="BI228" s="10"/>
      <c r="BJ228" s="10">
        <v>0</v>
      </c>
      <c r="BK228" s="10"/>
      <c r="BL228" s="10">
        <v>0</v>
      </c>
      <c r="BM228" s="10"/>
      <c r="BN228" s="10">
        <f>SUM(T228:BM228)</f>
        <v>200935.25</v>
      </c>
      <c r="BO228" s="10"/>
      <c r="BP228" s="10">
        <v>0</v>
      </c>
      <c r="BQ228" s="10"/>
      <c r="BR228" s="6">
        <f>IF(+R228-BN228+BP228&gt;0,R228-BN228+BP228,0)</f>
        <v>0</v>
      </c>
      <c r="BS228" s="10"/>
      <c r="BT228" s="9">
        <f>+BN228+BR228</f>
        <v>200935.25</v>
      </c>
      <c r="BU228" s="10"/>
      <c r="BV228" s="9">
        <f>+R228-BT228</f>
        <v>-935.25</v>
      </c>
      <c r="BW228" s="10"/>
    </row>
    <row r="229" spans="1:124" s="15" customFormat="1">
      <c r="A229" s="14"/>
      <c r="B229" s="60"/>
      <c r="C229"/>
      <c r="D229"/>
      <c r="E229"/>
      <c r="F229"/>
      <c r="G229"/>
      <c r="H229"/>
      <c r="I229"/>
      <c r="J229" s="49"/>
      <c r="K229"/>
      <c r="L229" s="134"/>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row>
    <row r="230" spans="1:124" s="31" customFormat="1">
      <c r="A230" s="58" t="s">
        <v>32</v>
      </c>
      <c r="J230" s="159"/>
      <c r="L230" s="145" t="s">
        <v>204</v>
      </c>
      <c r="M230" s="10"/>
      <c r="N230" s="10">
        <v>0</v>
      </c>
      <c r="O230" s="10"/>
      <c r="P230" s="10">
        <v>0</v>
      </c>
      <c r="Q230" s="10"/>
      <c r="R230" s="9">
        <v>200000</v>
      </c>
      <c r="S230" s="10"/>
      <c r="T230" s="10">
        <v>0</v>
      </c>
      <c r="U230" s="10"/>
      <c r="V230" s="10">
        <v>0</v>
      </c>
      <c r="W230" s="10"/>
      <c r="X230" s="10"/>
      <c r="Y230" s="10"/>
      <c r="Z230" s="10">
        <v>0</v>
      </c>
      <c r="AA230" s="10"/>
      <c r="AB230" s="10">
        <v>0</v>
      </c>
      <c r="AC230" s="10"/>
      <c r="AD230" s="10">
        <v>0</v>
      </c>
      <c r="AE230" s="10"/>
      <c r="AF230" s="10">
        <v>0</v>
      </c>
      <c r="AG230" s="10"/>
      <c r="AH230" s="10">
        <v>0</v>
      </c>
      <c r="AI230" s="10"/>
      <c r="AJ230" s="10">
        <v>0</v>
      </c>
      <c r="AK230" s="10"/>
      <c r="AL230" s="10">
        <f>33713.4+18457</f>
        <v>52170.400000000001</v>
      </c>
      <c r="AM230" s="10"/>
      <c r="AN230" s="10">
        <v>2851</v>
      </c>
      <c r="AO230" s="10"/>
      <c r="AP230" s="10">
        <v>0</v>
      </c>
      <c r="AQ230" s="10"/>
      <c r="AR230" s="10">
        <v>0</v>
      </c>
      <c r="AS230" s="10"/>
      <c r="AT230" s="10">
        <v>0</v>
      </c>
      <c r="AU230" s="10"/>
      <c r="AV230" s="10">
        <v>1755.4</v>
      </c>
      <c r="AW230" s="10"/>
      <c r="AX230" s="10">
        <v>0</v>
      </c>
      <c r="AY230" s="10"/>
      <c r="AZ230" s="10">
        <v>0</v>
      </c>
      <c r="BA230" s="10"/>
      <c r="BB230" s="10">
        <v>0</v>
      </c>
      <c r="BC230" s="10"/>
      <c r="BD230" s="10">
        <v>0</v>
      </c>
      <c r="BE230" s="10"/>
      <c r="BF230" s="10">
        <v>0</v>
      </c>
      <c r="BG230" s="10"/>
      <c r="BH230" s="10">
        <v>0</v>
      </c>
      <c r="BI230" s="10"/>
      <c r="BJ230" s="10">
        <v>0</v>
      </c>
      <c r="BK230" s="10"/>
      <c r="BL230" s="10">
        <v>0</v>
      </c>
      <c r="BM230" s="10"/>
      <c r="BN230" s="10">
        <f>SUM(T230:BM230)</f>
        <v>56776.800000000003</v>
      </c>
      <c r="BO230" s="10"/>
      <c r="BP230" s="10">
        <v>0</v>
      </c>
      <c r="BQ230" s="10"/>
      <c r="BR230" s="6">
        <f>IF(+R230-BN230+BP230&gt;0,R230-BN230+BP230,0)</f>
        <v>143223.20000000001</v>
      </c>
      <c r="BS230" s="10"/>
      <c r="BT230" s="9">
        <f>+BN230+BR230</f>
        <v>200000</v>
      </c>
      <c r="BU230" s="10"/>
      <c r="BV230" s="9">
        <f>+R230-BT230</f>
        <v>0</v>
      </c>
      <c r="BW230" s="10"/>
    </row>
    <row r="231" spans="1:124" s="15" customFormat="1">
      <c r="A231" s="14"/>
      <c r="B231" s="60"/>
      <c r="C231"/>
      <c r="D231"/>
      <c r="E231"/>
      <c r="F231"/>
      <c r="G231"/>
      <c r="H231"/>
      <c r="I231"/>
      <c r="J231" s="49"/>
      <c r="K231"/>
      <c r="L231" s="134"/>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row>
    <row r="232" spans="1:124">
      <c r="A232" s="56" t="s">
        <v>33</v>
      </c>
      <c r="B232" s="11"/>
      <c r="C232"/>
      <c r="D232"/>
      <c r="E232"/>
      <c r="F232"/>
      <c r="G232"/>
      <c r="H232"/>
      <c r="I232"/>
      <c r="J232" s="49"/>
      <c r="K232"/>
      <c r="L232" s="134"/>
      <c r="M232" s="6"/>
      <c r="O232" s="6"/>
      <c r="Q232" s="6"/>
      <c r="S232" s="6"/>
      <c r="T232" s="6"/>
      <c r="U232" s="6"/>
      <c r="V232" s="6"/>
      <c r="X232" s="6"/>
      <c r="Z232" s="6"/>
      <c r="AB232" s="6"/>
      <c r="AD232" s="6"/>
      <c r="BL232" s="6"/>
      <c r="BM232" s="6"/>
      <c r="BO232" s="6"/>
      <c r="BP232" s="6"/>
      <c r="BQ232" s="6"/>
      <c r="BW232" s="6"/>
    </row>
    <row r="233" spans="1:124" s="11" customFormat="1">
      <c r="A233" s="17"/>
      <c r="B233" s="11" t="s">
        <v>186</v>
      </c>
      <c r="J233" s="160"/>
      <c r="L233" s="146" t="s">
        <v>205</v>
      </c>
      <c r="M233" s="12"/>
      <c r="N233" s="12">
        <v>200000</v>
      </c>
      <c r="O233" s="12"/>
      <c r="P233" s="12">
        <v>0</v>
      </c>
      <c r="Q233" s="12"/>
      <c r="R233" s="6">
        <v>100000</v>
      </c>
      <c r="S233" s="12"/>
      <c r="T233" s="12">
        <v>0</v>
      </c>
      <c r="U233" s="12"/>
      <c r="V233" s="12"/>
      <c r="W233" s="12"/>
      <c r="X233" s="12"/>
      <c r="Y233" s="12"/>
      <c r="Z233" s="12"/>
      <c r="AA233" s="12"/>
      <c r="AB233" s="12"/>
      <c r="AC233" s="12"/>
      <c r="AD233" s="12"/>
      <c r="AE233" s="12"/>
      <c r="AF233" s="12"/>
      <c r="AG233" s="12"/>
      <c r="AH233" s="12"/>
      <c r="AI233" s="12"/>
      <c r="AJ233" s="12">
        <f>11817+1362.81</f>
        <v>13179.81</v>
      </c>
      <c r="AK233" s="12"/>
      <c r="AL233" s="12"/>
      <c r="AM233" s="12"/>
      <c r="AN233" s="12"/>
      <c r="AO233" s="12"/>
      <c r="AP233" s="12">
        <v>0</v>
      </c>
      <c r="AQ233" s="12"/>
      <c r="AR233" s="12">
        <v>0</v>
      </c>
      <c r="AS233" s="12"/>
      <c r="AT233" s="12">
        <v>0</v>
      </c>
      <c r="AU233" s="12"/>
      <c r="AV233" s="12">
        <v>0</v>
      </c>
      <c r="AW233" s="12"/>
      <c r="AX233" s="12">
        <v>0</v>
      </c>
      <c r="AY233" s="12"/>
      <c r="AZ233" s="12">
        <v>0</v>
      </c>
      <c r="BA233" s="12"/>
      <c r="BB233" s="12">
        <v>0</v>
      </c>
      <c r="BC233" s="12"/>
      <c r="BD233" s="12">
        <v>0</v>
      </c>
      <c r="BE233" s="12"/>
      <c r="BF233" s="12">
        <v>0</v>
      </c>
      <c r="BG233" s="12"/>
      <c r="BH233" s="12">
        <v>0</v>
      </c>
      <c r="BI233" s="12"/>
      <c r="BJ233" s="12">
        <v>0</v>
      </c>
      <c r="BK233" s="12"/>
      <c r="BL233" s="12">
        <v>0</v>
      </c>
      <c r="BM233" s="12"/>
      <c r="BN233" s="12">
        <f t="shared" ref="BN233:BN238" si="46">SUM(T233:BM233)</f>
        <v>13179.81</v>
      </c>
      <c r="BO233" s="12"/>
      <c r="BP233" s="12">
        <v>0</v>
      </c>
      <c r="BQ233" s="12"/>
      <c r="BR233" s="6">
        <f t="shared" ref="BR233:BR238" si="47">IF(+R233-BN233+BP233&gt;0,R233-BN233+BP233,0)</f>
        <v>86820.19</v>
      </c>
      <c r="BS233" s="12"/>
      <c r="BT233" s="6">
        <f t="shared" ref="BT233:BT238" si="48">+BN233+BR233</f>
        <v>100000</v>
      </c>
      <c r="BU233" s="12"/>
      <c r="BV233" s="6">
        <f t="shared" ref="BV233:BV238" si="49">+R233-BT233</f>
        <v>0</v>
      </c>
      <c r="BW233" s="12"/>
    </row>
    <row r="234" spans="1:124" s="11" customFormat="1">
      <c r="A234" s="17"/>
      <c r="B234" s="11" t="s">
        <v>34</v>
      </c>
      <c r="J234" s="160"/>
      <c r="L234" s="146" t="s">
        <v>205</v>
      </c>
      <c r="M234" s="12"/>
      <c r="N234" s="12">
        <v>0</v>
      </c>
      <c r="O234" s="12"/>
      <c r="P234" s="12">
        <v>50000</v>
      </c>
      <c r="Q234" s="12"/>
      <c r="R234" s="6">
        <v>150000</v>
      </c>
      <c r="S234" s="12"/>
      <c r="T234" s="12">
        <v>0</v>
      </c>
      <c r="U234" s="12"/>
      <c r="V234" s="12"/>
      <c r="W234" s="12"/>
      <c r="X234" s="12"/>
      <c r="Y234" s="12"/>
      <c r="Z234" s="12"/>
      <c r="AA234" s="12"/>
      <c r="AB234" s="12"/>
      <c r="AC234" s="12"/>
      <c r="AD234" s="12"/>
      <c r="AE234" s="12"/>
      <c r="AF234" s="12"/>
      <c r="AG234" s="12"/>
      <c r="AH234" s="12"/>
      <c r="AI234" s="12"/>
      <c r="AJ234" s="12"/>
      <c r="AK234" s="12"/>
      <c r="AL234" s="12">
        <v>67146.100000000006</v>
      </c>
      <c r="AM234" s="12"/>
      <c r="AN234" s="12">
        <v>2410.5100000000002</v>
      </c>
      <c r="AO234" s="12"/>
      <c r="AP234" s="12">
        <v>7333.62</v>
      </c>
      <c r="AQ234" s="12"/>
      <c r="AR234" s="12">
        <v>10298.6</v>
      </c>
      <c r="AS234" s="12"/>
      <c r="AT234" s="12">
        <f>9260.96+1975.58</f>
        <v>11236.539999999999</v>
      </c>
      <c r="AU234" s="12"/>
      <c r="AV234" s="12">
        <f>1851.11+602.64</f>
        <v>2453.75</v>
      </c>
      <c r="AW234" s="12"/>
      <c r="AX234" s="12">
        <v>0</v>
      </c>
      <c r="AY234" s="12"/>
      <c r="AZ234" s="12">
        <v>0</v>
      </c>
      <c r="BA234" s="12"/>
      <c r="BB234" s="12">
        <v>0</v>
      </c>
      <c r="BC234" s="12"/>
      <c r="BD234" s="12">
        <v>0</v>
      </c>
      <c r="BE234" s="12"/>
      <c r="BF234" s="12">
        <v>0</v>
      </c>
      <c r="BG234" s="12"/>
      <c r="BH234" s="12">
        <v>0</v>
      </c>
      <c r="BI234" s="12"/>
      <c r="BJ234" s="12">
        <v>0</v>
      </c>
      <c r="BK234" s="12"/>
      <c r="BL234" s="12">
        <v>0</v>
      </c>
      <c r="BM234" s="12"/>
      <c r="BN234" s="12">
        <f t="shared" si="46"/>
        <v>100879.12</v>
      </c>
      <c r="BO234" s="12"/>
      <c r="BP234" s="12">
        <v>0</v>
      </c>
      <c r="BQ234" s="12"/>
      <c r="BR234" s="6">
        <f t="shared" si="47"/>
        <v>49120.880000000005</v>
      </c>
      <c r="BS234" s="12"/>
      <c r="BT234" s="6">
        <f t="shared" si="48"/>
        <v>150000</v>
      </c>
      <c r="BU234" s="12"/>
      <c r="BV234" s="6">
        <f t="shared" si="49"/>
        <v>0</v>
      </c>
      <c r="BW234" s="12"/>
    </row>
    <row r="235" spans="1:124" s="11" customFormat="1">
      <c r="A235" s="17"/>
      <c r="B235" s="11" t="s">
        <v>219</v>
      </c>
      <c r="J235" s="160"/>
      <c r="L235" s="146" t="s">
        <v>205</v>
      </c>
      <c r="M235" s="12"/>
      <c r="N235" s="12">
        <v>0</v>
      </c>
      <c r="O235" s="12"/>
      <c r="P235" s="12">
        <v>24235</v>
      </c>
      <c r="Q235" s="12"/>
      <c r="R235" s="6">
        <f>+N235+P235</f>
        <v>24235</v>
      </c>
      <c r="S235" s="12"/>
      <c r="T235" s="12">
        <v>0</v>
      </c>
      <c r="U235" s="12"/>
      <c r="V235" s="12"/>
      <c r="W235" s="12"/>
      <c r="X235" s="12"/>
      <c r="Y235" s="12"/>
      <c r="Z235" s="12"/>
      <c r="AA235" s="12"/>
      <c r="AB235" s="12"/>
      <c r="AC235" s="12"/>
      <c r="AD235" s="12"/>
      <c r="AE235" s="12"/>
      <c r="AF235" s="12"/>
      <c r="AG235" s="12"/>
      <c r="AH235" s="12"/>
      <c r="AI235" s="12"/>
      <c r="AJ235" s="12"/>
      <c r="AK235" s="12"/>
      <c r="AL235" s="12">
        <v>17043.53</v>
      </c>
      <c r="AM235" s="12"/>
      <c r="AN235" s="12">
        <v>0</v>
      </c>
      <c r="AO235" s="12"/>
      <c r="AP235" s="12">
        <v>0</v>
      </c>
      <c r="AQ235" s="12"/>
      <c r="AR235" s="12">
        <v>0</v>
      </c>
      <c r="AS235" s="12"/>
      <c r="AT235" s="12">
        <v>0</v>
      </c>
      <c r="AU235" s="12"/>
      <c r="AV235" s="12">
        <v>0</v>
      </c>
      <c r="AW235" s="12"/>
      <c r="AX235" s="12">
        <v>0</v>
      </c>
      <c r="AY235" s="12"/>
      <c r="AZ235" s="12">
        <v>0</v>
      </c>
      <c r="BA235" s="12"/>
      <c r="BB235" s="12">
        <v>0</v>
      </c>
      <c r="BC235" s="12"/>
      <c r="BD235" s="12">
        <v>0</v>
      </c>
      <c r="BE235" s="12"/>
      <c r="BF235" s="12">
        <v>0</v>
      </c>
      <c r="BG235" s="12"/>
      <c r="BH235" s="12">
        <v>0</v>
      </c>
      <c r="BI235" s="12"/>
      <c r="BJ235" s="12">
        <v>0</v>
      </c>
      <c r="BK235" s="12"/>
      <c r="BL235" s="12">
        <v>0</v>
      </c>
      <c r="BM235" s="12"/>
      <c r="BN235" s="12">
        <f t="shared" si="46"/>
        <v>17043.53</v>
      </c>
      <c r="BO235" s="12"/>
      <c r="BP235" s="12">
        <v>0</v>
      </c>
      <c r="BQ235" s="12"/>
      <c r="BR235" s="6">
        <f t="shared" si="47"/>
        <v>7191.4700000000012</v>
      </c>
      <c r="BS235" s="12"/>
      <c r="BT235" s="6">
        <f t="shared" si="48"/>
        <v>24235</v>
      </c>
      <c r="BU235" s="12"/>
      <c r="BV235" s="6">
        <f t="shared" si="49"/>
        <v>0</v>
      </c>
      <c r="BW235" s="12"/>
    </row>
    <row r="236" spans="1:124" s="11" customFormat="1">
      <c r="A236" s="17"/>
      <c r="B236" s="11" t="s">
        <v>122</v>
      </c>
      <c r="J236" s="160"/>
      <c r="L236" s="146" t="s">
        <v>205</v>
      </c>
      <c r="M236" s="12"/>
      <c r="N236" s="12">
        <v>400000</v>
      </c>
      <c r="O236" s="12"/>
      <c r="P236" s="12">
        <f>49065-N236-6000</f>
        <v>-356935</v>
      </c>
      <c r="Q236" s="12"/>
      <c r="R236" s="6">
        <f>43065+82700</f>
        <v>125765</v>
      </c>
      <c r="S236" s="12"/>
      <c r="T236" s="12">
        <v>0</v>
      </c>
      <c r="U236" s="12"/>
      <c r="V236" s="12"/>
      <c r="W236" s="12"/>
      <c r="X236" s="12"/>
      <c r="Y236" s="12"/>
      <c r="Z236" s="12"/>
      <c r="AA236" s="12"/>
      <c r="AB236" s="12"/>
      <c r="AC236" s="12"/>
      <c r="AD236" s="12"/>
      <c r="AE236" s="12"/>
      <c r="AF236" s="12"/>
      <c r="AG236" s="12"/>
      <c r="AH236" s="12"/>
      <c r="AI236" s="12"/>
      <c r="AJ236" s="12">
        <v>5904</v>
      </c>
      <c r="AK236" s="12"/>
      <c r="AL236" s="12">
        <v>2286</v>
      </c>
      <c r="AM236" s="12"/>
      <c r="AN236" s="12"/>
      <c r="AO236" s="12"/>
      <c r="AP236" s="12">
        <v>11540.01</v>
      </c>
      <c r="AQ236" s="12"/>
      <c r="AR236" s="12">
        <f>19587.28</f>
        <v>19587.28</v>
      </c>
      <c r="AS236" s="12"/>
      <c r="AT236" s="12">
        <f>25566.56+6171+2683.37</f>
        <v>34420.93</v>
      </c>
      <c r="AU236" s="12"/>
      <c r="AV236" s="12">
        <f>28230.06+9600</f>
        <v>37830.06</v>
      </c>
      <c r="AW236" s="12"/>
      <c r="AX236" s="12">
        <v>0</v>
      </c>
      <c r="AY236" s="12"/>
      <c r="AZ236" s="12">
        <v>0</v>
      </c>
      <c r="BA236" s="12"/>
      <c r="BB236" s="12">
        <v>0</v>
      </c>
      <c r="BC236" s="12"/>
      <c r="BD236" s="12">
        <v>0</v>
      </c>
      <c r="BE236" s="12"/>
      <c r="BF236" s="12">
        <v>0</v>
      </c>
      <c r="BG236" s="12"/>
      <c r="BH236" s="12">
        <v>0</v>
      </c>
      <c r="BI236" s="12"/>
      <c r="BJ236" s="12">
        <v>0</v>
      </c>
      <c r="BK236" s="12"/>
      <c r="BL236" s="12">
        <v>0</v>
      </c>
      <c r="BM236" s="12"/>
      <c r="BN236" s="12">
        <f t="shared" si="46"/>
        <v>111568.28</v>
      </c>
      <c r="BO236" s="12"/>
      <c r="BP236" s="12">
        <v>0</v>
      </c>
      <c r="BQ236" s="12"/>
      <c r="BR236" s="6">
        <f t="shared" si="47"/>
        <v>14196.720000000001</v>
      </c>
      <c r="BS236" s="12"/>
      <c r="BT236" s="6">
        <f t="shared" si="48"/>
        <v>125765</v>
      </c>
      <c r="BU236" s="12"/>
      <c r="BV236" s="6">
        <f t="shared" si="49"/>
        <v>0</v>
      </c>
      <c r="BW236" s="12"/>
    </row>
    <row r="237" spans="1:124" s="11" customFormat="1">
      <c r="A237" s="17"/>
      <c r="B237" s="11" t="s">
        <v>497</v>
      </c>
      <c r="J237" s="160"/>
      <c r="L237" s="146"/>
      <c r="M237" s="12"/>
      <c r="N237" s="12"/>
      <c r="O237" s="12"/>
      <c r="P237" s="12"/>
      <c r="Q237" s="12"/>
      <c r="R237" s="6"/>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v>83333.33</v>
      </c>
      <c r="AS237" s="12"/>
      <c r="AT237" s="12">
        <f>25346.24+82333.33</f>
        <v>107679.57</v>
      </c>
      <c r="AU237" s="12"/>
      <c r="AV237" s="12"/>
      <c r="AW237" s="12"/>
      <c r="AX237" s="12"/>
      <c r="AY237" s="12"/>
      <c r="AZ237" s="12"/>
      <c r="BA237" s="12"/>
      <c r="BB237" s="12"/>
      <c r="BC237" s="12"/>
      <c r="BD237" s="12"/>
      <c r="BE237" s="12"/>
      <c r="BF237" s="12"/>
      <c r="BG237" s="12"/>
      <c r="BH237" s="12"/>
      <c r="BI237" s="12"/>
      <c r="BJ237" s="12"/>
      <c r="BK237" s="12"/>
      <c r="BL237" s="12"/>
      <c r="BM237" s="12"/>
      <c r="BN237" s="12">
        <f t="shared" si="46"/>
        <v>191012.90000000002</v>
      </c>
      <c r="BO237" s="12"/>
      <c r="BP237" s="12"/>
      <c r="BQ237" s="12"/>
      <c r="BR237" s="6">
        <f t="shared" si="47"/>
        <v>0</v>
      </c>
      <c r="BS237" s="12"/>
      <c r="BT237" s="6">
        <f t="shared" si="48"/>
        <v>191012.90000000002</v>
      </c>
      <c r="BU237" s="12"/>
      <c r="BV237" s="6">
        <f t="shared" si="49"/>
        <v>-191012.90000000002</v>
      </c>
      <c r="BW237" s="12"/>
    </row>
    <row r="238" spans="1:124" s="11" customFormat="1">
      <c r="A238" s="17"/>
      <c r="B238" s="11" t="s">
        <v>285</v>
      </c>
      <c r="J238" s="160"/>
      <c r="L238" s="146"/>
      <c r="M238" s="12"/>
      <c r="N238" s="12"/>
      <c r="O238" s="12"/>
      <c r="P238" s="12"/>
      <c r="Q238" s="12"/>
      <c r="R238" s="6"/>
      <c r="S238" s="12"/>
      <c r="T238" s="12"/>
      <c r="U238" s="12"/>
      <c r="V238" s="12"/>
      <c r="W238" s="12"/>
      <c r="X238" s="12"/>
      <c r="Y238" s="12"/>
      <c r="Z238" s="12"/>
      <c r="AA238" s="12"/>
      <c r="AB238" s="12"/>
      <c r="AC238" s="12"/>
      <c r="AD238" s="12"/>
      <c r="AE238" s="12"/>
      <c r="AF238" s="12"/>
      <c r="AG238" s="12"/>
      <c r="AH238" s="12"/>
      <c r="AI238" s="12"/>
      <c r="AJ238" s="12"/>
      <c r="AK238" s="12"/>
      <c r="AL238" s="12">
        <v>32203.279999999999</v>
      </c>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f t="shared" si="46"/>
        <v>32203.279999999999</v>
      </c>
      <c r="BO238" s="12"/>
      <c r="BP238" s="12">
        <v>0</v>
      </c>
      <c r="BQ238" s="12"/>
      <c r="BR238" s="6">
        <f t="shared" si="47"/>
        <v>0</v>
      </c>
      <c r="BS238" s="12"/>
      <c r="BT238" s="6">
        <f t="shared" si="48"/>
        <v>32203.279999999999</v>
      </c>
      <c r="BU238" s="12"/>
      <c r="BV238" s="6">
        <f t="shared" si="49"/>
        <v>-32203.279999999999</v>
      </c>
      <c r="BW238" s="12"/>
    </row>
    <row r="239" spans="1:124" s="21" customFormat="1">
      <c r="A239" s="56"/>
      <c r="B239" s="31" t="s">
        <v>41</v>
      </c>
      <c r="J239" s="8"/>
      <c r="L239" s="143"/>
      <c r="M239" s="9"/>
      <c r="N239" s="102">
        <f>SUM(N233:N236)</f>
        <v>600000</v>
      </c>
      <c r="O239" s="9"/>
      <c r="P239" s="102">
        <f>SUM(P233:P236)</f>
        <v>-282700</v>
      </c>
      <c r="Q239" s="9"/>
      <c r="R239" s="102">
        <f t="shared" ref="R239:AW239" si="50">SUM(R233:R238)</f>
        <v>400000</v>
      </c>
      <c r="S239" s="102">
        <f t="shared" si="50"/>
        <v>0</v>
      </c>
      <c r="T239" s="102">
        <f t="shared" si="50"/>
        <v>0</v>
      </c>
      <c r="U239" s="102">
        <f t="shared" si="50"/>
        <v>0</v>
      </c>
      <c r="V239" s="102">
        <f t="shared" si="50"/>
        <v>0</v>
      </c>
      <c r="W239" s="102">
        <f t="shared" si="50"/>
        <v>0</v>
      </c>
      <c r="X239" s="102">
        <f t="shared" si="50"/>
        <v>0</v>
      </c>
      <c r="Y239" s="102">
        <f t="shared" si="50"/>
        <v>0</v>
      </c>
      <c r="Z239" s="102">
        <f t="shared" si="50"/>
        <v>0</v>
      </c>
      <c r="AA239" s="102">
        <f t="shared" si="50"/>
        <v>0</v>
      </c>
      <c r="AB239" s="102">
        <f t="shared" si="50"/>
        <v>0</v>
      </c>
      <c r="AC239" s="102">
        <f t="shared" si="50"/>
        <v>0</v>
      </c>
      <c r="AD239" s="102">
        <f t="shared" si="50"/>
        <v>0</v>
      </c>
      <c r="AE239" s="102">
        <f t="shared" si="50"/>
        <v>0</v>
      </c>
      <c r="AF239" s="102">
        <f t="shared" si="50"/>
        <v>0</v>
      </c>
      <c r="AG239" s="102">
        <f t="shared" si="50"/>
        <v>0</v>
      </c>
      <c r="AH239" s="102">
        <f t="shared" si="50"/>
        <v>0</v>
      </c>
      <c r="AI239" s="102"/>
      <c r="AJ239" s="102">
        <f t="shared" si="50"/>
        <v>19083.809999999998</v>
      </c>
      <c r="AK239" s="102"/>
      <c r="AL239" s="102">
        <f t="shared" si="50"/>
        <v>118678.91</v>
      </c>
      <c r="AM239" s="102"/>
      <c r="AN239" s="102">
        <f t="shared" si="50"/>
        <v>2410.5100000000002</v>
      </c>
      <c r="AO239" s="102"/>
      <c r="AP239" s="102">
        <f t="shared" si="50"/>
        <v>18873.63</v>
      </c>
      <c r="AQ239" s="102"/>
      <c r="AR239" s="102">
        <f t="shared" si="50"/>
        <v>113219.20999999999</v>
      </c>
      <c r="AS239" s="102">
        <f t="shared" si="50"/>
        <v>0</v>
      </c>
      <c r="AT239" s="102">
        <f t="shared" si="50"/>
        <v>153337.04</v>
      </c>
      <c r="AU239" s="102">
        <f t="shared" si="50"/>
        <v>0</v>
      </c>
      <c r="AV239" s="102">
        <f t="shared" si="50"/>
        <v>40283.81</v>
      </c>
      <c r="AW239" s="102">
        <f t="shared" si="50"/>
        <v>0</v>
      </c>
      <c r="AX239" s="102">
        <f t="shared" ref="AX239:BW239" si="51">SUM(AX233:AX238)</f>
        <v>0</v>
      </c>
      <c r="AY239" s="102">
        <f t="shared" si="51"/>
        <v>0</v>
      </c>
      <c r="AZ239" s="102">
        <f t="shared" si="51"/>
        <v>0</v>
      </c>
      <c r="BA239" s="102">
        <f t="shared" si="51"/>
        <v>0</v>
      </c>
      <c r="BB239" s="102">
        <f t="shared" si="51"/>
        <v>0</v>
      </c>
      <c r="BC239" s="102">
        <f t="shared" si="51"/>
        <v>0</v>
      </c>
      <c r="BD239" s="102">
        <f t="shared" si="51"/>
        <v>0</v>
      </c>
      <c r="BE239" s="102">
        <f t="shared" si="51"/>
        <v>0</v>
      </c>
      <c r="BF239" s="102">
        <f t="shared" si="51"/>
        <v>0</v>
      </c>
      <c r="BG239" s="102">
        <f t="shared" si="51"/>
        <v>0</v>
      </c>
      <c r="BH239" s="102">
        <f t="shared" si="51"/>
        <v>0</v>
      </c>
      <c r="BI239" s="102">
        <f t="shared" si="51"/>
        <v>0</v>
      </c>
      <c r="BJ239" s="102">
        <f t="shared" si="51"/>
        <v>0</v>
      </c>
      <c r="BK239" s="102">
        <f t="shared" si="51"/>
        <v>0</v>
      </c>
      <c r="BL239" s="102">
        <f t="shared" si="51"/>
        <v>0</v>
      </c>
      <c r="BM239" s="102">
        <f t="shared" si="51"/>
        <v>0</v>
      </c>
      <c r="BN239" s="102">
        <f t="shared" si="51"/>
        <v>465886.92000000004</v>
      </c>
      <c r="BO239" s="102">
        <f t="shared" si="51"/>
        <v>0</v>
      </c>
      <c r="BP239" s="102">
        <f t="shared" si="51"/>
        <v>0</v>
      </c>
      <c r="BQ239" s="102">
        <f t="shared" si="51"/>
        <v>0</v>
      </c>
      <c r="BR239" s="102">
        <f t="shared" si="51"/>
        <v>157329.26</v>
      </c>
      <c r="BS239" s="102">
        <f t="shared" si="51"/>
        <v>0</v>
      </c>
      <c r="BT239" s="102">
        <f t="shared" si="51"/>
        <v>623216.18000000005</v>
      </c>
      <c r="BU239" s="102">
        <f t="shared" si="51"/>
        <v>0</v>
      </c>
      <c r="BV239" s="102">
        <f t="shared" si="51"/>
        <v>-223216.18000000002</v>
      </c>
      <c r="BW239" s="102">
        <f t="shared" si="51"/>
        <v>0</v>
      </c>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row>
    <row r="240" spans="1:124" s="21" customFormat="1">
      <c r="A240" s="56"/>
      <c r="B240" s="31"/>
      <c r="J240" s="8"/>
      <c r="L240" s="143"/>
      <c r="M240" s="9"/>
      <c r="N240" s="10"/>
      <c r="O240" s="9"/>
      <c r="P240" s="10"/>
      <c r="Q240" s="9"/>
      <c r="R240" s="10"/>
      <c r="S240" s="9"/>
      <c r="T240" s="10"/>
      <c r="U240" s="9"/>
      <c r="V240" s="10"/>
      <c r="W240" s="9"/>
      <c r="X240" s="10"/>
      <c r="Y240" s="9"/>
      <c r="Z240" s="10"/>
      <c r="AA240" s="9"/>
      <c r="AB240" s="10"/>
      <c r="AC240" s="9"/>
      <c r="AD240" s="10"/>
      <c r="AE240" s="9"/>
      <c r="AF240" s="10"/>
      <c r="AG240" s="9"/>
      <c r="AH240" s="10"/>
      <c r="AI240" s="9"/>
      <c r="AJ240" s="10"/>
      <c r="AK240" s="9"/>
      <c r="AL240" s="10"/>
      <c r="AM240" s="9"/>
      <c r="AN240" s="10"/>
      <c r="AO240" s="9"/>
      <c r="AP240" s="10"/>
      <c r="AQ240" s="9"/>
      <c r="AR240" s="10"/>
      <c r="AS240" s="9"/>
      <c r="AT240" s="10"/>
      <c r="AU240" s="9"/>
      <c r="AV240" s="10"/>
      <c r="AW240" s="10"/>
      <c r="AX240" s="10"/>
      <c r="AY240" s="10"/>
      <c r="AZ240" s="10"/>
      <c r="BA240" s="10"/>
      <c r="BB240" s="10"/>
      <c r="BC240" s="10"/>
      <c r="BD240" s="10"/>
      <c r="BE240" s="10"/>
      <c r="BF240" s="10"/>
      <c r="BG240" s="10"/>
      <c r="BH240" s="10"/>
      <c r="BI240" s="10"/>
      <c r="BJ240" s="10"/>
      <c r="BK240" s="10"/>
      <c r="BL240" s="10"/>
      <c r="BM240" s="9"/>
      <c r="BN240" s="10"/>
      <c r="BO240" s="9"/>
      <c r="BP240" s="10"/>
      <c r="BQ240" s="9"/>
      <c r="BR240" s="10"/>
      <c r="BS240" s="9"/>
      <c r="BT240" s="10"/>
      <c r="BU240" s="9"/>
      <c r="BV240" s="10"/>
      <c r="BW240" s="9"/>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row>
    <row r="241" spans="1:124">
      <c r="A241" s="56" t="s">
        <v>35</v>
      </c>
      <c r="B241" s="11"/>
      <c r="C241"/>
      <c r="D241"/>
      <c r="E241"/>
      <c r="F241"/>
      <c r="G241"/>
      <c r="H241"/>
      <c r="I241"/>
      <c r="J241" s="49"/>
      <c r="K241"/>
      <c r="L241" s="134"/>
      <c r="M241" s="6"/>
      <c r="O241" s="6"/>
      <c r="Q241" s="6"/>
      <c r="S241" s="6"/>
      <c r="T241" s="6"/>
      <c r="U241" s="12"/>
      <c r="V241" s="6"/>
      <c r="W241" s="12"/>
      <c r="X241" s="6"/>
      <c r="Y241" s="12"/>
      <c r="Z241" s="6"/>
      <c r="AA241" s="12"/>
      <c r="AB241" s="6"/>
      <c r="AC241" s="12"/>
      <c r="AD241" s="6"/>
      <c r="AE241" s="12"/>
      <c r="AG241" s="12"/>
      <c r="AI241" s="12"/>
      <c r="AK241" s="12"/>
      <c r="AM241" s="12"/>
      <c r="AO241" s="12"/>
      <c r="AQ241" s="12"/>
      <c r="AS241" s="12"/>
      <c r="AU241" s="12"/>
      <c r="BL241" s="6"/>
      <c r="BM241" s="6"/>
      <c r="BO241" s="6"/>
      <c r="BP241" s="6"/>
      <c r="BQ241" s="6"/>
      <c r="BW241" s="12"/>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row>
    <row r="242" spans="1:124" s="11" customFormat="1">
      <c r="A242" s="17"/>
      <c r="B242" s="11" t="s">
        <v>299</v>
      </c>
      <c r="J242" s="160"/>
      <c r="L242" s="146" t="s">
        <v>205</v>
      </c>
      <c r="M242" s="12"/>
      <c r="N242" s="12">
        <v>0</v>
      </c>
      <c r="O242" s="12"/>
      <c r="P242" s="12">
        <f>300000-5511</f>
        <v>294489</v>
      </c>
      <c r="Q242" s="12"/>
      <c r="R242" s="6">
        <v>500000</v>
      </c>
      <c r="S242" s="12"/>
      <c r="T242" s="12">
        <v>0</v>
      </c>
      <c r="U242" s="12"/>
      <c r="V242" s="12">
        <v>0</v>
      </c>
      <c r="W242" s="12"/>
      <c r="X242" s="12"/>
      <c r="Y242" s="12"/>
      <c r="Z242" s="12"/>
      <c r="AA242" s="12"/>
      <c r="AB242" s="12"/>
      <c r="AC242" s="12"/>
      <c r="AD242" s="12"/>
      <c r="AE242" s="12"/>
      <c r="AF242" s="12"/>
      <c r="AG242" s="12"/>
      <c r="AH242" s="12"/>
      <c r="AI242" s="12"/>
      <c r="AJ242" s="12">
        <v>3543</v>
      </c>
      <c r="AK242" s="12"/>
      <c r="AL242" s="12">
        <v>14302.18</v>
      </c>
      <c r="AM242" s="12"/>
      <c r="AN242" s="12">
        <v>13885.7</v>
      </c>
      <c r="AO242" s="12"/>
      <c r="AP242" s="12">
        <v>27414.720000000001</v>
      </c>
      <c r="AQ242" s="12"/>
      <c r="AR242" s="12">
        <v>13907.58</v>
      </c>
      <c r="AS242" s="12"/>
      <c r="AT242" s="12">
        <f>1560.56+225.31+5848.5</f>
        <v>7634.37</v>
      </c>
      <c r="AU242" s="12"/>
      <c r="AV242" s="12">
        <v>0</v>
      </c>
      <c r="AW242" s="12"/>
      <c r="AX242" s="12">
        <v>0</v>
      </c>
      <c r="AY242" s="12"/>
      <c r="AZ242" s="12">
        <v>0</v>
      </c>
      <c r="BA242" s="12"/>
      <c r="BB242" s="12">
        <v>0</v>
      </c>
      <c r="BC242" s="12"/>
      <c r="BD242" s="12">
        <v>0</v>
      </c>
      <c r="BE242" s="12"/>
      <c r="BF242" s="12">
        <v>0</v>
      </c>
      <c r="BG242" s="12"/>
      <c r="BH242" s="12">
        <v>0</v>
      </c>
      <c r="BI242" s="12"/>
      <c r="BJ242" s="12">
        <v>0</v>
      </c>
      <c r="BK242" s="12"/>
      <c r="BL242" s="12">
        <v>0</v>
      </c>
      <c r="BM242" s="12"/>
      <c r="BN242" s="12">
        <f>SUM(T242:BM242)</f>
        <v>80687.55</v>
      </c>
      <c r="BO242" s="12"/>
      <c r="BP242" s="12">
        <v>0</v>
      </c>
      <c r="BQ242" s="12"/>
      <c r="BR242" s="6">
        <f>IF(+R242-BN242+BP242&gt;0,R242-BN242+BP242,0)</f>
        <v>419312.45</v>
      </c>
      <c r="BS242" s="12"/>
      <c r="BT242" s="6">
        <f>+BN242+BR242</f>
        <v>500000</v>
      </c>
      <c r="BU242" s="12"/>
      <c r="BV242" s="6">
        <f>+R242-BT242</f>
        <v>0</v>
      </c>
      <c r="BW242" s="1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row>
    <row r="243" spans="1:124" s="11" customFormat="1">
      <c r="A243" s="17"/>
      <c r="B243" s="11" t="s">
        <v>506</v>
      </c>
      <c r="J243" s="160"/>
      <c r="L243" s="146" t="s">
        <v>205</v>
      </c>
      <c r="M243" s="12"/>
      <c r="N243" s="12">
        <v>500000</v>
      </c>
      <c r="O243" s="12"/>
      <c r="P243" s="12">
        <f>-300000-10271.2</f>
        <v>-310271.2</v>
      </c>
      <c r="Q243" s="12"/>
      <c r="R243" s="6">
        <v>0</v>
      </c>
      <c r="S243" s="12"/>
      <c r="T243" s="12">
        <v>0</v>
      </c>
      <c r="U243" s="12"/>
      <c r="V243" s="12">
        <v>0</v>
      </c>
      <c r="W243" s="12"/>
      <c r="X243" s="12"/>
      <c r="Y243" s="12"/>
      <c r="Z243" s="12"/>
      <c r="AA243" s="12"/>
      <c r="AB243" s="12"/>
      <c r="AC243" s="12"/>
      <c r="AD243" s="12"/>
      <c r="AE243" s="12"/>
      <c r="AF243" s="12"/>
      <c r="AG243" s="12"/>
      <c r="AH243" s="12"/>
      <c r="AI243" s="12"/>
      <c r="AJ243" s="12"/>
      <c r="AK243" s="12"/>
      <c r="AL243" s="12"/>
      <c r="AM243" s="12"/>
      <c r="AN243" s="12">
        <v>0</v>
      </c>
      <c r="AO243" s="12"/>
      <c r="AP243" s="12">
        <v>0</v>
      </c>
      <c r="AQ243" s="12"/>
      <c r="AR243" s="12">
        <v>0</v>
      </c>
      <c r="AS243" s="12"/>
      <c r="AT243" s="12">
        <f>165893.1+86315.36</f>
        <v>252208.46000000002</v>
      </c>
      <c r="AU243" s="12"/>
      <c r="AV243" s="12">
        <v>0</v>
      </c>
      <c r="AW243" s="12"/>
      <c r="AX243" s="12">
        <v>0</v>
      </c>
      <c r="AY243" s="12"/>
      <c r="AZ243" s="12">
        <v>0</v>
      </c>
      <c r="BA243" s="12"/>
      <c r="BB243" s="12">
        <v>0</v>
      </c>
      <c r="BC243" s="12"/>
      <c r="BD243" s="12">
        <v>0</v>
      </c>
      <c r="BE243" s="12"/>
      <c r="BF243" s="12">
        <v>0</v>
      </c>
      <c r="BG243" s="12"/>
      <c r="BH243" s="12">
        <v>0</v>
      </c>
      <c r="BI243" s="12"/>
      <c r="BJ243" s="12">
        <v>0</v>
      </c>
      <c r="BK243" s="12"/>
      <c r="BL243" s="12">
        <v>0</v>
      </c>
      <c r="BM243" s="12"/>
      <c r="BN243" s="12">
        <f>SUM(T243:BM243)</f>
        <v>252208.46000000002</v>
      </c>
      <c r="BO243" s="12"/>
      <c r="BP243" s="12">
        <v>0</v>
      </c>
      <c r="BQ243" s="12"/>
      <c r="BR243" s="6">
        <f>IF(+R243-BN243+BP243&gt;0,R243-BN243+BP243,0)</f>
        <v>0</v>
      </c>
      <c r="BS243" s="12"/>
      <c r="BT243" s="6">
        <f>+BN243+BR243</f>
        <v>252208.46000000002</v>
      </c>
      <c r="BU243" s="12"/>
      <c r="BV243" s="6">
        <f>+R243-BT243</f>
        <v>-252208.46000000002</v>
      </c>
      <c r="BW243" s="12"/>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row>
    <row r="244" spans="1:124" s="11" customFormat="1">
      <c r="A244" s="17"/>
      <c r="J244" s="160"/>
      <c r="L244" s="146"/>
      <c r="M244" s="12"/>
      <c r="N244" s="12"/>
      <c r="O244" s="12"/>
      <c r="P244" s="12">
        <v>5511</v>
      </c>
      <c r="Q244" s="12"/>
      <c r="R244" s="6">
        <v>0</v>
      </c>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f>SUM(T244:BM244)</f>
        <v>0</v>
      </c>
      <c r="BO244" s="12"/>
      <c r="BP244" s="12">
        <v>0</v>
      </c>
      <c r="BQ244" s="12"/>
      <c r="BR244" s="6">
        <f>IF(+R244-BN244+BP244&gt;0,R244-BN244+BP244,0)</f>
        <v>0</v>
      </c>
      <c r="BS244" s="12"/>
      <c r="BT244" s="6">
        <f>+BN244+BR244</f>
        <v>0</v>
      </c>
      <c r="BU244" s="12"/>
      <c r="BV244" s="6">
        <f>+R244-BT244</f>
        <v>0</v>
      </c>
      <c r="BW244" s="12"/>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row>
    <row r="245" spans="1:124" s="21" customFormat="1">
      <c r="A245" s="56"/>
      <c r="B245" s="31" t="s">
        <v>42</v>
      </c>
      <c r="J245" s="8"/>
      <c r="L245" s="143"/>
      <c r="M245" s="9"/>
      <c r="N245" s="102">
        <f>SUM(N242:N244)</f>
        <v>500000</v>
      </c>
      <c r="O245" s="102">
        <f>SUM(O242:O244)</f>
        <v>0</v>
      </c>
      <c r="P245" s="102">
        <f>SUM(P242:P244)</f>
        <v>-10271.200000000012</v>
      </c>
      <c r="Q245" s="102">
        <f>SUM(Q242:Q244)</f>
        <v>0</v>
      </c>
      <c r="R245" s="102">
        <f>SUM(R242:R244)</f>
        <v>500000</v>
      </c>
      <c r="S245" s="9"/>
      <c r="T245" s="102">
        <f>SUM(T242:T244)</f>
        <v>0</v>
      </c>
      <c r="U245" s="9"/>
      <c r="V245" s="102">
        <f>SUM(V242:V244)</f>
        <v>0</v>
      </c>
      <c r="W245" s="9"/>
      <c r="X245" s="102">
        <f>SUM(X242:X244)</f>
        <v>0</v>
      </c>
      <c r="Y245" s="9"/>
      <c r="Z245" s="102">
        <f>SUM(Z242:Z244)</f>
        <v>0</v>
      </c>
      <c r="AA245" s="9"/>
      <c r="AB245" s="102">
        <f>SUM(AB242:AB244)</f>
        <v>0</v>
      </c>
      <c r="AC245" s="9"/>
      <c r="AD245" s="102">
        <f>SUM(AD242:AD244)</f>
        <v>0</v>
      </c>
      <c r="AE245" s="9"/>
      <c r="AF245" s="102">
        <f>SUM(AF242:AF244)</f>
        <v>0</v>
      </c>
      <c r="AG245" s="9"/>
      <c r="AH245" s="102">
        <f>SUM(AH242:AH244)</f>
        <v>0</v>
      </c>
      <c r="AI245" s="9"/>
      <c r="AJ245" s="102">
        <f>SUM(AJ242:AJ244)</f>
        <v>3543</v>
      </c>
      <c r="AK245" s="9"/>
      <c r="AL245" s="102">
        <f>SUM(AL242:AL244)</f>
        <v>14302.18</v>
      </c>
      <c r="AM245" s="102"/>
      <c r="AN245" s="102">
        <f>SUM(AN242:AN244)</f>
        <v>13885.7</v>
      </c>
      <c r="AO245" s="9"/>
      <c r="AP245" s="102">
        <f>SUM(AP242:AP244)</f>
        <v>27414.720000000001</v>
      </c>
      <c r="AQ245" s="9"/>
      <c r="AR245" s="102">
        <f>SUM(AR242:AR244)</f>
        <v>13907.58</v>
      </c>
      <c r="AS245" s="9"/>
      <c r="AT245" s="102">
        <f>SUM(AT242:AT244)</f>
        <v>259842.83000000002</v>
      </c>
      <c r="AU245" s="9"/>
      <c r="AV245" s="102">
        <f>SUM(AV242:AV244)</f>
        <v>0</v>
      </c>
      <c r="AW245" s="10"/>
      <c r="AX245" s="102">
        <f>SUM(AX242:AX244)</f>
        <v>0</v>
      </c>
      <c r="AY245" s="10"/>
      <c r="AZ245" s="102">
        <f>SUM(AZ242:AZ244)</f>
        <v>0</v>
      </c>
      <c r="BA245" s="10"/>
      <c r="BB245" s="102">
        <f>SUM(BB242:BB244)</f>
        <v>0</v>
      </c>
      <c r="BC245" s="10"/>
      <c r="BD245" s="102">
        <f>SUM(BD242:BD244)</f>
        <v>0</v>
      </c>
      <c r="BE245" s="10"/>
      <c r="BF245" s="102">
        <f>SUM(BF242:BF244)</f>
        <v>0</v>
      </c>
      <c r="BG245" s="10"/>
      <c r="BH245" s="102">
        <f>SUM(BH242:BH244)</f>
        <v>0</v>
      </c>
      <c r="BI245" s="10"/>
      <c r="BJ245" s="102">
        <f>SUM(BJ242:BJ244)</f>
        <v>0</v>
      </c>
      <c r="BK245" s="10"/>
      <c r="BL245" s="102">
        <f>SUM(BL242:BL244)</f>
        <v>0</v>
      </c>
      <c r="BM245" s="9"/>
      <c r="BN245" s="102">
        <f>SUM(BN242:BN244)</f>
        <v>332896.01</v>
      </c>
      <c r="BO245" s="9"/>
      <c r="BP245" s="102">
        <f>SUM(BP242:BP244)</f>
        <v>0</v>
      </c>
      <c r="BQ245" s="9"/>
      <c r="BR245" s="102">
        <f>SUM(BR242:BR244)</f>
        <v>419312.45</v>
      </c>
      <c r="BS245" s="9"/>
      <c r="BT245" s="102">
        <f>SUM(BT242:BT244)</f>
        <v>752208.46</v>
      </c>
      <c r="BU245" s="9"/>
      <c r="BV245" s="102">
        <f>SUM(BV242:BV244)</f>
        <v>-252208.46000000002</v>
      </c>
      <c r="BW245" s="9"/>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row>
    <row r="246" spans="1:124" s="21" customFormat="1">
      <c r="A246" s="58"/>
      <c r="B246" s="31"/>
      <c r="J246" s="8"/>
      <c r="L246" s="143"/>
      <c r="M246" s="9"/>
      <c r="N246" s="10"/>
      <c r="O246" s="10"/>
      <c r="P246" s="10"/>
      <c r="Q246" s="10"/>
      <c r="R246" s="10"/>
      <c r="S246" s="9"/>
      <c r="T246" s="10"/>
      <c r="U246" s="9"/>
      <c r="V246" s="10"/>
      <c r="W246" s="9"/>
      <c r="X246" s="10"/>
      <c r="Y246" s="9"/>
      <c r="Z246" s="10"/>
      <c r="AA246" s="9"/>
      <c r="AB246" s="10"/>
      <c r="AC246" s="9"/>
      <c r="AD246" s="10"/>
      <c r="AE246" s="9"/>
      <c r="AF246" s="10"/>
      <c r="AG246" s="9"/>
      <c r="AH246" s="10"/>
      <c r="AI246" s="9"/>
      <c r="AJ246" s="10"/>
      <c r="AK246" s="9"/>
      <c r="AL246" s="10"/>
      <c r="AM246" s="9"/>
      <c r="AN246" s="10"/>
      <c r="AO246" s="9"/>
      <c r="AP246" s="10"/>
      <c r="AQ246" s="9"/>
      <c r="AR246" s="10"/>
      <c r="AS246" s="9"/>
      <c r="AT246" s="10"/>
      <c r="AU246" s="9"/>
      <c r="AV246" s="10"/>
      <c r="AW246" s="10"/>
      <c r="AX246" s="10"/>
      <c r="AY246" s="10"/>
      <c r="AZ246" s="10"/>
      <c r="BA246" s="10"/>
      <c r="BB246" s="10"/>
      <c r="BC246" s="10"/>
      <c r="BD246" s="10"/>
      <c r="BE246" s="10"/>
      <c r="BF246" s="10"/>
      <c r="BG246" s="10"/>
      <c r="BH246" s="10"/>
      <c r="BI246" s="10"/>
      <c r="BJ246" s="10"/>
      <c r="BK246" s="10"/>
      <c r="BL246" s="10"/>
      <c r="BM246" s="9"/>
      <c r="BN246" s="10"/>
      <c r="BO246" s="9"/>
      <c r="BP246" s="10"/>
      <c r="BQ246" s="9"/>
      <c r="BR246" s="10"/>
      <c r="BS246" s="9"/>
      <c r="BT246" s="10"/>
      <c r="BU246" s="9"/>
      <c r="BV246" s="10"/>
      <c r="BW246" s="9"/>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row>
    <row r="247" spans="1:124" s="31" customFormat="1">
      <c r="A247" s="58" t="s">
        <v>251</v>
      </c>
      <c r="J247" s="159"/>
      <c r="L247" s="145" t="s">
        <v>204</v>
      </c>
      <c r="M247" s="10"/>
      <c r="N247" s="10">
        <v>10922239</v>
      </c>
      <c r="O247" s="10"/>
      <c r="P247" s="10">
        <f>10969926-N247</f>
        <v>47687</v>
      </c>
      <c r="Q247" s="10"/>
      <c r="R247" s="9">
        <v>11340044</v>
      </c>
      <c r="S247" s="10"/>
      <c r="T247" s="10"/>
      <c r="U247" s="10"/>
      <c r="V247" s="10"/>
      <c r="W247" s="10"/>
      <c r="X247" s="10"/>
      <c r="Y247" s="10"/>
      <c r="Z247" s="10"/>
      <c r="AA247" s="10"/>
      <c r="AB247" s="10"/>
      <c r="AC247" s="10"/>
      <c r="AD247" s="10"/>
      <c r="AE247" s="10"/>
      <c r="AF247" s="10"/>
      <c r="AG247" s="10"/>
      <c r="AH247" s="10"/>
      <c r="AI247" s="10"/>
      <c r="AJ247" s="10"/>
      <c r="AK247" s="10"/>
      <c r="AL247" s="10">
        <v>4332940</v>
      </c>
      <c r="AM247" s="10"/>
      <c r="AN247" s="10">
        <f>[1]Gleason!$M$40</f>
        <v>505668.93</v>
      </c>
      <c r="AO247" s="10"/>
      <c r="AP247" s="10">
        <f>[1]Gleason!$N$40</f>
        <v>517447.92267638887</v>
      </c>
      <c r="AQ247" s="10"/>
      <c r="AR247" s="10">
        <f>[1]Gleason!$O$40</f>
        <v>557933.42322977481</v>
      </c>
      <c r="AS247" s="10"/>
      <c r="AT247" s="10">
        <f>[1]Gleason!$P$40</f>
        <v>574337.94527365838</v>
      </c>
      <c r="AU247" s="10"/>
      <c r="AV247" s="10">
        <v>0</v>
      </c>
      <c r="AW247" s="10"/>
      <c r="AX247" s="10">
        <v>0</v>
      </c>
      <c r="AY247" s="10"/>
      <c r="AZ247" s="10">
        <v>0</v>
      </c>
      <c r="BA247" s="10"/>
      <c r="BB247" s="10">
        <v>0</v>
      </c>
      <c r="BC247" s="10"/>
      <c r="BD247" s="10">
        <v>0</v>
      </c>
      <c r="BE247" s="10"/>
      <c r="BF247" s="10">
        <v>0</v>
      </c>
      <c r="BG247" s="10"/>
      <c r="BH247" s="10">
        <v>0</v>
      </c>
      <c r="BI247" s="10"/>
      <c r="BJ247" s="10">
        <v>0</v>
      </c>
      <c r="BK247" s="10"/>
      <c r="BL247" s="10">
        <v>0</v>
      </c>
      <c r="BM247" s="10"/>
      <c r="BN247" s="10">
        <f>SUM(T247:BM247)</f>
        <v>6488328.2211798215</v>
      </c>
      <c r="BO247" s="10"/>
      <c r="BP247" s="10">
        <v>0</v>
      </c>
      <c r="BQ247" s="10"/>
      <c r="BR247" s="6">
        <f>IF(+R247-BN247+BP247&gt;0,R247-BN247+BP247,0)-R247+[1]Gleason!$Z$40</f>
        <v>4619628.5211414741</v>
      </c>
      <c r="BS247" s="10"/>
      <c r="BT247" s="9">
        <f>+BN247+BR247</f>
        <v>11107956.742321296</v>
      </c>
      <c r="BU247" s="10"/>
      <c r="BV247" s="9">
        <f>+R247-BT247</f>
        <v>232087.25767870434</v>
      </c>
      <c r="BW247" s="10"/>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row>
    <row r="248" spans="1:124" s="21" customFormat="1">
      <c r="A248" s="56"/>
      <c r="B248" s="31"/>
      <c r="J248" s="8"/>
      <c r="L248" s="143"/>
      <c r="M248" s="9"/>
      <c r="N248" s="10"/>
      <c r="O248" s="9"/>
      <c r="P248" s="10"/>
      <c r="Q248" s="9"/>
      <c r="R248" s="10"/>
      <c r="S248" s="9"/>
      <c r="T248" s="10"/>
      <c r="U248" s="9"/>
      <c r="V248" s="10"/>
      <c r="W248" s="9"/>
      <c r="X248" s="10"/>
      <c r="Y248" s="9"/>
      <c r="Z248" s="10"/>
      <c r="AA248" s="9"/>
      <c r="AB248" s="10"/>
      <c r="AC248" s="9"/>
      <c r="AD248" s="10"/>
      <c r="AE248" s="9"/>
      <c r="AF248" s="10"/>
      <c r="AG248" s="9"/>
      <c r="AH248" s="10"/>
      <c r="AI248" s="9"/>
      <c r="AJ248" s="10"/>
      <c r="AK248" s="9"/>
      <c r="AL248" s="10"/>
      <c r="AM248" s="9"/>
      <c r="AN248" s="10"/>
      <c r="AO248" s="9"/>
      <c r="AP248" s="10"/>
      <c r="AQ248" s="9"/>
      <c r="AR248" s="10"/>
      <c r="AS248" s="9"/>
      <c r="AT248" s="10"/>
      <c r="AU248" s="9"/>
      <c r="AV248" s="10"/>
      <c r="AW248" s="10"/>
      <c r="AX248" s="10"/>
      <c r="AY248" s="10"/>
      <c r="AZ248" s="10"/>
      <c r="BA248" s="10"/>
      <c r="BB248" s="10"/>
      <c r="BC248" s="10"/>
      <c r="BD248" s="10"/>
      <c r="BE248" s="10"/>
      <c r="BF248" s="10"/>
      <c r="BG248" s="10"/>
      <c r="BH248" s="10"/>
      <c r="BI248" s="10"/>
      <c r="BJ248" s="10"/>
      <c r="BK248" s="10"/>
      <c r="BL248" s="10"/>
      <c r="BM248" s="9"/>
      <c r="BN248" s="10"/>
      <c r="BO248" s="9"/>
      <c r="BP248" s="10"/>
      <c r="BQ248" s="9"/>
      <c r="BR248" s="10"/>
      <c r="BS248" s="9"/>
      <c r="BT248" s="10"/>
      <c r="BU248" s="9"/>
      <c r="BV248" s="10"/>
      <c r="BW248" s="9"/>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row>
    <row r="249" spans="1:124" s="105" customFormat="1">
      <c r="A249" s="84" t="s">
        <v>250</v>
      </c>
      <c r="B249" s="54"/>
      <c r="J249" s="158"/>
      <c r="L249" s="144"/>
      <c r="M249" s="13"/>
      <c r="N249" s="120"/>
      <c r="O249" s="13"/>
      <c r="P249" s="120"/>
      <c r="Q249" s="13"/>
      <c r="R249" s="120">
        <f t="shared" ref="R249:BS249" si="52">R247+R239+R230+R228+R226+R220+R195+R185+R178+R176+R174+R172+R170+R245</f>
        <v>17979878</v>
      </c>
      <c r="S249" s="120">
        <f t="shared" si="52"/>
        <v>0</v>
      </c>
      <c r="T249" s="120">
        <f t="shared" si="52"/>
        <v>0</v>
      </c>
      <c r="U249" s="120">
        <f t="shared" si="52"/>
        <v>0</v>
      </c>
      <c r="V249" s="120">
        <f t="shared" si="52"/>
        <v>0</v>
      </c>
      <c r="W249" s="120">
        <f t="shared" si="52"/>
        <v>0</v>
      </c>
      <c r="X249" s="120">
        <f t="shared" si="52"/>
        <v>0</v>
      </c>
      <c r="Y249" s="120">
        <f t="shared" si="52"/>
        <v>0</v>
      </c>
      <c r="Z249" s="120">
        <f t="shared" si="52"/>
        <v>0</v>
      </c>
      <c r="AA249" s="120">
        <f t="shared" si="52"/>
        <v>0</v>
      </c>
      <c r="AB249" s="120">
        <f t="shared" si="52"/>
        <v>0</v>
      </c>
      <c r="AC249" s="120">
        <f t="shared" si="52"/>
        <v>0</v>
      </c>
      <c r="AD249" s="120">
        <f t="shared" si="52"/>
        <v>0</v>
      </c>
      <c r="AE249" s="120">
        <f t="shared" si="52"/>
        <v>0</v>
      </c>
      <c r="AF249" s="120">
        <f t="shared" si="52"/>
        <v>0</v>
      </c>
      <c r="AG249" s="120">
        <f t="shared" si="52"/>
        <v>0</v>
      </c>
      <c r="AH249" s="120">
        <f t="shared" si="52"/>
        <v>0</v>
      </c>
      <c r="AI249" s="120"/>
      <c r="AJ249" s="120">
        <f t="shared" si="52"/>
        <v>22626.809999999998</v>
      </c>
      <c r="AK249" s="120"/>
      <c r="AL249" s="120">
        <f t="shared" si="52"/>
        <v>4956551.49</v>
      </c>
      <c r="AM249" s="120"/>
      <c r="AN249" s="120">
        <f t="shared" si="52"/>
        <v>715387.53999999992</v>
      </c>
      <c r="AO249" s="120"/>
      <c r="AP249" s="120">
        <f t="shared" si="52"/>
        <v>563736.27267638885</v>
      </c>
      <c r="AQ249" s="120"/>
      <c r="AR249" s="120">
        <f t="shared" si="52"/>
        <v>949916.53322977468</v>
      </c>
      <c r="AS249" s="120">
        <f t="shared" si="52"/>
        <v>0</v>
      </c>
      <c r="AT249" s="120">
        <f t="shared" si="52"/>
        <v>1188453.0652736584</v>
      </c>
      <c r="AU249" s="120">
        <f t="shared" si="52"/>
        <v>0</v>
      </c>
      <c r="AV249" s="120">
        <f t="shared" si="52"/>
        <v>94730.89</v>
      </c>
      <c r="AW249" s="120">
        <f t="shared" si="52"/>
        <v>0</v>
      </c>
      <c r="AX249" s="120">
        <f t="shared" si="52"/>
        <v>0</v>
      </c>
      <c r="AY249" s="120">
        <f t="shared" si="52"/>
        <v>0</v>
      </c>
      <c r="AZ249" s="120">
        <f t="shared" si="52"/>
        <v>0</v>
      </c>
      <c r="BA249" s="120">
        <f t="shared" si="52"/>
        <v>0</v>
      </c>
      <c r="BB249" s="120">
        <f t="shared" si="52"/>
        <v>0</v>
      </c>
      <c r="BC249" s="120">
        <f t="shared" si="52"/>
        <v>0</v>
      </c>
      <c r="BD249" s="120">
        <f t="shared" si="52"/>
        <v>0</v>
      </c>
      <c r="BE249" s="120">
        <f t="shared" si="52"/>
        <v>0</v>
      </c>
      <c r="BF249" s="120">
        <f t="shared" si="52"/>
        <v>0</v>
      </c>
      <c r="BG249" s="120">
        <f t="shared" si="52"/>
        <v>0</v>
      </c>
      <c r="BH249" s="120">
        <f t="shared" si="52"/>
        <v>0</v>
      </c>
      <c r="BI249" s="120">
        <f t="shared" si="52"/>
        <v>0</v>
      </c>
      <c r="BJ249" s="120">
        <f t="shared" si="52"/>
        <v>0</v>
      </c>
      <c r="BK249" s="120">
        <f t="shared" si="52"/>
        <v>0</v>
      </c>
      <c r="BL249" s="120">
        <f t="shared" si="52"/>
        <v>0</v>
      </c>
      <c r="BM249" s="120">
        <f t="shared" si="52"/>
        <v>0</v>
      </c>
      <c r="BN249" s="120">
        <f t="shared" si="52"/>
        <v>8491402.6011798214</v>
      </c>
      <c r="BO249" s="120">
        <f t="shared" si="52"/>
        <v>0</v>
      </c>
      <c r="BP249" s="120">
        <f t="shared" si="52"/>
        <v>0</v>
      </c>
      <c r="BQ249" s="120">
        <f t="shared" si="52"/>
        <v>0</v>
      </c>
      <c r="BR249" s="120">
        <f t="shared" si="52"/>
        <v>9770286.4311414734</v>
      </c>
      <c r="BS249" s="120">
        <f t="shared" si="52"/>
        <v>0</v>
      </c>
      <c r="BT249" s="120">
        <f>BT247+BT239+BT230+BT228+BT226+BT220+BT195+BT185+BT178+BT176+BT174+BT172+BT170+BT245</f>
        <v>18261689.032321297</v>
      </c>
      <c r="BU249" s="120">
        <f>BU247+BU239+BU230+BU228+BU226+BU220+BU195+BU185+BU178+BU176+BU174+BU172+BU170+BU245</f>
        <v>0</v>
      </c>
      <c r="BV249" s="120">
        <f>BV247+BV239+BV230+BV228+BV226+BV220+BV195+BV185+BV178+BV176+BV174+BV172+BV170+BV245</f>
        <v>-281811.0323212957</v>
      </c>
      <c r="BW249" s="120">
        <f>BW247+BW239+BW230+BW228+BW226+BW220+BW195+BW185+BW178+BW176+BW174+BW172+BW170+BW245</f>
        <v>0</v>
      </c>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row>
    <row r="250" spans="1:124" s="21" customFormat="1">
      <c r="A250" s="56"/>
      <c r="B250" s="31"/>
      <c r="J250" s="8"/>
      <c r="L250" s="143"/>
      <c r="M250" s="9"/>
      <c r="N250" s="10"/>
      <c r="O250" s="9"/>
      <c r="P250" s="10"/>
      <c r="Q250" s="9"/>
      <c r="R250" s="10"/>
      <c r="S250" s="9"/>
      <c r="T250" s="10"/>
      <c r="U250" s="9"/>
      <c r="V250" s="10"/>
      <c r="W250" s="9"/>
      <c r="X250" s="10"/>
      <c r="Y250" s="9"/>
      <c r="Z250" s="10"/>
      <c r="AA250" s="9"/>
      <c r="AB250" s="10"/>
      <c r="AC250" s="9"/>
      <c r="AD250" s="10"/>
      <c r="AE250" s="9"/>
      <c r="AF250" s="10"/>
      <c r="AG250" s="9"/>
      <c r="AH250" s="10"/>
      <c r="AI250" s="9"/>
      <c r="AJ250" s="10"/>
      <c r="AK250" s="9"/>
      <c r="AL250" s="10"/>
      <c r="AM250" s="9"/>
      <c r="AN250" s="10"/>
      <c r="AO250" s="9"/>
      <c r="AP250" s="10"/>
      <c r="AQ250" s="9"/>
      <c r="AR250" s="10"/>
      <c r="AS250" s="9"/>
      <c r="AT250" s="10"/>
      <c r="AU250" s="9"/>
      <c r="AV250" s="10"/>
      <c r="AW250" s="10"/>
      <c r="AX250" s="10"/>
      <c r="AY250" s="10"/>
      <c r="AZ250" s="10"/>
      <c r="BA250" s="10"/>
      <c r="BB250" s="10"/>
      <c r="BC250" s="10"/>
      <c r="BD250" s="10"/>
      <c r="BE250" s="10"/>
      <c r="BF250" s="10"/>
      <c r="BG250" s="10"/>
      <c r="BH250" s="10"/>
      <c r="BI250" s="10"/>
      <c r="BJ250" s="10"/>
      <c r="BK250" s="10"/>
      <c r="BL250" s="10"/>
      <c r="BM250" s="9"/>
      <c r="BN250" s="10"/>
      <c r="BO250" s="9"/>
      <c r="BP250" s="10"/>
      <c r="BQ250" s="9"/>
      <c r="BR250" s="10"/>
      <c r="BS250" s="9"/>
      <c r="BT250" s="10"/>
      <c r="BU250" s="9"/>
      <c r="BV250" s="10"/>
      <c r="BW250" s="9"/>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row>
    <row r="251" spans="1:124" s="21" customFormat="1">
      <c r="A251" s="56" t="s">
        <v>192</v>
      </c>
      <c r="B251" s="31"/>
      <c r="J251" s="8"/>
      <c r="L251" s="143" t="s">
        <v>204</v>
      </c>
      <c r="M251" s="9"/>
      <c r="N251" s="9">
        <v>5395729</v>
      </c>
      <c r="O251" s="9"/>
      <c r="P251" s="9">
        <f>5463580+-N251</f>
        <v>67851</v>
      </c>
      <c r="Q251" s="9"/>
      <c r="R251" s="9">
        <f>173229453-167805955</f>
        <v>5423498</v>
      </c>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10">
        <f>SUM(T251:BM251)</f>
        <v>0</v>
      </c>
      <c r="BO251" s="9"/>
      <c r="BP251" s="9">
        <v>-5423498</v>
      </c>
      <c r="BQ251" s="9">
        <v>2030320</v>
      </c>
      <c r="BR251" s="6">
        <f>IF(+R251-BN251+BP251&gt;0,R251-BN251+BP251,0)</f>
        <v>0</v>
      </c>
      <c r="BS251" s="9">
        <v>2030320</v>
      </c>
      <c r="BT251" s="9">
        <f>+BN251+BR251</f>
        <v>0</v>
      </c>
      <c r="BU251" s="9">
        <v>2030320</v>
      </c>
      <c r="BV251" s="6">
        <f>+R251-BT251</f>
        <v>5423498</v>
      </c>
      <c r="BW251" s="9"/>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row>
    <row r="252" spans="1:124" s="21" customFormat="1">
      <c r="A252" s="58"/>
      <c r="B252" s="31"/>
      <c r="J252" s="8"/>
      <c r="L252" s="143"/>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10"/>
      <c r="BO252" s="9"/>
      <c r="BP252" s="9"/>
      <c r="BQ252" s="9"/>
      <c r="BR252" s="6"/>
      <c r="BS252" s="9"/>
      <c r="BT252" s="9"/>
      <c r="BU252" s="9"/>
      <c r="BV252" s="6"/>
      <c r="BW252" s="9"/>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row>
    <row r="253" spans="1:124" s="21" customFormat="1">
      <c r="A253" s="58" t="s">
        <v>295</v>
      </c>
      <c r="B253" s="31"/>
      <c r="J253" s="8"/>
      <c r="L253" s="143"/>
      <c r="M253" s="9"/>
      <c r="N253" s="10"/>
      <c r="O253" s="9"/>
      <c r="P253" s="10"/>
      <c r="Q253" s="9"/>
      <c r="R253" s="10">
        <v>-6077</v>
      </c>
      <c r="S253" s="9"/>
      <c r="T253" s="10"/>
      <c r="U253" s="9"/>
      <c r="V253" s="10"/>
      <c r="W253" s="9"/>
      <c r="X253" s="10"/>
      <c r="Y253" s="9"/>
      <c r="Z253" s="10"/>
      <c r="AA253" s="9"/>
      <c r="AB253" s="10"/>
      <c r="AC253" s="9"/>
      <c r="AD253" s="10"/>
      <c r="AE253" s="9"/>
      <c r="AF253" s="10"/>
      <c r="AG253" s="9"/>
      <c r="AH253" s="10"/>
      <c r="AI253" s="9"/>
      <c r="AJ253" s="10"/>
      <c r="AK253" s="9"/>
      <c r="AL253" s="10">
        <v>-6077</v>
      </c>
      <c r="AM253" s="9"/>
      <c r="AN253" s="10"/>
      <c r="AO253" s="9"/>
      <c r="AP253" s="10"/>
      <c r="AQ253" s="9"/>
      <c r="AR253" s="10"/>
      <c r="AS253" s="9"/>
      <c r="AT253" s="10"/>
      <c r="AU253" s="9"/>
      <c r="AV253" s="10"/>
      <c r="AW253" s="10"/>
      <c r="AX253" s="10"/>
      <c r="AY253" s="10"/>
      <c r="AZ253" s="10"/>
      <c r="BA253" s="10"/>
      <c r="BB253" s="10"/>
      <c r="BC253" s="10"/>
      <c r="BD253" s="10"/>
      <c r="BE253" s="10"/>
      <c r="BF253" s="10"/>
      <c r="BG253" s="10"/>
      <c r="BH253" s="10"/>
      <c r="BI253" s="10"/>
      <c r="BJ253" s="10"/>
      <c r="BK253" s="10"/>
      <c r="BL253" s="10"/>
      <c r="BM253" s="9"/>
      <c r="BN253" s="10">
        <f>SUM(T253:BM253)</f>
        <v>-6077</v>
      </c>
      <c r="BO253" s="9"/>
      <c r="BP253" s="10"/>
      <c r="BQ253" s="9"/>
      <c r="BR253" s="10"/>
      <c r="BS253" s="9"/>
      <c r="BT253" s="9">
        <f>+BN253+BR253</f>
        <v>-6077</v>
      </c>
      <c r="BU253" s="9"/>
      <c r="BV253" s="6">
        <f>+R253-BT253</f>
        <v>0</v>
      </c>
      <c r="BW253" s="9"/>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row>
    <row r="254" spans="1:124" s="21" customFormat="1">
      <c r="A254" s="56"/>
      <c r="B254" s="31"/>
      <c r="J254" s="8"/>
      <c r="L254" s="143"/>
      <c r="M254" s="9"/>
      <c r="N254" s="10"/>
      <c r="O254" s="9"/>
      <c r="P254" s="10"/>
      <c r="Q254" s="9"/>
      <c r="R254" s="10"/>
      <c r="S254" s="9"/>
      <c r="T254" s="10"/>
      <c r="U254" s="9"/>
      <c r="V254" s="10"/>
      <c r="W254" s="9"/>
      <c r="X254" s="10"/>
      <c r="Y254" s="9"/>
      <c r="Z254" s="10"/>
      <c r="AA254" s="9"/>
      <c r="AB254" s="10"/>
      <c r="AC254" s="9"/>
      <c r="AD254" s="10"/>
      <c r="AE254" s="9"/>
      <c r="AF254" s="10"/>
      <c r="AG254" s="9"/>
      <c r="AH254" s="10"/>
      <c r="AI254" s="9"/>
      <c r="AJ254" s="10"/>
      <c r="AK254" s="9"/>
      <c r="AL254" s="10"/>
      <c r="AM254" s="9"/>
      <c r="AN254" s="10"/>
      <c r="AO254" s="9"/>
      <c r="AP254" s="10"/>
      <c r="AQ254" s="9"/>
      <c r="AR254" s="10"/>
      <c r="AS254" s="9"/>
      <c r="AT254" s="10"/>
      <c r="AU254" s="9"/>
      <c r="AV254" s="10"/>
      <c r="AW254" s="10"/>
      <c r="AX254" s="10"/>
      <c r="AY254" s="10"/>
      <c r="AZ254" s="10"/>
      <c r="BA254" s="10"/>
      <c r="BB254" s="10"/>
      <c r="BC254" s="10"/>
      <c r="BD254" s="10"/>
      <c r="BE254" s="10"/>
      <c r="BF254" s="10"/>
      <c r="BG254" s="10"/>
      <c r="BH254" s="10"/>
      <c r="BI254" s="10"/>
      <c r="BJ254" s="10"/>
      <c r="BK254" s="10"/>
      <c r="BL254" s="10"/>
      <c r="BM254" s="9"/>
      <c r="BN254" s="10"/>
      <c r="BO254" s="9"/>
      <c r="BP254" s="10"/>
      <c r="BQ254" s="9"/>
      <c r="BR254" s="10"/>
      <c r="BS254" s="9"/>
      <c r="BT254" s="10"/>
      <c r="BU254" s="9"/>
      <c r="BV254" s="10"/>
      <c r="BW254" s="9"/>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row>
    <row r="255" spans="1:124" s="170" customFormat="1">
      <c r="A255" s="169" t="s">
        <v>255</v>
      </c>
      <c r="J255" s="171"/>
      <c r="L255" s="172"/>
      <c r="M255" s="173"/>
      <c r="N255" s="173"/>
      <c r="O255" s="173"/>
      <c r="P255" s="173"/>
      <c r="Q255" s="173"/>
      <c r="R255" s="168">
        <f t="shared" ref="R255:AH255" si="53">R37+R143+R133+R218+R148+R249+R251+R253</f>
        <v>173641710</v>
      </c>
      <c r="S255" s="168">
        <f t="shared" si="53"/>
        <v>0</v>
      </c>
      <c r="T255" s="168">
        <f t="shared" si="53"/>
        <v>0</v>
      </c>
      <c r="U255" s="168">
        <f t="shared" si="53"/>
        <v>0</v>
      </c>
      <c r="V255" s="168">
        <f t="shared" si="53"/>
        <v>0</v>
      </c>
      <c r="W255" s="168">
        <f t="shared" si="53"/>
        <v>0</v>
      </c>
      <c r="X255" s="168">
        <f t="shared" si="53"/>
        <v>0</v>
      </c>
      <c r="Y255" s="168">
        <f t="shared" si="53"/>
        <v>0</v>
      </c>
      <c r="Z255" s="168">
        <f t="shared" si="53"/>
        <v>0</v>
      </c>
      <c r="AA255" s="168">
        <f t="shared" si="53"/>
        <v>0</v>
      </c>
      <c r="AB255" s="168">
        <f t="shared" si="53"/>
        <v>0</v>
      </c>
      <c r="AC255" s="168">
        <f t="shared" si="53"/>
        <v>0</v>
      </c>
      <c r="AD255" s="168">
        <f t="shared" si="53"/>
        <v>0</v>
      </c>
      <c r="AE255" s="168">
        <f t="shared" si="53"/>
        <v>0</v>
      </c>
      <c r="AF255" s="168">
        <f t="shared" si="53"/>
        <v>0</v>
      </c>
      <c r="AG255" s="168">
        <f t="shared" si="53"/>
        <v>0</v>
      </c>
      <c r="AH255" s="168">
        <f t="shared" si="53"/>
        <v>0</v>
      </c>
      <c r="AI255" s="168"/>
      <c r="AJ255" s="168">
        <f>AJ37+AJ143+AJ133+AJ218+AJ148+AJ249+AJ251+AJ253</f>
        <v>22626.809999999998</v>
      </c>
      <c r="AK255" s="168"/>
      <c r="AL255" s="168">
        <f>AL37+AL143+AL133+AL218+AL148+AL249+AL251+AL253</f>
        <v>93152637.489999995</v>
      </c>
      <c r="AM255" s="168"/>
      <c r="AN255" s="168">
        <f>AN37+AN143+AN133+AN218+AN148+AN249+AN251+AN253</f>
        <v>715387.53999999992</v>
      </c>
      <c r="AO255" s="168"/>
      <c r="AP255" s="168">
        <f>AP37+AP143+AP133+AP218+AP148+AP249+AP251+AP253</f>
        <v>2178269.8126763888</v>
      </c>
      <c r="AQ255" s="168"/>
      <c r="AR255" s="168">
        <f t="shared" ref="AR255:BU255" si="54">AR37+AR143+AR133+AR218+AR148+AR249+AR251+AR253</f>
        <v>7520808.7532297745</v>
      </c>
      <c r="AS255" s="168">
        <f t="shared" si="54"/>
        <v>0</v>
      </c>
      <c r="AT255" s="168">
        <f t="shared" si="54"/>
        <v>3033901.6952736583</v>
      </c>
      <c r="AU255" s="168">
        <f t="shared" si="54"/>
        <v>0</v>
      </c>
      <c r="AV255" s="168">
        <f t="shared" si="54"/>
        <v>7621171.7800000003</v>
      </c>
      <c r="AW255" s="168">
        <f t="shared" si="54"/>
        <v>0</v>
      </c>
      <c r="AX255" s="168">
        <f t="shared" si="54"/>
        <v>0</v>
      </c>
      <c r="AY255" s="168">
        <f t="shared" si="54"/>
        <v>0</v>
      </c>
      <c r="AZ255" s="168">
        <f t="shared" si="54"/>
        <v>0</v>
      </c>
      <c r="BA255" s="168">
        <f t="shared" si="54"/>
        <v>0</v>
      </c>
      <c r="BB255" s="168">
        <f t="shared" si="54"/>
        <v>0</v>
      </c>
      <c r="BC255" s="168">
        <f t="shared" si="54"/>
        <v>0</v>
      </c>
      <c r="BD255" s="168">
        <f t="shared" si="54"/>
        <v>0</v>
      </c>
      <c r="BE255" s="168">
        <f t="shared" si="54"/>
        <v>0</v>
      </c>
      <c r="BF255" s="168">
        <f t="shared" si="54"/>
        <v>0</v>
      </c>
      <c r="BG255" s="168">
        <f t="shared" si="54"/>
        <v>0</v>
      </c>
      <c r="BH255" s="168">
        <f t="shared" si="54"/>
        <v>0</v>
      </c>
      <c r="BI255" s="168">
        <f t="shared" si="54"/>
        <v>0</v>
      </c>
      <c r="BJ255" s="168">
        <f t="shared" si="54"/>
        <v>0</v>
      </c>
      <c r="BK255" s="168">
        <f t="shared" si="54"/>
        <v>0</v>
      </c>
      <c r="BL255" s="168">
        <f t="shared" si="54"/>
        <v>0</v>
      </c>
      <c r="BM255" s="168">
        <f t="shared" si="54"/>
        <v>0</v>
      </c>
      <c r="BN255" s="168">
        <f t="shared" si="54"/>
        <v>114244803.88117982</v>
      </c>
      <c r="BO255" s="168">
        <f t="shared" si="54"/>
        <v>0</v>
      </c>
      <c r="BP255" s="168">
        <f t="shared" si="54"/>
        <v>4808902</v>
      </c>
      <c r="BQ255" s="168">
        <f t="shared" si="54"/>
        <v>2030320</v>
      </c>
      <c r="BR255" s="168">
        <f t="shared" si="54"/>
        <v>62809413.711141475</v>
      </c>
      <c r="BS255" s="168">
        <f t="shared" si="54"/>
        <v>2030320</v>
      </c>
      <c r="BT255" s="168">
        <f t="shared" si="54"/>
        <v>175919997.59232131</v>
      </c>
      <c r="BU255" s="168">
        <f t="shared" si="54"/>
        <v>2030320</v>
      </c>
      <c r="BV255" s="168">
        <f>R255-BT255</f>
        <v>-2278287.5923213065</v>
      </c>
      <c r="BW255" s="173"/>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row>
    <row r="256" spans="1:124" s="21" customFormat="1">
      <c r="A256" s="56" t="s">
        <v>253</v>
      </c>
      <c r="B256" s="31"/>
      <c r="J256" s="8"/>
      <c r="L256" s="143"/>
      <c r="M256" s="9"/>
      <c r="N256" s="10"/>
      <c r="O256" s="9"/>
      <c r="P256" s="10"/>
      <c r="Q256" s="9"/>
      <c r="R256" s="10"/>
      <c r="S256" s="9"/>
      <c r="T256" s="10"/>
      <c r="U256" s="9"/>
      <c r="V256" s="10"/>
      <c r="W256" s="9"/>
      <c r="X256" s="10"/>
      <c r="Y256" s="9"/>
      <c r="Z256" s="10"/>
      <c r="AA256" s="9"/>
      <c r="AB256" s="10"/>
      <c r="AC256" s="9"/>
      <c r="AD256" s="10"/>
      <c r="AE256" s="9"/>
      <c r="AF256" s="10"/>
      <c r="AG256" s="9"/>
      <c r="AH256" s="10"/>
      <c r="AI256" s="9"/>
      <c r="AJ256" s="10"/>
      <c r="AK256" s="9"/>
      <c r="AL256" s="10"/>
      <c r="AM256" s="9"/>
      <c r="AN256" s="10"/>
      <c r="AO256" s="9"/>
      <c r="AP256" s="10"/>
      <c r="AQ256" s="9"/>
      <c r="AR256" s="10"/>
      <c r="AS256" s="9"/>
      <c r="AT256" s="10"/>
      <c r="AU256" s="9"/>
      <c r="AV256" s="10"/>
      <c r="AW256" s="10"/>
      <c r="AX256" s="10"/>
      <c r="AY256" s="10"/>
      <c r="AZ256" s="10"/>
      <c r="BA256" s="10"/>
      <c r="BB256" s="10"/>
      <c r="BC256" s="10"/>
      <c r="BD256" s="10"/>
      <c r="BE256" s="10"/>
      <c r="BF256" s="10"/>
      <c r="BG256" s="10"/>
      <c r="BH256" s="10"/>
      <c r="BI256" s="10"/>
      <c r="BJ256" s="10"/>
      <c r="BK256" s="10"/>
      <c r="BL256" s="10"/>
      <c r="BM256" s="9"/>
      <c r="BN256" s="10"/>
      <c r="BO256" s="9"/>
      <c r="BP256" s="10"/>
      <c r="BQ256" s="9"/>
      <c r="BR256" s="10"/>
      <c r="BS256" s="9"/>
      <c r="BT256" s="10"/>
      <c r="BU256" s="9"/>
      <c r="BV256" s="10"/>
      <c r="BW256" s="9"/>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row>
    <row r="257" spans="1:124" s="21" customFormat="1">
      <c r="A257" s="56"/>
      <c r="B257" s="31"/>
      <c r="J257" s="8"/>
      <c r="L257" s="143"/>
      <c r="M257" s="9"/>
      <c r="N257" s="10"/>
      <c r="O257" s="9"/>
      <c r="P257" s="10"/>
      <c r="Q257" s="9"/>
      <c r="R257" s="10"/>
      <c r="S257" s="9"/>
      <c r="T257" s="10"/>
      <c r="U257" s="9"/>
      <c r="V257" s="10"/>
      <c r="W257" s="9"/>
      <c r="X257" s="10"/>
      <c r="Y257" s="9"/>
      <c r="Z257" s="10"/>
      <c r="AA257" s="9"/>
      <c r="AB257" s="10"/>
      <c r="AC257" s="9"/>
      <c r="AD257" s="10"/>
      <c r="AE257" s="9"/>
      <c r="AF257" s="10"/>
      <c r="AG257" s="9"/>
      <c r="AH257" s="10"/>
      <c r="AI257" s="9"/>
      <c r="AJ257" s="10"/>
      <c r="AK257" s="9"/>
      <c r="AL257" s="10"/>
      <c r="AM257" s="9"/>
      <c r="AN257" s="10"/>
      <c r="AO257" s="9"/>
      <c r="AP257" s="10"/>
      <c r="AQ257" s="9"/>
      <c r="AR257" s="10"/>
      <c r="AS257" s="9"/>
      <c r="AT257" s="10"/>
      <c r="AU257" s="9"/>
      <c r="AV257" s="10"/>
      <c r="AW257" s="10"/>
      <c r="AX257" s="10"/>
      <c r="AY257" s="10"/>
      <c r="AZ257" s="10"/>
      <c r="BA257" s="10"/>
      <c r="BB257" s="10"/>
      <c r="BC257" s="10"/>
      <c r="BD257" s="10"/>
      <c r="BE257" s="10"/>
      <c r="BF257" s="10"/>
      <c r="BG257" s="10"/>
      <c r="BH257" s="10"/>
      <c r="BI257" s="10"/>
      <c r="BJ257" s="10"/>
      <c r="BK257" s="10"/>
      <c r="BL257" s="10"/>
      <c r="BM257" s="9"/>
      <c r="BN257" s="10"/>
      <c r="BO257" s="9"/>
      <c r="BP257" s="10"/>
      <c r="BQ257" s="9"/>
      <c r="BR257" s="10"/>
      <c r="BS257" s="9"/>
      <c r="BT257" s="10"/>
      <c r="BU257" s="9"/>
      <c r="BV257" s="10"/>
      <c r="BW257" s="9"/>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row>
    <row r="258" spans="1:124" s="21" customFormat="1">
      <c r="A258" s="58" t="s">
        <v>271</v>
      </c>
      <c r="B258" s="31"/>
      <c r="J258" s="8"/>
      <c r="L258" s="143"/>
      <c r="M258" s="9"/>
      <c r="N258" s="10"/>
      <c r="O258" s="9"/>
      <c r="P258" s="10"/>
      <c r="Q258" s="9"/>
      <c r="R258" s="10">
        <v>0</v>
      </c>
      <c r="S258" s="9"/>
      <c r="T258" s="10">
        <v>0</v>
      </c>
      <c r="U258" s="9"/>
      <c r="V258" s="10">
        <v>0</v>
      </c>
      <c r="W258" s="9"/>
      <c r="X258" s="10">
        <v>0</v>
      </c>
      <c r="Y258" s="9"/>
      <c r="Z258" s="10">
        <v>0</v>
      </c>
      <c r="AA258" s="9"/>
      <c r="AB258" s="10">
        <v>0</v>
      </c>
      <c r="AC258" s="9"/>
      <c r="AD258" s="10">
        <v>0</v>
      </c>
      <c r="AE258" s="9"/>
      <c r="AF258" s="10">
        <v>0</v>
      </c>
      <c r="AG258" s="9"/>
      <c r="AH258" s="10">
        <v>0</v>
      </c>
      <c r="AI258" s="9"/>
      <c r="AJ258" s="10"/>
      <c r="AK258" s="9"/>
      <c r="AL258" s="10">
        <v>0</v>
      </c>
      <c r="AM258" s="9"/>
      <c r="AN258" s="10"/>
      <c r="AO258" s="9"/>
      <c r="AP258" s="10"/>
      <c r="AQ258" s="9"/>
      <c r="AR258" s="10">
        <f>-35</f>
        <v>-35</v>
      </c>
      <c r="AS258" s="9"/>
      <c r="AT258" s="10">
        <v>-2100</v>
      </c>
      <c r="AU258" s="9"/>
      <c r="AV258" s="10"/>
      <c r="AW258" s="10"/>
      <c r="AX258" s="10"/>
      <c r="AY258" s="10"/>
      <c r="AZ258" s="10"/>
      <c r="BA258" s="10"/>
      <c r="BB258" s="10"/>
      <c r="BC258" s="10"/>
      <c r="BD258" s="10"/>
      <c r="BE258" s="10"/>
      <c r="BF258" s="10"/>
      <c r="BG258" s="10"/>
      <c r="BH258" s="10"/>
      <c r="BI258" s="10"/>
      <c r="BJ258" s="10"/>
      <c r="BK258" s="10"/>
      <c r="BL258" s="10"/>
      <c r="BM258" s="9"/>
      <c r="BN258" s="10">
        <f>SUM(T258:BM258)</f>
        <v>-2135</v>
      </c>
      <c r="BO258" s="9"/>
      <c r="BP258" s="10"/>
      <c r="BQ258" s="9"/>
      <c r="BR258" s="10">
        <v>0</v>
      </c>
      <c r="BS258" s="9"/>
      <c r="BT258" s="9">
        <f>+BN258+BR258</f>
        <v>-2135</v>
      </c>
      <c r="BU258" s="9"/>
      <c r="BV258" s="6">
        <f>+R258-BT258</f>
        <v>2135</v>
      </c>
      <c r="BW258" s="9"/>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row>
    <row r="259" spans="1:124" s="21" customFormat="1">
      <c r="A259" s="58"/>
      <c r="B259" s="31"/>
      <c r="J259" s="8"/>
      <c r="L259" s="143"/>
      <c r="M259" s="9"/>
      <c r="N259" s="10"/>
      <c r="O259" s="9"/>
      <c r="P259" s="10"/>
      <c r="Q259" s="9"/>
      <c r="R259" s="10"/>
      <c r="S259" s="9"/>
      <c r="T259" s="10"/>
      <c r="U259" s="9"/>
      <c r="V259" s="10"/>
      <c r="W259" s="9"/>
      <c r="X259" s="10"/>
      <c r="Y259" s="9"/>
      <c r="Z259" s="10"/>
      <c r="AA259" s="9"/>
      <c r="AB259" s="10"/>
      <c r="AC259" s="9"/>
      <c r="AD259" s="10"/>
      <c r="AE259" s="9"/>
      <c r="AF259" s="10"/>
      <c r="AG259" s="9"/>
      <c r="AH259" s="10"/>
      <c r="AI259" s="9"/>
      <c r="AJ259" s="10"/>
      <c r="AK259" s="9"/>
      <c r="AL259" s="10"/>
      <c r="AM259" s="9"/>
      <c r="AN259" s="10"/>
      <c r="AO259" s="9"/>
      <c r="AP259" s="10"/>
      <c r="AQ259" s="9"/>
      <c r="AR259" s="10"/>
      <c r="AS259" s="9"/>
      <c r="AT259" s="10"/>
      <c r="AU259" s="9"/>
      <c r="AV259" s="10"/>
      <c r="AW259" s="10"/>
      <c r="AX259" s="10"/>
      <c r="AY259" s="10"/>
      <c r="AZ259" s="10"/>
      <c r="BA259" s="10"/>
      <c r="BB259" s="10"/>
      <c r="BC259" s="10"/>
      <c r="BD259" s="10"/>
      <c r="BE259" s="10"/>
      <c r="BF259" s="10"/>
      <c r="BG259" s="10"/>
      <c r="BH259" s="10"/>
      <c r="BI259" s="10"/>
      <c r="BJ259" s="10"/>
      <c r="BK259" s="10"/>
      <c r="BL259" s="10"/>
      <c r="BM259" s="9"/>
      <c r="BN259" s="10">
        <f>SUM(T259:BM259)</f>
        <v>0</v>
      </c>
      <c r="BO259" s="9"/>
      <c r="BP259" s="10"/>
      <c r="BQ259" s="9"/>
      <c r="BR259" s="10"/>
      <c r="BS259" s="9"/>
      <c r="BT259" s="9"/>
      <c r="BU259" s="9"/>
      <c r="BV259" s="10"/>
      <c r="BW259" s="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row>
    <row r="260" spans="1:124" s="21" customFormat="1">
      <c r="A260" s="58"/>
      <c r="B260" s="31"/>
      <c r="J260" s="8"/>
      <c r="L260" s="143"/>
      <c r="M260" s="9"/>
      <c r="N260" s="10"/>
      <c r="O260" s="9"/>
      <c r="P260" s="10"/>
      <c r="Q260" s="9"/>
      <c r="R260" s="10"/>
      <c r="S260" s="9"/>
      <c r="T260" s="10"/>
      <c r="U260" s="9"/>
      <c r="V260" s="10"/>
      <c r="W260" s="9"/>
      <c r="X260" s="10"/>
      <c r="Y260" s="9"/>
      <c r="Z260" s="10"/>
      <c r="AA260" s="9"/>
      <c r="AB260" s="10"/>
      <c r="AC260" s="9"/>
      <c r="AD260" s="10"/>
      <c r="AE260" s="9"/>
      <c r="AF260" s="10"/>
      <c r="AG260" s="9"/>
      <c r="AH260" s="10"/>
      <c r="AI260" s="9"/>
      <c r="AJ260" s="10"/>
      <c r="AK260" s="9"/>
      <c r="AL260" s="10"/>
      <c r="AM260" s="9"/>
      <c r="AN260" s="10"/>
      <c r="AO260" s="9"/>
      <c r="AP260" s="10"/>
      <c r="AQ260" s="9"/>
      <c r="AR260" s="10"/>
      <c r="AS260" s="9"/>
      <c r="AT260" s="10"/>
      <c r="AU260" s="9"/>
      <c r="AV260" s="10"/>
      <c r="AW260" s="10"/>
      <c r="AX260" s="10"/>
      <c r="AY260" s="10"/>
      <c r="AZ260" s="10"/>
      <c r="BA260" s="10"/>
      <c r="BB260" s="10"/>
      <c r="BC260" s="10"/>
      <c r="BD260" s="10"/>
      <c r="BE260" s="10"/>
      <c r="BF260" s="10"/>
      <c r="BG260" s="10"/>
      <c r="BH260" s="10"/>
      <c r="BI260" s="10"/>
      <c r="BJ260" s="10"/>
      <c r="BK260" s="10"/>
      <c r="BL260" s="10"/>
      <c r="BM260" s="9"/>
      <c r="BN260" s="10"/>
      <c r="BO260" s="9"/>
      <c r="BP260" s="10"/>
      <c r="BQ260" s="9"/>
      <c r="BR260" s="10"/>
      <c r="BS260" s="9"/>
      <c r="BT260" s="10"/>
      <c r="BU260" s="9"/>
      <c r="BV260" s="10"/>
      <c r="BW260" s="9"/>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row>
    <row r="261" spans="1:124" s="105" customFormat="1" ht="13.8" thickBot="1">
      <c r="A261" s="84" t="s">
        <v>291</v>
      </c>
      <c r="B261" s="54"/>
      <c r="J261" s="158"/>
      <c r="L261" s="144"/>
      <c r="M261" s="13"/>
      <c r="N261" s="120"/>
      <c r="O261" s="13"/>
      <c r="P261" s="120"/>
      <c r="Q261" s="13"/>
      <c r="R261" s="121">
        <f t="shared" ref="R261:BW261" si="55">R255+R258</f>
        <v>173641710</v>
      </c>
      <c r="S261" s="121">
        <f t="shared" si="55"/>
        <v>0</v>
      </c>
      <c r="T261" s="121">
        <f t="shared" si="55"/>
        <v>0</v>
      </c>
      <c r="U261" s="121">
        <f t="shared" si="55"/>
        <v>0</v>
      </c>
      <c r="V261" s="121">
        <f t="shared" si="55"/>
        <v>0</v>
      </c>
      <c r="W261" s="121">
        <f t="shared" si="55"/>
        <v>0</v>
      </c>
      <c r="X261" s="121">
        <f t="shared" si="55"/>
        <v>0</v>
      </c>
      <c r="Y261" s="121">
        <f t="shared" si="55"/>
        <v>0</v>
      </c>
      <c r="Z261" s="121">
        <f t="shared" si="55"/>
        <v>0</v>
      </c>
      <c r="AA261" s="121">
        <f t="shared" si="55"/>
        <v>0</v>
      </c>
      <c r="AB261" s="121">
        <f t="shared" si="55"/>
        <v>0</v>
      </c>
      <c r="AC261" s="121">
        <f t="shared" si="55"/>
        <v>0</v>
      </c>
      <c r="AD261" s="121">
        <f t="shared" si="55"/>
        <v>0</v>
      </c>
      <c r="AE261" s="121">
        <f t="shared" si="55"/>
        <v>0</v>
      </c>
      <c r="AF261" s="121">
        <f t="shared" si="55"/>
        <v>0</v>
      </c>
      <c r="AG261" s="121">
        <f t="shared" si="55"/>
        <v>0</v>
      </c>
      <c r="AH261" s="121">
        <f t="shared" si="55"/>
        <v>0</v>
      </c>
      <c r="AI261" s="121"/>
      <c r="AJ261" s="121">
        <f t="shared" si="55"/>
        <v>22626.809999999998</v>
      </c>
      <c r="AK261" s="121"/>
      <c r="AL261" s="121">
        <f t="shared" si="55"/>
        <v>93152637.489999995</v>
      </c>
      <c r="AM261" s="121"/>
      <c r="AN261" s="121">
        <f t="shared" si="55"/>
        <v>715387.53999999992</v>
      </c>
      <c r="AO261" s="121"/>
      <c r="AP261" s="121">
        <f t="shared" si="55"/>
        <v>2178269.8126763888</v>
      </c>
      <c r="AQ261" s="121"/>
      <c r="AR261" s="121">
        <f t="shared" si="55"/>
        <v>7520773.7532297745</v>
      </c>
      <c r="AS261" s="121">
        <f t="shared" si="55"/>
        <v>0</v>
      </c>
      <c r="AT261" s="121">
        <f t="shared" si="55"/>
        <v>3031801.6952736583</v>
      </c>
      <c r="AU261" s="121">
        <f t="shared" si="55"/>
        <v>0</v>
      </c>
      <c r="AV261" s="121">
        <f t="shared" si="55"/>
        <v>7621171.7800000003</v>
      </c>
      <c r="AW261" s="121">
        <f t="shared" si="55"/>
        <v>0</v>
      </c>
      <c r="AX261" s="121">
        <f t="shared" si="55"/>
        <v>0</v>
      </c>
      <c r="AY261" s="121">
        <f t="shared" si="55"/>
        <v>0</v>
      </c>
      <c r="AZ261" s="121">
        <f t="shared" si="55"/>
        <v>0</v>
      </c>
      <c r="BA261" s="121">
        <f t="shared" si="55"/>
        <v>0</v>
      </c>
      <c r="BB261" s="121">
        <f t="shared" si="55"/>
        <v>0</v>
      </c>
      <c r="BC261" s="121">
        <f t="shared" si="55"/>
        <v>0</v>
      </c>
      <c r="BD261" s="121">
        <f t="shared" si="55"/>
        <v>0</v>
      </c>
      <c r="BE261" s="121">
        <f t="shared" si="55"/>
        <v>0</v>
      </c>
      <c r="BF261" s="121">
        <f t="shared" si="55"/>
        <v>0</v>
      </c>
      <c r="BG261" s="121">
        <f t="shared" si="55"/>
        <v>0</v>
      </c>
      <c r="BH261" s="121">
        <f t="shared" si="55"/>
        <v>0</v>
      </c>
      <c r="BI261" s="121">
        <f t="shared" si="55"/>
        <v>0</v>
      </c>
      <c r="BJ261" s="121">
        <f t="shared" si="55"/>
        <v>0</v>
      </c>
      <c r="BK261" s="121">
        <f t="shared" si="55"/>
        <v>0</v>
      </c>
      <c r="BL261" s="121">
        <f t="shared" si="55"/>
        <v>0</v>
      </c>
      <c r="BM261" s="121">
        <f t="shared" si="55"/>
        <v>0</v>
      </c>
      <c r="BN261" s="121">
        <f t="shared" si="55"/>
        <v>114242668.88117982</v>
      </c>
      <c r="BO261" s="121">
        <f t="shared" si="55"/>
        <v>0</v>
      </c>
      <c r="BP261" s="121">
        <f t="shared" si="55"/>
        <v>4808902</v>
      </c>
      <c r="BQ261" s="121">
        <f t="shared" si="55"/>
        <v>2030320</v>
      </c>
      <c r="BR261" s="121">
        <f t="shared" si="55"/>
        <v>62809413.711141475</v>
      </c>
      <c r="BS261" s="121">
        <f t="shared" si="55"/>
        <v>2030320</v>
      </c>
      <c r="BT261" s="121">
        <f t="shared" si="55"/>
        <v>175917862.59232131</v>
      </c>
      <c r="BU261" s="121">
        <f t="shared" si="55"/>
        <v>2030320</v>
      </c>
      <c r="BV261" s="121">
        <f t="shared" si="55"/>
        <v>-2276152.5923213065</v>
      </c>
      <c r="BW261" s="121">
        <f t="shared" si="55"/>
        <v>0</v>
      </c>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row>
    <row r="262" spans="1:124" s="21" customFormat="1" ht="13.8" thickTop="1">
      <c r="A262" s="58"/>
      <c r="B262" s="31"/>
      <c r="J262" s="8"/>
      <c r="L262" s="143"/>
      <c r="M262" s="9"/>
      <c r="N262" s="10"/>
      <c r="O262" s="9"/>
      <c r="P262" s="10"/>
      <c r="Q262" s="9"/>
      <c r="R262" s="10"/>
      <c r="S262" s="9"/>
      <c r="T262" s="10"/>
      <c r="U262" s="9"/>
      <c r="V262" s="10"/>
      <c r="W262" s="9"/>
      <c r="X262" s="10"/>
      <c r="Y262" s="9"/>
      <c r="Z262" s="10"/>
      <c r="AA262" s="9"/>
      <c r="AB262" s="10"/>
      <c r="AC262" s="9"/>
      <c r="AD262" s="10"/>
      <c r="AE262" s="9"/>
      <c r="AF262" s="10"/>
      <c r="AG262" s="9"/>
      <c r="AH262" s="10"/>
      <c r="AI262" s="9"/>
      <c r="AJ262" s="10"/>
      <c r="AK262" s="9"/>
      <c r="AL262" s="10"/>
      <c r="AM262" s="9"/>
      <c r="AN262" s="10"/>
      <c r="AO262" s="9"/>
      <c r="AP262" s="10"/>
      <c r="AQ262" s="9"/>
      <c r="AR262" s="10"/>
      <c r="AS262" s="9"/>
      <c r="AT262" s="10"/>
      <c r="AU262" s="9"/>
      <c r="AV262" s="10"/>
      <c r="AW262" s="10"/>
      <c r="AX262" s="10"/>
      <c r="AY262" s="10"/>
      <c r="AZ262" s="10"/>
      <c r="BA262" s="10"/>
      <c r="BB262" s="10"/>
      <c r="BC262" s="10"/>
      <c r="BD262" s="10"/>
      <c r="BE262" s="10"/>
      <c r="BF262" s="10"/>
      <c r="BG262" s="10"/>
      <c r="BH262" s="10"/>
      <c r="BI262" s="10"/>
      <c r="BJ262" s="10"/>
      <c r="BK262" s="10"/>
      <c r="BL262" s="10"/>
      <c r="BM262" s="9"/>
      <c r="BN262" s="10"/>
      <c r="BO262" s="9"/>
      <c r="BP262" s="10"/>
      <c r="BQ262" s="9"/>
      <c r="BR262" s="10"/>
      <c r="BS262" s="9"/>
      <c r="BT262" s="10"/>
      <c r="BU262" s="9"/>
      <c r="BV262" s="10"/>
      <c r="BW262" s="9"/>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row>
    <row r="263" spans="1:124">
      <c r="C263"/>
      <c r="D263"/>
      <c r="E263"/>
      <c r="F263"/>
      <c r="G263"/>
      <c r="H263"/>
      <c r="I263"/>
      <c r="J263" s="49"/>
      <c r="K263"/>
      <c r="L263" s="134"/>
      <c r="M263" s="6"/>
      <c r="O263" s="6"/>
      <c r="Q263" s="6"/>
      <c r="S263" s="6"/>
      <c r="T263" s="6"/>
      <c r="U263" s="6"/>
      <c r="V263" s="6"/>
      <c r="X263" s="6"/>
      <c r="Z263" s="6"/>
      <c r="AB263" s="6"/>
      <c r="AD263" s="6"/>
      <c r="BL263" s="6"/>
      <c r="BM263" s="6"/>
      <c r="BO263" s="6"/>
      <c r="BP263" s="6"/>
      <c r="BQ263" s="6"/>
      <c r="BW263" s="6"/>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row>
    <row r="264" spans="1:124" customFormat="1">
      <c r="BN264" s="372"/>
    </row>
    <row r="265" spans="1:124" customFormat="1">
      <c r="BN265" s="372"/>
    </row>
    <row r="266" spans="1:124" customFormat="1">
      <c r="BN266" s="372"/>
    </row>
    <row r="267" spans="1:124" customFormat="1">
      <c r="BN267" s="372"/>
    </row>
    <row r="268" spans="1:124" customFormat="1">
      <c r="BN268" s="372"/>
    </row>
    <row r="269" spans="1:124" customFormat="1">
      <c r="BN269" s="372"/>
    </row>
    <row r="270" spans="1:124" customFormat="1">
      <c r="BN270" s="372"/>
    </row>
    <row r="271" spans="1:124" customFormat="1">
      <c r="BN271" s="372"/>
    </row>
    <row r="272" spans="1:124" customFormat="1">
      <c r="BN272" s="372"/>
    </row>
    <row r="273" spans="46:66" customFormat="1">
      <c r="BN273" s="372"/>
    </row>
    <row r="274" spans="46:66" customFormat="1">
      <c r="BN274" s="372"/>
    </row>
    <row r="275" spans="46:66" customFormat="1">
      <c r="BN275" s="372"/>
    </row>
    <row r="276" spans="46:66" customFormat="1">
      <c r="BN276" s="372"/>
    </row>
    <row r="277" spans="46:66" customFormat="1">
      <c r="AT277" s="371"/>
      <c r="BN277" s="372"/>
    </row>
    <row r="278" spans="46:66" customFormat="1">
      <c r="AT278" s="371"/>
      <c r="BN278" s="372"/>
    </row>
    <row r="279" spans="46:66" customFormat="1">
      <c r="AT279" s="371"/>
      <c r="BN279" s="373"/>
    </row>
    <row r="280" spans="46:66" customFormat="1"/>
    <row r="281" spans="46:66" customFormat="1"/>
    <row r="282" spans="46:66" customFormat="1"/>
    <row r="283" spans="46:66" customFormat="1"/>
    <row r="284" spans="46:66" customFormat="1"/>
    <row r="285" spans="46:66" customFormat="1"/>
    <row r="286" spans="46:66" customFormat="1"/>
    <row r="287" spans="46:66" customFormat="1"/>
    <row r="288" spans="46:66"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spans="66:66" customFormat="1"/>
    <row r="306" spans="66:66" customFormat="1"/>
    <row r="307" spans="66:66">
      <c r="BN307" s="22"/>
    </row>
    <row r="308" spans="66:66">
      <c r="BN308" s="22"/>
    </row>
    <row r="309" spans="66:66">
      <c r="BN309" s="22"/>
    </row>
    <row r="310" spans="66:66">
      <c r="BN310" s="22"/>
    </row>
    <row r="311" spans="66:66">
      <c r="BN311" s="22"/>
    </row>
    <row r="312" spans="66:66">
      <c r="BN312" s="22"/>
    </row>
    <row r="313" spans="66:66">
      <c r="BN313" s="22"/>
    </row>
    <row r="314" spans="66:66">
      <c r="BN314" s="22"/>
    </row>
    <row r="315" spans="66:66">
      <c r="BN315" s="22"/>
    </row>
    <row r="316" spans="66:66">
      <c r="BN316" s="22"/>
    </row>
    <row r="317" spans="66:66">
      <c r="BN317" s="22"/>
    </row>
    <row r="318" spans="66:66">
      <c r="BN318" s="22"/>
    </row>
    <row r="319" spans="66:66">
      <c r="BN319" s="22"/>
    </row>
    <row r="320" spans="66:66">
      <c r="BN320" s="22"/>
    </row>
    <row r="321" spans="66:66">
      <c r="BN321" s="22"/>
    </row>
    <row r="322" spans="66:66">
      <c r="BN322" s="22"/>
    </row>
    <row r="323" spans="66:66">
      <c r="BN323" s="22"/>
    </row>
    <row r="324" spans="66:66">
      <c r="BN324" s="22"/>
    </row>
    <row r="325" spans="66:66">
      <c r="BN325" s="22"/>
    </row>
    <row r="326" spans="66:66">
      <c r="BN326" s="22"/>
    </row>
  </sheetData>
  <printOptions horizontalCentered="1"/>
  <pageMargins left="0" right="0" top="0.25" bottom="0.19" header="0.25" footer="0.19"/>
  <pageSetup scale="45" fitToHeight="2" orientation="portrait" horizontalDpi="300" verticalDpi="300" r:id="rId1"/>
  <headerFooter alignWithMargins="0"/>
  <rowBreaks count="1" manualBreakCount="1">
    <brk id="133"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87"/>
  <sheetViews>
    <sheetView zoomScale="80" zoomScaleNormal="66" workbookViewId="0">
      <pane xSplit="19" ySplit="7" topLeftCell="AT196" activePane="bottomRight" state="frozen"/>
      <selection activeCell="C35" sqref="C35"/>
      <selection pane="topRight" activeCell="C35" sqref="C35"/>
      <selection pane="bottomLeft" activeCell="C35" sqref="C35"/>
      <selection pane="bottomRight" activeCell="J202" sqref="J202"/>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66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7.88671875" style="6" hidden="1" customWidth="1"/>
    <col min="35" max="35" width="0.88671875" style="6" hidden="1" customWidth="1"/>
    <col min="36" max="36" width="17.88671875" style="6" hidden="1" customWidth="1"/>
    <col min="37" max="37" width="0.88671875" style="6" hidden="1" customWidth="1"/>
    <col min="38" max="38" width="16.6640625" style="6" hidden="1" customWidth="1"/>
    <col min="39" max="39" width="0.88671875" style="6" hidden="1" customWidth="1"/>
    <col min="40" max="40" width="18.33203125" style="6" hidden="1" customWidth="1"/>
    <col min="41" max="41" width="1.1093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4.6640625" style="6" bestFit="1" customWidth="1"/>
    <col min="69" max="69" width="1.6640625" style="6" customWidth="1"/>
    <col min="70" max="70" width="20.88671875" style="6" customWidth="1"/>
    <col min="71" max="71" width="1.6640625" style="6" customWidth="1"/>
    <col min="72" max="72" width="15.8867187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- 013100.xls]Summary</v>
      </c>
    </row>
    <row r="3" spans="1:74" s="18" customFormat="1" ht="15.6">
      <c r="A3" s="99" t="s">
        <v>196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36558.409746990743</v>
      </c>
      <c r="BR3" s="23"/>
      <c r="BT3" s="78" t="str">
        <f>Summary!A5</f>
        <v>Revision # 43</v>
      </c>
    </row>
    <row r="4" spans="1:74" s="18" customFormat="1" ht="15.6">
      <c r="A4" s="94"/>
      <c r="B4" s="19">
        <f>Summary!C15</f>
        <v>470</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row>
    <row r="6" spans="1:74"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1/31/00</v>
      </c>
      <c r="U7" s="96"/>
      <c r="V7" s="82" t="str">
        <f>+Summary!$O$4</f>
        <v xml:space="preserve"> As of 1/31/00</v>
      </c>
      <c r="W7" s="69"/>
      <c r="X7" s="82" t="str">
        <f>+Summary!$O$4</f>
        <v xml:space="preserve"> As of 1/31/00</v>
      </c>
      <c r="Y7" s="69"/>
      <c r="Z7" s="82" t="str">
        <f>+Summary!$O$4</f>
        <v xml:space="preserve"> As of 1/31/00</v>
      </c>
      <c r="AA7" s="69"/>
      <c r="AB7" s="82" t="str">
        <f>+Summary!$O$4</f>
        <v xml:space="preserve"> As of 1/31/00</v>
      </c>
      <c r="AC7" s="69"/>
      <c r="AD7" s="82" t="str">
        <f>+Summary!$O$4</f>
        <v xml:space="preserve"> As of 1/31/00</v>
      </c>
      <c r="AE7" s="69"/>
      <c r="AF7" s="82" t="str">
        <f>+Summary!$O$4</f>
        <v xml:space="preserve"> As of 1/31/00</v>
      </c>
      <c r="AG7" s="69"/>
      <c r="AH7" s="82" t="str">
        <f>+Summary!$O$4</f>
        <v xml:space="preserve"> As of 1/31/00</v>
      </c>
      <c r="AI7" s="69"/>
      <c r="AJ7" s="82" t="str">
        <f>+Summary!$O$4</f>
        <v xml:space="preserve"> As of 1/31/00</v>
      </c>
      <c r="AK7" s="69"/>
      <c r="AL7" s="82" t="str">
        <f>+Summary!$O$4</f>
        <v xml:space="preserve"> As of 1/31/00</v>
      </c>
      <c r="AM7" s="69"/>
      <c r="AN7" s="82" t="str">
        <f>+Summary!$O$4</f>
        <v xml:space="preserve"> As of 1/31/00</v>
      </c>
      <c r="AO7" s="69"/>
      <c r="AP7" s="82" t="str">
        <f>+Summary!$O$4</f>
        <v xml:space="preserve"> As of 1/31/00</v>
      </c>
      <c r="AQ7" s="69"/>
      <c r="AR7" s="82" t="str">
        <f>+Summary!$O$4</f>
        <v xml:space="preserve"> As of 1/31/00</v>
      </c>
      <c r="AS7" s="69"/>
      <c r="AT7" s="82" t="str">
        <f>+Summary!$O$4</f>
        <v xml:space="preserve"> As of 1/31/00</v>
      </c>
      <c r="AU7" s="82"/>
      <c r="AV7" s="82" t="str">
        <f>+Summary!$O$4</f>
        <v xml:space="preserve"> As of 1/31/00</v>
      </c>
      <c r="AW7" s="82"/>
      <c r="AX7" s="82" t="str">
        <f>+Summary!$O$4</f>
        <v xml:space="preserve"> As of 1/31/00</v>
      </c>
      <c r="AY7" s="82"/>
      <c r="AZ7" s="82" t="str">
        <f>+Summary!$O$4</f>
        <v xml:space="preserve"> As of 1/31/00</v>
      </c>
      <c r="BA7" s="82"/>
      <c r="BB7" s="82" t="str">
        <f>+Summary!$O$4</f>
        <v xml:space="preserve"> As of 1/31/00</v>
      </c>
      <c r="BC7" s="82"/>
      <c r="BD7" s="82" t="str">
        <f>+Summary!$O$4</f>
        <v xml:space="preserve"> As of 1/31/00</v>
      </c>
      <c r="BE7" s="82"/>
      <c r="BF7" s="82" t="str">
        <f>+Summary!$O$4</f>
        <v xml:space="preserve"> As of 1/31/00</v>
      </c>
      <c r="BG7" s="82"/>
      <c r="BH7" s="82" t="str">
        <f>+Summary!$O$4</f>
        <v xml:space="preserve"> As of 1/31/00</v>
      </c>
      <c r="BI7" s="82"/>
      <c r="BJ7" s="82" t="str">
        <f>+Summary!$O$4</f>
        <v xml:space="preserve"> As of 1/31/00</v>
      </c>
      <c r="BL7" s="71" t="str">
        <f>+Summary!$O$4</f>
        <v xml:space="preserve"> As of 1/31/00</v>
      </c>
      <c r="BN7" s="64" t="str">
        <f>+Summary!$O$4</f>
        <v xml:space="preserve"> As of 1/31/00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266</v>
      </c>
      <c r="C9"/>
      <c r="D9"/>
      <c r="E9"/>
      <c r="F9"/>
      <c r="G9"/>
      <c r="H9"/>
      <c r="I9"/>
      <c r="J9" s="49" t="s">
        <v>0</v>
      </c>
      <c r="K9"/>
      <c r="L9" s="134" t="s">
        <v>204</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v>0</v>
      </c>
      <c r="AX9" s="6">
        <v>0</v>
      </c>
      <c r="AZ9" s="6">
        <v>0</v>
      </c>
      <c r="BB9" s="6">
        <v>0</v>
      </c>
      <c r="BD9" s="6">
        <v>0</v>
      </c>
      <c r="BF9" s="6">
        <v>0</v>
      </c>
      <c r="BH9" s="6">
        <v>0</v>
      </c>
      <c r="BJ9" s="6">
        <v>0</v>
      </c>
      <c r="BK9" s="6"/>
      <c r="BL9" s="6">
        <f>SUM(T9:BK9)</f>
        <v>79788370.420000017</v>
      </c>
      <c r="BM9" s="6"/>
      <c r="BN9" s="6">
        <f>-100000+353801-22200+66200</f>
        <v>297801</v>
      </c>
      <c r="BO9" s="6"/>
      <c r="BP9" s="6">
        <f>IF(+R9-BL9+BN9&gt;0,R9-BL9+BN9,0)</f>
        <v>6330930.5799999833</v>
      </c>
      <c r="BR9" s="6">
        <f>+BL9+BP9</f>
        <v>86119301</v>
      </c>
      <c r="BT9" s="6">
        <f>+R9-BR9</f>
        <v>-297801</v>
      </c>
      <c r="BU9" s="6"/>
    </row>
    <row r="10" spans="1:74">
      <c r="A10" s="93"/>
      <c r="B10" s="17" t="s">
        <v>122</v>
      </c>
      <c r="C10"/>
      <c r="D10"/>
      <c r="E10"/>
      <c r="F10"/>
      <c r="G10"/>
      <c r="H10"/>
      <c r="I10"/>
      <c r="J10" s="49" t="s">
        <v>0</v>
      </c>
      <c r="K10"/>
      <c r="L10" s="134" t="s">
        <v>204</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197</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0</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79788370.420000017</v>
      </c>
      <c r="BM12" s="6"/>
      <c r="BN12" s="101">
        <f>SUM(BN9:BN11)</f>
        <v>297801</v>
      </c>
      <c r="BO12" s="6"/>
      <c r="BP12" s="101">
        <f>SUM(BP9:BP11)</f>
        <v>6430930.5799999833</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223</v>
      </c>
      <c r="C15"/>
      <c r="D15"/>
      <c r="E15"/>
      <c r="F15"/>
      <c r="G15"/>
      <c r="H15"/>
      <c r="I15"/>
      <c r="J15" s="49" t="s">
        <v>0</v>
      </c>
      <c r="K15"/>
      <c r="L15" s="134" t="s">
        <v>204</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1190506.2</v>
      </c>
      <c r="AV15" s="6">
        <v>0</v>
      </c>
      <c r="AX15" s="6">
        <v>0</v>
      </c>
      <c r="AZ15" s="6">
        <v>0</v>
      </c>
      <c r="BB15" s="6">
        <v>0</v>
      </c>
      <c r="BD15" s="6">
        <v>0</v>
      </c>
      <c r="BF15" s="6">
        <v>0</v>
      </c>
      <c r="BH15" s="6">
        <v>0</v>
      </c>
      <c r="BJ15" s="6">
        <v>0</v>
      </c>
      <c r="BK15" s="6"/>
      <c r="BL15" s="6">
        <f>SUM(T15:BK15)</f>
        <v>3174683.2</v>
      </c>
      <c r="BM15" s="6"/>
      <c r="BN15" s="6">
        <f>3968354-3949654</f>
        <v>18700</v>
      </c>
      <c r="BO15" s="6"/>
      <c r="BP15" s="6">
        <f t="shared" ref="BP15:BP31" si="2">IF(+R15-BL15+BN15&gt;0,R15-BL15+BN15,0)</f>
        <v>793670.79999999981</v>
      </c>
      <c r="BR15" s="6">
        <f t="shared" si="0"/>
        <v>3968354</v>
      </c>
      <c r="BT15" s="6">
        <f t="shared" si="1"/>
        <v>-18700</v>
      </c>
      <c r="BU15" s="6"/>
    </row>
    <row r="16" spans="1:74">
      <c r="A16" s="57"/>
      <c r="B16" s="17" t="s">
        <v>284</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226</v>
      </c>
      <c r="C17"/>
      <c r="D17"/>
      <c r="E17"/>
      <c r="F17"/>
      <c r="G17"/>
      <c r="H17"/>
      <c r="I17"/>
      <c r="J17" s="49" t="s">
        <v>0</v>
      </c>
      <c r="K17"/>
      <c r="L17" s="134" t="s">
        <v>204</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227</v>
      </c>
      <c r="C18"/>
      <c r="D18"/>
      <c r="E18"/>
      <c r="F18"/>
      <c r="G18"/>
      <c r="H18"/>
      <c r="I18"/>
      <c r="J18" s="49" t="s">
        <v>0</v>
      </c>
      <c r="K18"/>
      <c r="L18" s="134" t="s">
        <v>204</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224</v>
      </c>
      <c r="C19"/>
      <c r="D19"/>
      <c r="E19"/>
      <c r="F19"/>
      <c r="G19"/>
      <c r="H19"/>
      <c r="I19"/>
      <c r="J19" s="49" t="s">
        <v>0</v>
      </c>
      <c r="K19"/>
      <c r="L19" s="134" t="s">
        <v>204</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225</v>
      </c>
      <c r="C20"/>
      <c r="D20"/>
      <c r="E20"/>
      <c r="F20"/>
      <c r="G20"/>
      <c r="H20"/>
      <c r="I20"/>
      <c r="J20" s="49" t="s">
        <v>0</v>
      </c>
      <c r="K20"/>
      <c r="L20" s="134" t="s">
        <v>204</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204</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204</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204</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204</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122</v>
      </c>
      <c r="C30"/>
      <c r="D30"/>
      <c r="E30"/>
      <c r="F30"/>
      <c r="G30"/>
      <c r="H30"/>
      <c r="I30"/>
      <c r="J30" s="49" t="s">
        <v>0</v>
      </c>
      <c r="K30"/>
      <c r="L30" s="134" t="s">
        <v>204</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228</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0</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3646863.2</v>
      </c>
      <c r="BM32" s="6"/>
      <c r="BN32" s="101">
        <f>SUM(BN14:BN31)</f>
        <v>78480</v>
      </c>
      <c r="BO32" s="6"/>
      <c r="BP32" s="101">
        <f>SUM(BP14:BP31)</f>
        <v>793670.79999999981</v>
      </c>
      <c r="BR32" s="101">
        <f>SUM(BR14:BR31)</f>
        <v>4440534</v>
      </c>
      <c r="BT32" s="101">
        <f>SUM(BT14:BT31)</f>
        <v>-78480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0</v>
      </c>
      <c r="AW34" s="115"/>
      <c r="AX34" s="115">
        <f>+AX32+AX12</f>
        <v>0</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83435233.62000002</v>
      </c>
      <c r="BM34" s="115"/>
      <c r="BN34" s="115">
        <f>+BN32+BN12</f>
        <v>376281</v>
      </c>
      <c r="BO34" s="115"/>
      <c r="BP34" s="115">
        <f>+BP32+BP12</f>
        <v>7224601.3799999831</v>
      </c>
      <c r="BQ34" s="115"/>
      <c r="BR34" s="115">
        <f>+BR32+BR12</f>
        <v>90659835</v>
      </c>
      <c r="BS34" s="115"/>
      <c r="BT34" s="115">
        <f>+BT32+BT12</f>
        <v>-376281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236</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4" t="s">
        <v>313</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5" t="s">
        <v>301</v>
      </c>
      <c r="C40"/>
      <c r="D40"/>
      <c r="E40"/>
      <c r="F40"/>
      <c r="G40"/>
      <c r="H40"/>
      <c r="I40"/>
      <c r="J40" s="49" t="s">
        <v>231</v>
      </c>
      <c r="K40"/>
      <c r="L40" s="134" t="s">
        <v>204</v>
      </c>
      <c r="M40" s="6"/>
      <c r="O40" s="6"/>
      <c r="Q40" s="6"/>
      <c r="R40" s="237">
        <v>1132835</v>
      </c>
      <c r="S40" s="6"/>
      <c r="T40" s="6"/>
      <c r="U40" s="6"/>
      <c r="V40" s="6"/>
      <c r="X40" s="6"/>
      <c r="Z40" s="6"/>
      <c r="AB40" s="6"/>
      <c r="AD40" s="6"/>
      <c r="AI40"/>
      <c r="AK40"/>
      <c r="AM40"/>
      <c r="AP40" s="6">
        <v>19960</v>
      </c>
      <c r="AT40" s="6">
        <f>128593-19960</f>
        <v>108633</v>
      </c>
      <c r="BJ40" s="6"/>
      <c r="BK40" s="6"/>
      <c r="BL40" s="6">
        <f t="shared" ref="BL40:BL55" si="5">SUM(T40:BK40)</f>
        <v>128593</v>
      </c>
      <c r="BM40" s="6"/>
      <c r="BN40" s="6">
        <f>1164261-1132835</f>
        <v>31426</v>
      </c>
      <c r="BO40" s="6"/>
      <c r="BP40" s="6">
        <f t="shared" ref="BP40:BP55" si="6">IF(+R40-BL40+BN40&gt;0,R40-BL40+BN40,0)</f>
        <v>1035668</v>
      </c>
      <c r="BR40" s="6">
        <f t="shared" ref="BR40:BR55" si="7">+BL40+BP40</f>
        <v>1164261</v>
      </c>
      <c r="BT40" s="6">
        <f>+R40-BR40</f>
        <v>-31426</v>
      </c>
      <c r="BU40" s="6"/>
    </row>
    <row r="41" spans="1:73">
      <c r="A41" s="57"/>
      <c r="B41" s="235" t="s">
        <v>302</v>
      </c>
      <c r="C41"/>
      <c r="D41"/>
      <c r="E41"/>
      <c r="F41"/>
      <c r="G41"/>
      <c r="H41"/>
      <c r="I41"/>
      <c r="J41" s="49" t="s">
        <v>231</v>
      </c>
      <c r="K41"/>
      <c r="L41" s="134" t="s">
        <v>204</v>
      </c>
      <c r="M41" s="6"/>
      <c r="O41" s="6"/>
      <c r="Q41" s="6"/>
      <c r="R41" s="237">
        <v>1473926</v>
      </c>
      <c r="S41" s="6"/>
      <c r="T41" s="6"/>
      <c r="U41" s="6"/>
      <c r="V41" s="6"/>
      <c r="X41" s="6"/>
      <c r="Z41" s="6"/>
      <c r="AB41" s="6"/>
      <c r="AD41" s="6"/>
      <c r="AI41"/>
      <c r="AK41"/>
      <c r="AM41"/>
      <c r="AP41" s="6">
        <v>77323</v>
      </c>
      <c r="AT41" s="6">
        <f>399600-77323</f>
        <v>322277</v>
      </c>
      <c r="BJ41" s="6"/>
      <c r="BK41" s="6"/>
      <c r="BL41" s="6">
        <f t="shared" si="5"/>
        <v>399600</v>
      </c>
      <c r="BM41" s="6"/>
      <c r="BN41" s="6">
        <f>1895962-1473926</f>
        <v>422036</v>
      </c>
      <c r="BO41" s="6"/>
      <c r="BP41" s="6">
        <f t="shared" si="6"/>
        <v>1496362</v>
      </c>
      <c r="BR41" s="6">
        <f t="shared" si="7"/>
        <v>1895962</v>
      </c>
      <c r="BT41" s="6">
        <f t="shared" ref="BT41:BT54" si="8">+R41-BR41</f>
        <v>-422036</v>
      </c>
      <c r="BU41" s="6"/>
    </row>
    <row r="42" spans="1:73">
      <c r="A42" s="57"/>
      <c r="B42" s="235" t="s">
        <v>303</v>
      </c>
      <c r="C42"/>
      <c r="D42"/>
      <c r="E42"/>
      <c r="F42"/>
      <c r="G42"/>
      <c r="H42"/>
      <c r="I42"/>
      <c r="J42" s="49" t="s">
        <v>231</v>
      </c>
      <c r="K42"/>
      <c r="L42" s="134" t="s">
        <v>204</v>
      </c>
      <c r="M42" s="6"/>
      <c r="O42" s="6"/>
      <c r="Q42" s="6"/>
      <c r="R42" s="237">
        <v>684595</v>
      </c>
      <c r="S42" s="6"/>
      <c r="T42" s="6"/>
      <c r="U42" s="6"/>
      <c r="V42" s="6"/>
      <c r="X42" s="6"/>
      <c r="Z42" s="6"/>
      <c r="AB42" s="6"/>
      <c r="AD42" s="6"/>
      <c r="AI42"/>
      <c r="AK42"/>
      <c r="AM42"/>
      <c r="AP42" s="6">
        <v>54748</v>
      </c>
      <c r="AT42" s="6">
        <f>515063-54748</f>
        <v>460315</v>
      </c>
      <c r="BJ42" s="6"/>
      <c r="BK42" s="6"/>
      <c r="BL42" s="6">
        <f t="shared" si="5"/>
        <v>515063</v>
      </c>
      <c r="BM42" s="6"/>
      <c r="BN42" s="6">
        <f>864566-684595</f>
        <v>179971</v>
      </c>
      <c r="BO42" s="6"/>
      <c r="BP42" s="6">
        <f t="shared" si="6"/>
        <v>349503</v>
      </c>
      <c r="BR42" s="6">
        <f t="shared" si="7"/>
        <v>864566</v>
      </c>
      <c r="BT42" s="6">
        <f t="shared" si="8"/>
        <v>-179971</v>
      </c>
      <c r="BU42" s="6"/>
    </row>
    <row r="43" spans="1:73">
      <c r="A43" s="57"/>
      <c r="B43" s="235" t="s">
        <v>304</v>
      </c>
      <c r="C43"/>
      <c r="D43"/>
      <c r="E43"/>
      <c r="F43"/>
      <c r="G43"/>
      <c r="H43"/>
      <c r="I43"/>
      <c r="J43" s="49" t="s">
        <v>231</v>
      </c>
      <c r="K43"/>
      <c r="L43" s="134" t="s">
        <v>204</v>
      </c>
      <c r="M43" s="6"/>
      <c r="O43" s="6"/>
      <c r="Q43" s="6"/>
      <c r="R43" s="237">
        <v>624805</v>
      </c>
      <c r="S43" s="6"/>
      <c r="T43" s="6"/>
      <c r="U43" s="6"/>
      <c r="V43" s="6"/>
      <c r="X43" s="6"/>
      <c r="Z43" s="6"/>
      <c r="AB43" s="6"/>
      <c r="AD43" s="6"/>
      <c r="AI43"/>
      <c r="AK43"/>
      <c r="AM43"/>
      <c r="AP43" s="6">
        <v>22150</v>
      </c>
      <c r="AT43" s="6">
        <f>135018-22150</f>
        <v>112868</v>
      </c>
      <c r="BJ43" s="6"/>
      <c r="BK43" s="6"/>
      <c r="BL43" s="6">
        <f t="shared" si="5"/>
        <v>135018</v>
      </c>
      <c r="BM43" s="6"/>
      <c r="BN43" s="6">
        <f>662037-624805</f>
        <v>37232</v>
      </c>
      <c r="BO43" s="6"/>
      <c r="BP43" s="6">
        <f t="shared" si="6"/>
        <v>527019</v>
      </c>
      <c r="BR43" s="6">
        <f t="shared" si="7"/>
        <v>662037</v>
      </c>
      <c r="BT43" s="6">
        <f t="shared" si="8"/>
        <v>-37232</v>
      </c>
      <c r="BU43" s="6"/>
    </row>
    <row r="44" spans="1:73">
      <c r="A44" s="57"/>
      <c r="B44" s="235" t="s">
        <v>305</v>
      </c>
      <c r="C44"/>
      <c r="D44"/>
      <c r="E44"/>
      <c r="F44"/>
      <c r="G44"/>
      <c r="H44"/>
      <c r="I44"/>
      <c r="J44" s="49" t="s">
        <v>231</v>
      </c>
      <c r="K44"/>
      <c r="L44" s="134" t="s">
        <v>204</v>
      </c>
      <c r="M44" s="6"/>
      <c r="O44" s="6"/>
      <c r="Q44" s="6"/>
      <c r="R44" s="237">
        <v>3989779</v>
      </c>
      <c r="S44" s="6"/>
      <c r="T44" s="6"/>
      <c r="U44" s="6"/>
      <c r="V44" s="6"/>
      <c r="X44" s="6"/>
      <c r="Z44" s="6"/>
      <c r="AB44" s="6"/>
      <c r="AD44" s="6"/>
      <c r="AI44"/>
      <c r="AK44"/>
      <c r="AM44"/>
      <c r="AP44" s="6">
        <v>123159</v>
      </c>
      <c r="AT44" s="6">
        <f>392021-123159</f>
        <v>268862</v>
      </c>
      <c r="BJ44" s="6"/>
      <c r="BK44" s="6"/>
      <c r="BL44" s="6">
        <f t="shared" si="5"/>
        <v>392021</v>
      </c>
      <c r="BM44" s="6"/>
      <c r="BN44" s="6">
        <f>4340658-3989779</f>
        <v>350879</v>
      </c>
      <c r="BO44" s="6"/>
      <c r="BP44" s="6">
        <f t="shared" si="6"/>
        <v>3948637</v>
      </c>
      <c r="BR44" s="6">
        <f t="shared" si="7"/>
        <v>4340658</v>
      </c>
      <c r="BT44" s="6">
        <f t="shared" si="8"/>
        <v>-350879</v>
      </c>
      <c r="BU44" s="6"/>
    </row>
    <row r="45" spans="1:73">
      <c r="A45" s="57"/>
      <c r="B45" s="235" t="s">
        <v>306</v>
      </c>
      <c r="C45"/>
      <c r="D45"/>
      <c r="E45"/>
      <c r="F45"/>
      <c r="G45"/>
      <c r="H45"/>
      <c r="I45"/>
      <c r="J45" s="49" t="s">
        <v>231</v>
      </c>
      <c r="K45"/>
      <c r="L45" s="134" t="s">
        <v>204</v>
      </c>
      <c r="M45" s="6"/>
      <c r="O45" s="6"/>
      <c r="Q45" s="6"/>
      <c r="R45" s="237">
        <v>107003</v>
      </c>
      <c r="S45" s="6"/>
      <c r="T45" s="6"/>
      <c r="U45" s="6"/>
      <c r="V45" s="6"/>
      <c r="X45" s="6"/>
      <c r="Z45" s="6"/>
      <c r="AB45" s="6"/>
      <c r="AD45" s="6"/>
      <c r="AI45"/>
      <c r="AK45"/>
      <c r="AM45"/>
      <c r="AP45" s="6">
        <v>10575</v>
      </c>
      <c r="AT45" s="6">
        <f>22977-10575</f>
        <v>12402</v>
      </c>
      <c r="BJ45" s="6"/>
      <c r="BK45" s="6"/>
      <c r="BL45" s="6">
        <f t="shared" si="5"/>
        <v>22977</v>
      </c>
      <c r="BM45" s="6"/>
      <c r="BN45" s="6">
        <v>0</v>
      </c>
      <c r="BO45" s="6"/>
      <c r="BP45" s="6">
        <f t="shared" si="6"/>
        <v>84026</v>
      </c>
      <c r="BR45" s="6">
        <f t="shared" si="7"/>
        <v>107003</v>
      </c>
      <c r="BT45" s="6">
        <f t="shared" si="8"/>
        <v>0</v>
      </c>
      <c r="BU45" s="6"/>
    </row>
    <row r="46" spans="1:73">
      <c r="A46" s="57"/>
      <c r="B46" s="235" t="s">
        <v>307</v>
      </c>
      <c r="C46"/>
      <c r="D46"/>
      <c r="E46"/>
      <c r="F46"/>
      <c r="G46"/>
      <c r="H46"/>
      <c r="I46"/>
      <c r="J46" s="49" t="s">
        <v>231</v>
      </c>
      <c r="K46"/>
      <c r="L46" s="134" t="s">
        <v>204</v>
      </c>
      <c r="M46" s="6"/>
      <c r="O46" s="6"/>
      <c r="Q46" s="6"/>
      <c r="R46" s="237">
        <v>566132</v>
      </c>
      <c r="S46" s="6"/>
      <c r="T46" s="6"/>
      <c r="U46" s="6"/>
      <c r="V46" s="6"/>
      <c r="X46" s="6"/>
      <c r="Z46" s="6"/>
      <c r="AB46" s="6"/>
      <c r="AD46" s="6"/>
      <c r="AI46"/>
      <c r="AK46"/>
      <c r="AM46"/>
      <c r="AP46" s="6">
        <v>88926</v>
      </c>
      <c r="AT46" s="6">
        <f>163172-88926</f>
        <v>74246</v>
      </c>
      <c r="BJ46" s="6"/>
      <c r="BK46" s="6"/>
      <c r="BL46" s="6">
        <f t="shared" si="5"/>
        <v>163172</v>
      </c>
      <c r="BM46" s="6"/>
      <c r="BN46" s="6">
        <f>586842-566132</f>
        <v>20710</v>
      </c>
      <c r="BO46" s="6"/>
      <c r="BP46" s="6">
        <f t="shared" si="6"/>
        <v>423670</v>
      </c>
      <c r="BR46" s="6">
        <f t="shared" si="7"/>
        <v>586842</v>
      </c>
      <c r="BT46" s="6">
        <f t="shared" si="8"/>
        <v>-20710</v>
      </c>
      <c r="BU46" s="6"/>
    </row>
    <row r="47" spans="1:73">
      <c r="A47" s="57"/>
      <c r="B47" s="235" t="s">
        <v>308</v>
      </c>
      <c r="C47"/>
      <c r="D47"/>
      <c r="E47"/>
      <c r="F47"/>
      <c r="G47"/>
      <c r="H47"/>
      <c r="I47"/>
      <c r="J47" s="49" t="s">
        <v>231</v>
      </c>
      <c r="K47"/>
      <c r="L47" s="134" t="s">
        <v>204</v>
      </c>
      <c r="M47" s="6"/>
      <c r="N47" s="6">
        <v>0</v>
      </c>
      <c r="O47" s="6"/>
      <c r="P47" s="6">
        <v>0</v>
      </c>
      <c r="Q47" s="6"/>
      <c r="R47" s="237">
        <v>121187</v>
      </c>
      <c r="S47" s="6"/>
      <c r="T47" s="6">
        <v>0</v>
      </c>
      <c r="U47" s="6"/>
      <c r="V47" s="6">
        <v>0</v>
      </c>
      <c r="X47" s="6">
        <v>0</v>
      </c>
      <c r="Z47" s="6">
        <v>0</v>
      </c>
      <c r="AB47" s="6">
        <v>0</v>
      </c>
      <c r="AD47" s="6">
        <v>0</v>
      </c>
      <c r="AF47" s="6">
        <v>0</v>
      </c>
      <c r="AH47" s="6">
        <v>0</v>
      </c>
      <c r="AI47"/>
      <c r="AJ47" s="6">
        <v>0</v>
      </c>
      <c r="AK47"/>
      <c r="AL47" s="6">
        <v>0</v>
      </c>
      <c r="AM47"/>
      <c r="AN47" s="6">
        <v>0</v>
      </c>
      <c r="AP47" s="6">
        <v>47401</v>
      </c>
      <c r="AR47" s="6">
        <v>0</v>
      </c>
      <c r="AT47" s="6">
        <f>78403-47401</f>
        <v>31002</v>
      </c>
      <c r="AV47" s="6">
        <v>0</v>
      </c>
      <c r="AX47" s="6">
        <v>0</v>
      </c>
      <c r="AZ47" s="6">
        <v>0</v>
      </c>
      <c r="BB47" s="6">
        <v>0</v>
      </c>
      <c r="BD47" s="6">
        <v>0</v>
      </c>
      <c r="BF47" s="6">
        <v>0</v>
      </c>
      <c r="BH47" s="6">
        <v>0</v>
      </c>
      <c r="BJ47" s="6">
        <v>0</v>
      </c>
      <c r="BK47" s="6"/>
      <c r="BL47" s="6">
        <f t="shared" si="5"/>
        <v>78403</v>
      </c>
      <c r="BM47" s="6"/>
      <c r="BN47" s="6">
        <f>287184-121187</f>
        <v>165997</v>
      </c>
      <c r="BO47" s="6"/>
      <c r="BP47" s="6">
        <f t="shared" si="6"/>
        <v>208781</v>
      </c>
      <c r="BR47" s="6">
        <f t="shared" si="7"/>
        <v>287184</v>
      </c>
      <c r="BT47" s="6">
        <f t="shared" si="8"/>
        <v>-165997</v>
      </c>
      <c r="BU47" s="6"/>
    </row>
    <row r="48" spans="1:73">
      <c r="A48" s="57"/>
      <c r="B48" s="235" t="s">
        <v>309</v>
      </c>
      <c r="C48"/>
      <c r="D48"/>
      <c r="E48"/>
      <c r="F48"/>
      <c r="G48"/>
      <c r="H48"/>
      <c r="I48"/>
      <c r="J48" s="49" t="s">
        <v>231</v>
      </c>
      <c r="K48"/>
      <c r="L48" s="134" t="s">
        <v>204</v>
      </c>
      <c r="M48" s="6"/>
      <c r="N48" s="6">
        <v>0</v>
      </c>
      <c r="O48" s="6"/>
      <c r="P48" s="6">
        <v>0</v>
      </c>
      <c r="Q48" s="6"/>
      <c r="R48" s="237">
        <v>2713492</v>
      </c>
      <c r="S48" s="6"/>
      <c r="T48" s="6">
        <v>0</v>
      </c>
      <c r="U48" s="6"/>
      <c r="V48" s="6">
        <v>0</v>
      </c>
      <c r="X48" s="6">
        <v>0</v>
      </c>
      <c r="Z48" s="6">
        <v>0</v>
      </c>
      <c r="AB48" s="6">
        <v>0</v>
      </c>
      <c r="AD48" s="6">
        <v>0</v>
      </c>
      <c r="AF48" s="6">
        <v>0</v>
      </c>
      <c r="AH48" s="6">
        <v>0</v>
      </c>
      <c r="AI48"/>
      <c r="AJ48" s="6">
        <v>0</v>
      </c>
      <c r="AK48"/>
      <c r="AL48" s="6">
        <v>0</v>
      </c>
      <c r="AM48"/>
      <c r="AN48" s="6">
        <v>0</v>
      </c>
      <c r="AP48" s="6">
        <v>83850</v>
      </c>
      <c r="AR48" s="6">
        <v>0</v>
      </c>
      <c r="AT48" s="6">
        <f>689982-83850</f>
        <v>606132</v>
      </c>
      <c r="AV48" s="6">
        <v>0</v>
      </c>
      <c r="AX48" s="6">
        <v>0</v>
      </c>
      <c r="AZ48" s="6">
        <v>0</v>
      </c>
      <c r="BB48" s="6">
        <v>0</v>
      </c>
      <c r="BD48" s="6">
        <v>0</v>
      </c>
      <c r="BF48" s="6">
        <v>0</v>
      </c>
      <c r="BH48" s="6">
        <v>0</v>
      </c>
      <c r="BJ48" s="6">
        <v>0</v>
      </c>
      <c r="BK48" s="6"/>
      <c r="BL48" s="6">
        <f t="shared" si="5"/>
        <v>689982</v>
      </c>
      <c r="BM48" s="6"/>
      <c r="BN48" s="6">
        <f>3030495-2713492</f>
        <v>317003</v>
      </c>
      <c r="BO48" s="6"/>
      <c r="BP48" s="6">
        <f t="shared" si="6"/>
        <v>2340513</v>
      </c>
      <c r="BR48" s="6">
        <f t="shared" si="7"/>
        <v>3030495</v>
      </c>
      <c r="BT48" s="6">
        <f t="shared" si="8"/>
        <v>-317003</v>
      </c>
      <c r="BU48" s="6"/>
    </row>
    <row r="49" spans="1:73">
      <c r="A49" s="57"/>
      <c r="B49" s="235" t="s">
        <v>310</v>
      </c>
      <c r="C49"/>
      <c r="D49"/>
      <c r="E49"/>
      <c r="F49"/>
      <c r="G49"/>
      <c r="H49"/>
      <c r="I49"/>
      <c r="J49" s="49" t="s">
        <v>231</v>
      </c>
      <c r="K49"/>
      <c r="L49" s="134" t="s">
        <v>204</v>
      </c>
      <c r="M49" s="6"/>
      <c r="N49" s="6">
        <v>0</v>
      </c>
      <c r="O49" s="6"/>
      <c r="P49" s="6">
        <v>0</v>
      </c>
      <c r="Q49" s="6"/>
      <c r="R49" s="237">
        <v>313552</v>
      </c>
      <c r="S49" s="6"/>
      <c r="T49" s="6">
        <v>0</v>
      </c>
      <c r="U49" s="6"/>
      <c r="V49" s="6">
        <v>0</v>
      </c>
      <c r="X49" s="6">
        <v>0</v>
      </c>
      <c r="Z49" s="6">
        <v>0</v>
      </c>
      <c r="AB49" s="6">
        <v>0</v>
      </c>
      <c r="AD49" s="6">
        <v>0</v>
      </c>
      <c r="AF49" s="6">
        <v>0</v>
      </c>
      <c r="AH49" s="6">
        <v>0</v>
      </c>
      <c r="AI49"/>
      <c r="AJ49" s="6">
        <v>0</v>
      </c>
      <c r="AK49"/>
      <c r="AL49" s="6">
        <v>0</v>
      </c>
      <c r="AM49"/>
      <c r="AN49" s="6">
        <v>0</v>
      </c>
      <c r="AP49" s="6">
        <v>84553</v>
      </c>
      <c r="AR49" s="6">
        <v>0</v>
      </c>
      <c r="AT49" s="6">
        <f>179861-84553</f>
        <v>95308</v>
      </c>
      <c r="AV49" s="6">
        <v>0</v>
      </c>
      <c r="AX49" s="6">
        <v>0</v>
      </c>
      <c r="AZ49" s="6">
        <v>0</v>
      </c>
      <c r="BB49" s="6">
        <v>0</v>
      </c>
      <c r="BD49" s="6">
        <v>0</v>
      </c>
      <c r="BF49" s="6">
        <v>0</v>
      </c>
      <c r="BH49" s="6">
        <v>0</v>
      </c>
      <c r="BJ49" s="6">
        <v>0</v>
      </c>
      <c r="BK49" s="6"/>
      <c r="BL49" s="6">
        <f t="shared" si="5"/>
        <v>179861</v>
      </c>
      <c r="BM49" s="6"/>
      <c r="BN49" s="6">
        <v>0</v>
      </c>
      <c r="BO49" s="6"/>
      <c r="BP49" s="6">
        <f t="shared" si="6"/>
        <v>133691</v>
      </c>
      <c r="BR49" s="6">
        <f t="shared" si="7"/>
        <v>313552</v>
      </c>
      <c r="BT49" s="6">
        <f t="shared" si="8"/>
        <v>0</v>
      </c>
      <c r="BU49" s="6"/>
    </row>
    <row r="50" spans="1:73">
      <c r="A50" s="57"/>
      <c r="B50" s="235" t="s">
        <v>541</v>
      </c>
      <c r="C50"/>
      <c r="D50"/>
      <c r="E50"/>
      <c r="F50"/>
      <c r="G50"/>
      <c r="H50"/>
      <c r="I50"/>
      <c r="J50" s="49" t="s">
        <v>231</v>
      </c>
      <c r="K50"/>
      <c r="L50" s="134" t="s">
        <v>204</v>
      </c>
      <c r="M50" s="6"/>
      <c r="N50" s="6">
        <v>0</v>
      </c>
      <c r="O50" s="6"/>
      <c r="P50" s="6">
        <v>0</v>
      </c>
      <c r="Q50" s="6"/>
      <c r="R50" s="237">
        <f>326465-8100</f>
        <v>318365</v>
      </c>
      <c r="S50" s="6"/>
      <c r="T50" s="6">
        <v>0</v>
      </c>
      <c r="U50" s="6"/>
      <c r="V50" s="6">
        <v>0</v>
      </c>
      <c r="X50" s="6">
        <v>0</v>
      </c>
      <c r="Z50" s="6">
        <v>0</v>
      </c>
      <c r="AB50" s="6">
        <v>0</v>
      </c>
      <c r="AD50" s="6">
        <v>0</v>
      </c>
      <c r="AF50" s="6">
        <v>0</v>
      </c>
      <c r="AH50" s="6">
        <v>0</v>
      </c>
      <c r="AI50"/>
      <c r="AJ50" s="6">
        <v>0</v>
      </c>
      <c r="AK50"/>
      <c r="AL50" s="6">
        <v>0</v>
      </c>
      <c r="AM50"/>
      <c r="AN50" s="6">
        <v>0</v>
      </c>
      <c r="AP50" s="6">
        <v>14301</v>
      </c>
      <c r="AR50" s="6">
        <v>0</v>
      </c>
      <c r="AT50" s="6">
        <f>70124-14301</f>
        <v>55823</v>
      </c>
      <c r="AV50" s="6">
        <v>0</v>
      </c>
      <c r="AX50" s="6">
        <v>0</v>
      </c>
      <c r="AZ50" s="6">
        <v>0</v>
      </c>
      <c r="BB50" s="6">
        <v>0</v>
      </c>
      <c r="BD50" s="6">
        <v>0</v>
      </c>
      <c r="BF50" s="6">
        <v>0</v>
      </c>
      <c r="BH50" s="6">
        <v>0</v>
      </c>
      <c r="BJ50" s="6">
        <v>0</v>
      </c>
      <c r="BK50" s="6"/>
      <c r="BL50" s="6">
        <f t="shared" si="5"/>
        <v>70124</v>
      </c>
      <c r="BM50" s="6"/>
      <c r="BN50" s="6">
        <f>350102-318365</f>
        <v>31737</v>
      </c>
      <c r="BO50" s="6"/>
      <c r="BP50" s="6">
        <f t="shared" si="6"/>
        <v>279978</v>
      </c>
      <c r="BR50" s="6">
        <f t="shared" si="7"/>
        <v>350102</v>
      </c>
      <c r="BT50" s="6">
        <f t="shared" si="8"/>
        <v>-31737</v>
      </c>
      <c r="BU50" s="6"/>
    </row>
    <row r="51" spans="1:73">
      <c r="A51" s="57"/>
      <c r="B51" s="235" t="s">
        <v>311</v>
      </c>
      <c r="C51"/>
      <c r="D51"/>
      <c r="E51"/>
      <c r="F51"/>
      <c r="G51"/>
      <c r="H51"/>
      <c r="I51"/>
      <c r="J51" s="49" t="s">
        <v>231</v>
      </c>
      <c r="K51"/>
      <c r="L51" s="134" t="s">
        <v>204</v>
      </c>
      <c r="M51" s="6"/>
      <c r="N51" s="6">
        <v>0</v>
      </c>
      <c r="O51" s="6"/>
      <c r="P51" s="6">
        <v>0</v>
      </c>
      <c r="Q51" s="6"/>
      <c r="R51" s="237">
        <v>100000</v>
      </c>
      <c r="S51" s="6"/>
      <c r="T51" s="6">
        <v>0</v>
      </c>
      <c r="U51" s="6"/>
      <c r="V51" s="6">
        <v>0</v>
      </c>
      <c r="X51" s="6">
        <v>0</v>
      </c>
      <c r="Z51" s="6">
        <v>0</v>
      </c>
      <c r="AB51" s="6">
        <v>0</v>
      </c>
      <c r="AD51" s="6">
        <v>0</v>
      </c>
      <c r="AF51" s="6">
        <v>0</v>
      </c>
      <c r="AH51" s="6">
        <v>0</v>
      </c>
      <c r="AI51"/>
      <c r="AJ51" s="6">
        <v>0</v>
      </c>
      <c r="AK51"/>
      <c r="AL51" s="6">
        <v>0</v>
      </c>
      <c r="AM51"/>
      <c r="AN51" s="6">
        <v>0</v>
      </c>
      <c r="AP51" s="6">
        <v>0</v>
      </c>
      <c r="AR51" s="6">
        <v>0</v>
      </c>
      <c r="AT51" s="6">
        <v>0</v>
      </c>
      <c r="AV51" s="6">
        <v>0</v>
      </c>
      <c r="AX51" s="6">
        <v>0</v>
      </c>
      <c r="AZ51" s="6">
        <v>0</v>
      </c>
      <c r="BB51" s="6">
        <v>0</v>
      </c>
      <c r="BD51" s="6">
        <v>0</v>
      </c>
      <c r="BF51" s="6">
        <v>0</v>
      </c>
      <c r="BH51" s="6">
        <v>0</v>
      </c>
      <c r="BJ51" s="6">
        <v>0</v>
      </c>
      <c r="BK51" s="6"/>
      <c r="BL51" s="6">
        <f t="shared" si="5"/>
        <v>0</v>
      </c>
      <c r="BM51" s="6"/>
      <c r="BN51" s="6">
        <f>24235</f>
        <v>24235</v>
      </c>
      <c r="BO51" s="6"/>
      <c r="BP51" s="6">
        <f t="shared" si="6"/>
        <v>124235</v>
      </c>
      <c r="BR51" s="6">
        <f t="shared" si="7"/>
        <v>124235</v>
      </c>
      <c r="BT51" s="6">
        <f t="shared" si="8"/>
        <v>-24235</v>
      </c>
      <c r="BU51" s="6"/>
    </row>
    <row r="52" spans="1:73">
      <c r="A52" s="57"/>
      <c r="B52" s="235" t="s">
        <v>192</v>
      </c>
      <c r="C52"/>
      <c r="D52"/>
      <c r="E52"/>
      <c r="F52"/>
      <c r="G52"/>
      <c r="H52"/>
      <c r="I52"/>
      <c r="J52" s="49" t="s">
        <v>231</v>
      </c>
      <c r="K52"/>
      <c r="L52" s="134" t="s">
        <v>204</v>
      </c>
      <c r="M52" s="6"/>
      <c r="N52" s="6">
        <v>0</v>
      </c>
      <c r="O52" s="6"/>
      <c r="P52" s="6">
        <v>0</v>
      </c>
      <c r="Q52" s="6"/>
      <c r="R52" s="237">
        <v>547484</v>
      </c>
      <c r="S52" s="6"/>
      <c r="T52" s="6">
        <v>0</v>
      </c>
      <c r="U52" s="6"/>
      <c r="V52" s="6">
        <v>0</v>
      </c>
      <c r="X52" s="6">
        <v>0</v>
      </c>
      <c r="Z52" s="6">
        <v>0</v>
      </c>
      <c r="AB52" s="6">
        <v>0</v>
      </c>
      <c r="AD52" s="6">
        <v>0</v>
      </c>
      <c r="AF52" s="6">
        <v>0</v>
      </c>
      <c r="AH52" s="6">
        <v>0</v>
      </c>
      <c r="AI52"/>
      <c r="AJ52" s="6">
        <v>0</v>
      </c>
      <c r="AK52"/>
      <c r="AL52" s="6">
        <v>0</v>
      </c>
      <c r="AM52"/>
      <c r="AN52" s="6">
        <v>0</v>
      </c>
      <c r="AP52" s="6">
        <v>0</v>
      </c>
      <c r="AR52" s="6">
        <v>0</v>
      </c>
      <c r="AT52" s="6">
        <v>0</v>
      </c>
      <c r="AV52" s="6">
        <v>0</v>
      </c>
      <c r="AX52" s="6">
        <v>0</v>
      </c>
      <c r="AZ52" s="6">
        <v>0</v>
      </c>
      <c r="BB52" s="6">
        <v>0</v>
      </c>
      <c r="BD52" s="6">
        <v>0</v>
      </c>
      <c r="BF52" s="6">
        <v>0</v>
      </c>
      <c r="BH52" s="6">
        <v>0</v>
      </c>
      <c r="BJ52" s="6">
        <v>0</v>
      </c>
      <c r="BK52" s="6"/>
      <c r="BL52" s="6">
        <f t="shared" si="5"/>
        <v>0</v>
      </c>
      <c r="BM52" s="6"/>
      <c r="BN52" s="6">
        <v>-547484</v>
      </c>
      <c r="BO52" s="6"/>
      <c r="BP52" s="6">
        <f t="shared" si="6"/>
        <v>0</v>
      </c>
      <c r="BR52" s="6">
        <f t="shared" si="7"/>
        <v>0</v>
      </c>
      <c r="BT52" s="6">
        <f t="shared" si="8"/>
        <v>547484</v>
      </c>
      <c r="BU52" s="6"/>
    </row>
    <row r="53" spans="1:73">
      <c r="A53" s="57"/>
      <c r="B53" s="235" t="s">
        <v>312</v>
      </c>
      <c r="C53"/>
      <c r="D53"/>
      <c r="E53"/>
      <c r="F53"/>
      <c r="G53"/>
      <c r="H53"/>
      <c r="I53"/>
      <c r="J53" s="49"/>
      <c r="K53"/>
      <c r="L53" s="134" t="s">
        <v>204</v>
      </c>
      <c r="M53" s="6"/>
      <c r="N53" s="6">
        <v>0</v>
      </c>
      <c r="O53" s="6"/>
      <c r="P53" s="6">
        <v>0</v>
      </c>
      <c r="Q53" s="6"/>
      <c r="R53" s="237">
        <v>0</v>
      </c>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5" t="s">
        <v>542</v>
      </c>
      <c r="C54"/>
      <c r="D54"/>
      <c r="E54"/>
      <c r="F54"/>
      <c r="G54"/>
      <c r="H54"/>
      <c r="I54"/>
      <c r="J54" s="49"/>
      <c r="K54"/>
      <c r="L54" s="134" t="s">
        <v>204</v>
      </c>
      <c r="M54" s="6"/>
      <c r="N54" s="6">
        <v>0</v>
      </c>
      <c r="O54" s="6"/>
      <c r="P54" s="6">
        <v>0</v>
      </c>
      <c r="Q54" s="6"/>
      <c r="R54" s="6">
        <v>8100</v>
      </c>
      <c r="S54" s="6"/>
      <c r="T54" s="6">
        <v>0</v>
      </c>
      <c r="U54" s="6"/>
      <c r="V54" s="6">
        <v>0</v>
      </c>
      <c r="X54" s="6">
        <v>0</v>
      </c>
      <c r="Z54" s="6">
        <v>0</v>
      </c>
      <c r="AB54" s="6">
        <v>0</v>
      </c>
      <c r="AD54" s="6">
        <v>0</v>
      </c>
      <c r="AF54" s="6">
        <v>0</v>
      </c>
      <c r="AH54" s="6">
        <v>0</v>
      </c>
      <c r="AI54"/>
      <c r="AJ54" s="6">
        <v>0</v>
      </c>
      <c r="AK54"/>
      <c r="AL54" s="6">
        <v>0</v>
      </c>
      <c r="AM54"/>
      <c r="AN54" s="6">
        <v>0</v>
      </c>
      <c r="AP54" s="6">
        <v>0</v>
      </c>
      <c r="AR54" s="6">
        <v>0</v>
      </c>
      <c r="AT54" s="6">
        <v>21454</v>
      </c>
      <c r="AV54" s="6">
        <v>0</v>
      </c>
      <c r="AX54" s="6">
        <v>0</v>
      </c>
      <c r="AZ54" s="6">
        <v>0</v>
      </c>
      <c r="BB54" s="6">
        <v>0</v>
      </c>
      <c r="BD54" s="6">
        <v>0</v>
      </c>
      <c r="BF54" s="6">
        <v>0</v>
      </c>
      <c r="BH54" s="6">
        <v>0</v>
      </c>
      <c r="BJ54" s="6">
        <v>0</v>
      </c>
      <c r="BK54" s="6"/>
      <c r="BL54" s="6">
        <f t="shared" si="5"/>
        <v>21454</v>
      </c>
      <c r="BM54" s="6"/>
      <c r="BN54" s="6">
        <v>0</v>
      </c>
      <c r="BO54" s="6"/>
      <c r="BP54" s="6">
        <f t="shared" si="6"/>
        <v>0</v>
      </c>
      <c r="BR54" s="6">
        <f t="shared" si="7"/>
        <v>21454</v>
      </c>
      <c r="BT54" s="6">
        <f t="shared" si="8"/>
        <v>-13354</v>
      </c>
      <c r="BU54" s="6"/>
    </row>
    <row r="55" spans="1:73">
      <c r="A55" s="57"/>
      <c r="B55" s="235"/>
      <c r="C55"/>
      <c r="D55"/>
      <c r="E55"/>
      <c r="F55"/>
      <c r="G55"/>
      <c r="H55"/>
      <c r="I55"/>
      <c r="J55" s="49"/>
      <c r="K55"/>
      <c r="L55" s="134" t="s">
        <v>204</v>
      </c>
      <c r="M55" s="6"/>
      <c r="N55" s="6">
        <v>0</v>
      </c>
      <c r="O55" s="6"/>
      <c r="P55" s="6">
        <v>0</v>
      </c>
      <c r="Q55" s="6"/>
      <c r="R55" s="6">
        <f>+N54+P54</f>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K55" s="6"/>
      <c r="BL55" s="6">
        <f t="shared" si="5"/>
        <v>0</v>
      </c>
      <c r="BM55" s="6"/>
      <c r="BN55" s="6">
        <v>0</v>
      </c>
      <c r="BO55" s="6"/>
      <c r="BP55" s="6">
        <f t="shared" si="6"/>
        <v>0</v>
      </c>
      <c r="BR55" s="6">
        <f t="shared" si="7"/>
        <v>0</v>
      </c>
      <c r="BU55" s="6"/>
    </row>
    <row r="56" spans="1:73" s="21" customFormat="1">
      <c r="A56" s="118"/>
      <c r="B56" s="238" t="s">
        <v>333</v>
      </c>
      <c r="J56" s="8"/>
      <c r="L56" s="143" t="s">
        <v>204</v>
      </c>
      <c r="M56" s="9"/>
      <c r="N56" s="9">
        <v>0</v>
      </c>
      <c r="O56" s="9"/>
      <c r="P56" s="9">
        <v>0</v>
      </c>
      <c r="Q56" s="9"/>
      <c r="R56" s="9">
        <f>SUM(R40:R55)</f>
        <v>12701255</v>
      </c>
      <c r="S56" s="9">
        <f t="shared" ref="S56:BT56" si="9">SUM(S40:S55)</f>
        <v>0</v>
      </c>
      <c r="T56" s="9">
        <f t="shared" si="9"/>
        <v>0</v>
      </c>
      <c r="U56" s="9">
        <f t="shared" si="9"/>
        <v>0</v>
      </c>
      <c r="V56" s="9">
        <f t="shared" si="9"/>
        <v>0</v>
      </c>
      <c r="W56" s="9">
        <f t="shared" si="9"/>
        <v>0</v>
      </c>
      <c r="X56" s="9">
        <f t="shared" si="9"/>
        <v>0</v>
      </c>
      <c r="Y56" s="9">
        <f t="shared" si="9"/>
        <v>0</v>
      </c>
      <c r="Z56" s="9">
        <f t="shared" si="9"/>
        <v>0</v>
      </c>
      <c r="AA56" s="9">
        <f t="shared" si="9"/>
        <v>0</v>
      </c>
      <c r="AB56" s="9">
        <f t="shared" si="9"/>
        <v>0</v>
      </c>
      <c r="AC56" s="9">
        <f t="shared" si="9"/>
        <v>0</v>
      </c>
      <c r="AD56" s="9">
        <f t="shared" si="9"/>
        <v>0</v>
      </c>
      <c r="AE56" s="9">
        <f t="shared" si="9"/>
        <v>0</v>
      </c>
      <c r="AF56" s="9">
        <f t="shared" si="9"/>
        <v>0</v>
      </c>
      <c r="AG56" s="9">
        <f t="shared" si="9"/>
        <v>0</v>
      </c>
      <c r="AH56" s="9">
        <f t="shared" si="9"/>
        <v>0</v>
      </c>
      <c r="AI56" s="9">
        <f t="shared" si="9"/>
        <v>0</v>
      </c>
      <c r="AJ56" s="9">
        <f t="shared" si="9"/>
        <v>0</v>
      </c>
      <c r="AK56" s="9">
        <f t="shared" si="9"/>
        <v>0</v>
      </c>
      <c r="AL56" s="9">
        <f t="shared" si="9"/>
        <v>0</v>
      </c>
      <c r="AM56" s="9">
        <f t="shared" si="9"/>
        <v>0</v>
      </c>
      <c r="AN56" s="9">
        <f t="shared" si="9"/>
        <v>0</v>
      </c>
      <c r="AO56" s="9">
        <f t="shared" si="9"/>
        <v>0</v>
      </c>
      <c r="AP56" s="9">
        <f t="shared" si="9"/>
        <v>626946</v>
      </c>
      <c r="AQ56" s="9">
        <f t="shared" si="9"/>
        <v>0</v>
      </c>
      <c r="AR56" s="9">
        <f t="shared" si="9"/>
        <v>0</v>
      </c>
      <c r="AS56" s="9">
        <f t="shared" si="9"/>
        <v>0</v>
      </c>
      <c r="AT56" s="9">
        <f t="shared" si="9"/>
        <v>2169322</v>
      </c>
      <c r="AU56" s="9">
        <f t="shared" si="9"/>
        <v>0</v>
      </c>
      <c r="AV56" s="9">
        <f t="shared" si="9"/>
        <v>0</v>
      </c>
      <c r="AW56" s="9">
        <f t="shared" si="9"/>
        <v>0</v>
      </c>
      <c r="AX56" s="9">
        <f t="shared" si="9"/>
        <v>0</v>
      </c>
      <c r="AY56" s="9">
        <f t="shared" si="9"/>
        <v>0</v>
      </c>
      <c r="AZ56" s="9">
        <f t="shared" si="9"/>
        <v>0</v>
      </c>
      <c r="BA56" s="9">
        <f t="shared" si="9"/>
        <v>0</v>
      </c>
      <c r="BB56" s="9">
        <f t="shared" si="9"/>
        <v>0</v>
      </c>
      <c r="BC56" s="9">
        <f t="shared" si="9"/>
        <v>0</v>
      </c>
      <c r="BD56" s="9">
        <f t="shared" si="9"/>
        <v>0</v>
      </c>
      <c r="BE56" s="9">
        <f t="shared" si="9"/>
        <v>0</v>
      </c>
      <c r="BF56" s="9">
        <f t="shared" si="9"/>
        <v>0</v>
      </c>
      <c r="BG56" s="9">
        <f t="shared" si="9"/>
        <v>0</v>
      </c>
      <c r="BH56" s="9">
        <f t="shared" si="9"/>
        <v>0</v>
      </c>
      <c r="BI56" s="9">
        <f t="shared" si="9"/>
        <v>0</v>
      </c>
      <c r="BJ56" s="9">
        <f t="shared" si="9"/>
        <v>0</v>
      </c>
      <c r="BK56" s="9">
        <f t="shared" si="9"/>
        <v>0</v>
      </c>
      <c r="BL56" s="9">
        <f t="shared" si="9"/>
        <v>2796268</v>
      </c>
      <c r="BM56" s="9">
        <f t="shared" si="9"/>
        <v>0</v>
      </c>
      <c r="BN56" s="9">
        <f t="shared" si="9"/>
        <v>1033742</v>
      </c>
      <c r="BO56" s="9">
        <f t="shared" si="9"/>
        <v>0</v>
      </c>
      <c r="BP56" s="9">
        <f t="shared" si="9"/>
        <v>10952083</v>
      </c>
      <c r="BQ56" s="9">
        <f t="shared" si="9"/>
        <v>0</v>
      </c>
      <c r="BR56" s="9">
        <f t="shared" si="9"/>
        <v>13748351</v>
      </c>
      <c r="BS56" s="9">
        <f t="shared" si="9"/>
        <v>0</v>
      </c>
      <c r="BT56" s="9">
        <f t="shared" si="9"/>
        <v>-1047096</v>
      </c>
      <c r="BU56" s="9"/>
    </row>
    <row r="57" spans="1:73">
      <c r="A57" s="57"/>
      <c r="B57" s="236"/>
      <c r="C57"/>
      <c r="D57"/>
      <c r="E57"/>
      <c r="F57"/>
      <c r="G57"/>
      <c r="H57"/>
      <c r="I57"/>
      <c r="J57" s="49"/>
      <c r="K57"/>
      <c r="L57" s="134"/>
      <c r="M57" s="6"/>
      <c r="O57" s="6"/>
      <c r="Q57" s="6"/>
      <c r="S57" s="6"/>
      <c r="T57" s="6"/>
      <c r="U57" s="6"/>
      <c r="V57" s="6"/>
      <c r="X57" s="6"/>
      <c r="Z57" s="6"/>
      <c r="AB57" s="6"/>
      <c r="AD57" s="6"/>
      <c r="AI57"/>
      <c r="AK57"/>
      <c r="AM57"/>
      <c r="BJ57" s="6"/>
      <c r="BK57" s="6"/>
      <c r="BM57" s="6"/>
      <c r="BN57" s="6"/>
      <c r="BO57" s="6"/>
      <c r="BU57" s="6"/>
    </row>
    <row r="58" spans="1:73">
      <c r="B58" s="21" t="s">
        <v>334</v>
      </c>
      <c r="C58"/>
      <c r="D58"/>
      <c r="E58"/>
      <c r="F58"/>
      <c r="G58"/>
      <c r="H58"/>
      <c r="I58"/>
      <c r="J58" s="49"/>
      <c r="K58"/>
      <c r="L58" s="134"/>
      <c r="M58" s="6"/>
      <c r="O58" s="6"/>
      <c r="Q58" s="6"/>
      <c r="S58" s="6"/>
      <c r="T58" s="6"/>
      <c r="U58" s="6"/>
      <c r="V58" s="6"/>
      <c r="X58" s="6"/>
      <c r="Z58" s="6"/>
      <c r="AB58" s="6"/>
      <c r="AD58" s="6"/>
      <c r="AI58"/>
      <c r="AK58"/>
      <c r="AM58"/>
      <c r="BJ58" s="6"/>
      <c r="BK58" s="6"/>
      <c r="BL58" s="6">
        <f t="shared" ref="BL58:BL81" si="10">SUM(T58:BK58)</f>
        <v>0</v>
      </c>
      <c r="BM58" s="6"/>
      <c r="BN58" s="6"/>
      <c r="BO58" s="6"/>
      <c r="BU58" s="6"/>
    </row>
    <row r="59" spans="1:73">
      <c r="A59"/>
      <c r="B59" s="235" t="s">
        <v>314</v>
      </c>
      <c r="C59"/>
      <c r="D59"/>
      <c r="E59"/>
      <c r="F59"/>
      <c r="G59"/>
      <c r="H59"/>
      <c r="I59"/>
      <c r="J59" s="49" t="s">
        <v>231</v>
      </c>
      <c r="K59"/>
      <c r="L59" s="134"/>
      <c r="M59" s="6"/>
      <c r="O59" s="6"/>
      <c r="Q59" s="6"/>
      <c r="R59" s="237">
        <v>337160</v>
      </c>
      <c r="S59" s="6"/>
      <c r="T59" s="6"/>
      <c r="U59" s="6"/>
      <c r="V59" s="6"/>
      <c r="X59" s="6"/>
      <c r="Z59" s="6"/>
      <c r="AB59" s="6"/>
      <c r="AD59" s="6"/>
      <c r="AI59"/>
      <c r="AK59"/>
      <c r="AM59"/>
      <c r="BJ59" s="6"/>
      <c r="BK59" s="6"/>
      <c r="BL59" s="6">
        <f t="shared" si="10"/>
        <v>0</v>
      </c>
      <c r="BM59" s="6"/>
      <c r="BN59" s="6"/>
      <c r="BO59" s="6"/>
      <c r="BP59" s="6">
        <f>IF(+R59-BL59+BN59&gt;0,R59-BL59+BN59,0)</f>
        <v>337160</v>
      </c>
      <c r="BR59" s="6">
        <f>+BL59+BP59</f>
        <v>337160</v>
      </c>
      <c r="BT59" s="6">
        <f>+R59-BR59</f>
        <v>0</v>
      </c>
      <c r="BU59" s="6"/>
    </row>
    <row r="60" spans="1:73">
      <c r="A60"/>
      <c r="B60" s="235" t="s">
        <v>315</v>
      </c>
      <c r="C60"/>
      <c r="D60"/>
      <c r="E60"/>
      <c r="F60"/>
      <c r="G60"/>
      <c r="H60"/>
      <c r="I60"/>
      <c r="J60" s="49" t="s">
        <v>231</v>
      </c>
      <c r="K60"/>
      <c r="L60" s="134"/>
      <c r="M60" s="6"/>
      <c r="O60" s="6"/>
      <c r="Q60" s="6"/>
      <c r="R60" s="237">
        <v>536263</v>
      </c>
      <c r="S60" s="6"/>
      <c r="T60" s="6"/>
      <c r="U60" s="6"/>
      <c r="V60" s="6"/>
      <c r="X60" s="6"/>
      <c r="Z60" s="6"/>
      <c r="AB60" s="6"/>
      <c r="AD60" s="6"/>
      <c r="AI60"/>
      <c r="AK60"/>
      <c r="AM60"/>
      <c r="AT60" s="6">
        <v>9367</v>
      </c>
      <c r="BJ60" s="6"/>
      <c r="BK60" s="6"/>
      <c r="BL60" s="6">
        <f t="shared" si="10"/>
        <v>9367</v>
      </c>
      <c r="BM60" s="6"/>
      <c r="BN60" s="6">
        <f>555127-536263</f>
        <v>18864</v>
      </c>
      <c r="BO60" s="6"/>
      <c r="BP60" s="6">
        <f t="shared" ref="BP60:BP81" si="11">IF(+R60-BL60+BN60&gt;0,R60-BL60+BN60,0)</f>
        <v>545760</v>
      </c>
      <c r="BR60" s="6">
        <f t="shared" ref="BR60:BR81" si="12">+BL60+BP60</f>
        <v>555127</v>
      </c>
      <c r="BT60" s="6">
        <f t="shared" ref="BT60:BT81" si="13">+R60-BR60</f>
        <v>-18864</v>
      </c>
      <c r="BU60" s="6"/>
    </row>
    <row r="61" spans="1:73">
      <c r="A61"/>
      <c r="B61" s="235" t="s">
        <v>316</v>
      </c>
      <c r="C61"/>
      <c r="D61"/>
      <c r="E61"/>
      <c r="F61"/>
      <c r="G61"/>
      <c r="H61"/>
      <c r="I61"/>
      <c r="J61" s="49" t="s">
        <v>231</v>
      </c>
      <c r="K61"/>
      <c r="L61" s="134"/>
      <c r="M61" s="6"/>
      <c r="O61" s="6"/>
      <c r="Q61" s="6"/>
      <c r="R61" s="237">
        <v>520000</v>
      </c>
      <c r="S61" s="6"/>
      <c r="T61" s="6"/>
      <c r="U61" s="6"/>
      <c r="V61" s="6"/>
      <c r="X61" s="6"/>
      <c r="Z61" s="6"/>
      <c r="AB61" s="6"/>
      <c r="AD61" s="6"/>
      <c r="AI61"/>
      <c r="AK61"/>
      <c r="AM61"/>
      <c r="BJ61" s="6"/>
      <c r="BK61" s="6"/>
      <c r="BL61" s="6">
        <f t="shared" si="10"/>
        <v>0</v>
      </c>
      <c r="BM61" s="6"/>
      <c r="BN61" s="6">
        <f>554140-520000</f>
        <v>34140</v>
      </c>
      <c r="BO61" s="6"/>
      <c r="BP61" s="6">
        <f t="shared" si="11"/>
        <v>554140</v>
      </c>
      <c r="BR61" s="6">
        <f t="shared" si="12"/>
        <v>554140</v>
      </c>
      <c r="BT61" s="6">
        <f t="shared" si="13"/>
        <v>-34140</v>
      </c>
      <c r="BU61" s="6"/>
    </row>
    <row r="62" spans="1:73">
      <c r="A62"/>
      <c r="B62" s="235" t="s">
        <v>317</v>
      </c>
      <c r="C62"/>
      <c r="D62"/>
      <c r="E62"/>
      <c r="F62"/>
      <c r="G62"/>
      <c r="H62"/>
      <c r="I62"/>
      <c r="J62" s="49" t="s">
        <v>231</v>
      </c>
      <c r="K62"/>
      <c r="L62" s="134"/>
      <c r="M62" s="6"/>
      <c r="O62" s="6"/>
      <c r="Q62" s="6"/>
      <c r="R62" s="237">
        <v>30250</v>
      </c>
      <c r="S62" s="6"/>
      <c r="T62" s="6"/>
      <c r="U62" s="6"/>
      <c r="V62" s="6"/>
      <c r="X62" s="6"/>
      <c r="Z62" s="6"/>
      <c r="AB62" s="6"/>
      <c r="AD62" s="6"/>
      <c r="AI62"/>
      <c r="AK62"/>
      <c r="AM62"/>
      <c r="BJ62" s="6"/>
      <c r="BK62" s="6"/>
      <c r="BL62" s="6">
        <f t="shared" si="10"/>
        <v>0</v>
      </c>
      <c r="BM62" s="6"/>
      <c r="BN62" s="6"/>
      <c r="BO62" s="6"/>
      <c r="BP62" s="6">
        <f t="shared" si="11"/>
        <v>30250</v>
      </c>
      <c r="BR62" s="6">
        <f t="shared" si="12"/>
        <v>30250</v>
      </c>
      <c r="BT62" s="6">
        <f t="shared" si="13"/>
        <v>0</v>
      </c>
      <c r="BU62" s="6"/>
    </row>
    <row r="63" spans="1:73">
      <c r="A63"/>
      <c r="B63" s="235" t="s">
        <v>318</v>
      </c>
      <c r="C63"/>
      <c r="D63"/>
      <c r="E63"/>
      <c r="F63"/>
      <c r="G63"/>
      <c r="H63"/>
      <c r="I63"/>
      <c r="J63" s="49" t="s">
        <v>231</v>
      </c>
      <c r="K63"/>
      <c r="L63" s="134"/>
      <c r="M63" s="6"/>
      <c r="O63" s="6"/>
      <c r="Q63" s="6"/>
      <c r="R63" s="237">
        <v>243060</v>
      </c>
      <c r="S63" s="6"/>
      <c r="T63" s="6"/>
      <c r="U63" s="6"/>
      <c r="V63" s="6"/>
      <c r="X63" s="6"/>
      <c r="Z63" s="6"/>
      <c r="AB63" s="6"/>
      <c r="AD63" s="6"/>
      <c r="AI63"/>
      <c r="AK63"/>
      <c r="AM63"/>
      <c r="BJ63" s="6"/>
      <c r="BK63" s="6"/>
      <c r="BL63" s="6">
        <f t="shared" si="10"/>
        <v>0</v>
      </c>
      <c r="BM63" s="6"/>
      <c r="BN63" s="6">
        <f>239586-243060</f>
        <v>-3474</v>
      </c>
      <c r="BO63" s="6"/>
      <c r="BP63" s="6">
        <f t="shared" si="11"/>
        <v>239586</v>
      </c>
      <c r="BR63" s="6">
        <f t="shared" si="12"/>
        <v>239586</v>
      </c>
      <c r="BT63" s="6">
        <f t="shared" si="13"/>
        <v>3474</v>
      </c>
      <c r="BU63" s="6"/>
    </row>
    <row r="64" spans="1:73">
      <c r="A64"/>
      <c r="B64" s="235" t="s">
        <v>319</v>
      </c>
      <c r="C64"/>
      <c r="D64"/>
      <c r="E64"/>
      <c r="F64"/>
      <c r="G64"/>
      <c r="H64"/>
      <c r="I64"/>
      <c r="J64" s="49" t="s">
        <v>231</v>
      </c>
      <c r="K64"/>
      <c r="L64" s="134"/>
      <c r="M64" s="6"/>
      <c r="O64" s="6"/>
      <c r="Q64" s="6"/>
      <c r="R64" s="237">
        <v>39943</v>
      </c>
      <c r="S64" s="6"/>
      <c r="T64" s="6"/>
      <c r="U64" s="6"/>
      <c r="V64" s="6"/>
      <c r="X64" s="6"/>
      <c r="Z64" s="6"/>
      <c r="AB64" s="6"/>
      <c r="AD64" s="6"/>
      <c r="AI64"/>
      <c r="AK64"/>
      <c r="AM64"/>
      <c r="BJ64" s="6"/>
      <c r="BK64" s="6"/>
      <c r="BL64" s="6">
        <f t="shared" si="10"/>
        <v>0</v>
      </c>
      <c r="BM64" s="6"/>
      <c r="BN64" s="6"/>
      <c r="BO64" s="6"/>
      <c r="BP64" s="6">
        <f t="shared" si="11"/>
        <v>39943</v>
      </c>
      <c r="BR64" s="6">
        <f t="shared" si="12"/>
        <v>39943</v>
      </c>
      <c r="BT64" s="6">
        <f t="shared" si="13"/>
        <v>0</v>
      </c>
      <c r="BU64" s="6"/>
    </row>
    <row r="65" spans="1:73">
      <c r="A65"/>
      <c r="B65" s="235" t="s">
        <v>320</v>
      </c>
      <c r="C65"/>
      <c r="D65"/>
      <c r="E65"/>
      <c r="F65"/>
      <c r="G65"/>
      <c r="H65"/>
      <c r="I65"/>
      <c r="J65" s="49" t="s">
        <v>231</v>
      </c>
      <c r="K65"/>
      <c r="L65" s="134"/>
      <c r="M65" s="6"/>
      <c r="O65" s="6"/>
      <c r="Q65" s="6"/>
      <c r="R65" s="237">
        <v>1696888</v>
      </c>
      <c r="S65" s="6"/>
      <c r="T65" s="6"/>
      <c r="U65" s="6"/>
      <c r="V65" s="6"/>
      <c r="X65" s="6"/>
      <c r="Z65" s="6"/>
      <c r="AB65" s="6"/>
      <c r="AD65" s="6"/>
      <c r="AI65"/>
      <c r="AK65"/>
      <c r="AM65"/>
      <c r="AP65" s="6">
        <v>115533</v>
      </c>
      <c r="AT65" s="6">
        <f>462133-115533</f>
        <v>346600</v>
      </c>
      <c r="BJ65" s="6"/>
      <c r="BK65" s="6"/>
      <c r="BL65" s="6">
        <f t="shared" si="10"/>
        <v>462133</v>
      </c>
      <c r="BM65" s="6"/>
      <c r="BN65" s="6">
        <f>1392307-1696888</f>
        <v>-304581</v>
      </c>
      <c r="BO65" s="6"/>
      <c r="BP65" s="6">
        <f t="shared" si="11"/>
        <v>930174</v>
      </c>
      <c r="BR65" s="6">
        <f t="shared" si="12"/>
        <v>1392307</v>
      </c>
      <c r="BT65" s="6">
        <f t="shared" si="13"/>
        <v>304581</v>
      </c>
      <c r="BU65" s="6"/>
    </row>
    <row r="66" spans="1:73">
      <c r="A66"/>
      <c r="B66" s="235" t="s">
        <v>321</v>
      </c>
      <c r="C66"/>
      <c r="D66"/>
      <c r="E66"/>
      <c r="F66"/>
      <c r="G66"/>
      <c r="H66"/>
      <c r="I66"/>
      <c r="J66" s="49" t="s">
        <v>231</v>
      </c>
      <c r="K66"/>
      <c r="L66" s="134"/>
      <c r="M66" s="6"/>
      <c r="O66" s="6"/>
      <c r="Q66" s="6"/>
      <c r="R66" s="237">
        <v>102314</v>
      </c>
      <c r="S66" s="6"/>
      <c r="T66" s="6"/>
      <c r="U66" s="6"/>
      <c r="V66" s="6"/>
      <c r="X66" s="6"/>
      <c r="Z66" s="6"/>
      <c r="AB66" s="6"/>
      <c r="AD66" s="6"/>
      <c r="AI66"/>
      <c r="AK66"/>
      <c r="AM66"/>
      <c r="BJ66" s="6"/>
      <c r="BK66" s="6"/>
      <c r="BL66" s="6">
        <f t="shared" si="10"/>
        <v>0</v>
      </c>
      <c r="BM66" s="6"/>
      <c r="BN66" s="6"/>
      <c r="BO66" s="6"/>
      <c r="BP66" s="6">
        <f t="shared" si="11"/>
        <v>102314</v>
      </c>
      <c r="BR66" s="6">
        <f t="shared" si="12"/>
        <v>102314</v>
      </c>
      <c r="BT66" s="6">
        <f t="shared" si="13"/>
        <v>0</v>
      </c>
      <c r="BU66" s="6"/>
    </row>
    <row r="67" spans="1:73">
      <c r="A67"/>
      <c r="B67" s="235" t="s">
        <v>322</v>
      </c>
      <c r="C67"/>
      <c r="D67"/>
      <c r="E67"/>
      <c r="F67"/>
      <c r="G67"/>
      <c r="H67"/>
      <c r="I67"/>
      <c r="J67" s="49" t="s">
        <v>231</v>
      </c>
      <c r="K67"/>
      <c r="L67" s="134"/>
      <c r="M67" s="6"/>
      <c r="O67" s="6"/>
      <c r="Q67" s="6"/>
      <c r="R67" s="237">
        <v>5284</v>
      </c>
      <c r="S67" s="6"/>
      <c r="T67" s="6"/>
      <c r="U67" s="6"/>
      <c r="V67" s="6"/>
      <c r="X67" s="6"/>
      <c r="Z67" s="6"/>
      <c r="AB67" s="6"/>
      <c r="AD67" s="6"/>
      <c r="AI67"/>
      <c r="AK67"/>
      <c r="AM67"/>
      <c r="BJ67" s="6"/>
      <c r="BK67" s="6"/>
      <c r="BL67" s="6">
        <f t="shared" si="10"/>
        <v>0</v>
      </c>
      <c r="BM67" s="6"/>
      <c r="BN67" s="6"/>
      <c r="BO67" s="6"/>
      <c r="BP67" s="6">
        <f t="shared" si="11"/>
        <v>5284</v>
      </c>
      <c r="BR67" s="6">
        <f t="shared" si="12"/>
        <v>5284</v>
      </c>
      <c r="BT67" s="6">
        <f t="shared" si="13"/>
        <v>0</v>
      </c>
      <c r="BU67" s="6"/>
    </row>
    <row r="68" spans="1:73">
      <c r="A68" s="30"/>
      <c r="B68" s="235" t="s">
        <v>323</v>
      </c>
      <c r="C68"/>
      <c r="D68"/>
      <c r="E68"/>
      <c r="F68"/>
      <c r="G68"/>
      <c r="H68"/>
      <c r="I68"/>
      <c r="J68" s="49" t="s">
        <v>231</v>
      </c>
      <c r="K68"/>
      <c r="L68" s="134"/>
      <c r="M68" s="6"/>
      <c r="O68" s="6"/>
      <c r="Q68" s="6"/>
      <c r="R68" s="237">
        <v>73900</v>
      </c>
      <c r="S68" s="6"/>
      <c r="T68" s="6"/>
      <c r="U68" s="6"/>
      <c r="V68" s="6"/>
      <c r="X68" s="6"/>
      <c r="Z68" s="6"/>
      <c r="AB68" s="6"/>
      <c r="AD68" s="6"/>
      <c r="AI68"/>
      <c r="AK68"/>
      <c r="AM68"/>
      <c r="BJ68" s="6"/>
      <c r="BK68" s="6"/>
      <c r="BL68" s="6">
        <f t="shared" si="10"/>
        <v>0</v>
      </c>
      <c r="BM68" s="6"/>
      <c r="BN68" s="6">
        <f>86504-73900</f>
        <v>12604</v>
      </c>
      <c r="BO68" s="6"/>
      <c r="BP68" s="6">
        <f t="shared" si="11"/>
        <v>86504</v>
      </c>
      <c r="BR68" s="6">
        <f t="shared" si="12"/>
        <v>86504</v>
      </c>
      <c r="BT68" s="6">
        <f t="shared" si="13"/>
        <v>-12604</v>
      </c>
      <c r="BU68" s="6"/>
    </row>
    <row r="69" spans="1:73">
      <c r="A69"/>
      <c r="B69" s="235" t="s">
        <v>324</v>
      </c>
      <c r="C69"/>
      <c r="D69"/>
      <c r="E69"/>
      <c r="F69"/>
      <c r="G69"/>
      <c r="H69"/>
      <c r="I69"/>
      <c r="J69" s="49" t="s">
        <v>231</v>
      </c>
      <c r="K69"/>
      <c r="L69" s="134"/>
      <c r="M69" s="6"/>
      <c r="O69" s="6"/>
      <c r="Q69" s="6"/>
      <c r="R69" s="237">
        <v>33312</v>
      </c>
      <c r="S69" s="6"/>
      <c r="T69" s="6"/>
      <c r="U69" s="6"/>
      <c r="V69" s="6"/>
      <c r="X69" s="6"/>
      <c r="Z69" s="6"/>
      <c r="AB69" s="6"/>
      <c r="AD69" s="6"/>
      <c r="AI69"/>
      <c r="AK69"/>
      <c r="AM69"/>
      <c r="BJ69" s="6"/>
      <c r="BK69" s="6"/>
      <c r="BL69" s="6">
        <f t="shared" si="10"/>
        <v>0</v>
      </c>
      <c r="BM69" s="6"/>
      <c r="BN69" s="6"/>
      <c r="BO69" s="6"/>
      <c r="BP69" s="6">
        <f t="shared" si="11"/>
        <v>33312</v>
      </c>
      <c r="BR69" s="6">
        <f t="shared" si="12"/>
        <v>33312</v>
      </c>
      <c r="BT69" s="6">
        <f t="shared" si="13"/>
        <v>0</v>
      </c>
      <c r="BU69" s="6"/>
    </row>
    <row r="70" spans="1:73">
      <c r="A70"/>
      <c r="B70" s="235" t="s">
        <v>325</v>
      </c>
      <c r="C70"/>
      <c r="D70"/>
      <c r="E70"/>
      <c r="F70"/>
      <c r="G70"/>
      <c r="H70"/>
      <c r="I70"/>
      <c r="J70" s="49" t="s">
        <v>231</v>
      </c>
      <c r="K70"/>
      <c r="L70" s="134"/>
      <c r="M70" s="6"/>
      <c r="O70" s="6"/>
      <c r="Q70" s="6"/>
      <c r="R70" s="237">
        <v>118356</v>
      </c>
      <c r="S70" s="6"/>
      <c r="T70" s="6"/>
      <c r="U70" s="6"/>
      <c r="V70" s="6"/>
      <c r="X70" s="6"/>
      <c r="Z70" s="6"/>
      <c r="AB70" s="6"/>
      <c r="AD70" s="6"/>
      <c r="AI70"/>
      <c r="AK70"/>
      <c r="AM70"/>
      <c r="BJ70" s="6"/>
      <c r="BK70" s="6"/>
      <c r="BL70" s="6">
        <f t="shared" si="10"/>
        <v>0</v>
      </c>
      <c r="BM70" s="6"/>
      <c r="BN70" s="6">
        <f>71924-118356</f>
        <v>-46432</v>
      </c>
      <c r="BO70" s="6"/>
      <c r="BP70" s="6">
        <f t="shared" si="11"/>
        <v>71924</v>
      </c>
      <c r="BR70" s="6">
        <f t="shared" si="12"/>
        <v>71924</v>
      </c>
      <c r="BT70" s="6">
        <f t="shared" si="13"/>
        <v>46432</v>
      </c>
      <c r="BU70" s="6"/>
    </row>
    <row r="71" spans="1:73">
      <c r="A71"/>
      <c r="B71" s="235" t="s">
        <v>150</v>
      </c>
      <c r="C71"/>
      <c r="D71"/>
      <c r="E71"/>
      <c r="F71"/>
      <c r="G71"/>
      <c r="H71"/>
      <c r="I71"/>
      <c r="J71" s="49" t="s">
        <v>231</v>
      </c>
      <c r="K71"/>
      <c r="L71" s="134"/>
      <c r="M71" s="6"/>
      <c r="O71" s="6"/>
      <c r="Q71" s="6"/>
      <c r="R71" s="237">
        <v>66355</v>
      </c>
      <c r="S71" s="6"/>
      <c r="T71" s="6"/>
      <c r="U71" s="6"/>
      <c r="V71" s="6"/>
      <c r="X71" s="6"/>
      <c r="Z71" s="6"/>
      <c r="AB71" s="6"/>
      <c r="AD71" s="6"/>
      <c r="AI71"/>
      <c r="AK71"/>
      <c r="AM71"/>
      <c r="BJ71" s="6"/>
      <c r="BK71" s="6"/>
      <c r="BL71" s="6">
        <f t="shared" si="10"/>
        <v>0</v>
      </c>
      <c r="BM71" s="6"/>
      <c r="BN71" s="6"/>
      <c r="BO71" s="6"/>
      <c r="BP71" s="6">
        <f t="shared" si="11"/>
        <v>66355</v>
      </c>
      <c r="BR71" s="6">
        <f t="shared" si="12"/>
        <v>66355</v>
      </c>
      <c r="BT71" s="6">
        <f t="shared" si="13"/>
        <v>0</v>
      </c>
      <c r="BU71" s="6"/>
    </row>
    <row r="72" spans="1:73">
      <c r="A72"/>
      <c r="B72" s="235" t="s">
        <v>56</v>
      </c>
      <c r="C72"/>
      <c r="D72"/>
      <c r="E72"/>
      <c r="F72"/>
      <c r="G72"/>
      <c r="H72"/>
      <c r="I72"/>
      <c r="J72" s="49" t="s">
        <v>231</v>
      </c>
      <c r="K72"/>
      <c r="L72" s="134"/>
      <c r="M72" s="6"/>
      <c r="O72" s="6"/>
      <c r="Q72" s="6"/>
      <c r="R72" s="237">
        <v>480000</v>
      </c>
      <c r="S72" s="6"/>
      <c r="T72" s="6"/>
      <c r="U72" s="6"/>
      <c r="V72" s="6"/>
      <c r="X72" s="6"/>
      <c r="Z72" s="6"/>
      <c r="AB72" s="6"/>
      <c r="AD72" s="6"/>
      <c r="AI72"/>
      <c r="AK72"/>
      <c r="AM72"/>
      <c r="BJ72" s="6"/>
      <c r="BK72" s="6"/>
      <c r="BL72" s="6">
        <f t="shared" si="10"/>
        <v>0</v>
      </c>
      <c r="BM72" s="6"/>
      <c r="BN72" s="6"/>
      <c r="BO72" s="6"/>
      <c r="BP72" s="6">
        <f t="shared" si="11"/>
        <v>480000</v>
      </c>
      <c r="BR72" s="6">
        <f t="shared" si="12"/>
        <v>480000</v>
      </c>
      <c r="BT72" s="6">
        <f t="shared" si="13"/>
        <v>0</v>
      </c>
      <c r="BU72" s="6"/>
    </row>
    <row r="73" spans="1:73">
      <c r="A73"/>
      <c r="B73" s="235" t="s">
        <v>326</v>
      </c>
      <c r="C73"/>
      <c r="D73"/>
      <c r="E73"/>
      <c r="F73"/>
      <c r="G73"/>
      <c r="H73"/>
      <c r="I73"/>
      <c r="J73" s="49" t="s">
        <v>231</v>
      </c>
      <c r="K73"/>
      <c r="L73" s="134"/>
      <c r="M73" s="6"/>
      <c r="O73" s="6"/>
      <c r="Q73" s="6"/>
      <c r="R73" s="237">
        <v>31166</v>
      </c>
      <c r="S73" s="6"/>
      <c r="T73" s="6"/>
      <c r="U73" s="6"/>
      <c r="V73" s="6"/>
      <c r="X73" s="6"/>
      <c r="Z73" s="6"/>
      <c r="AB73" s="6"/>
      <c r="AD73" s="6"/>
      <c r="AI73"/>
      <c r="AK73"/>
      <c r="AM73"/>
      <c r="BJ73" s="6"/>
      <c r="BK73" s="6"/>
      <c r="BL73" s="6">
        <f t="shared" si="10"/>
        <v>0</v>
      </c>
      <c r="BM73" s="6"/>
      <c r="BN73" s="6"/>
      <c r="BO73" s="6"/>
      <c r="BP73" s="6">
        <f t="shared" si="11"/>
        <v>31166</v>
      </c>
      <c r="BR73" s="6">
        <f t="shared" si="12"/>
        <v>31166</v>
      </c>
      <c r="BT73" s="6">
        <f t="shared" si="13"/>
        <v>0</v>
      </c>
      <c r="BU73" s="6"/>
    </row>
    <row r="74" spans="1:73">
      <c r="A74"/>
      <c r="B74" s="235" t="s">
        <v>327</v>
      </c>
      <c r="C74"/>
      <c r="D74"/>
      <c r="E74"/>
      <c r="F74"/>
      <c r="G74"/>
      <c r="H74"/>
      <c r="I74"/>
      <c r="J74" s="49" t="s">
        <v>231</v>
      </c>
      <c r="K74"/>
      <c r="L74" s="134"/>
      <c r="M74" s="6"/>
      <c r="O74" s="6"/>
      <c r="Q74" s="6"/>
      <c r="R74" s="237">
        <v>16008</v>
      </c>
      <c r="S74" s="6"/>
      <c r="T74" s="6"/>
      <c r="U74" s="6"/>
      <c r="V74" s="6"/>
      <c r="X74" s="6"/>
      <c r="Z74" s="6"/>
      <c r="AB74" s="6"/>
      <c r="AD74" s="6"/>
      <c r="AI74"/>
      <c r="AK74"/>
      <c r="AM74"/>
      <c r="AT74" s="6">
        <v>3829</v>
      </c>
      <c r="BJ74" s="6"/>
      <c r="BK74" s="6"/>
      <c r="BL74" s="6">
        <f t="shared" si="10"/>
        <v>3829</v>
      </c>
      <c r="BM74" s="6"/>
      <c r="BN74" s="6">
        <v>0</v>
      </c>
      <c r="BO74" s="6"/>
      <c r="BP74" s="6">
        <f t="shared" si="11"/>
        <v>12179</v>
      </c>
      <c r="BR74" s="6">
        <f t="shared" si="12"/>
        <v>16008</v>
      </c>
      <c r="BT74" s="6">
        <f t="shared" si="13"/>
        <v>0</v>
      </c>
      <c r="BU74" s="6"/>
    </row>
    <row r="75" spans="1:73">
      <c r="A75"/>
      <c r="B75" s="235" t="s">
        <v>53</v>
      </c>
      <c r="C75"/>
      <c r="D75"/>
      <c r="E75"/>
      <c r="F75"/>
      <c r="G75"/>
      <c r="H75"/>
      <c r="I75"/>
      <c r="J75" s="49" t="s">
        <v>231</v>
      </c>
      <c r="K75"/>
      <c r="L75" s="134"/>
      <c r="M75" s="6"/>
      <c r="O75" s="6"/>
      <c r="Q75" s="6"/>
      <c r="R75" s="237">
        <v>357625</v>
      </c>
      <c r="S75" s="6"/>
      <c r="T75" s="6"/>
      <c r="U75" s="6"/>
      <c r="V75" s="6"/>
      <c r="X75" s="6"/>
      <c r="Z75" s="6"/>
      <c r="AB75" s="6"/>
      <c r="AD75" s="6"/>
      <c r="AI75"/>
      <c r="AK75"/>
      <c r="AM75"/>
      <c r="BJ75" s="6"/>
      <c r="BK75" s="6"/>
      <c r="BL75" s="6">
        <f t="shared" si="10"/>
        <v>0</v>
      </c>
      <c r="BM75" s="6"/>
      <c r="BN75" s="6">
        <f>267625-357625</f>
        <v>-90000</v>
      </c>
      <c r="BO75" s="6"/>
      <c r="BP75" s="6">
        <f t="shared" si="11"/>
        <v>267625</v>
      </c>
      <c r="BR75" s="6">
        <f t="shared" si="12"/>
        <v>267625</v>
      </c>
      <c r="BT75" s="6">
        <f t="shared" si="13"/>
        <v>90000</v>
      </c>
      <c r="BU75" s="6"/>
    </row>
    <row r="76" spans="1:73">
      <c r="A76"/>
      <c r="B76" s="235" t="s">
        <v>175</v>
      </c>
      <c r="C76"/>
      <c r="D76"/>
      <c r="E76"/>
      <c r="F76"/>
      <c r="G76"/>
      <c r="H76"/>
      <c r="I76"/>
      <c r="J76" s="49" t="s">
        <v>231</v>
      </c>
      <c r="K76"/>
      <c r="L76" s="134"/>
      <c r="M76" s="6"/>
      <c r="O76" s="6"/>
      <c r="Q76" s="6"/>
      <c r="R76" s="237">
        <v>81500</v>
      </c>
      <c r="S76" s="6"/>
      <c r="T76" s="6"/>
      <c r="U76" s="6"/>
      <c r="V76" s="6"/>
      <c r="X76" s="6"/>
      <c r="Z76" s="6"/>
      <c r="AB76" s="6"/>
      <c r="AD76" s="6"/>
      <c r="AI76"/>
      <c r="AK76"/>
      <c r="AM76"/>
      <c r="BJ76" s="6"/>
      <c r="BK76" s="6"/>
      <c r="BL76" s="6">
        <f t="shared" si="10"/>
        <v>0</v>
      </c>
      <c r="BM76" s="6"/>
      <c r="BN76" s="6">
        <f>88159-81500</f>
        <v>6659</v>
      </c>
      <c r="BO76" s="6"/>
      <c r="BP76" s="6">
        <f t="shared" si="11"/>
        <v>88159</v>
      </c>
      <c r="BR76" s="6">
        <f t="shared" si="12"/>
        <v>88159</v>
      </c>
      <c r="BT76" s="6">
        <f t="shared" si="13"/>
        <v>-6659</v>
      </c>
      <c r="BU76" s="6"/>
    </row>
    <row r="77" spans="1:73">
      <c r="A77"/>
      <c r="B77" s="235" t="s">
        <v>328</v>
      </c>
      <c r="C77"/>
      <c r="D77"/>
      <c r="E77"/>
      <c r="F77"/>
      <c r="G77"/>
      <c r="H77"/>
      <c r="I77"/>
      <c r="J77" s="49" t="s">
        <v>231</v>
      </c>
      <c r="K77"/>
      <c r="L77" s="134"/>
      <c r="M77" s="6"/>
      <c r="O77" s="6"/>
      <c r="Q77" s="6"/>
      <c r="R77" s="237">
        <v>50000</v>
      </c>
      <c r="S77" s="6"/>
      <c r="T77" s="6"/>
      <c r="U77" s="6"/>
      <c r="V77" s="6"/>
      <c r="X77" s="6"/>
      <c r="Z77" s="6"/>
      <c r="AB77" s="6"/>
      <c r="AD77" s="6"/>
      <c r="AI77"/>
      <c r="AK77"/>
      <c r="AM77"/>
      <c r="BJ77" s="6"/>
      <c r="BK77" s="6"/>
      <c r="BL77" s="6">
        <f t="shared" si="10"/>
        <v>0</v>
      </c>
      <c r="BM77" s="6"/>
      <c r="BN77" s="6">
        <f>46155-50000</f>
        <v>-3845</v>
      </c>
      <c r="BO77" s="6"/>
      <c r="BP77" s="6">
        <f t="shared" si="11"/>
        <v>46155</v>
      </c>
      <c r="BR77" s="6">
        <f t="shared" si="12"/>
        <v>46155</v>
      </c>
      <c r="BT77" s="6">
        <f t="shared" si="13"/>
        <v>3845</v>
      </c>
      <c r="BU77" s="6"/>
    </row>
    <row r="78" spans="1:73">
      <c r="A78"/>
      <c r="B78" s="235" t="s">
        <v>329</v>
      </c>
      <c r="C78"/>
      <c r="D78"/>
      <c r="E78"/>
      <c r="F78"/>
      <c r="G78"/>
      <c r="H78"/>
      <c r="I78"/>
      <c r="J78" s="49" t="s">
        <v>231</v>
      </c>
      <c r="K78"/>
      <c r="L78" s="134"/>
      <c r="M78" s="6"/>
      <c r="O78" s="6"/>
      <c r="Q78" s="6"/>
      <c r="R78" s="237">
        <v>70000</v>
      </c>
      <c r="S78" s="6"/>
      <c r="T78" s="6"/>
      <c r="U78" s="6"/>
      <c r="V78" s="6"/>
      <c r="X78" s="6"/>
      <c r="Z78" s="6"/>
      <c r="AB78" s="6"/>
      <c r="AD78" s="6"/>
      <c r="AI78"/>
      <c r="AK78"/>
      <c r="AM78"/>
      <c r="BJ78" s="6"/>
      <c r="BK78" s="6"/>
      <c r="BL78" s="6">
        <f t="shared" si="10"/>
        <v>0</v>
      </c>
      <c r="BM78" s="6"/>
      <c r="BN78" s="6">
        <f>65196-70000</f>
        <v>-4804</v>
      </c>
      <c r="BO78" s="6"/>
      <c r="BP78" s="6">
        <f t="shared" si="11"/>
        <v>65196</v>
      </c>
      <c r="BR78" s="6">
        <f t="shared" si="12"/>
        <v>65196</v>
      </c>
      <c r="BT78" s="6">
        <f t="shared" si="13"/>
        <v>4804</v>
      </c>
      <c r="BU78" s="6"/>
    </row>
    <row r="79" spans="1:73">
      <c r="A79"/>
      <c r="B79" s="235" t="s">
        <v>330</v>
      </c>
      <c r="C79"/>
      <c r="D79"/>
      <c r="E79"/>
      <c r="F79"/>
      <c r="G79"/>
      <c r="H79"/>
      <c r="I79"/>
      <c r="J79" s="49" t="s">
        <v>231</v>
      </c>
      <c r="K79"/>
      <c r="L79" s="134"/>
      <c r="M79" s="6"/>
      <c r="O79" s="6"/>
      <c r="Q79" s="6"/>
      <c r="R79" s="237">
        <v>330500</v>
      </c>
      <c r="S79" s="6"/>
      <c r="T79" s="6"/>
      <c r="U79" s="6"/>
      <c r="V79" s="6"/>
      <c r="X79" s="6"/>
      <c r="Z79" s="6"/>
      <c r="AB79" s="6"/>
      <c r="AD79" s="6"/>
      <c r="AI79"/>
      <c r="AK79"/>
      <c r="AM79"/>
      <c r="BJ79" s="6"/>
      <c r="BK79" s="6"/>
      <c r="BL79" s="6">
        <f t="shared" si="10"/>
        <v>0</v>
      </c>
      <c r="BM79" s="6"/>
      <c r="BN79" s="6">
        <v>-100000</v>
      </c>
      <c r="BO79" s="6"/>
      <c r="BP79" s="6">
        <f t="shared" si="11"/>
        <v>230500</v>
      </c>
      <c r="BR79" s="6">
        <f t="shared" si="12"/>
        <v>230500</v>
      </c>
      <c r="BT79" s="6">
        <f t="shared" si="13"/>
        <v>100000</v>
      </c>
      <c r="BU79" s="6"/>
    </row>
    <row r="80" spans="1:73">
      <c r="A80"/>
      <c r="B80" s="235" t="s">
        <v>331</v>
      </c>
      <c r="C80"/>
      <c r="D80"/>
      <c r="E80"/>
      <c r="F80"/>
      <c r="G80"/>
      <c r="H80"/>
      <c r="I80"/>
      <c r="J80" s="49" t="s">
        <v>231</v>
      </c>
      <c r="K80"/>
      <c r="L80" s="134"/>
      <c r="M80" s="6"/>
      <c r="O80" s="6"/>
      <c r="Q80" s="6"/>
      <c r="R80" s="4"/>
      <c r="S80" s="6"/>
      <c r="T80" s="6"/>
      <c r="U80" s="6"/>
      <c r="V80" s="6"/>
      <c r="X80" s="6"/>
      <c r="Z80" s="6"/>
      <c r="AB80" s="6"/>
      <c r="AD80" s="6"/>
      <c r="AI80"/>
      <c r="AK80"/>
      <c r="AM80"/>
      <c r="BJ80" s="6"/>
      <c r="BK80" s="6"/>
      <c r="BL80" s="6">
        <f t="shared" si="10"/>
        <v>0</v>
      </c>
      <c r="BM80" s="6"/>
      <c r="BN80" s="6"/>
      <c r="BO80" s="6"/>
      <c r="BP80" s="6">
        <f t="shared" si="11"/>
        <v>0</v>
      </c>
      <c r="BR80" s="6">
        <f t="shared" si="12"/>
        <v>0</v>
      </c>
      <c r="BT80" s="6">
        <f t="shared" si="13"/>
        <v>0</v>
      </c>
      <c r="BU80" s="6"/>
    </row>
    <row r="81" spans="1:75">
      <c r="A81"/>
      <c r="B81" s="235" t="s">
        <v>332</v>
      </c>
      <c r="C81"/>
      <c r="D81"/>
      <c r="E81"/>
      <c r="F81"/>
      <c r="G81"/>
      <c r="H81"/>
      <c r="I81"/>
      <c r="J81" s="49" t="s">
        <v>231</v>
      </c>
      <c r="K81"/>
      <c r="L81" s="134"/>
      <c r="M81" s="6"/>
      <c r="O81" s="6"/>
      <c r="Q81" s="6"/>
      <c r="R81" s="237">
        <v>20500</v>
      </c>
      <c r="S81" s="6"/>
      <c r="T81" s="6"/>
      <c r="U81" s="6"/>
      <c r="V81" s="6"/>
      <c r="X81" s="6"/>
      <c r="Z81" s="6"/>
      <c r="AB81" s="6"/>
      <c r="AD81" s="6"/>
      <c r="AI81"/>
      <c r="AK81"/>
      <c r="AM81"/>
      <c r="BJ81" s="6"/>
      <c r="BK81" s="6"/>
      <c r="BL81" s="6">
        <f t="shared" si="10"/>
        <v>0</v>
      </c>
      <c r="BM81" s="6"/>
      <c r="BN81" s="6">
        <f>10659-20500</f>
        <v>-9841</v>
      </c>
      <c r="BO81" s="6"/>
      <c r="BP81" s="6">
        <f t="shared" si="11"/>
        <v>10659</v>
      </c>
      <c r="BR81" s="6">
        <f t="shared" si="12"/>
        <v>10659</v>
      </c>
      <c r="BT81" s="6">
        <f t="shared" si="13"/>
        <v>9841</v>
      </c>
      <c r="BU81" s="6"/>
    </row>
    <row r="82" spans="1:75" s="21" customFormat="1">
      <c r="B82" s="238" t="s">
        <v>335</v>
      </c>
      <c r="J82" s="8"/>
      <c r="L82" s="143" t="s">
        <v>204</v>
      </c>
      <c r="M82" s="9"/>
      <c r="N82" s="9">
        <v>0</v>
      </c>
      <c r="O82" s="9"/>
      <c r="P82" s="9">
        <v>0</v>
      </c>
      <c r="Q82" s="9"/>
      <c r="R82" s="9">
        <f>SUM(R59:R81)</f>
        <v>5240384</v>
      </c>
      <c r="S82" s="9">
        <f t="shared" ref="S82:BT82" si="14">SUM(S59:S81)</f>
        <v>0</v>
      </c>
      <c r="T82" s="9">
        <f t="shared" si="14"/>
        <v>0</v>
      </c>
      <c r="U82" s="9">
        <f t="shared" si="14"/>
        <v>0</v>
      </c>
      <c r="V82" s="9">
        <f t="shared" si="14"/>
        <v>0</v>
      </c>
      <c r="W82" s="9">
        <f t="shared" si="14"/>
        <v>0</v>
      </c>
      <c r="X82" s="9">
        <f t="shared" si="14"/>
        <v>0</v>
      </c>
      <c r="Y82" s="9">
        <f t="shared" si="14"/>
        <v>0</v>
      </c>
      <c r="Z82" s="9">
        <f t="shared" si="14"/>
        <v>0</v>
      </c>
      <c r="AA82" s="9">
        <f t="shared" si="14"/>
        <v>0</v>
      </c>
      <c r="AB82" s="9">
        <f t="shared" si="14"/>
        <v>0</v>
      </c>
      <c r="AC82" s="9">
        <f t="shared" si="14"/>
        <v>0</v>
      </c>
      <c r="AD82" s="9">
        <f t="shared" si="14"/>
        <v>0</v>
      </c>
      <c r="AE82" s="9">
        <f t="shared" si="14"/>
        <v>0</v>
      </c>
      <c r="AF82" s="9">
        <f t="shared" si="14"/>
        <v>0</v>
      </c>
      <c r="AG82" s="9">
        <f t="shared" si="14"/>
        <v>0</v>
      </c>
      <c r="AH82" s="9">
        <f t="shared" si="14"/>
        <v>0</v>
      </c>
      <c r="AI82" s="9">
        <f t="shared" si="14"/>
        <v>0</v>
      </c>
      <c r="AJ82" s="9">
        <f t="shared" si="14"/>
        <v>0</v>
      </c>
      <c r="AK82" s="9">
        <f t="shared" si="14"/>
        <v>0</v>
      </c>
      <c r="AL82" s="9">
        <f t="shared" si="14"/>
        <v>0</v>
      </c>
      <c r="AM82" s="9">
        <f t="shared" si="14"/>
        <v>0</v>
      </c>
      <c r="AN82" s="9">
        <f t="shared" si="14"/>
        <v>0</v>
      </c>
      <c r="AO82" s="9">
        <f t="shared" si="14"/>
        <v>0</v>
      </c>
      <c r="AP82" s="9">
        <f t="shared" si="14"/>
        <v>115533</v>
      </c>
      <c r="AQ82" s="9">
        <f t="shared" si="14"/>
        <v>0</v>
      </c>
      <c r="AR82" s="9">
        <f t="shared" si="14"/>
        <v>0</v>
      </c>
      <c r="AS82" s="9">
        <f t="shared" si="14"/>
        <v>0</v>
      </c>
      <c r="AT82" s="9">
        <f t="shared" si="14"/>
        <v>359796</v>
      </c>
      <c r="AU82" s="9">
        <f t="shared" si="14"/>
        <v>0</v>
      </c>
      <c r="AV82" s="9">
        <f t="shared" si="14"/>
        <v>0</v>
      </c>
      <c r="AW82" s="9">
        <f t="shared" si="14"/>
        <v>0</v>
      </c>
      <c r="AX82" s="9">
        <f t="shared" si="14"/>
        <v>0</v>
      </c>
      <c r="AY82" s="9">
        <f t="shared" si="14"/>
        <v>0</v>
      </c>
      <c r="AZ82" s="9">
        <f t="shared" si="14"/>
        <v>0</v>
      </c>
      <c r="BA82" s="9">
        <f t="shared" si="14"/>
        <v>0</v>
      </c>
      <c r="BB82" s="9">
        <f t="shared" si="14"/>
        <v>0</v>
      </c>
      <c r="BC82" s="9">
        <f t="shared" si="14"/>
        <v>0</v>
      </c>
      <c r="BD82" s="9">
        <f t="shared" si="14"/>
        <v>0</v>
      </c>
      <c r="BE82" s="9">
        <f t="shared" si="14"/>
        <v>0</v>
      </c>
      <c r="BF82" s="9">
        <f t="shared" si="14"/>
        <v>0</v>
      </c>
      <c r="BG82" s="9">
        <f t="shared" si="14"/>
        <v>0</v>
      </c>
      <c r="BH82" s="9">
        <f t="shared" si="14"/>
        <v>0</v>
      </c>
      <c r="BI82" s="9">
        <f t="shared" si="14"/>
        <v>0</v>
      </c>
      <c r="BJ82" s="9">
        <f t="shared" si="14"/>
        <v>0</v>
      </c>
      <c r="BK82" s="9">
        <f t="shared" si="14"/>
        <v>0</v>
      </c>
      <c r="BL82" s="9">
        <f t="shared" si="14"/>
        <v>475329</v>
      </c>
      <c r="BM82" s="9">
        <f t="shared" si="14"/>
        <v>0</v>
      </c>
      <c r="BN82" s="9">
        <f t="shared" si="14"/>
        <v>-490710</v>
      </c>
      <c r="BO82" s="9">
        <f t="shared" si="14"/>
        <v>0</v>
      </c>
      <c r="BP82" s="9">
        <f t="shared" si="14"/>
        <v>4274345</v>
      </c>
      <c r="BQ82" s="9">
        <f t="shared" si="14"/>
        <v>0</v>
      </c>
      <c r="BR82" s="9">
        <f t="shared" si="14"/>
        <v>4749674</v>
      </c>
      <c r="BS82" s="9">
        <f t="shared" si="14"/>
        <v>0</v>
      </c>
      <c r="BT82" s="9">
        <f t="shared" si="14"/>
        <v>490710</v>
      </c>
      <c r="BU82" s="9"/>
    </row>
    <row r="83" spans="1:75" s="21" customFormat="1">
      <c r="B83" s="238"/>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5" s="21" customFormat="1">
      <c r="B84" s="239" t="s">
        <v>363</v>
      </c>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5" s="21" customFormat="1">
      <c r="B85" s="240" t="s">
        <v>336</v>
      </c>
      <c r="J85" s="8"/>
      <c r="L85" s="143"/>
      <c r="M85" s="9"/>
      <c r="N85" s="9"/>
      <c r="O85" s="9"/>
      <c r="P85" s="9"/>
      <c r="Q85" s="9"/>
      <c r="R85" s="237">
        <v>1021325</v>
      </c>
      <c r="S85" s="9"/>
      <c r="T85" s="9"/>
      <c r="U85" s="9"/>
      <c r="V85" s="9"/>
      <c r="W85" s="9"/>
      <c r="X85" s="9"/>
      <c r="Y85" s="9"/>
      <c r="Z85" s="9"/>
      <c r="AA85" s="9"/>
      <c r="AB85" s="9"/>
      <c r="AC85" s="9"/>
      <c r="AD85" s="9"/>
      <c r="AE85" s="9"/>
      <c r="AF85" s="9"/>
      <c r="AG85" s="9"/>
      <c r="AH85" s="9"/>
      <c r="AJ85" s="9"/>
      <c r="AL85" s="9"/>
      <c r="AN85" s="9"/>
      <c r="AO85" s="9"/>
      <c r="AP85" s="9"/>
      <c r="AQ85" s="9"/>
      <c r="AR85" s="9"/>
      <c r="AS85" s="9"/>
      <c r="AT85" s="6">
        <v>673702</v>
      </c>
      <c r="AU85" s="9"/>
      <c r="AV85" s="9"/>
      <c r="AW85" s="9"/>
      <c r="AX85" s="9"/>
      <c r="AY85" s="9"/>
      <c r="AZ85" s="9"/>
      <c r="BA85" s="9"/>
      <c r="BB85" s="9"/>
      <c r="BC85" s="9"/>
      <c r="BD85" s="9"/>
      <c r="BE85" s="9"/>
      <c r="BF85" s="9"/>
      <c r="BG85" s="9"/>
      <c r="BH85" s="9"/>
      <c r="BI85" s="9"/>
      <c r="BJ85" s="9"/>
      <c r="BK85" s="9"/>
      <c r="BL85" s="6">
        <f t="shared" ref="BL85:BL114" si="15">SUM(T85:BK85)</f>
        <v>673702</v>
      </c>
      <c r="BM85" s="9"/>
      <c r="BN85" s="6">
        <f>1361985-1021325</f>
        <v>340660</v>
      </c>
      <c r="BO85" s="9"/>
      <c r="BP85" s="6">
        <f>IF(+R85-BL85+BN85&gt;0,R85-BL85+BN85,0)</f>
        <v>688283</v>
      </c>
      <c r="BQ85" s="6"/>
      <c r="BR85" s="6">
        <f>+BL85+BP85</f>
        <v>1361985</v>
      </c>
      <c r="BS85" s="6"/>
      <c r="BT85" s="6">
        <f>+R85-BR85</f>
        <v>-340660</v>
      </c>
      <c r="BU85" s="9"/>
    </row>
    <row r="86" spans="1:75" s="21" customFormat="1">
      <c r="B86" s="240" t="s">
        <v>543</v>
      </c>
      <c r="J86" s="8"/>
      <c r="L86" s="143"/>
      <c r="M86" s="9"/>
      <c r="N86" s="9"/>
      <c r="O86" s="9"/>
      <c r="P86" s="9"/>
      <c r="Q86" s="9"/>
      <c r="R86" s="237"/>
      <c r="S86" s="9"/>
      <c r="T86" s="9"/>
      <c r="U86" s="9"/>
      <c r="V86" s="9"/>
      <c r="W86" s="9"/>
      <c r="X86" s="9"/>
      <c r="Y86" s="9"/>
      <c r="Z86" s="9"/>
      <c r="AA86" s="9"/>
      <c r="AB86" s="9"/>
      <c r="AC86" s="9"/>
      <c r="AD86" s="9"/>
      <c r="AE86" s="9"/>
      <c r="AF86" s="9"/>
      <c r="AG86" s="9"/>
      <c r="AH86" s="9"/>
      <c r="AJ86" s="9"/>
      <c r="AL86" s="9"/>
      <c r="AN86" s="9"/>
      <c r="AO86" s="9"/>
      <c r="AP86" s="9"/>
      <c r="AQ86" s="9"/>
      <c r="AR86" s="9"/>
      <c r="AS86" s="9"/>
      <c r="AT86" s="6">
        <v>3903</v>
      </c>
      <c r="AU86" s="9"/>
      <c r="AV86" s="9"/>
      <c r="AW86" s="9"/>
      <c r="AX86" s="9"/>
      <c r="AY86" s="9"/>
      <c r="AZ86" s="9"/>
      <c r="BA86" s="9"/>
      <c r="BB86" s="9"/>
      <c r="BC86" s="9"/>
      <c r="BD86" s="9"/>
      <c r="BE86" s="9"/>
      <c r="BF86" s="9"/>
      <c r="BG86" s="9"/>
      <c r="BH86" s="9"/>
      <c r="BI86" s="9"/>
      <c r="BJ86" s="9"/>
      <c r="BK86" s="9"/>
      <c r="BL86" s="6">
        <f>SUM(T86:BK86)</f>
        <v>3903</v>
      </c>
      <c r="BM86" s="6">
        <f>SUM(U86:BL86)</f>
        <v>7806</v>
      </c>
      <c r="BN86" s="6">
        <v>0</v>
      </c>
      <c r="BO86" s="6">
        <f>SUM(W86:BN86)</f>
        <v>15612</v>
      </c>
      <c r="BP86" s="6">
        <f>IF(+R86-BL86+BN86&gt;0,R86-BL86+BN86,0)</f>
        <v>0</v>
      </c>
      <c r="BQ86" s="6">
        <f>SUM(Y86:BP86)</f>
        <v>31224</v>
      </c>
      <c r="BR86" s="6">
        <f>+BL86+BP86</f>
        <v>3903</v>
      </c>
      <c r="BS86" s="6">
        <f>SUM(AA86:BR86)</f>
        <v>66351</v>
      </c>
      <c r="BT86" s="6">
        <f>+R86-BR86</f>
        <v>-3903</v>
      </c>
      <c r="BU86" s="9"/>
    </row>
    <row r="87" spans="1:75" s="21" customFormat="1">
      <c r="B87" s="240" t="s">
        <v>337</v>
      </c>
      <c r="J87" s="8"/>
      <c r="L87" s="143"/>
      <c r="M87" s="9"/>
      <c r="N87" s="9"/>
      <c r="O87" s="9"/>
      <c r="P87" s="9"/>
      <c r="Q87" s="9"/>
      <c r="R87" s="237">
        <v>490219</v>
      </c>
      <c r="S87" s="9"/>
      <c r="T87" s="9"/>
      <c r="U87" s="9"/>
      <c r="V87" s="9"/>
      <c r="W87" s="9"/>
      <c r="X87" s="9"/>
      <c r="Y87" s="9"/>
      <c r="Z87" s="9"/>
      <c r="AA87" s="9"/>
      <c r="AB87" s="9"/>
      <c r="AC87" s="9"/>
      <c r="AD87" s="9"/>
      <c r="AE87" s="9"/>
      <c r="AF87" s="9"/>
      <c r="AG87" s="9"/>
      <c r="AH87" s="9"/>
      <c r="AJ87" s="9"/>
      <c r="AL87" s="9"/>
      <c r="AN87" s="9"/>
      <c r="AO87" s="9"/>
      <c r="AP87" s="6">
        <v>3780</v>
      </c>
      <c r="AQ87" s="9"/>
      <c r="AR87" s="9"/>
      <c r="AS87" s="9"/>
      <c r="AT87" s="6">
        <f>271106-3780</f>
        <v>267326</v>
      </c>
      <c r="AU87" s="9"/>
      <c r="AV87" s="9"/>
      <c r="AW87" s="9"/>
      <c r="AX87" s="9"/>
      <c r="AY87" s="9"/>
      <c r="AZ87" s="9"/>
      <c r="BA87" s="9"/>
      <c r="BB87" s="9"/>
      <c r="BC87" s="9"/>
      <c r="BD87" s="9"/>
      <c r="BE87" s="9"/>
      <c r="BF87" s="9"/>
      <c r="BG87" s="9"/>
      <c r="BH87" s="9"/>
      <c r="BI87" s="9"/>
      <c r="BJ87" s="9"/>
      <c r="BK87" s="9"/>
      <c r="BL87" s="6">
        <f t="shared" si="15"/>
        <v>271106</v>
      </c>
      <c r="BM87" s="6">
        <f>SUM(U87:BL87)</f>
        <v>542212</v>
      </c>
      <c r="BN87" s="6">
        <f>733565-490219</f>
        <v>243346</v>
      </c>
      <c r="BO87" s="6">
        <f>SUM(W87:BN87)</f>
        <v>1327770</v>
      </c>
      <c r="BP87" s="6">
        <f>IF(+R87-BL87+BN87&gt;0,R87-BL87+BN87,0)</f>
        <v>462459</v>
      </c>
      <c r="BQ87" s="6">
        <f>SUM(Y87:BP87)</f>
        <v>3117999</v>
      </c>
      <c r="BR87" s="6">
        <f>+BL87+BP87</f>
        <v>733565</v>
      </c>
      <c r="BS87" s="6">
        <f>SUM(AA87:BR87)</f>
        <v>6969563</v>
      </c>
      <c r="BT87" s="6">
        <f>+R87-BR87</f>
        <v>-243346</v>
      </c>
      <c r="BU87" s="9"/>
    </row>
    <row r="88" spans="1:75" s="21" customFormat="1">
      <c r="B88" s="240" t="s">
        <v>338</v>
      </c>
      <c r="J88" s="8"/>
      <c r="L88" s="143"/>
      <c r="M88" s="9"/>
      <c r="N88" s="9"/>
      <c r="O88" s="9"/>
      <c r="P88" s="9"/>
      <c r="Q88" s="9"/>
      <c r="R88" s="237">
        <v>375128</v>
      </c>
      <c r="S88" s="9"/>
      <c r="T88" s="9"/>
      <c r="U88" s="9"/>
      <c r="V88" s="9"/>
      <c r="W88" s="9"/>
      <c r="X88" s="9"/>
      <c r="Y88" s="9"/>
      <c r="Z88" s="9"/>
      <c r="AA88" s="9"/>
      <c r="AB88" s="9"/>
      <c r="AC88" s="9"/>
      <c r="AD88" s="9"/>
      <c r="AE88" s="9"/>
      <c r="AF88" s="9"/>
      <c r="AG88" s="9"/>
      <c r="AH88" s="9"/>
      <c r="AJ88" s="9"/>
      <c r="AL88" s="9"/>
      <c r="AN88" s="9"/>
      <c r="AO88" s="9"/>
      <c r="AP88" s="6">
        <v>28611</v>
      </c>
      <c r="AQ88" s="9"/>
      <c r="AR88" s="9"/>
      <c r="AS88" s="9"/>
      <c r="AT88" s="6">
        <f>127939-28611</f>
        <v>99328</v>
      </c>
      <c r="AU88" s="9"/>
      <c r="AV88" s="9"/>
      <c r="AW88" s="9"/>
      <c r="AX88" s="9"/>
      <c r="AY88" s="9"/>
      <c r="AZ88" s="9"/>
      <c r="BA88" s="9"/>
      <c r="BB88" s="9"/>
      <c r="BC88" s="9"/>
      <c r="BD88" s="9"/>
      <c r="BE88" s="9"/>
      <c r="BF88" s="9"/>
      <c r="BG88" s="9"/>
      <c r="BH88" s="9"/>
      <c r="BI88" s="9"/>
      <c r="BJ88" s="9"/>
      <c r="BK88" s="9"/>
      <c r="BL88" s="6">
        <f t="shared" si="15"/>
        <v>127939</v>
      </c>
      <c r="BM88" s="9"/>
      <c r="BN88" s="9"/>
      <c r="BO88" s="9"/>
      <c r="BP88" s="6">
        <f t="shared" ref="BP88:BP113" si="16">IF(+R88-BL88+BN88&gt;0,R88-BL88+BN88,0)</f>
        <v>247189</v>
      </c>
      <c r="BQ88" s="6"/>
      <c r="BR88" s="6">
        <f t="shared" ref="BR88:BR114" si="17">+BL88+BP88</f>
        <v>375128</v>
      </c>
      <c r="BS88" s="6"/>
      <c r="BT88" s="6">
        <f t="shared" ref="BT88:BT114" si="18">+R88-BR88</f>
        <v>0</v>
      </c>
      <c r="BU88" s="9"/>
    </row>
    <row r="89" spans="1:75" s="21" customFormat="1">
      <c r="B89" s="240" t="s">
        <v>339</v>
      </c>
      <c r="J89" s="8"/>
      <c r="L89" s="143"/>
      <c r="M89" s="9"/>
      <c r="N89" s="9"/>
      <c r="O89" s="9"/>
      <c r="P89" s="9"/>
      <c r="Q89" s="9"/>
      <c r="R89" s="237">
        <v>30000</v>
      </c>
      <c r="S89" s="9"/>
      <c r="T89" s="9"/>
      <c r="U89" s="9"/>
      <c r="V89" s="9"/>
      <c r="W89" s="9"/>
      <c r="X89" s="9"/>
      <c r="Y89" s="9"/>
      <c r="Z89" s="9"/>
      <c r="AA89" s="9"/>
      <c r="AB89" s="9"/>
      <c r="AC89" s="9"/>
      <c r="AD89" s="9"/>
      <c r="AE89" s="9"/>
      <c r="AF89" s="9"/>
      <c r="AG89" s="9"/>
      <c r="AH89" s="9"/>
      <c r="AJ89" s="9"/>
      <c r="AL89" s="9"/>
      <c r="AN89" s="9"/>
      <c r="AO89" s="9"/>
      <c r="AP89" s="6">
        <v>0</v>
      </c>
      <c r="AQ89" s="9"/>
      <c r="AR89" s="9"/>
      <c r="AS89" s="9"/>
      <c r="AT89" s="6">
        <v>0</v>
      </c>
      <c r="AU89" s="9"/>
      <c r="AV89" s="9"/>
      <c r="AW89" s="9"/>
      <c r="AX89" s="9"/>
      <c r="AY89" s="9"/>
      <c r="AZ89" s="9"/>
      <c r="BA89" s="9"/>
      <c r="BB89" s="9"/>
      <c r="BC89" s="9"/>
      <c r="BD89" s="9"/>
      <c r="BE89" s="9"/>
      <c r="BF89" s="9"/>
      <c r="BG89" s="9"/>
      <c r="BH89" s="9"/>
      <c r="BI89" s="9"/>
      <c r="BJ89" s="9"/>
      <c r="BK89" s="9"/>
      <c r="BL89" s="6">
        <f t="shared" si="15"/>
        <v>0</v>
      </c>
      <c r="BM89" s="9"/>
      <c r="BN89" s="9"/>
      <c r="BO89" s="9"/>
      <c r="BP89" s="6">
        <f t="shared" si="16"/>
        <v>30000</v>
      </c>
      <c r="BQ89" s="6"/>
      <c r="BR89" s="6">
        <f t="shared" si="17"/>
        <v>30000</v>
      </c>
      <c r="BS89" s="6"/>
      <c r="BT89" s="6">
        <f t="shared" si="18"/>
        <v>0</v>
      </c>
      <c r="BU89" s="9"/>
    </row>
    <row r="90" spans="1:75" s="21" customFormat="1">
      <c r="B90" s="240" t="s">
        <v>340</v>
      </c>
      <c r="J90" s="8"/>
      <c r="L90" s="143"/>
      <c r="M90" s="9"/>
      <c r="N90" s="9"/>
      <c r="O90" s="9"/>
      <c r="P90" s="9"/>
      <c r="Q90" s="9"/>
      <c r="R90" s="237">
        <v>458520</v>
      </c>
      <c r="S90" s="9"/>
      <c r="T90" s="9"/>
      <c r="U90" s="9"/>
      <c r="V90" s="9"/>
      <c r="W90" s="9"/>
      <c r="X90" s="9"/>
      <c r="Y90" s="9"/>
      <c r="Z90" s="9"/>
      <c r="AA90" s="9"/>
      <c r="AB90" s="9"/>
      <c r="AC90" s="9"/>
      <c r="AD90" s="9"/>
      <c r="AE90" s="9"/>
      <c r="AF90" s="9"/>
      <c r="AG90" s="9"/>
      <c r="AH90" s="9"/>
      <c r="AJ90" s="9"/>
      <c r="AL90" s="9"/>
      <c r="AN90" s="9"/>
      <c r="AO90" s="9"/>
      <c r="AP90" s="6">
        <v>3169</v>
      </c>
      <c r="AQ90" s="9"/>
      <c r="AR90" s="9"/>
      <c r="AS90" s="9"/>
      <c r="AT90" s="6">
        <f>205467-3169</f>
        <v>202298</v>
      </c>
      <c r="AU90" s="9"/>
      <c r="AV90" s="9"/>
      <c r="AW90" s="9"/>
      <c r="AX90" s="9"/>
      <c r="AY90" s="9"/>
      <c r="AZ90" s="9"/>
      <c r="BA90" s="9"/>
      <c r="BB90" s="9"/>
      <c r="BC90" s="9"/>
      <c r="BD90" s="9"/>
      <c r="BE90" s="9"/>
      <c r="BF90" s="9"/>
      <c r="BG90" s="9"/>
      <c r="BH90" s="9"/>
      <c r="BI90" s="9"/>
      <c r="BJ90" s="9"/>
      <c r="BK90" s="9"/>
      <c r="BL90" s="6">
        <f t="shared" si="15"/>
        <v>205467</v>
      </c>
      <c r="BM90" s="9"/>
      <c r="BN90" s="6">
        <f>676295-458520</f>
        <v>217775</v>
      </c>
      <c r="BO90" s="9"/>
      <c r="BP90" s="6">
        <f t="shared" si="16"/>
        <v>470828</v>
      </c>
      <c r="BQ90" s="6"/>
      <c r="BR90" s="6">
        <f t="shared" si="17"/>
        <v>676295</v>
      </c>
      <c r="BS90" s="6"/>
      <c r="BT90" s="6">
        <f t="shared" si="18"/>
        <v>-217775</v>
      </c>
      <c r="BU90" s="9"/>
    </row>
    <row r="91" spans="1:75" s="21" customFormat="1">
      <c r="B91" s="240" t="s">
        <v>341</v>
      </c>
      <c r="J91" s="8"/>
      <c r="L91" s="143"/>
      <c r="M91" s="9"/>
      <c r="N91" s="9"/>
      <c r="O91" s="9"/>
      <c r="P91" s="9"/>
      <c r="Q91" s="9"/>
      <c r="R91" s="237">
        <v>193150</v>
      </c>
      <c r="S91" s="9"/>
      <c r="T91" s="9"/>
      <c r="U91" s="9"/>
      <c r="V91" s="9"/>
      <c r="W91" s="9"/>
      <c r="X91" s="9"/>
      <c r="Y91" s="9"/>
      <c r="Z91" s="9"/>
      <c r="AA91" s="9"/>
      <c r="AB91" s="9"/>
      <c r="AC91" s="9"/>
      <c r="AD91" s="9"/>
      <c r="AE91" s="9"/>
      <c r="AF91" s="9"/>
      <c r="AG91" s="9"/>
      <c r="AH91" s="9"/>
      <c r="AJ91" s="9"/>
      <c r="AL91" s="9"/>
      <c r="AN91" s="9"/>
      <c r="AO91" s="9"/>
      <c r="AP91" s="6">
        <v>17185</v>
      </c>
      <c r="AQ91" s="9"/>
      <c r="AR91" s="9"/>
      <c r="AS91" s="9"/>
      <c r="AT91" s="6">
        <f>101228-17185</f>
        <v>84043</v>
      </c>
      <c r="AU91" s="9"/>
      <c r="AV91" s="9"/>
      <c r="AW91" s="9"/>
      <c r="AX91" s="9"/>
      <c r="AY91" s="9"/>
      <c r="AZ91" s="9"/>
      <c r="BA91" s="9"/>
      <c r="BB91" s="9"/>
      <c r="BC91" s="9"/>
      <c r="BD91" s="9"/>
      <c r="BE91" s="9"/>
      <c r="BF91" s="9"/>
      <c r="BG91" s="9"/>
      <c r="BH91" s="9"/>
      <c r="BI91" s="9"/>
      <c r="BJ91" s="9"/>
      <c r="BK91" s="9"/>
      <c r="BL91" s="6">
        <f t="shared" si="15"/>
        <v>101228</v>
      </c>
      <c r="BM91" s="9"/>
      <c r="BN91" s="9"/>
      <c r="BO91" s="9"/>
      <c r="BP91" s="6">
        <f t="shared" si="16"/>
        <v>91922</v>
      </c>
      <c r="BQ91" s="6"/>
      <c r="BR91" s="6">
        <f t="shared" si="17"/>
        <v>193150</v>
      </c>
      <c r="BS91" s="6"/>
      <c r="BT91" s="6">
        <f t="shared" si="18"/>
        <v>0</v>
      </c>
      <c r="BU91" s="9"/>
    </row>
    <row r="92" spans="1:75" s="21" customFormat="1">
      <c r="B92" s="240" t="s">
        <v>342</v>
      </c>
      <c r="J92" s="8"/>
      <c r="L92" s="143"/>
      <c r="M92" s="9"/>
      <c r="N92" s="9"/>
      <c r="O92" s="9"/>
      <c r="P92" s="9"/>
      <c r="Q92" s="9"/>
      <c r="R92" s="237">
        <v>2100</v>
      </c>
      <c r="S92" s="9"/>
      <c r="T92" s="9"/>
      <c r="U92" s="9"/>
      <c r="V92" s="9"/>
      <c r="W92" s="9"/>
      <c r="X92" s="9"/>
      <c r="Y92" s="9"/>
      <c r="Z92" s="9"/>
      <c r="AA92" s="9"/>
      <c r="AB92" s="9"/>
      <c r="AC92" s="9"/>
      <c r="AD92" s="9"/>
      <c r="AE92" s="9"/>
      <c r="AF92" s="9"/>
      <c r="AG92" s="9"/>
      <c r="AH92" s="9"/>
      <c r="AJ92" s="9"/>
      <c r="AL92" s="9"/>
      <c r="AN92" s="9"/>
      <c r="AO92" s="9"/>
      <c r="AP92" s="6">
        <v>0</v>
      </c>
      <c r="AQ92" s="9"/>
      <c r="AR92" s="9"/>
      <c r="AS92" s="9"/>
      <c r="AT92" s="6">
        <v>0</v>
      </c>
      <c r="AU92" s="9"/>
      <c r="AV92" s="9"/>
      <c r="AW92" s="9"/>
      <c r="AX92" s="9"/>
      <c r="AY92" s="9"/>
      <c r="AZ92" s="9"/>
      <c r="BA92" s="9"/>
      <c r="BB92" s="9"/>
      <c r="BC92" s="9"/>
      <c r="BD92" s="9"/>
      <c r="BE92" s="9"/>
      <c r="BF92" s="9"/>
      <c r="BG92" s="9"/>
      <c r="BH92" s="9"/>
      <c r="BI92" s="9"/>
      <c r="BJ92" s="9"/>
      <c r="BK92" s="9"/>
      <c r="BL92" s="6">
        <f t="shared" si="15"/>
        <v>0</v>
      </c>
      <c r="BM92" s="9"/>
      <c r="BN92" s="9"/>
      <c r="BO92" s="9"/>
      <c r="BP92" s="6">
        <f t="shared" si="16"/>
        <v>2100</v>
      </c>
      <c r="BQ92" s="6"/>
      <c r="BR92" s="6">
        <f t="shared" si="17"/>
        <v>2100</v>
      </c>
      <c r="BS92" s="6"/>
      <c r="BT92" s="6">
        <f t="shared" si="18"/>
        <v>0</v>
      </c>
      <c r="BU92" s="9"/>
    </row>
    <row r="93" spans="1:75" s="21" customFormat="1">
      <c r="B93" s="240" t="s">
        <v>343</v>
      </c>
      <c r="J93" s="8"/>
      <c r="L93" s="143"/>
      <c r="M93" s="9"/>
      <c r="N93" s="9"/>
      <c r="O93" s="9"/>
      <c r="P93" s="9"/>
      <c r="Q93" s="9"/>
      <c r="R93" s="237">
        <v>895918</v>
      </c>
      <c r="S93" s="9"/>
      <c r="T93" s="9"/>
      <c r="U93" s="9"/>
      <c r="V93" s="9"/>
      <c r="W93" s="9"/>
      <c r="X93" s="9"/>
      <c r="Y93" s="9"/>
      <c r="Z93" s="9"/>
      <c r="AA93" s="9"/>
      <c r="AB93" s="9"/>
      <c r="AC93" s="9"/>
      <c r="AD93" s="9"/>
      <c r="AE93" s="9"/>
      <c r="AF93" s="9"/>
      <c r="AG93" s="9"/>
      <c r="AH93" s="9"/>
      <c r="AJ93" s="9"/>
      <c r="AL93" s="9"/>
      <c r="AN93" s="9"/>
      <c r="AO93" s="9"/>
      <c r="AP93" s="6">
        <v>3445</v>
      </c>
      <c r="AQ93" s="9"/>
      <c r="AR93" s="9"/>
      <c r="AS93" s="9"/>
      <c r="AT93" s="6">
        <f>374616-3445</f>
        <v>371171</v>
      </c>
      <c r="AU93" s="9"/>
      <c r="AV93" s="9"/>
      <c r="AW93" s="9"/>
      <c r="AX93" s="9"/>
      <c r="AY93" s="9"/>
      <c r="AZ93" s="9"/>
      <c r="BA93" s="9"/>
      <c r="BB93" s="9"/>
      <c r="BC93" s="9"/>
      <c r="BD93" s="9"/>
      <c r="BE93" s="9"/>
      <c r="BF93" s="9"/>
      <c r="BG93" s="9"/>
      <c r="BH93" s="9"/>
      <c r="BI93" s="9"/>
      <c r="BJ93" s="9"/>
      <c r="BK93" s="9"/>
      <c r="BL93" s="6">
        <f t="shared" si="15"/>
        <v>374616</v>
      </c>
      <c r="BM93" s="9"/>
      <c r="BN93" s="6">
        <f>1395323-895918</f>
        <v>499405</v>
      </c>
      <c r="BO93" s="9"/>
      <c r="BP93" s="6">
        <f t="shared" si="16"/>
        <v>1020707</v>
      </c>
      <c r="BQ93" s="6"/>
      <c r="BR93" s="6">
        <f t="shared" si="17"/>
        <v>1395323</v>
      </c>
      <c r="BS93" s="6"/>
      <c r="BT93" s="6">
        <f t="shared" si="18"/>
        <v>-499405</v>
      </c>
      <c r="BU93" s="9"/>
    </row>
    <row r="94" spans="1:75" s="21" customFormat="1">
      <c r="B94" s="240" t="s">
        <v>344</v>
      </c>
      <c r="J94" s="8"/>
      <c r="L94" s="143"/>
      <c r="M94" s="9"/>
      <c r="N94" s="9"/>
      <c r="O94" s="9"/>
      <c r="P94" s="9"/>
      <c r="Q94" s="9"/>
      <c r="R94" s="237">
        <v>664866</v>
      </c>
      <c r="S94" s="9"/>
      <c r="T94" s="9"/>
      <c r="U94" s="9"/>
      <c r="V94" s="9"/>
      <c r="W94" s="9"/>
      <c r="X94" s="9"/>
      <c r="Y94" s="9"/>
      <c r="Z94" s="9"/>
      <c r="AA94" s="9"/>
      <c r="AB94" s="9"/>
      <c r="AC94" s="9"/>
      <c r="AD94" s="9"/>
      <c r="AE94" s="9"/>
      <c r="AF94" s="9"/>
      <c r="AG94" s="9"/>
      <c r="AH94" s="9"/>
      <c r="AJ94" s="9"/>
      <c r="AL94" s="9"/>
      <c r="AN94" s="9"/>
      <c r="AO94" s="9"/>
      <c r="AP94" s="6">
        <v>0</v>
      </c>
      <c r="AQ94" s="9"/>
      <c r="AR94" s="9"/>
      <c r="AS94" s="9"/>
      <c r="AT94" s="6">
        <v>250012</v>
      </c>
      <c r="AU94" s="9"/>
      <c r="AV94" s="9"/>
      <c r="AW94" s="9"/>
      <c r="AX94" s="9"/>
      <c r="AY94" s="9"/>
      <c r="AZ94" s="9"/>
      <c r="BA94" s="9"/>
      <c r="BB94" s="9"/>
      <c r="BC94" s="9"/>
      <c r="BD94" s="9"/>
      <c r="BE94" s="9"/>
      <c r="BF94" s="9"/>
      <c r="BG94" s="9"/>
      <c r="BH94" s="9"/>
      <c r="BI94" s="9"/>
      <c r="BJ94" s="9"/>
      <c r="BK94" s="9"/>
      <c r="BL94" s="6">
        <f t="shared" si="15"/>
        <v>250012</v>
      </c>
      <c r="BM94" s="9"/>
      <c r="BN94" s="9"/>
      <c r="BO94" s="9"/>
      <c r="BP94" s="6">
        <f t="shared" si="16"/>
        <v>414854</v>
      </c>
      <c r="BQ94" s="6"/>
      <c r="BR94" s="6">
        <f t="shared" si="17"/>
        <v>664866</v>
      </c>
      <c r="BS94" s="6"/>
      <c r="BT94" s="6">
        <f t="shared" si="18"/>
        <v>0</v>
      </c>
      <c r="BU94" s="9"/>
    </row>
    <row r="95" spans="1:75" s="21" customFormat="1">
      <c r="B95" s="240" t="s">
        <v>374</v>
      </c>
      <c r="J95" s="8"/>
      <c r="L95" s="143"/>
      <c r="M95" s="9"/>
      <c r="N95" s="9"/>
      <c r="O95" s="9"/>
      <c r="P95" s="9"/>
      <c r="Q95" s="9"/>
      <c r="R95" s="237"/>
      <c r="S95" s="9"/>
      <c r="T95" s="9"/>
      <c r="U95" s="9"/>
      <c r="V95" s="9"/>
      <c r="W95" s="9"/>
      <c r="X95" s="9"/>
      <c r="Y95" s="9"/>
      <c r="Z95" s="9"/>
      <c r="AA95" s="9"/>
      <c r="AB95" s="9"/>
      <c r="AC95" s="9"/>
      <c r="AD95" s="9"/>
      <c r="AE95" s="9"/>
      <c r="AF95" s="9"/>
      <c r="AG95" s="9"/>
      <c r="AH95" s="9"/>
      <c r="AJ95" s="9"/>
      <c r="AL95" s="9"/>
      <c r="AN95" s="9"/>
      <c r="AO95" s="9"/>
      <c r="AP95" s="6"/>
      <c r="AQ95" s="9"/>
      <c r="AR95" s="9"/>
      <c r="AS95" s="9"/>
      <c r="AT95" s="6">
        <v>20800</v>
      </c>
      <c r="AU95" s="9"/>
      <c r="AV95" s="9"/>
      <c r="AW95" s="9"/>
      <c r="AX95" s="9"/>
      <c r="AY95" s="9"/>
      <c r="AZ95" s="9"/>
      <c r="BA95" s="9"/>
      <c r="BB95" s="9"/>
      <c r="BC95" s="9"/>
      <c r="BD95" s="9"/>
      <c r="BE95" s="9"/>
      <c r="BF95" s="9"/>
      <c r="BG95" s="9"/>
      <c r="BH95" s="9"/>
      <c r="BI95" s="9"/>
      <c r="BJ95" s="9"/>
      <c r="BK95" s="9"/>
      <c r="BL95" s="6">
        <f t="shared" si="15"/>
        <v>20800</v>
      </c>
      <c r="BM95" s="9"/>
      <c r="BN95" s="9">
        <v>0</v>
      </c>
      <c r="BO95" s="9"/>
      <c r="BP95" s="6">
        <f t="shared" si="16"/>
        <v>0</v>
      </c>
      <c r="BQ95" s="6"/>
      <c r="BR95" s="6">
        <f t="shared" si="17"/>
        <v>20800</v>
      </c>
      <c r="BS95" s="6"/>
      <c r="BT95" s="6">
        <f t="shared" si="18"/>
        <v>-20800</v>
      </c>
      <c r="BU95" s="9"/>
    </row>
    <row r="96" spans="1:75" s="21" customFormat="1">
      <c r="B96" s="240" t="s">
        <v>345</v>
      </c>
      <c r="J96" s="8"/>
      <c r="L96" s="143"/>
      <c r="M96" s="9"/>
      <c r="N96" s="9"/>
      <c r="O96" s="9"/>
      <c r="P96" s="9"/>
      <c r="Q96" s="9"/>
      <c r="R96" s="237">
        <v>94439</v>
      </c>
      <c r="S96" s="9"/>
      <c r="T96" s="9"/>
      <c r="U96" s="9"/>
      <c r="V96" s="9"/>
      <c r="W96" s="9"/>
      <c r="X96" s="9"/>
      <c r="Y96" s="9"/>
      <c r="Z96" s="9"/>
      <c r="AA96" s="9"/>
      <c r="AB96" s="9"/>
      <c r="AC96" s="9"/>
      <c r="AD96" s="9"/>
      <c r="AE96" s="9"/>
      <c r="AF96" s="9"/>
      <c r="AG96" s="9"/>
      <c r="AH96" s="9"/>
      <c r="AJ96" s="9"/>
      <c r="AL96" s="9"/>
      <c r="AN96" s="9"/>
      <c r="AO96" s="9"/>
      <c r="AP96" s="6">
        <v>0</v>
      </c>
      <c r="AQ96" s="9"/>
      <c r="AR96" s="9"/>
      <c r="AS96" s="9"/>
      <c r="AT96" s="6">
        <v>4537</v>
      </c>
      <c r="AU96" s="9"/>
      <c r="AV96" s="9"/>
      <c r="AW96" s="9"/>
      <c r="AX96" s="9"/>
      <c r="AY96" s="9"/>
      <c r="AZ96" s="9"/>
      <c r="BA96" s="9"/>
      <c r="BB96" s="9"/>
      <c r="BC96" s="9"/>
      <c r="BD96" s="9"/>
      <c r="BE96" s="9"/>
      <c r="BF96" s="9"/>
      <c r="BG96" s="9"/>
      <c r="BH96" s="9"/>
      <c r="BI96" s="9"/>
      <c r="BJ96" s="9"/>
      <c r="BK96" s="9"/>
      <c r="BL96" s="6">
        <f t="shared" si="15"/>
        <v>4537</v>
      </c>
      <c r="BM96" s="6">
        <f>SUM(U96:BL96)</f>
        <v>9074</v>
      </c>
      <c r="BN96" s="6">
        <f>148228-94439</f>
        <v>53789</v>
      </c>
      <c r="BO96" s="6">
        <f>SUM(W96:BN96)</f>
        <v>71937</v>
      </c>
      <c r="BP96" s="6">
        <f t="shared" si="16"/>
        <v>143691</v>
      </c>
      <c r="BQ96" s="6">
        <f>SUM(Y96:BP96)</f>
        <v>287565</v>
      </c>
      <c r="BR96" s="6">
        <f t="shared" si="17"/>
        <v>148228</v>
      </c>
      <c r="BS96" s="6">
        <f>SUM(AA96:BR96)</f>
        <v>723358</v>
      </c>
      <c r="BT96" s="6">
        <f t="shared" si="18"/>
        <v>-53789</v>
      </c>
      <c r="BU96" s="6">
        <f>SUM(AC96:BT96)</f>
        <v>1392927</v>
      </c>
      <c r="BV96" s="6">
        <f>SUM(AD96:BU96)</f>
        <v>2785854</v>
      </c>
      <c r="BW96" s="6">
        <f>SUM(AE96:BV96)</f>
        <v>5571708</v>
      </c>
    </row>
    <row r="97" spans="2:73" s="21" customFormat="1">
      <c r="B97" s="240" t="s">
        <v>346</v>
      </c>
      <c r="J97" s="8"/>
      <c r="L97" s="143"/>
      <c r="M97" s="9"/>
      <c r="N97" s="9"/>
      <c r="O97" s="9"/>
      <c r="P97" s="9"/>
      <c r="Q97" s="9"/>
      <c r="R97" s="237">
        <v>46881</v>
      </c>
      <c r="S97" s="9"/>
      <c r="T97" s="9"/>
      <c r="U97" s="9"/>
      <c r="V97" s="9"/>
      <c r="W97" s="9"/>
      <c r="X97" s="9"/>
      <c r="Y97" s="9"/>
      <c r="Z97" s="9"/>
      <c r="AA97" s="9"/>
      <c r="AB97" s="9"/>
      <c r="AC97" s="9"/>
      <c r="AD97" s="9"/>
      <c r="AE97" s="9"/>
      <c r="AF97" s="9"/>
      <c r="AG97" s="9"/>
      <c r="AH97" s="9"/>
      <c r="AJ97" s="9"/>
      <c r="AL97" s="9"/>
      <c r="AN97" s="9"/>
      <c r="AO97" s="9"/>
      <c r="AP97" s="6">
        <v>0</v>
      </c>
      <c r="AQ97" s="9"/>
      <c r="AR97" s="9"/>
      <c r="AS97" s="9"/>
      <c r="AT97" s="6">
        <v>1645</v>
      </c>
      <c r="AU97" s="9"/>
      <c r="AV97" s="9"/>
      <c r="AW97" s="9"/>
      <c r="AX97" s="9"/>
      <c r="AY97" s="9"/>
      <c r="AZ97" s="9"/>
      <c r="BA97" s="9"/>
      <c r="BB97" s="9"/>
      <c r="BC97" s="9"/>
      <c r="BD97" s="9"/>
      <c r="BE97" s="9"/>
      <c r="BF97" s="9"/>
      <c r="BG97" s="9"/>
      <c r="BH97" s="9"/>
      <c r="BI97" s="9"/>
      <c r="BJ97" s="9"/>
      <c r="BK97" s="9"/>
      <c r="BL97" s="6">
        <f t="shared" si="15"/>
        <v>1645</v>
      </c>
      <c r="BM97" s="9"/>
      <c r="BN97" s="9"/>
      <c r="BO97" s="9"/>
      <c r="BP97" s="6">
        <f t="shared" si="16"/>
        <v>45236</v>
      </c>
      <c r="BQ97" s="6"/>
      <c r="BR97" s="6">
        <f t="shared" si="17"/>
        <v>46881</v>
      </c>
      <c r="BS97" s="6"/>
      <c r="BT97" s="6">
        <f t="shared" si="18"/>
        <v>0</v>
      </c>
      <c r="BU97" s="9"/>
    </row>
    <row r="98" spans="2:73" s="21" customFormat="1">
      <c r="B98" s="240" t="s">
        <v>347</v>
      </c>
      <c r="J98" s="8"/>
      <c r="L98" s="143"/>
      <c r="M98" s="9"/>
      <c r="N98" s="9"/>
      <c r="O98" s="9"/>
      <c r="P98" s="9"/>
      <c r="Q98" s="9"/>
      <c r="R98" s="237">
        <v>26528</v>
      </c>
      <c r="S98" s="9"/>
      <c r="T98" s="9"/>
      <c r="U98" s="9"/>
      <c r="V98" s="9"/>
      <c r="W98" s="9"/>
      <c r="X98" s="9"/>
      <c r="Y98" s="9"/>
      <c r="Z98" s="9"/>
      <c r="AA98" s="9"/>
      <c r="AB98" s="9"/>
      <c r="AC98" s="9"/>
      <c r="AD98" s="9"/>
      <c r="AE98" s="9"/>
      <c r="AF98" s="9"/>
      <c r="AG98" s="9"/>
      <c r="AH98" s="9"/>
      <c r="AJ98" s="9"/>
      <c r="AL98" s="9"/>
      <c r="AN98" s="9"/>
      <c r="AO98" s="9"/>
      <c r="AP98" s="6">
        <v>0</v>
      </c>
      <c r="AQ98" s="9"/>
      <c r="AR98" s="9"/>
      <c r="AS98" s="9"/>
      <c r="AT98" s="6">
        <v>182</v>
      </c>
      <c r="AU98" s="9"/>
      <c r="AV98" s="9"/>
      <c r="AW98" s="9"/>
      <c r="AX98" s="9"/>
      <c r="AY98" s="9"/>
      <c r="AZ98" s="9"/>
      <c r="BA98" s="9"/>
      <c r="BB98" s="9"/>
      <c r="BC98" s="9"/>
      <c r="BD98" s="9"/>
      <c r="BE98" s="9"/>
      <c r="BF98" s="9"/>
      <c r="BG98" s="9"/>
      <c r="BH98" s="9"/>
      <c r="BI98" s="9"/>
      <c r="BJ98" s="9"/>
      <c r="BK98" s="9"/>
      <c r="BL98" s="6">
        <f t="shared" si="15"/>
        <v>182</v>
      </c>
      <c r="BM98" s="9"/>
      <c r="BN98" s="6">
        <f>41158-26528</f>
        <v>14630</v>
      </c>
      <c r="BO98" s="9"/>
      <c r="BP98" s="6">
        <f t="shared" si="16"/>
        <v>40976</v>
      </c>
      <c r="BQ98" s="6"/>
      <c r="BR98" s="6">
        <f t="shared" si="17"/>
        <v>41158</v>
      </c>
      <c r="BS98" s="6"/>
      <c r="BT98" s="6">
        <f t="shared" si="18"/>
        <v>-14630</v>
      </c>
      <c r="BU98" s="9"/>
    </row>
    <row r="99" spans="2:73" s="21" customFormat="1">
      <c r="B99" s="240" t="s">
        <v>348</v>
      </c>
      <c r="J99" s="8"/>
      <c r="L99" s="143"/>
      <c r="M99" s="9"/>
      <c r="N99" s="9"/>
      <c r="O99" s="9"/>
      <c r="P99" s="9"/>
      <c r="Q99" s="9"/>
      <c r="R99" s="237">
        <v>94700</v>
      </c>
      <c r="S99" s="9"/>
      <c r="T99" s="9"/>
      <c r="U99" s="9"/>
      <c r="V99" s="9"/>
      <c r="W99" s="9"/>
      <c r="X99" s="9"/>
      <c r="Y99" s="9"/>
      <c r="Z99" s="9"/>
      <c r="AA99" s="9"/>
      <c r="AB99" s="9"/>
      <c r="AC99" s="9"/>
      <c r="AD99" s="9"/>
      <c r="AE99" s="9"/>
      <c r="AF99" s="9"/>
      <c r="AG99" s="9"/>
      <c r="AH99" s="9"/>
      <c r="AJ99" s="9"/>
      <c r="AL99" s="9"/>
      <c r="AN99" s="9"/>
      <c r="AO99" s="9"/>
      <c r="AP99" s="6">
        <v>0</v>
      </c>
      <c r="AQ99" s="9"/>
      <c r="AR99" s="9"/>
      <c r="AS99" s="9"/>
      <c r="AT99" s="6">
        <v>0</v>
      </c>
      <c r="AU99" s="9"/>
      <c r="AV99" s="9"/>
      <c r="AW99" s="9"/>
      <c r="AX99" s="9"/>
      <c r="AY99" s="9"/>
      <c r="AZ99" s="9"/>
      <c r="BA99" s="9"/>
      <c r="BB99" s="9"/>
      <c r="BC99" s="9"/>
      <c r="BD99" s="9"/>
      <c r="BE99" s="9"/>
      <c r="BF99" s="9"/>
      <c r="BG99" s="9"/>
      <c r="BH99" s="9"/>
      <c r="BI99" s="9"/>
      <c r="BJ99" s="9"/>
      <c r="BK99" s="9"/>
      <c r="BL99" s="6">
        <f t="shared" si="15"/>
        <v>0</v>
      </c>
      <c r="BM99" s="9"/>
      <c r="BN99" s="9"/>
      <c r="BO99" s="9"/>
      <c r="BP99" s="6">
        <f t="shared" si="16"/>
        <v>94700</v>
      </c>
      <c r="BQ99" s="6"/>
      <c r="BR99" s="6">
        <f t="shared" si="17"/>
        <v>94700</v>
      </c>
      <c r="BS99" s="6"/>
      <c r="BT99" s="6">
        <f t="shared" si="18"/>
        <v>0</v>
      </c>
      <c r="BU99" s="9"/>
    </row>
    <row r="100" spans="2:73" s="21" customFormat="1">
      <c r="B100" s="240" t="s">
        <v>349</v>
      </c>
      <c r="J100" s="8"/>
      <c r="L100" s="143"/>
      <c r="M100" s="9"/>
      <c r="N100" s="9"/>
      <c r="O100" s="9"/>
      <c r="P100" s="9"/>
      <c r="Q100" s="9"/>
      <c r="R100" s="237">
        <v>70928</v>
      </c>
      <c r="S100" s="9"/>
      <c r="T100" s="9"/>
      <c r="U100" s="9"/>
      <c r="V100" s="9"/>
      <c r="W100" s="9"/>
      <c r="X100" s="9"/>
      <c r="Y100" s="9"/>
      <c r="Z100" s="9"/>
      <c r="AA100" s="9"/>
      <c r="AB100" s="9"/>
      <c r="AC100" s="9"/>
      <c r="AD100" s="9"/>
      <c r="AE100" s="9"/>
      <c r="AF100" s="9"/>
      <c r="AG100" s="9"/>
      <c r="AH100" s="9"/>
      <c r="AJ100" s="9"/>
      <c r="AL100" s="9"/>
      <c r="AN100" s="9"/>
      <c r="AO100" s="9"/>
      <c r="AP100" s="6">
        <v>0</v>
      </c>
      <c r="AQ100" s="9"/>
      <c r="AR100" s="9"/>
      <c r="AS100" s="9"/>
      <c r="AT100" s="6">
        <v>0</v>
      </c>
      <c r="AU100" s="9"/>
      <c r="AV100" s="9"/>
      <c r="AW100" s="9"/>
      <c r="AX100" s="9"/>
      <c r="AY100" s="9"/>
      <c r="AZ100" s="9"/>
      <c r="BA100" s="9"/>
      <c r="BB100" s="9"/>
      <c r="BC100" s="9"/>
      <c r="BD100" s="9"/>
      <c r="BE100" s="9"/>
      <c r="BF100" s="9"/>
      <c r="BG100" s="9"/>
      <c r="BH100" s="9"/>
      <c r="BI100" s="9"/>
      <c r="BJ100" s="9"/>
      <c r="BK100" s="9"/>
      <c r="BL100" s="6">
        <f t="shared" si="15"/>
        <v>0</v>
      </c>
      <c r="BM100" s="9"/>
      <c r="BN100" s="9"/>
      <c r="BO100" s="9"/>
      <c r="BP100" s="6">
        <f t="shared" si="16"/>
        <v>70928</v>
      </c>
      <c r="BQ100" s="6"/>
      <c r="BR100" s="6">
        <f t="shared" si="17"/>
        <v>70928</v>
      </c>
      <c r="BS100" s="6"/>
      <c r="BT100" s="6">
        <f t="shared" si="18"/>
        <v>0</v>
      </c>
      <c r="BU100" s="9"/>
    </row>
    <row r="101" spans="2:73" s="21" customFormat="1">
      <c r="B101" s="240" t="s">
        <v>350</v>
      </c>
      <c r="J101" s="8"/>
      <c r="L101" s="143"/>
      <c r="M101" s="9"/>
      <c r="N101" s="9"/>
      <c r="O101" s="9"/>
      <c r="P101" s="9"/>
      <c r="Q101" s="9"/>
      <c r="R101" s="237">
        <v>625218</v>
      </c>
      <c r="S101" s="9"/>
      <c r="T101" s="9"/>
      <c r="U101" s="9"/>
      <c r="V101" s="9"/>
      <c r="W101" s="9"/>
      <c r="X101" s="9"/>
      <c r="Y101" s="9"/>
      <c r="Z101" s="9"/>
      <c r="AA101" s="9"/>
      <c r="AB101" s="9"/>
      <c r="AC101" s="9"/>
      <c r="AD101" s="9"/>
      <c r="AE101" s="9"/>
      <c r="AF101" s="9"/>
      <c r="AG101" s="9"/>
      <c r="AH101" s="9"/>
      <c r="AJ101" s="9"/>
      <c r="AL101" s="9"/>
      <c r="AN101" s="9"/>
      <c r="AO101" s="9"/>
      <c r="AP101" s="6">
        <v>0</v>
      </c>
      <c r="AQ101" s="9"/>
      <c r="AR101" s="9"/>
      <c r="AS101" s="9"/>
      <c r="AT101" s="6">
        <v>0</v>
      </c>
      <c r="AU101" s="9"/>
      <c r="AV101" s="9"/>
      <c r="AW101" s="9"/>
      <c r="AX101" s="9"/>
      <c r="AY101" s="9"/>
      <c r="AZ101" s="9"/>
      <c r="BA101" s="9"/>
      <c r="BB101" s="9"/>
      <c r="BC101" s="9"/>
      <c r="BD101" s="9"/>
      <c r="BE101" s="9"/>
      <c r="BF101" s="9"/>
      <c r="BG101" s="9"/>
      <c r="BH101" s="9"/>
      <c r="BI101" s="9"/>
      <c r="BJ101" s="9"/>
      <c r="BK101" s="9"/>
      <c r="BL101" s="6">
        <f t="shared" si="15"/>
        <v>0</v>
      </c>
      <c r="BM101" s="9"/>
      <c r="BN101" s="9"/>
      <c r="BO101" s="9"/>
      <c r="BP101" s="6">
        <f t="shared" si="16"/>
        <v>625218</v>
      </c>
      <c r="BQ101" s="6"/>
      <c r="BR101" s="6">
        <f t="shared" si="17"/>
        <v>625218</v>
      </c>
      <c r="BS101" s="6"/>
      <c r="BT101" s="6">
        <f t="shared" si="18"/>
        <v>0</v>
      </c>
      <c r="BU101" s="9"/>
    </row>
    <row r="102" spans="2:73" s="21" customFormat="1">
      <c r="B102" s="240" t="s">
        <v>351</v>
      </c>
      <c r="J102" s="8"/>
      <c r="L102" s="143"/>
      <c r="M102" s="9"/>
      <c r="N102" s="9"/>
      <c r="O102" s="9"/>
      <c r="P102" s="9"/>
      <c r="Q102" s="9"/>
      <c r="R102" s="237">
        <v>351722</v>
      </c>
      <c r="S102" s="9"/>
      <c r="T102" s="9"/>
      <c r="U102" s="9"/>
      <c r="V102" s="9"/>
      <c r="W102" s="9"/>
      <c r="X102" s="9"/>
      <c r="Y102" s="9"/>
      <c r="Z102" s="9"/>
      <c r="AA102" s="9"/>
      <c r="AB102" s="9"/>
      <c r="AC102" s="9"/>
      <c r="AD102" s="9"/>
      <c r="AE102" s="9"/>
      <c r="AF102" s="9"/>
      <c r="AG102" s="9"/>
      <c r="AH102" s="9"/>
      <c r="AJ102" s="9"/>
      <c r="AL102" s="9"/>
      <c r="AN102" s="9"/>
      <c r="AO102" s="9"/>
      <c r="AP102" s="6">
        <v>0</v>
      </c>
      <c r="AQ102" s="9"/>
      <c r="AR102" s="9"/>
      <c r="AS102" s="9"/>
      <c r="AT102" s="6">
        <v>0</v>
      </c>
      <c r="AU102" s="9"/>
      <c r="AV102" s="9"/>
      <c r="AW102" s="9"/>
      <c r="AX102" s="9"/>
      <c r="AY102" s="9"/>
      <c r="AZ102" s="9"/>
      <c r="BA102" s="9"/>
      <c r="BB102" s="9"/>
      <c r="BC102" s="9"/>
      <c r="BD102" s="9"/>
      <c r="BE102" s="9"/>
      <c r="BF102" s="9"/>
      <c r="BG102" s="9"/>
      <c r="BH102" s="9"/>
      <c r="BI102" s="9"/>
      <c r="BJ102" s="9"/>
      <c r="BK102" s="9"/>
      <c r="BL102" s="6">
        <f t="shared" si="15"/>
        <v>0</v>
      </c>
      <c r="BM102" s="9"/>
      <c r="BN102" s="6">
        <f>511817-351722</f>
        <v>160095</v>
      </c>
      <c r="BO102" s="9"/>
      <c r="BP102" s="6">
        <f t="shared" si="16"/>
        <v>511817</v>
      </c>
      <c r="BQ102" s="6"/>
      <c r="BR102" s="6">
        <f t="shared" si="17"/>
        <v>511817</v>
      </c>
      <c r="BS102" s="6"/>
      <c r="BT102" s="6">
        <f t="shared" si="18"/>
        <v>-160095</v>
      </c>
      <c r="BU102" s="9"/>
    </row>
    <row r="103" spans="2:73" s="21" customFormat="1">
      <c r="B103" s="240" t="s">
        <v>352</v>
      </c>
      <c r="J103" s="8"/>
      <c r="L103" s="143"/>
      <c r="M103" s="9"/>
      <c r="N103" s="9"/>
      <c r="O103" s="9"/>
      <c r="P103" s="9"/>
      <c r="Q103" s="9"/>
      <c r="R103" s="237">
        <v>0</v>
      </c>
      <c r="S103" s="9"/>
      <c r="T103" s="9"/>
      <c r="U103" s="9"/>
      <c r="V103" s="9"/>
      <c r="W103" s="9"/>
      <c r="X103" s="9"/>
      <c r="Y103" s="9"/>
      <c r="Z103" s="9"/>
      <c r="AA103" s="9"/>
      <c r="AB103" s="9"/>
      <c r="AC103" s="9"/>
      <c r="AD103" s="9"/>
      <c r="AE103" s="9"/>
      <c r="AF103" s="9"/>
      <c r="AG103" s="9"/>
      <c r="AH103" s="9"/>
      <c r="AJ103" s="9"/>
      <c r="AL103" s="9"/>
      <c r="AN103" s="9"/>
      <c r="AO103" s="9"/>
      <c r="AP103" s="6">
        <v>0</v>
      </c>
      <c r="AQ103" s="9"/>
      <c r="AR103" s="9"/>
      <c r="AS103" s="9"/>
      <c r="AT103" s="6">
        <v>3409</v>
      </c>
      <c r="AU103" s="9"/>
      <c r="AV103" s="9"/>
      <c r="AW103" s="9"/>
      <c r="AX103" s="9"/>
      <c r="AY103" s="9"/>
      <c r="AZ103" s="9"/>
      <c r="BA103" s="9"/>
      <c r="BB103" s="9"/>
      <c r="BC103" s="9"/>
      <c r="BD103" s="9"/>
      <c r="BE103" s="9"/>
      <c r="BF103" s="9"/>
      <c r="BG103" s="9"/>
      <c r="BH103" s="9"/>
      <c r="BI103" s="9"/>
      <c r="BJ103" s="9"/>
      <c r="BK103" s="9"/>
      <c r="BL103" s="6">
        <f t="shared" si="15"/>
        <v>3409</v>
      </c>
      <c r="BM103" s="9"/>
      <c r="BN103" s="6">
        <v>10000</v>
      </c>
      <c r="BO103" s="9"/>
      <c r="BP103" s="6">
        <f t="shared" si="16"/>
        <v>6591</v>
      </c>
      <c r="BQ103" s="6"/>
      <c r="BR103" s="6">
        <f t="shared" si="17"/>
        <v>10000</v>
      </c>
      <c r="BS103" s="6"/>
      <c r="BT103" s="6">
        <f t="shared" si="18"/>
        <v>-10000</v>
      </c>
      <c r="BU103" s="9"/>
    </row>
    <row r="104" spans="2:73" s="21" customFormat="1">
      <c r="B104" s="240" t="s">
        <v>353</v>
      </c>
      <c r="J104" s="8"/>
      <c r="L104" s="143"/>
      <c r="M104" s="9"/>
      <c r="N104" s="9"/>
      <c r="O104" s="9"/>
      <c r="P104" s="9"/>
      <c r="Q104" s="9"/>
      <c r="R104" s="237">
        <v>1515431</v>
      </c>
      <c r="S104" s="9"/>
      <c r="T104" s="9"/>
      <c r="U104" s="9"/>
      <c r="V104" s="9"/>
      <c r="W104" s="9"/>
      <c r="X104" s="9"/>
      <c r="Y104" s="9"/>
      <c r="Z104" s="9"/>
      <c r="AA104" s="9"/>
      <c r="AB104" s="9"/>
      <c r="AC104" s="9"/>
      <c r="AD104" s="9"/>
      <c r="AE104" s="9"/>
      <c r="AF104" s="9"/>
      <c r="AG104" s="9"/>
      <c r="AH104" s="9"/>
      <c r="AJ104" s="9"/>
      <c r="AL104" s="9"/>
      <c r="AN104" s="9"/>
      <c r="AO104" s="9"/>
      <c r="AP104" s="6">
        <v>0</v>
      </c>
      <c r="AQ104" s="9"/>
      <c r="AR104" s="9"/>
      <c r="AS104" s="9"/>
      <c r="AT104" s="6">
        <v>3559</v>
      </c>
      <c r="AU104" s="9"/>
      <c r="AV104" s="9"/>
      <c r="AW104" s="9"/>
      <c r="AX104" s="9"/>
      <c r="AY104" s="9"/>
      <c r="AZ104" s="9"/>
      <c r="BA104" s="9"/>
      <c r="BB104" s="9"/>
      <c r="BC104" s="9"/>
      <c r="BD104" s="9"/>
      <c r="BE104" s="9"/>
      <c r="BF104" s="9"/>
      <c r="BG104" s="9"/>
      <c r="BH104" s="9"/>
      <c r="BI104" s="9"/>
      <c r="BJ104" s="9"/>
      <c r="BK104" s="9"/>
      <c r="BL104" s="6">
        <f t="shared" si="15"/>
        <v>3559</v>
      </c>
      <c r="BM104" s="9"/>
      <c r="BN104" s="6">
        <f>2129255-1515431</f>
        <v>613824</v>
      </c>
      <c r="BO104" s="9"/>
      <c r="BP104" s="6">
        <f t="shared" si="16"/>
        <v>2125696</v>
      </c>
      <c r="BQ104" s="6"/>
      <c r="BR104" s="6">
        <f t="shared" si="17"/>
        <v>2129255</v>
      </c>
      <c r="BS104" s="6"/>
      <c r="BT104" s="6">
        <f t="shared" si="18"/>
        <v>-613824</v>
      </c>
      <c r="BU104" s="9"/>
    </row>
    <row r="105" spans="2:73" s="21" customFormat="1">
      <c r="B105" s="240" t="s">
        <v>354</v>
      </c>
      <c r="J105" s="8"/>
      <c r="L105" s="143"/>
      <c r="M105" s="9"/>
      <c r="N105" s="9"/>
      <c r="O105" s="9"/>
      <c r="P105" s="9"/>
      <c r="Q105" s="9"/>
      <c r="R105" s="237">
        <v>125000</v>
      </c>
      <c r="S105" s="9"/>
      <c r="T105" s="9"/>
      <c r="U105" s="9"/>
      <c r="V105" s="9"/>
      <c r="W105" s="9"/>
      <c r="X105" s="9"/>
      <c r="Y105" s="9"/>
      <c r="Z105" s="9"/>
      <c r="AA105" s="9"/>
      <c r="AB105" s="9"/>
      <c r="AC105" s="9"/>
      <c r="AD105" s="9"/>
      <c r="AE105" s="9"/>
      <c r="AF105" s="9"/>
      <c r="AG105" s="9"/>
      <c r="AH105" s="9"/>
      <c r="AJ105" s="9"/>
      <c r="AL105" s="9"/>
      <c r="AN105" s="9"/>
      <c r="AO105" s="9"/>
      <c r="AP105" s="6">
        <v>0</v>
      </c>
      <c r="AQ105" s="9"/>
      <c r="AR105" s="9"/>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532814-125000</f>
        <v>407814</v>
      </c>
      <c r="BO105" s="9"/>
      <c r="BP105" s="6">
        <f t="shared" si="16"/>
        <v>532814</v>
      </c>
      <c r="BQ105" s="6"/>
      <c r="BR105" s="6">
        <f t="shared" si="17"/>
        <v>532814</v>
      </c>
      <c r="BS105" s="6"/>
      <c r="BT105" s="6">
        <f t="shared" si="18"/>
        <v>-407814</v>
      </c>
      <c r="BU105" s="9"/>
    </row>
    <row r="106" spans="2:73" s="21" customFormat="1">
      <c r="B106" s="240" t="s">
        <v>355</v>
      </c>
      <c r="J106" s="8"/>
      <c r="L106" s="143"/>
      <c r="M106" s="9"/>
      <c r="N106" s="9"/>
      <c r="O106" s="9"/>
      <c r="P106" s="9"/>
      <c r="Q106" s="9"/>
      <c r="R106" s="237">
        <v>251258</v>
      </c>
      <c r="S106" s="9"/>
      <c r="T106" s="9"/>
      <c r="U106" s="9"/>
      <c r="V106" s="9"/>
      <c r="W106" s="9"/>
      <c r="X106" s="9"/>
      <c r="Y106" s="9"/>
      <c r="Z106" s="9"/>
      <c r="AA106" s="9"/>
      <c r="AB106" s="9"/>
      <c r="AC106" s="9"/>
      <c r="AD106" s="9"/>
      <c r="AE106" s="9"/>
      <c r="AF106" s="9"/>
      <c r="AG106" s="9"/>
      <c r="AH106" s="9"/>
      <c r="AJ106" s="9"/>
      <c r="AL106" s="9"/>
      <c r="AN106" s="9"/>
      <c r="AO106" s="9"/>
      <c r="AP106" s="6">
        <v>308</v>
      </c>
      <c r="AQ106" s="9"/>
      <c r="AR106" s="9"/>
      <c r="AS106" s="9"/>
      <c r="AT106" s="6">
        <v>0</v>
      </c>
      <c r="AU106" s="9"/>
      <c r="AV106" s="9"/>
      <c r="AW106" s="9"/>
      <c r="AX106" s="9"/>
      <c r="AY106" s="9"/>
      <c r="AZ106" s="9"/>
      <c r="BA106" s="9"/>
      <c r="BB106" s="9"/>
      <c r="BC106" s="9"/>
      <c r="BD106" s="9"/>
      <c r="BE106" s="9"/>
      <c r="BF106" s="9"/>
      <c r="BG106" s="9"/>
      <c r="BH106" s="9"/>
      <c r="BI106" s="9"/>
      <c r="BJ106" s="9"/>
      <c r="BK106" s="9"/>
      <c r="BL106" s="6">
        <f t="shared" si="15"/>
        <v>308</v>
      </c>
      <c r="BM106" s="9"/>
      <c r="BN106" s="6">
        <f>364084-251258</f>
        <v>112826</v>
      </c>
      <c r="BO106" s="9"/>
      <c r="BP106" s="6">
        <f t="shared" si="16"/>
        <v>363776</v>
      </c>
      <c r="BQ106" s="6"/>
      <c r="BR106" s="6">
        <f t="shared" si="17"/>
        <v>364084</v>
      </c>
      <c r="BS106" s="6"/>
      <c r="BT106" s="6">
        <f t="shared" si="18"/>
        <v>-112826</v>
      </c>
      <c r="BU106" s="9"/>
    </row>
    <row r="107" spans="2:73" s="21" customFormat="1">
      <c r="B107" s="240" t="s">
        <v>368</v>
      </c>
      <c r="J107" s="8"/>
      <c r="L107" s="143"/>
      <c r="M107" s="9"/>
      <c r="N107" s="9"/>
      <c r="O107" s="9"/>
      <c r="P107" s="9"/>
      <c r="Q107" s="9"/>
      <c r="R107" s="237">
        <v>100000</v>
      </c>
      <c r="S107" s="9"/>
      <c r="T107" s="9"/>
      <c r="U107" s="9"/>
      <c r="V107" s="9"/>
      <c r="W107" s="9"/>
      <c r="X107" s="9"/>
      <c r="Y107" s="9"/>
      <c r="Z107" s="9"/>
      <c r="AA107" s="9"/>
      <c r="AB107" s="9"/>
      <c r="AC107" s="9"/>
      <c r="AD107" s="9"/>
      <c r="AE107" s="9"/>
      <c r="AF107" s="9"/>
      <c r="AG107" s="9"/>
      <c r="AH107" s="9"/>
      <c r="AJ107" s="9"/>
      <c r="AL107" s="9"/>
      <c r="AN107" s="9"/>
      <c r="AO107" s="9"/>
      <c r="AP107" s="6">
        <v>0</v>
      </c>
      <c r="AQ107" s="9"/>
      <c r="AR107" s="9"/>
      <c r="AS107" s="9"/>
      <c r="AT107" s="6">
        <v>0</v>
      </c>
      <c r="AU107" s="9"/>
      <c r="AV107" s="9"/>
      <c r="AW107" s="9"/>
      <c r="AX107" s="9"/>
      <c r="AY107" s="9"/>
      <c r="AZ107" s="9"/>
      <c r="BA107" s="9"/>
      <c r="BB107" s="9"/>
      <c r="BC107" s="9"/>
      <c r="BD107" s="9"/>
      <c r="BE107" s="9"/>
      <c r="BF107" s="9"/>
      <c r="BG107" s="9"/>
      <c r="BH107" s="9"/>
      <c r="BI107" s="9"/>
      <c r="BJ107" s="9"/>
      <c r="BK107" s="9"/>
      <c r="BL107" s="6">
        <f t="shared" si="15"/>
        <v>0</v>
      </c>
      <c r="BM107" s="9"/>
      <c r="BN107" s="9"/>
      <c r="BO107" s="9"/>
      <c r="BP107" s="6">
        <f t="shared" si="16"/>
        <v>100000</v>
      </c>
      <c r="BQ107" s="6"/>
      <c r="BR107" s="6">
        <f t="shared" si="17"/>
        <v>100000</v>
      </c>
      <c r="BS107" s="6"/>
      <c r="BT107" s="6">
        <f t="shared" si="18"/>
        <v>0</v>
      </c>
      <c r="BU107" s="9"/>
    </row>
    <row r="108" spans="2:73" s="21" customFormat="1">
      <c r="B108" s="240" t="s">
        <v>356</v>
      </c>
      <c r="J108" s="8"/>
      <c r="L108" s="143"/>
      <c r="M108" s="9"/>
      <c r="N108" s="9"/>
      <c r="O108" s="9"/>
      <c r="P108" s="9"/>
      <c r="Q108" s="9"/>
      <c r="R108" s="237">
        <v>587792</v>
      </c>
      <c r="S108" s="9"/>
      <c r="T108" s="9"/>
      <c r="U108" s="9"/>
      <c r="V108" s="9"/>
      <c r="W108" s="9"/>
      <c r="X108" s="9"/>
      <c r="Y108" s="9"/>
      <c r="Z108" s="9"/>
      <c r="AA108" s="9"/>
      <c r="AB108" s="9"/>
      <c r="AC108" s="9"/>
      <c r="AD108" s="9"/>
      <c r="AE108" s="9"/>
      <c r="AF108" s="9"/>
      <c r="AG108" s="9"/>
      <c r="AH108" s="9"/>
      <c r="AJ108" s="9"/>
      <c r="AL108" s="9"/>
      <c r="AN108" s="9"/>
      <c r="AO108" s="9"/>
      <c r="AP108" s="6">
        <v>0</v>
      </c>
      <c r="AQ108" s="9"/>
      <c r="AR108" s="9"/>
      <c r="AS108" s="9"/>
      <c r="AT108" s="6">
        <v>0</v>
      </c>
      <c r="AU108" s="9"/>
      <c r="AV108" s="9"/>
      <c r="AW108" s="9"/>
      <c r="AX108" s="9"/>
      <c r="AY108" s="9"/>
      <c r="AZ108" s="9"/>
      <c r="BA108" s="9"/>
      <c r="BB108" s="9"/>
      <c r="BC108" s="9"/>
      <c r="BD108" s="9"/>
      <c r="BE108" s="9"/>
      <c r="BF108" s="9"/>
      <c r="BG108" s="9"/>
      <c r="BH108" s="9"/>
      <c r="BI108" s="9"/>
      <c r="BJ108" s="9"/>
      <c r="BK108" s="9"/>
      <c r="BL108" s="6">
        <f t="shared" si="15"/>
        <v>0</v>
      </c>
      <c r="BM108" s="9"/>
      <c r="BN108" s="9"/>
      <c r="BO108" s="9"/>
      <c r="BP108" s="6">
        <f t="shared" si="16"/>
        <v>587792</v>
      </c>
      <c r="BQ108" s="6"/>
      <c r="BR108" s="6">
        <f t="shared" si="17"/>
        <v>587792</v>
      </c>
      <c r="BS108" s="6"/>
      <c r="BT108" s="6">
        <f t="shared" si="18"/>
        <v>0</v>
      </c>
      <c r="BU108" s="9"/>
    </row>
    <row r="109" spans="2:73" s="21" customFormat="1">
      <c r="B109" s="240" t="s">
        <v>357</v>
      </c>
      <c r="J109" s="8"/>
      <c r="L109" s="143"/>
      <c r="M109" s="9"/>
      <c r="N109" s="9"/>
      <c r="O109" s="9"/>
      <c r="P109" s="9"/>
      <c r="Q109" s="9"/>
      <c r="R109" s="237">
        <v>1038779</v>
      </c>
      <c r="S109" s="9"/>
      <c r="T109" s="9"/>
      <c r="U109" s="9"/>
      <c r="V109" s="9"/>
      <c r="W109" s="9"/>
      <c r="X109" s="9"/>
      <c r="Y109" s="9"/>
      <c r="Z109" s="9"/>
      <c r="AA109" s="9"/>
      <c r="AB109" s="9"/>
      <c r="AC109" s="9"/>
      <c r="AD109" s="9"/>
      <c r="AE109" s="9"/>
      <c r="AF109" s="9"/>
      <c r="AG109" s="9"/>
      <c r="AH109" s="9"/>
      <c r="AJ109" s="9"/>
      <c r="AL109" s="9"/>
      <c r="AN109" s="9"/>
      <c r="AO109" s="9"/>
      <c r="AP109" s="6">
        <v>3795</v>
      </c>
      <c r="AQ109" s="9"/>
      <c r="AR109" s="9"/>
      <c r="AS109" s="9"/>
      <c r="AT109" s="6">
        <f>85455-3795</f>
        <v>81660</v>
      </c>
      <c r="AU109" s="9"/>
      <c r="AV109" s="9"/>
      <c r="AW109" s="9"/>
      <c r="AX109" s="9"/>
      <c r="AY109" s="9"/>
      <c r="AZ109" s="9"/>
      <c r="BA109" s="9"/>
      <c r="BB109" s="9"/>
      <c r="BC109" s="9"/>
      <c r="BD109" s="9"/>
      <c r="BE109" s="9"/>
      <c r="BF109" s="9"/>
      <c r="BG109" s="9"/>
      <c r="BH109" s="9"/>
      <c r="BI109" s="9"/>
      <c r="BJ109" s="9"/>
      <c r="BK109" s="9"/>
      <c r="BL109" s="6">
        <f t="shared" si="15"/>
        <v>85455</v>
      </c>
      <c r="BM109" s="9"/>
      <c r="BN109" s="6">
        <f>1855302-1038779</f>
        <v>816523</v>
      </c>
      <c r="BO109" s="9"/>
      <c r="BP109" s="6">
        <f t="shared" si="16"/>
        <v>1769847</v>
      </c>
      <c r="BQ109" s="6"/>
      <c r="BR109" s="6">
        <f t="shared" si="17"/>
        <v>1855302</v>
      </c>
      <c r="BS109" s="6"/>
      <c r="BT109" s="6">
        <f t="shared" si="18"/>
        <v>-816523</v>
      </c>
      <c r="BU109" s="9"/>
    </row>
    <row r="110" spans="2:73" s="21" customFormat="1">
      <c r="B110" s="240" t="s">
        <v>358</v>
      </c>
      <c r="J110" s="8"/>
      <c r="L110" s="143"/>
      <c r="M110" s="9"/>
      <c r="N110" s="9"/>
      <c r="O110" s="9"/>
      <c r="P110" s="9"/>
      <c r="Q110" s="9"/>
      <c r="R110" s="237">
        <v>2364616</v>
      </c>
      <c r="S110" s="9"/>
      <c r="T110" s="9"/>
      <c r="U110" s="9"/>
      <c r="V110" s="9"/>
      <c r="W110" s="9"/>
      <c r="X110" s="9"/>
      <c r="Y110" s="9"/>
      <c r="Z110" s="9"/>
      <c r="AA110" s="9"/>
      <c r="AB110" s="9"/>
      <c r="AC110" s="9"/>
      <c r="AD110" s="9"/>
      <c r="AE110" s="9"/>
      <c r="AF110" s="9"/>
      <c r="AG110" s="9"/>
      <c r="AH110" s="9"/>
      <c r="AJ110" s="9"/>
      <c r="AL110" s="9"/>
      <c r="AN110" s="9"/>
      <c r="AO110" s="9"/>
      <c r="AP110" s="6">
        <v>0</v>
      </c>
      <c r="AQ110" s="9"/>
      <c r="AR110" s="9"/>
      <c r="AS110" s="9"/>
      <c r="AT110" s="6">
        <v>41645</v>
      </c>
      <c r="AU110" s="9"/>
      <c r="AV110" s="9"/>
      <c r="AW110" s="9"/>
      <c r="AX110" s="9"/>
      <c r="AY110" s="9"/>
      <c r="AZ110" s="9"/>
      <c r="BA110" s="9"/>
      <c r="BB110" s="9"/>
      <c r="BC110" s="9"/>
      <c r="BD110" s="9"/>
      <c r="BE110" s="9"/>
      <c r="BF110" s="9"/>
      <c r="BG110" s="9"/>
      <c r="BH110" s="9"/>
      <c r="BI110" s="9"/>
      <c r="BJ110" s="9"/>
      <c r="BK110" s="9"/>
      <c r="BL110" s="6">
        <f t="shared" si="15"/>
        <v>41645</v>
      </c>
      <c r="BM110" s="9"/>
      <c r="BN110" s="6">
        <v>0</v>
      </c>
      <c r="BO110" s="9"/>
      <c r="BP110" s="6">
        <f t="shared" si="16"/>
        <v>2322971</v>
      </c>
      <c r="BQ110" s="6"/>
      <c r="BR110" s="6">
        <f t="shared" si="17"/>
        <v>2364616</v>
      </c>
      <c r="BS110" s="6"/>
      <c r="BT110" s="6">
        <f t="shared" si="18"/>
        <v>0</v>
      </c>
      <c r="BU110" s="9"/>
    </row>
    <row r="111" spans="2:73" s="21" customFormat="1">
      <c r="B111" s="240" t="s">
        <v>359</v>
      </c>
      <c r="J111" s="8"/>
      <c r="L111" s="143"/>
      <c r="M111" s="9"/>
      <c r="N111" s="9"/>
      <c r="O111" s="9"/>
      <c r="P111" s="9"/>
      <c r="Q111" s="9"/>
      <c r="R111" s="237">
        <v>554393</v>
      </c>
      <c r="S111" s="9"/>
      <c r="T111" s="9"/>
      <c r="U111" s="9"/>
      <c r="V111" s="9"/>
      <c r="W111" s="9"/>
      <c r="X111" s="9"/>
      <c r="Y111" s="9"/>
      <c r="Z111" s="9"/>
      <c r="AA111" s="9"/>
      <c r="AB111" s="9"/>
      <c r="AC111" s="9"/>
      <c r="AD111" s="9"/>
      <c r="AE111" s="9"/>
      <c r="AF111" s="9"/>
      <c r="AG111" s="9"/>
      <c r="AH111" s="9"/>
      <c r="AJ111" s="9"/>
      <c r="AL111" s="9"/>
      <c r="AN111" s="9"/>
      <c r="AO111" s="9"/>
      <c r="AP111" s="6">
        <v>0</v>
      </c>
      <c r="AQ111" s="9"/>
      <c r="AR111" s="9"/>
      <c r="AS111" s="9"/>
      <c r="AT111" s="6">
        <v>544</v>
      </c>
      <c r="AU111" s="9"/>
      <c r="AV111" s="9"/>
      <c r="AW111" s="9"/>
      <c r="AX111" s="9"/>
      <c r="AY111" s="9"/>
      <c r="AZ111" s="9"/>
      <c r="BA111" s="9"/>
      <c r="BB111" s="9"/>
      <c r="BC111" s="9"/>
      <c r="BD111" s="9"/>
      <c r="BE111" s="9"/>
      <c r="BF111" s="9"/>
      <c r="BG111" s="9"/>
      <c r="BH111" s="9"/>
      <c r="BI111" s="9"/>
      <c r="BJ111" s="9"/>
      <c r="BK111" s="9"/>
      <c r="BL111" s="6">
        <f t="shared" si="15"/>
        <v>544</v>
      </c>
      <c r="BM111" s="9"/>
      <c r="BN111" s="6">
        <f>813908-554393</f>
        <v>259515</v>
      </c>
      <c r="BO111" s="9"/>
      <c r="BP111" s="6">
        <f t="shared" si="16"/>
        <v>813364</v>
      </c>
      <c r="BQ111" s="6"/>
      <c r="BR111" s="6">
        <f t="shared" si="17"/>
        <v>813908</v>
      </c>
      <c r="BS111" s="6"/>
      <c r="BT111" s="6">
        <f t="shared" si="18"/>
        <v>-259515</v>
      </c>
      <c r="BU111" s="9"/>
    </row>
    <row r="112" spans="2:73" s="21" customFormat="1">
      <c r="B112" s="240" t="s">
        <v>360</v>
      </c>
      <c r="J112" s="8"/>
      <c r="L112" s="143"/>
      <c r="M112" s="9"/>
      <c r="N112" s="9"/>
      <c r="O112" s="9"/>
      <c r="P112" s="9"/>
      <c r="Q112" s="9"/>
      <c r="R112" s="237">
        <v>149250</v>
      </c>
      <c r="S112" s="9"/>
      <c r="T112" s="9"/>
      <c r="U112" s="9"/>
      <c r="V112" s="9"/>
      <c r="W112" s="9"/>
      <c r="X112" s="9"/>
      <c r="Y112" s="9"/>
      <c r="Z112" s="9"/>
      <c r="AA112" s="9"/>
      <c r="AB112" s="9"/>
      <c r="AC112" s="9"/>
      <c r="AD112" s="9"/>
      <c r="AE112" s="9"/>
      <c r="AF112" s="9"/>
      <c r="AG112" s="9"/>
      <c r="AH112" s="9"/>
      <c r="AJ112" s="9"/>
      <c r="AL112" s="9"/>
      <c r="AN112" s="9"/>
      <c r="AO112" s="9"/>
      <c r="AP112" s="6">
        <v>0</v>
      </c>
      <c r="AQ112" s="9"/>
      <c r="AR112" s="9"/>
      <c r="AS112" s="9"/>
      <c r="AT112" s="6"/>
      <c r="AU112" s="9"/>
      <c r="AV112" s="9"/>
      <c r="AW112" s="9"/>
      <c r="AX112" s="9"/>
      <c r="AY112" s="9"/>
      <c r="AZ112" s="9"/>
      <c r="BA112" s="9"/>
      <c r="BB112" s="9"/>
      <c r="BC112" s="9"/>
      <c r="BD112" s="9"/>
      <c r="BE112" s="9"/>
      <c r="BF112" s="9"/>
      <c r="BG112" s="9"/>
      <c r="BH112" s="9"/>
      <c r="BI112" s="9"/>
      <c r="BJ112" s="9"/>
      <c r="BK112" s="9"/>
      <c r="BL112" s="6">
        <f t="shared" si="15"/>
        <v>0</v>
      </c>
      <c r="BM112" s="9"/>
      <c r="BN112" s="6"/>
      <c r="BO112" s="9"/>
      <c r="BP112" s="6">
        <f>IF(+R112-BL112+BN112&gt;0,R112-BL112+BN112,0)</f>
        <v>149250</v>
      </c>
      <c r="BQ112" s="6"/>
      <c r="BR112" s="6">
        <f t="shared" si="17"/>
        <v>149250</v>
      </c>
      <c r="BS112" s="6"/>
      <c r="BT112" s="6">
        <f t="shared" si="18"/>
        <v>0</v>
      </c>
      <c r="BU112" s="9"/>
    </row>
    <row r="113" spans="1:73" s="21" customFormat="1">
      <c r="B113" s="240" t="s">
        <v>361</v>
      </c>
      <c r="J113" s="8"/>
      <c r="L113" s="143"/>
      <c r="M113" s="9"/>
      <c r="N113" s="9"/>
      <c r="O113" s="9"/>
      <c r="P113" s="9"/>
      <c r="Q113" s="9"/>
      <c r="R113" s="237">
        <v>48600</v>
      </c>
      <c r="S113" s="9"/>
      <c r="T113" s="9"/>
      <c r="U113" s="9"/>
      <c r="V113" s="9"/>
      <c r="W113" s="9"/>
      <c r="X113" s="9"/>
      <c r="Y113" s="9"/>
      <c r="Z113" s="9"/>
      <c r="AA113" s="9"/>
      <c r="AB113" s="9"/>
      <c r="AC113" s="9"/>
      <c r="AD113" s="9"/>
      <c r="AE113" s="9"/>
      <c r="AF113" s="9"/>
      <c r="AG113" s="9"/>
      <c r="AH113" s="9"/>
      <c r="AJ113" s="9"/>
      <c r="AL113" s="9"/>
      <c r="AN113" s="9"/>
      <c r="AO113" s="9"/>
      <c r="AP113" s="6">
        <v>1050</v>
      </c>
      <c r="AQ113" s="9"/>
      <c r="AR113" s="9"/>
      <c r="AS113" s="9"/>
      <c r="AT113" s="6">
        <v>0</v>
      </c>
      <c r="AU113" s="9"/>
      <c r="AV113" s="9"/>
      <c r="AW113" s="9"/>
      <c r="AX113" s="9"/>
      <c r="AY113" s="9"/>
      <c r="AZ113" s="9"/>
      <c r="BA113" s="9"/>
      <c r="BB113" s="9"/>
      <c r="BC113" s="9"/>
      <c r="BD113" s="9"/>
      <c r="BE113" s="9"/>
      <c r="BF113" s="9"/>
      <c r="BG113" s="9"/>
      <c r="BH113" s="9"/>
      <c r="BI113" s="9"/>
      <c r="BJ113" s="9"/>
      <c r="BK113" s="9"/>
      <c r="BL113" s="6">
        <f t="shared" si="15"/>
        <v>1050</v>
      </c>
      <c r="BM113" s="9"/>
      <c r="BN113" s="6">
        <v>0</v>
      </c>
      <c r="BO113" s="9"/>
      <c r="BP113" s="6">
        <f t="shared" si="16"/>
        <v>47550</v>
      </c>
      <c r="BQ113" s="6"/>
      <c r="BR113" s="6">
        <f t="shared" si="17"/>
        <v>48600</v>
      </c>
      <c r="BS113" s="6"/>
      <c r="BT113" s="6">
        <f t="shared" si="18"/>
        <v>0</v>
      </c>
      <c r="BU113" s="9"/>
    </row>
    <row r="114" spans="1:73" s="21" customFormat="1">
      <c r="B114" s="240" t="s">
        <v>544</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6">
        <v>3058</v>
      </c>
      <c r="AU114" s="9"/>
      <c r="AV114" s="9"/>
      <c r="AW114" s="9"/>
      <c r="AX114" s="9"/>
      <c r="AY114" s="9"/>
      <c r="AZ114" s="9"/>
      <c r="BA114" s="9"/>
      <c r="BB114" s="9"/>
      <c r="BC114" s="9"/>
      <c r="BD114" s="9"/>
      <c r="BE114" s="9"/>
      <c r="BF114" s="9"/>
      <c r="BG114" s="9"/>
      <c r="BH114" s="9"/>
      <c r="BI114" s="9"/>
      <c r="BJ114" s="9"/>
      <c r="BK114" s="9"/>
      <c r="BL114" s="6">
        <f t="shared" si="15"/>
        <v>3058</v>
      </c>
      <c r="BM114" s="9"/>
      <c r="BN114" s="6"/>
      <c r="BO114" s="9"/>
      <c r="BP114" s="6">
        <f>IF(+R114-BL114+BN114&gt;0,R114-BL114+BN114,0)</f>
        <v>0</v>
      </c>
      <c r="BQ114" s="6"/>
      <c r="BR114" s="6">
        <f t="shared" si="17"/>
        <v>3058</v>
      </c>
      <c r="BS114" s="6"/>
      <c r="BT114" s="6">
        <f t="shared" si="18"/>
        <v>-3058</v>
      </c>
      <c r="BU114" s="9"/>
    </row>
    <row r="115" spans="1:73" s="21" customFormat="1">
      <c r="B115" s="241"/>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38" t="s">
        <v>364</v>
      </c>
      <c r="J116" s="8"/>
      <c r="L116" s="143"/>
      <c r="M116" s="9"/>
      <c r="N116" s="9"/>
      <c r="O116" s="9"/>
      <c r="P116" s="9"/>
      <c r="Q116" s="9"/>
      <c r="R116" s="9">
        <f>SUM(R85:R115)</f>
        <v>12176761</v>
      </c>
      <c r="S116" s="9">
        <f t="shared" ref="S116:BU116" si="19">SUM(S85:S115)</f>
        <v>0</v>
      </c>
      <c r="T116" s="9">
        <f t="shared" si="19"/>
        <v>0</v>
      </c>
      <c r="U116" s="9">
        <f t="shared" si="19"/>
        <v>0</v>
      </c>
      <c r="V116" s="9">
        <f t="shared" si="19"/>
        <v>0</v>
      </c>
      <c r="W116" s="9">
        <f t="shared" si="19"/>
        <v>0</v>
      </c>
      <c r="X116" s="9">
        <f t="shared" si="19"/>
        <v>0</v>
      </c>
      <c r="Y116" s="9">
        <f t="shared" si="19"/>
        <v>0</v>
      </c>
      <c r="Z116" s="9">
        <f t="shared" si="19"/>
        <v>0</v>
      </c>
      <c r="AA116" s="9">
        <f t="shared" si="19"/>
        <v>0</v>
      </c>
      <c r="AB116" s="9">
        <f t="shared" si="19"/>
        <v>0</v>
      </c>
      <c r="AC116" s="9">
        <f t="shared" si="19"/>
        <v>0</v>
      </c>
      <c r="AD116" s="9">
        <f t="shared" si="19"/>
        <v>0</v>
      </c>
      <c r="AE116" s="9">
        <f t="shared" si="19"/>
        <v>0</v>
      </c>
      <c r="AF116" s="9">
        <f t="shared" si="19"/>
        <v>0</v>
      </c>
      <c r="AG116" s="9">
        <f t="shared" si="19"/>
        <v>0</v>
      </c>
      <c r="AH116" s="9">
        <f t="shared" si="19"/>
        <v>0</v>
      </c>
      <c r="AI116" s="9">
        <f t="shared" si="19"/>
        <v>0</v>
      </c>
      <c r="AJ116" s="9">
        <f t="shared" si="19"/>
        <v>0</v>
      </c>
      <c r="AK116" s="9">
        <f t="shared" si="19"/>
        <v>0</v>
      </c>
      <c r="AL116" s="9">
        <f t="shared" si="19"/>
        <v>0</v>
      </c>
      <c r="AM116" s="9">
        <f t="shared" si="19"/>
        <v>0</v>
      </c>
      <c r="AN116" s="9">
        <f t="shared" si="19"/>
        <v>0</v>
      </c>
      <c r="AO116" s="9">
        <f t="shared" si="19"/>
        <v>0</v>
      </c>
      <c r="AP116" s="9">
        <f t="shared" si="19"/>
        <v>61343</v>
      </c>
      <c r="AQ116" s="9">
        <f t="shared" si="19"/>
        <v>0</v>
      </c>
      <c r="AR116" s="9">
        <f t="shared" si="19"/>
        <v>0</v>
      </c>
      <c r="AS116" s="9">
        <f t="shared" si="19"/>
        <v>0</v>
      </c>
      <c r="AT116" s="9">
        <f t="shared" si="19"/>
        <v>2112822</v>
      </c>
      <c r="AU116" s="9">
        <f t="shared" si="19"/>
        <v>0</v>
      </c>
      <c r="AV116" s="9">
        <f t="shared" si="19"/>
        <v>0</v>
      </c>
      <c r="AW116" s="9">
        <f t="shared" si="19"/>
        <v>0</v>
      </c>
      <c r="AX116" s="9">
        <f t="shared" si="19"/>
        <v>0</v>
      </c>
      <c r="AY116" s="9">
        <f t="shared" si="19"/>
        <v>0</v>
      </c>
      <c r="AZ116" s="9">
        <f t="shared" si="19"/>
        <v>0</v>
      </c>
      <c r="BA116" s="9">
        <f t="shared" si="19"/>
        <v>0</v>
      </c>
      <c r="BB116" s="9">
        <f t="shared" si="19"/>
        <v>0</v>
      </c>
      <c r="BC116" s="9">
        <f t="shared" si="19"/>
        <v>0</v>
      </c>
      <c r="BD116" s="9">
        <f t="shared" si="19"/>
        <v>0</v>
      </c>
      <c r="BE116" s="9">
        <f t="shared" si="19"/>
        <v>0</v>
      </c>
      <c r="BF116" s="9">
        <f t="shared" si="19"/>
        <v>0</v>
      </c>
      <c r="BG116" s="9">
        <f t="shared" si="19"/>
        <v>0</v>
      </c>
      <c r="BH116" s="9">
        <f t="shared" si="19"/>
        <v>0</v>
      </c>
      <c r="BI116" s="9">
        <f t="shared" si="19"/>
        <v>0</v>
      </c>
      <c r="BJ116" s="9">
        <f t="shared" si="19"/>
        <v>0</v>
      </c>
      <c r="BK116" s="9">
        <f t="shared" si="19"/>
        <v>0</v>
      </c>
      <c r="BL116" s="9">
        <f t="shared" si="19"/>
        <v>2174165</v>
      </c>
      <c r="BM116" s="9">
        <f t="shared" si="19"/>
        <v>559092</v>
      </c>
      <c r="BN116" s="9">
        <f t="shared" si="19"/>
        <v>3750202</v>
      </c>
      <c r="BO116" s="9">
        <f t="shared" si="19"/>
        <v>1415319</v>
      </c>
      <c r="BP116" s="9">
        <f t="shared" si="19"/>
        <v>13780559</v>
      </c>
      <c r="BQ116" s="9">
        <f t="shared" si="19"/>
        <v>3436788</v>
      </c>
      <c r="BR116" s="9">
        <f t="shared" si="19"/>
        <v>15954724</v>
      </c>
      <c r="BS116" s="9">
        <f t="shared" si="19"/>
        <v>7759272</v>
      </c>
      <c r="BT116" s="9">
        <f t="shared" si="19"/>
        <v>-3777963</v>
      </c>
      <c r="BU116" s="9">
        <f t="shared" si="19"/>
        <v>1392927</v>
      </c>
    </row>
    <row r="117" spans="1:73" s="21" customFormat="1">
      <c r="B117" s="238"/>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3" t="s">
        <v>366</v>
      </c>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42" t="s">
        <v>68</v>
      </c>
      <c r="J119" s="8"/>
      <c r="L119" s="143"/>
      <c r="M119" s="9"/>
      <c r="N119" s="9"/>
      <c r="O119" s="9"/>
      <c r="P119" s="9"/>
      <c r="Q119" s="9"/>
      <c r="R119" s="237">
        <v>7824800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6">
        <v>355795</v>
      </c>
      <c r="AU119" s="9"/>
      <c r="AV119" s="9"/>
      <c r="AW119" s="9"/>
      <c r="AX119" s="9"/>
      <c r="AY119" s="9"/>
      <c r="AZ119" s="9"/>
      <c r="BA119" s="9"/>
      <c r="BB119" s="9"/>
      <c r="BC119" s="9"/>
      <c r="BD119" s="9"/>
      <c r="BE119" s="9"/>
      <c r="BF119" s="9"/>
      <c r="BG119" s="9"/>
      <c r="BH119" s="9"/>
      <c r="BI119" s="9"/>
      <c r="BJ119" s="9"/>
      <c r="BK119" s="9"/>
      <c r="BL119" s="6">
        <f>SUM(T119:BK119)</f>
        <v>355795</v>
      </c>
      <c r="BM119" s="9"/>
      <c r="BN119" s="6">
        <f>10145929-7824800</f>
        <v>2321129</v>
      </c>
      <c r="BO119" s="9"/>
      <c r="BP119" s="6">
        <f>IF(+R119-BL119+BN119&gt;0,R119-BL119+BN119,0)</f>
        <v>9790134</v>
      </c>
      <c r="BQ119" s="6"/>
      <c r="BR119" s="6">
        <f>+BL119+BP119</f>
        <v>10145929</v>
      </c>
      <c r="BS119" s="6"/>
      <c r="BT119" s="6">
        <f>+R119-BR119</f>
        <v>-2321129</v>
      </c>
      <c r="BU119" s="9"/>
    </row>
    <row r="120" spans="1:73" s="21" customFormat="1">
      <c r="B120" s="235"/>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21" customFormat="1">
      <c r="B121" s="236" t="s">
        <v>365</v>
      </c>
      <c r="J121" s="8"/>
      <c r="L121" s="143"/>
      <c r="M121" s="9"/>
      <c r="N121" s="9"/>
      <c r="O121" s="9"/>
      <c r="P121" s="9"/>
      <c r="Q121" s="9"/>
      <c r="R121" s="9">
        <f t="shared" ref="R121:AW121" si="20">SUM(R119:R120)</f>
        <v>7824800</v>
      </c>
      <c r="S121" s="9">
        <f t="shared" si="20"/>
        <v>0</v>
      </c>
      <c r="T121" s="9">
        <f t="shared" si="20"/>
        <v>0</v>
      </c>
      <c r="U121" s="9">
        <f t="shared" si="20"/>
        <v>0</v>
      </c>
      <c r="V121" s="9">
        <f t="shared" si="20"/>
        <v>0</v>
      </c>
      <c r="W121" s="9">
        <f t="shared" si="20"/>
        <v>0</v>
      </c>
      <c r="X121" s="9">
        <f t="shared" si="20"/>
        <v>0</v>
      </c>
      <c r="Y121" s="9">
        <f t="shared" si="20"/>
        <v>0</v>
      </c>
      <c r="Z121" s="9">
        <f t="shared" si="20"/>
        <v>0</v>
      </c>
      <c r="AA121" s="9">
        <f t="shared" si="20"/>
        <v>0</v>
      </c>
      <c r="AB121" s="9">
        <f t="shared" si="20"/>
        <v>0</v>
      </c>
      <c r="AC121" s="9">
        <f t="shared" si="20"/>
        <v>0</v>
      </c>
      <c r="AD121" s="9">
        <f t="shared" si="20"/>
        <v>0</v>
      </c>
      <c r="AE121" s="9">
        <f t="shared" si="20"/>
        <v>0</v>
      </c>
      <c r="AF121" s="9">
        <f t="shared" si="20"/>
        <v>0</v>
      </c>
      <c r="AG121" s="9">
        <f t="shared" si="20"/>
        <v>0</v>
      </c>
      <c r="AH121" s="9">
        <f t="shared" si="20"/>
        <v>0</v>
      </c>
      <c r="AI121" s="9">
        <f t="shared" si="20"/>
        <v>0</v>
      </c>
      <c r="AJ121" s="9">
        <f t="shared" si="20"/>
        <v>0</v>
      </c>
      <c r="AK121" s="9">
        <f t="shared" si="20"/>
        <v>0</v>
      </c>
      <c r="AL121" s="9">
        <f t="shared" si="20"/>
        <v>0</v>
      </c>
      <c r="AM121" s="9">
        <f t="shared" si="20"/>
        <v>0</v>
      </c>
      <c r="AN121" s="9">
        <f t="shared" si="20"/>
        <v>0</v>
      </c>
      <c r="AO121" s="9">
        <f t="shared" si="20"/>
        <v>0</v>
      </c>
      <c r="AP121" s="9">
        <f t="shared" si="20"/>
        <v>0</v>
      </c>
      <c r="AQ121" s="9">
        <f t="shared" si="20"/>
        <v>0</v>
      </c>
      <c r="AR121" s="9">
        <f t="shared" si="20"/>
        <v>0</v>
      </c>
      <c r="AS121" s="9">
        <f t="shared" si="20"/>
        <v>0</v>
      </c>
      <c r="AT121" s="9">
        <f t="shared" si="20"/>
        <v>355795</v>
      </c>
      <c r="AU121" s="9">
        <f t="shared" si="20"/>
        <v>0</v>
      </c>
      <c r="AV121" s="9">
        <f t="shared" si="20"/>
        <v>0</v>
      </c>
      <c r="AW121" s="9">
        <f t="shared" si="20"/>
        <v>0</v>
      </c>
      <c r="AX121" s="9">
        <f t="shared" ref="AX121:BT121" si="21">SUM(AX119:AX120)</f>
        <v>0</v>
      </c>
      <c r="AY121" s="9">
        <f t="shared" si="21"/>
        <v>0</v>
      </c>
      <c r="AZ121" s="9">
        <f t="shared" si="21"/>
        <v>0</v>
      </c>
      <c r="BA121" s="9">
        <f t="shared" si="21"/>
        <v>0</v>
      </c>
      <c r="BB121" s="9">
        <f t="shared" si="21"/>
        <v>0</v>
      </c>
      <c r="BC121" s="9">
        <f t="shared" si="21"/>
        <v>0</v>
      </c>
      <c r="BD121" s="9">
        <f t="shared" si="21"/>
        <v>0</v>
      </c>
      <c r="BE121" s="9">
        <f t="shared" si="21"/>
        <v>0</v>
      </c>
      <c r="BF121" s="9">
        <f t="shared" si="21"/>
        <v>0</v>
      </c>
      <c r="BG121" s="9">
        <f t="shared" si="21"/>
        <v>0</v>
      </c>
      <c r="BH121" s="9">
        <f t="shared" si="21"/>
        <v>0</v>
      </c>
      <c r="BI121" s="9">
        <f t="shared" si="21"/>
        <v>0</v>
      </c>
      <c r="BJ121" s="9">
        <f t="shared" si="21"/>
        <v>0</v>
      </c>
      <c r="BK121" s="9">
        <f t="shared" si="21"/>
        <v>0</v>
      </c>
      <c r="BL121" s="9">
        <f t="shared" si="21"/>
        <v>355795</v>
      </c>
      <c r="BM121" s="9">
        <f t="shared" si="21"/>
        <v>0</v>
      </c>
      <c r="BN121" s="9">
        <f t="shared" si="21"/>
        <v>2321129</v>
      </c>
      <c r="BO121" s="9">
        <f t="shared" si="21"/>
        <v>0</v>
      </c>
      <c r="BP121" s="9">
        <f t="shared" si="21"/>
        <v>9790134</v>
      </c>
      <c r="BQ121" s="9">
        <f t="shared" si="21"/>
        <v>0</v>
      </c>
      <c r="BR121" s="9">
        <f t="shared" si="21"/>
        <v>10145929</v>
      </c>
      <c r="BS121" s="9">
        <f t="shared" si="21"/>
        <v>0</v>
      </c>
      <c r="BT121" s="9">
        <f t="shared" si="21"/>
        <v>-2321129</v>
      </c>
      <c r="BU121" s="9"/>
    </row>
    <row r="122" spans="1:73" s="21" customFormat="1">
      <c r="B122" s="236"/>
      <c r="J122" s="8"/>
      <c r="L122" s="143"/>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B123" s="243" t="s">
        <v>546</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f>-6181306+5237441</f>
        <v>-943865</v>
      </c>
      <c r="AU123" s="9"/>
      <c r="AV123" s="9"/>
      <c r="AW123" s="9"/>
      <c r="AX123" s="9"/>
      <c r="AY123" s="9"/>
      <c r="AZ123" s="9"/>
      <c r="BA123" s="9"/>
      <c r="BB123" s="9"/>
      <c r="BC123" s="9"/>
      <c r="BD123" s="9"/>
      <c r="BE123" s="9"/>
      <c r="BF123" s="9"/>
      <c r="BG123" s="9"/>
      <c r="BH123" s="9"/>
      <c r="BI123" s="9"/>
      <c r="BJ123" s="9"/>
      <c r="BK123" s="9"/>
      <c r="BL123" s="6">
        <f>SUM(T123:BK123)</f>
        <v>-943865</v>
      </c>
      <c r="BM123" s="9"/>
      <c r="BN123" s="9"/>
      <c r="BO123" s="9"/>
      <c r="BP123" s="9">
        <v>-3953393</v>
      </c>
      <c r="BQ123" s="9"/>
      <c r="BR123" s="6">
        <v>-3953393</v>
      </c>
      <c r="BS123" s="9"/>
      <c r="BT123" s="6">
        <f>+R123-BR123</f>
        <v>3953393</v>
      </c>
      <c r="BU123" s="9"/>
    </row>
    <row r="124" spans="1:73" s="21" customFormat="1">
      <c r="B124" s="236"/>
      <c r="J124" s="8"/>
      <c r="L124" s="143"/>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s="21" customFormat="1">
      <c r="B125" s="243" t="s">
        <v>367</v>
      </c>
      <c r="J125" s="8"/>
      <c r="L125" s="143"/>
      <c r="M125" s="9"/>
      <c r="N125" s="9"/>
      <c r="O125" s="9"/>
      <c r="P125" s="9"/>
      <c r="Q125" s="9"/>
      <c r="R125" s="9">
        <v>0</v>
      </c>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f>4455378.55-803822</f>
        <v>3651556.55</v>
      </c>
      <c r="AQ125" s="9"/>
      <c r="AR125" s="9">
        <v>0</v>
      </c>
      <c r="AS125" s="9"/>
      <c r="AT125" s="9">
        <f>6181305.57-4997735</f>
        <v>1183570.5700000003</v>
      </c>
      <c r="AU125" s="9"/>
      <c r="AV125" s="9"/>
      <c r="AW125" s="9"/>
      <c r="AX125" s="9"/>
      <c r="AY125" s="9"/>
      <c r="AZ125" s="9"/>
      <c r="BA125" s="9"/>
      <c r="BB125" s="9"/>
      <c r="BC125" s="9"/>
      <c r="BD125" s="9"/>
      <c r="BE125" s="9"/>
      <c r="BF125" s="9"/>
      <c r="BG125" s="9"/>
      <c r="BH125" s="9"/>
      <c r="BI125" s="9"/>
      <c r="BJ125" s="9"/>
      <c r="BK125" s="9"/>
      <c r="BL125" s="6">
        <f>SUM(T125:BK125)</f>
        <v>4835127.12</v>
      </c>
      <c r="BM125" s="9"/>
      <c r="BN125" s="9">
        <v>0</v>
      </c>
      <c r="BO125" s="9"/>
      <c r="BP125" s="9">
        <f>-BL125</f>
        <v>-4835127.12</v>
      </c>
      <c r="BQ125" s="9"/>
      <c r="BR125" s="6">
        <v>0</v>
      </c>
      <c r="BS125" s="6"/>
      <c r="BT125" s="6">
        <f>+R125-BR125</f>
        <v>0</v>
      </c>
      <c r="BU125" s="9"/>
    </row>
    <row r="126" spans="1:73" s="21" customFormat="1">
      <c r="B126" s="238"/>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1:73" s="105" customFormat="1">
      <c r="A127" s="244"/>
      <c r="B127" s="245" t="s">
        <v>245</v>
      </c>
      <c r="J127" s="158"/>
      <c r="L127" s="144"/>
      <c r="M127" s="13"/>
      <c r="N127" s="246">
        <f>SUM(N38:N126)</f>
        <v>0</v>
      </c>
      <c r="O127" s="13"/>
      <c r="P127" s="246">
        <f>SUM(P38:P126)</f>
        <v>0</v>
      </c>
      <c r="Q127" s="13"/>
      <c r="R127" s="246">
        <f>R121+R116+R82+R56+R125</f>
        <v>37943200</v>
      </c>
      <c r="S127" s="246">
        <f t="shared" ref="S127:BU127" si="22">S121+S116+S82+S56+S125</f>
        <v>0</v>
      </c>
      <c r="T127" s="246">
        <f t="shared" si="22"/>
        <v>0</v>
      </c>
      <c r="U127" s="246">
        <f t="shared" si="22"/>
        <v>0</v>
      </c>
      <c r="V127" s="246">
        <f t="shared" si="22"/>
        <v>0</v>
      </c>
      <c r="W127" s="246">
        <f t="shared" si="22"/>
        <v>0</v>
      </c>
      <c r="X127" s="246">
        <f t="shared" si="22"/>
        <v>0</v>
      </c>
      <c r="Y127" s="246">
        <f t="shared" si="22"/>
        <v>0</v>
      </c>
      <c r="Z127" s="246">
        <f t="shared" si="22"/>
        <v>0</v>
      </c>
      <c r="AA127" s="246">
        <f t="shared" si="22"/>
        <v>0</v>
      </c>
      <c r="AB127" s="246">
        <f t="shared" si="22"/>
        <v>0</v>
      </c>
      <c r="AC127" s="246">
        <f t="shared" si="22"/>
        <v>0</v>
      </c>
      <c r="AD127" s="246">
        <f t="shared" si="22"/>
        <v>0</v>
      </c>
      <c r="AE127" s="246">
        <f t="shared" si="22"/>
        <v>0</v>
      </c>
      <c r="AF127" s="246">
        <f t="shared" si="22"/>
        <v>0</v>
      </c>
      <c r="AG127" s="246">
        <f t="shared" si="22"/>
        <v>0</v>
      </c>
      <c r="AH127" s="246">
        <f t="shared" si="22"/>
        <v>0</v>
      </c>
      <c r="AI127" s="246">
        <f t="shared" si="22"/>
        <v>0</v>
      </c>
      <c r="AJ127" s="246">
        <f t="shared" si="22"/>
        <v>0</v>
      </c>
      <c r="AK127" s="246">
        <f t="shared" si="22"/>
        <v>0</v>
      </c>
      <c r="AL127" s="246">
        <f t="shared" si="22"/>
        <v>0</v>
      </c>
      <c r="AM127" s="246">
        <f t="shared" si="22"/>
        <v>0</v>
      </c>
      <c r="AN127" s="246">
        <f t="shared" si="22"/>
        <v>0</v>
      </c>
      <c r="AO127" s="246">
        <f t="shared" si="22"/>
        <v>0</v>
      </c>
      <c r="AP127" s="246">
        <f t="shared" si="22"/>
        <v>4455378.55</v>
      </c>
      <c r="AQ127" s="246">
        <f t="shared" si="22"/>
        <v>0</v>
      </c>
      <c r="AR127" s="246">
        <f t="shared" si="22"/>
        <v>0</v>
      </c>
      <c r="AS127" s="246">
        <f t="shared" si="22"/>
        <v>0</v>
      </c>
      <c r="AT127" s="246">
        <f>AT121+AT116+AT82+AT56+AT125+AT123</f>
        <v>5237440.57</v>
      </c>
      <c r="AU127" s="246">
        <f t="shared" ref="AU127:BT127" si="23">AU121+AU116+AU82+AU56+AU125+AU123</f>
        <v>0</v>
      </c>
      <c r="AV127" s="246">
        <f t="shared" si="23"/>
        <v>0</v>
      </c>
      <c r="AW127" s="246">
        <f t="shared" si="23"/>
        <v>0</v>
      </c>
      <c r="AX127" s="246">
        <f t="shared" si="23"/>
        <v>0</v>
      </c>
      <c r="AY127" s="246">
        <f t="shared" si="23"/>
        <v>0</v>
      </c>
      <c r="AZ127" s="246">
        <f t="shared" si="23"/>
        <v>0</v>
      </c>
      <c r="BA127" s="246">
        <f t="shared" si="23"/>
        <v>0</v>
      </c>
      <c r="BB127" s="246">
        <f t="shared" si="23"/>
        <v>0</v>
      </c>
      <c r="BC127" s="246">
        <f t="shared" si="23"/>
        <v>0</v>
      </c>
      <c r="BD127" s="246">
        <f t="shared" si="23"/>
        <v>0</v>
      </c>
      <c r="BE127" s="246">
        <f t="shared" si="23"/>
        <v>0</v>
      </c>
      <c r="BF127" s="246">
        <f t="shared" si="23"/>
        <v>0</v>
      </c>
      <c r="BG127" s="246">
        <f t="shared" si="23"/>
        <v>0</v>
      </c>
      <c r="BH127" s="246">
        <f t="shared" si="23"/>
        <v>0</v>
      </c>
      <c r="BI127" s="246">
        <f t="shared" si="23"/>
        <v>0</v>
      </c>
      <c r="BJ127" s="246">
        <f t="shared" si="23"/>
        <v>0</v>
      </c>
      <c r="BK127" s="246">
        <f t="shared" si="23"/>
        <v>0</v>
      </c>
      <c r="BL127" s="246">
        <f t="shared" si="23"/>
        <v>9692819.120000001</v>
      </c>
      <c r="BM127" s="246">
        <f t="shared" si="23"/>
        <v>559092</v>
      </c>
      <c r="BN127" s="246">
        <f t="shared" si="23"/>
        <v>6614363</v>
      </c>
      <c r="BO127" s="246">
        <f t="shared" si="23"/>
        <v>1415319</v>
      </c>
      <c r="BP127" s="246">
        <f t="shared" si="23"/>
        <v>30008600.880000003</v>
      </c>
      <c r="BQ127" s="246">
        <f t="shared" si="23"/>
        <v>3436788</v>
      </c>
      <c r="BR127" s="246">
        <f t="shared" si="23"/>
        <v>40645285</v>
      </c>
      <c r="BS127" s="246">
        <f t="shared" si="23"/>
        <v>7759272</v>
      </c>
      <c r="BT127" s="246">
        <f t="shared" si="23"/>
        <v>-2702085</v>
      </c>
      <c r="BU127" s="246">
        <f t="shared" si="22"/>
        <v>1392927</v>
      </c>
    </row>
    <row r="128" spans="1:73">
      <c r="A128" s="57"/>
      <c r="B128" s="17"/>
      <c r="C128"/>
      <c r="D128"/>
      <c r="E128"/>
      <c r="F128"/>
      <c r="G128"/>
      <c r="H128"/>
      <c r="I128"/>
      <c r="J128" s="49"/>
      <c r="K128"/>
      <c r="L128" s="134"/>
      <c r="M128" s="6"/>
      <c r="O128" s="6"/>
      <c r="Q128" s="6"/>
      <c r="S128" s="6"/>
      <c r="T128" s="6"/>
      <c r="U128" s="6"/>
      <c r="V128" s="6"/>
      <c r="X128" s="6"/>
      <c r="Z128" s="6"/>
      <c r="AB128" s="6"/>
      <c r="AD128" s="6"/>
      <c r="BJ128" s="6"/>
      <c r="BK128" s="6"/>
      <c r="BM128" s="6"/>
      <c r="BN128" s="6"/>
      <c r="BO128" s="6"/>
      <c r="BU128" s="6"/>
    </row>
    <row r="129" spans="1:73">
      <c r="A129" s="57"/>
      <c r="B129" s="17"/>
      <c r="C129"/>
      <c r="D129"/>
      <c r="E129"/>
      <c r="F129"/>
      <c r="G129"/>
      <c r="H129"/>
      <c r="I129"/>
      <c r="J129" s="49"/>
      <c r="K129"/>
      <c r="L129" s="134"/>
      <c r="M129" s="6"/>
      <c r="O129" s="6"/>
      <c r="Q129" s="6"/>
      <c r="S129" s="6"/>
      <c r="T129" s="6"/>
      <c r="U129" s="6"/>
      <c r="V129" s="6"/>
      <c r="X129" s="6"/>
      <c r="Z129" s="6"/>
      <c r="AB129" s="6"/>
      <c r="AD129" s="6"/>
      <c r="BJ129" s="6"/>
      <c r="BK129" s="6"/>
      <c r="BM129" s="6"/>
      <c r="BN129" s="6"/>
      <c r="BO129" s="6"/>
      <c r="BU129" s="6"/>
    </row>
    <row r="130" spans="1:73">
      <c r="A130" s="56" t="s">
        <v>229</v>
      </c>
      <c r="B130" s="11"/>
      <c r="C130"/>
      <c r="D130"/>
      <c r="E130"/>
      <c r="F130"/>
      <c r="G130"/>
      <c r="H130"/>
      <c r="I130"/>
      <c r="J130" s="49"/>
      <c r="K130"/>
      <c r="L130" s="134"/>
      <c r="M130" s="6"/>
      <c r="O130" s="6"/>
      <c r="Q130" s="6"/>
      <c r="S130" s="6"/>
      <c r="T130" s="6"/>
      <c r="U130" s="6"/>
      <c r="V130" s="6"/>
      <c r="X130" s="6"/>
      <c r="Z130" s="6"/>
      <c r="AB130" s="6"/>
      <c r="AD130" s="6"/>
      <c r="BJ130" s="6"/>
      <c r="BK130" s="6"/>
      <c r="BM130" s="6"/>
      <c r="BN130" s="6"/>
      <c r="BO130" s="6"/>
      <c r="BU130" s="6"/>
    </row>
    <row r="131" spans="1:73">
      <c r="A131" s="61"/>
      <c r="B131" s="17" t="s">
        <v>230</v>
      </c>
      <c r="C131"/>
      <c r="D131"/>
      <c r="E131"/>
      <c r="F131"/>
      <c r="G131"/>
      <c r="H131"/>
      <c r="I131"/>
      <c r="J131" s="49" t="s">
        <v>238</v>
      </c>
      <c r="K131"/>
      <c r="L131" s="134" t="s">
        <v>204</v>
      </c>
      <c r="M131" s="6"/>
      <c r="N131" s="6">
        <v>0</v>
      </c>
      <c r="O131" s="6"/>
      <c r="P131" s="6">
        <v>0</v>
      </c>
      <c r="Q131" s="6"/>
      <c r="R131" s="6">
        <v>929800</v>
      </c>
      <c r="S131" s="6"/>
      <c r="T131" s="6">
        <v>0</v>
      </c>
      <c r="U131" s="22"/>
      <c r="V131" s="6">
        <v>0</v>
      </c>
      <c r="W131" s="22"/>
      <c r="X131" s="6">
        <v>0</v>
      </c>
      <c r="Y131" s="22"/>
      <c r="Z131" s="6">
        <v>0</v>
      </c>
      <c r="AA131" s="22"/>
      <c r="AB131" s="6">
        <v>0</v>
      </c>
      <c r="AC131" s="22"/>
      <c r="AD131" s="6">
        <v>0</v>
      </c>
      <c r="AE131" s="22"/>
      <c r="AF131" s="6">
        <v>0</v>
      </c>
      <c r="AG131" s="22"/>
      <c r="AH131" s="6">
        <f>929800/12</f>
        <v>77483.333333333328</v>
      </c>
      <c r="AI131" s="22"/>
      <c r="AJ131" s="6">
        <v>77483.33</v>
      </c>
      <c r="AK131" s="22"/>
      <c r="AL131" s="6">
        <v>77483.33</v>
      </c>
      <c r="AM131" s="22"/>
      <c r="AN131" s="6">
        <v>77483.33</v>
      </c>
      <c r="AO131" s="22"/>
      <c r="AP131" s="6">
        <v>77483.34</v>
      </c>
      <c r="AQ131" s="22"/>
      <c r="AR131" s="6">
        <v>77483.33</v>
      </c>
      <c r="AS131" s="22"/>
      <c r="AT131" s="6">
        <v>77483.33</v>
      </c>
      <c r="AV131" s="6">
        <v>0</v>
      </c>
      <c r="AX131" s="6">
        <v>0</v>
      </c>
      <c r="AZ131" s="6">
        <v>0</v>
      </c>
      <c r="BB131" s="6">
        <v>0</v>
      </c>
      <c r="BD131" s="6">
        <v>0</v>
      </c>
      <c r="BF131" s="6">
        <v>0</v>
      </c>
      <c r="BH131" s="6">
        <v>0</v>
      </c>
      <c r="BJ131" s="6">
        <v>0</v>
      </c>
      <c r="BK131" s="6"/>
      <c r="BL131" s="6">
        <f t="shared" ref="BL131:BL136" si="24">SUM(T131:BK131)</f>
        <v>542383.32333333336</v>
      </c>
      <c r="BM131" s="6"/>
      <c r="BN131" s="6">
        <v>0</v>
      </c>
      <c r="BO131" s="6"/>
      <c r="BP131" s="6">
        <f t="shared" ref="BP131:BP137" si="25">IF(+R131-BL131+BN131&gt;0,R131-BL131+BN131,0)</f>
        <v>387416.67666666664</v>
      </c>
      <c r="BR131" s="6">
        <f t="shared" ref="BR131:BR136" si="26">+BL131+BP131</f>
        <v>929800</v>
      </c>
      <c r="BT131" s="6">
        <f t="shared" ref="BT131:BT137" si="27">+R131-BR131</f>
        <v>0</v>
      </c>
      <c r="BU131" s="6"/>
    </row>
    <row r="132" spans="1:73">
      <c r="A132" s="61"/>
      <c r="B132" s="17" t="s">
        <v>232</v>
      </c>
      <c r="C132"/>
      <c r="D132"/>
      <c r="E132"/>
      <c r="F132"/>
      <c r="G132"/>
      <c r="H132"/>
      <c r="I132"/>
      <c r="J132" s="49" t="s">
        <v>232</v>
      </c>
      <c r="K132"/>
      <c r="L132" s="134" t="s">
        <v>204</v>
      </c>
      <c r="M132" s="6"/>
      <c r="N132" s="6">
        <v>0</v>
      </c>
      <c r="O132" s="6"/>
      <c r="P132" s="6">
        <v>0</v>
      </c>
      <c r="Q132" s="6"/>
      <c r="R132" s="6">
        <v>2386700</v>
      </c>
      <c r="S132" s="6"/>
      <c r="T132" s="6">
        <v>0</v>
      </c>
      <c r="U132" s="22"/>
      <c r="V132" s="6">
        <v>0</v>
      </c>
      <c r="W132" s="22"/>
      <c r="X132" s="6">
        <v>0</v>
      </c>
      <c r="Y132" s="22"/>
      <c r="Z132" s="6">
        <v>0</v>
      </c>
      <c r="AA132" s="22"/>
      <c r="AB132" s="6">
        <v>0</v>
      </c>
      <c r="AC132" s="22"/>
      <c r="AD132" s="6">
        <v>0</v>
      </c>
      <c r="AE132" s="22"/>
      <c r="AF132" s="6">
        <v>0</v>
      </c>
      <c r="AG132" s="22"/>
      <c r="AH132" s="6">
        <f>2386700/12</f>
        <v>198891.66666666666</v>
      </c>
      <c r="AI132" s="22"/>
      <c r="AJ132" s="6">
        <v>198891.67</v>
      </c>
      <c r="AK132" s="22"/>
      <c r="AL132" s="6">
        <v>198888.67</v>
      </c>
      <c r="AM132" s="22"/>
      <c r="AN132" s="6">
        <v>198888.67</v>
      </c>
      <c r="AO132" s="22"/>
      <c r="AP132" s="6">
        <v>198888.67</v>
      </c>
      <c r="AQ132" s="22"/>
      <c r="AR132" s="6">
        <v>198899</v>
      </c>
      <c r="AS132" s="22"/>
      <c r="AT132" s="6">
        <v>198889</v>
      </c>
      <c r="AV132" s="6">
        <v>0</v>
      </c>
      <c r="AX132" s="6">
        <v>0</v>
      </c>
      <c r="AZ132" s="6">
        <v>0</v>
      </c>
      <c r="BB132" s="6">
        <v>0</v>
      </c>
      <c r="BD132" s="6">
        <v>0</v>
      </c>
      <c r="BF132" s="6">
        <v>0</v>
      </c>
      <c r="BH132" s="6">
        <v>0</v>
      </c>
      <c r="BJ132" s="6">
        <v>0</v>
      </c>
      <c r="BK132" s="6"/>
      <c r="BL132" s="6">
        <f t="shared" si="24"/>
        <v>1392237.3466666667</v>
      </c>
      <c r="BM132" s="6"/>
      <c r="BN132" s="6">
        <v>0</v>
      </c>
      <c r="BO132" s="6"/>
      <c r="BP132" s="6">
        <f t="shared" si="25"/>
        <v>994462.65333333332</v>
      </c>
      <c r="BR132" s="6">
        <f t="shared" si="26"/>
        <v>2386700</v>
      </c>
      <c r="BT132" s="6">
        <f t="shared" si="27"/>
        <v>0</v>
      </c>
      <c r="BU132" s="6"/>
    </row>
    <row r="133" spans="1:73">
      <c r="A133" s="61"/>
      <c r="B133" s="17" t="s">
        <v>233</v>
      </c>
      <c r="C133"/>
      <c r="D133"/>
      <c r="E133"/>
      <c r="F133"/>
      <c r="G133"/>
      <c r="H133"/>
      <c r="I133"/>
      <c r="J133" s="49" t="s">
        <v>238</v>
      </c>
      <c r="K133"/>
      <c r="L133" s="134" t="s">
        <v>204</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s="22"/>
      <c r="AJ133" s="6">
        <v>0</v>
      </c>
      <c r="AK133" s="22"/>
      <c r="AL133" s="6">
        <v>0</v>
      </c>
      <c r="AM133" s="22"/>
      <c r="AN133" s="6">
        <v>0</v>
      </c>
      <c r="AO133" s="22"/>
      <c r="AP133" s="6">
        <v>0</v>
      </c>
      <c r="AQ133" s="22"/>
      <c r="AR133" s="6">
        <v>0</v>
      </c>
      <c r="AS133" s="22"/>
      <c r="AT133" s="6">
        <v>0</v>
      </c>
      <c r="AV133" s="6">
        <v>0</v>
      </c>
      <c r="AX133" s="6">
        <v>0</v>
      </c>
      <c r="AZ133" s="6">
        <v>0</v>
      </c>
      <c r="BB133" s="6">
        <v>0</v>
      </c>
      <c r="BD133" s="6">
        <v>0</v>
      </c>
      <c r="BF133" s="6">
        <v>0</v>
      </c>
      <c r="BH133" s="6">
        <v>0</v>
      </c>
      <c r="BJ133" s="6">
        <v>0</v>
      </c>
      <c r="BK133" s="6"/>
      <c r="BL133" s="6">
        <f t="shared" si="24"/>
        <v>0</v>
      </c>
      <c r="BM133" s="6"/>
      <c r="BN133" s="6">
        <v>0</v>
      </c>
      <c r="BO133" s="6"/>
      <c r="BP133" s="6">
        <f t="shared" si="25"/>
        <v>3066700</v>
      </c>
      <c r="BR133" s="6">
        <f t="shared" si="26"/>
        <v>3066700</v>
      </c>
      <c r="BT133" s="6">
        <f t="shared" si="27"/>
        <v>0</v>
      </c>
      <c r="BU133" s="6"/>
    </row>
    <row r="134" spans="1:73">
      <c r="A134" s="61"/>
      <c r="B134" s="17" t="s">
        <v>234</v>
      </c>
      <c r="C134"/>
      <c r="D134"/>
      <c r="E134"/>
      <c r="F134"/>
      <c r="G134"/>
      <c r="H134"/>
      <c r="I134"/>
      <c r="J134" s="49" t="s">
        <v>238</v>
      </c>
      <c r="K134"/>
      <c r="L134" s="134" t="s">
        <v>204</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s="80"/>
      <c r="AJ134" s="12">
        <v>0</v>
      </c>
      <c r="AK134" s="80"/>
      <c r="AL134" s="12">
        <v>0</v>
      </c>
      <c r="AM134" s="80"/>
      <c r="AN134" s="12">
        <v>0</v>
      </c>
      <c r="AO134" s="80"/>
      <c r="AP134" s="12">
        <v>0</v>
      </c>
      <c r="AQ134" s="80"/>
      <c r="AR134" s="12">
        <v>0</v>
      </c>
      <c r="AS134" s="80"/>
      <c r="AT134" s="12">
        <v>0</v>
      </c>
      <c r="AU134" s="12"/>
      <c r="AV134" s="12">
        <v>0</v>
      </c>
      <c r="AW134" s="12"/>
      <c r="AX134" s="12">
        <v>0</v>
      </c>
      <c r="AY134" s="12"/>
      <c r="AZ134" s="12">
        <v>0</v>
      </c>
      <c r="BA134" s="12"/>
      <c r="BB134" s="12">
        <v>0</v>
      </c>
      <c r="BC134" s="12"/>
      <c r="BD134" s="12">
        <v>0</v>
      </c>
      <c r="BE134" s="12"/>
      <c r="BF134" s="12">
        <v>0</v>
      </c>
      <c r="BG134" s="12"/>
      <c r="BH134" s="12">
        <v>0</v>
      </c>
      <c r="BI134" s="12"/>
      <c r="BJ134" s="12">
        <v>0</v>
      </c>
      <c r="BK134" s="12"/>
      <c r="BL134" s="12">
        <f t="shared" si="24"/>
        <v>0</v>
      </c>
      <c r="BM134" s="6"/>
      <c r="BN134" s="12">
        <v>0</v>
      </c>
      <c r="BO134" s="6"/>
      <c r="BP134" s="6">
        <f t="shared" si="25"/>
        <v>0</v>
      </c>
      <c r="BQ134" s="12"/>
      <c r="BR134" s="6">
        <f t="shared" si="26"/>
        <v>0</v>
      </c>
      <c r="BS134" s="12"/>
      <c r="BT134" s="6">
        <f t="shared" si="27"/>
        <v>0</v>
      </c>
      <c r="BU134" s="12"/>
    </row>
    <row r="135" spans="1:73" s="11" customFormat="1">
      <c r="A135" s="17"/>
      <c r="B135" s="17" t="s">
        <v>235</v>
      </c>
      <c r="C135" s="30"/>
      <c r="D135" s="30"/>
      <c r="E135" s="30"/>
      <c r="F135" s="30"/>
      <c r="G135" s="30"/>
      <c r="H135" s="30"/>
      <c r="I135" s="30"/>
      <c r="J135" s="156" t="s">
        <v>238</v>
      </c>
      <c r="K135" s="30"/>
      <c r="L135" s="134" t="s">
        <v>204</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s="80"/>
      <c r="AJ135" s="12">
        <v>0</v>
      </c>
      <c r="AK135" s="80"/>
      <c r="AL135" s="12">
        <v>0</v>
      </c>
      <c r="AM135" s="80"/>
      <c r="AN135" s="12">
        <v>0</v>
      </c>
      <c r="AO135" s="80"/>
      <c r="AP135" s="12">
        <v>0</v>
      </c>
      <c r="AQ135" s="80"/>
      <c r="AR135" s="12">
        <v>0</v>
      </c>
      <c r="AS135" s="80"/>
      <c r="AT135" s="12">
        <v>0</v>
      </c>
      <c r="AU135" s="12"/>
      <c r="AV135" s="12">
        <v>0</v>
      </c>
      <c r="AW135" s="12"/>
      <c r="AX135" s="12">
        <v>0</v>
      </c>
      <c r="AY135" s="12"/>
      <c r="AZ135" s="12">
        <v>0</v>
      </c>
      <c r="BA135" s="12"/>
      <c r="BB135" s="12">
        <v>0</v>
      </c>
      <c r="BC135" s="12"/>
      <c r="BD135" s="12">
        <v>0</v>
      </c>
      <c r="BE135" s="12"/>
      <c r="BF135" s="12">
        <v>0</v>
      </c>
      <c r="BG135" s="12"/>
      <c r="BH135" s="12">
        <v>0</v>
      </c>
      <c r="BI135" s="12"/>
      <c r="BJ135" s="12">
        <v>0</v>
      </c>
      <c r="BK135" s="12"/>
      <c r="BL135" s="12">
        <f t="shared" si="24"/>
        <v>0</v>
      </c>
      <c r="BM135" s="12"/>
      <c r="BN135" s="12">
        <v>0</v>
      </c>
      <c r="BO135" s="12"/>
      <c r="BP135" s="6">
        <f t="shared" si="25"/>
        <v>0</v>
      </c>
      <c r="BQ135" s="12"/>
      <c r="BR135" s="6">
        <f t="shared" si="26"/>
        <v>0</v>
      </c>
      <c r="BS135" s="12"/>
      <c r="BT135" s="6">
        <f t="shared" si="27"/>
        <v>0</v>
      </c>
      <c r="BU135" s="12"/>
    </row>
    <row r="136" spans="1:73">
      <c r="A136" s="61"/>
      <c r="B136" s="17" t="s">
        <v>122</v>
      </c>
      <c r="C136"/>
      <c r="D136"/>
      <c r="E136"/>
      <c r="F136"/>
      <c r="G136"/>
      <c r="H136"/>
      <c r="I136"/>
      <c r="J136" s="49"/>
      <c r="K136"/>
      <c r="L136" s="134" t="s">
        <v>204</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s="80"/>
      <c r="AJ136" s="12">
        <v>0</v>
      </c>
      <c r="AK136" s="80"/>
      <c r="AL136" s="12">
        <v>0</v>
      </c>
      <c r="AM136" s="80"/>
      <c r="AN136" s="12">
        <v>0</v>
      </c>
      <c r="AO136" s="80"/>
      <c r="AP136" s="12">
        <v>0</v>
      </c>
      <c r="AQ136" s="80"/>
      <c r="AR136" s="12">
        <v>0</v>
      </c>
      <c r="AS136" s="80"/>
      <c r="AT136" s="12">
        <v>0</v>
      </c>
      <c r="AU136" s="12"/>
      <c r="AV136" s="12">
        <v>0</v>
      </c>
      <c r="AW136" s="12"/>
      <c r="AX136" s="12">
        <v>0</v>
      </c>
      <c r="AY136" s="12"/>
      <c r="AZ136" s="12">
        <v>0</v>
      </c>
      <c r="BA136" s="12"/>
      <c r="BB136" s="12">
        <v>0</v>
      </c>
      <c r="BC136" s="12"/>
      <c r="BD136" s="12">
        <v>0</v>
      </c>
      <c r="BE136" s="12"/>
      <c r="BF136" s="12">
        <v>0</v>
      </c>
      <c r="BG136" s="12"/>
      <c r="BH136" s="12">
        <v>0</v>
      </c>
      <c r="BI136" s="12"/>
      <c r="BJ136" s="12">
        <v>0</v>
      </c>
      <c r="BK136" s="12"/>
      <c r="BL136" s="12">
        <f t="shared" si="24"/>
        <v>0</v>
      </c>
      <c r="BM136" s="6"/>
      <c r="BN136" s="12">
        <v>0</v>
      </c>
      <c r="BO136" s="6"/>
      <c r="BP136" s="6">
        <f t="shared" si="25"/>
        <v>0</v>
      </c>
      <c r="BQ136" s="12"/>
      <c r="BR136" s="6">
        <f t="shared" si="26"/>
        <v>0</v>
      </c>
      <c r="BS136" s="12"/>
      <c r="BT136" s="6">
        <f t="shared" si="27"/>
        <v>0</v>
      </c>
      <c r="BU136" s="12"/>
    </row>
    <row r="137" spans="1:73">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s="80"/>
      <c r="AJ137" s="12"/>
      <c r="AK137" s="80"/>
      <c r="AL137" s="12"/>
      <c r="AM137" s="80"/>
      <c r="AN137" s="12"/>
      <c r="AO137" s="80"/>
      <c r="AP137" s="12"/>
      <c r="AQ137" s="80"/>
      <c r="AR137" s="12"/>
      <c r="AS137" s="80"/>
      <c r="AT137" s="12"/>
      <c r="AU137" s="12"/>
      <c r="AV137" s="12"/>
      <c r="AW137" s="12"/>
      <c r="AX137" s="12"/>
      <c r="AY137" s="12"/>
      <c r="AZ137" s="12"/>
      <c r="BA137" s="12"/>
      <c r="BB137" s="12"/>
      <c r="BC137" s="12"/>
      <c r="BD137" s="12"/>
      <c r="BE137" s="12"/>
      <c r="BF137" s="12"/>
      <c r="BG137" s="12"/>
      <c r="BH137" s="12"/>
      <c r="BI137" s="12"/>
      <c r="BJ137" s="12"/>
      <c r="BK137" s="12"/>
      <c r="BL137" s="12"/>
      <c r="BM137" s="6"/>
      <c r="BN137" s="12"/>
      <c r="BO137" s="6"/>
      <c r="BP137" s="6">
        <f t="shared" si="25"/>
        <v>0</v>
      </c>
      <c r="BQ137" s="12"/>
      <c r="BR137" s="12"/>
      <c r="BS137" s="12"/>
      <c r="BT137" s="6">
        <f t="shared" si="27"/>
        <v>0</v>
      </c>
      <c r="BU137" s="12"/>
    </row>
    <row r="138" spans="1:73" s="114" customFormat="1">
      <c r="A138" s="112"/>
      <c r="B138" s="113" t="s">
        <v>246</v>
      </c>
      <c r="J138" s="157"/>
      <c r="L138" s="142"/>
      <c r="M138" s="115"/>
      <c r="N138" s="116">
        <f>SUM(N131:N137)</f>
        <v>0</v>
      </c>
      <c r="O138" s="115"/>
      <c r="P138" s="116">
        <f>SUM(P131:P137)</f>
        <v>0</v>
      </c>
      <c r="Q138" s="115"/>
      <c r="R138" s="116">
        <f>SUM(R131:R137)</f>
        <v>6383200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276375</v>
      </c>
      <c r="AI138" s="115"/>
      <c r="AJ138" s="116">
        <f>SUM(AJ131:AJ137)</f>
        <v>276375</v>
      </c>
      <c r="AK138" s="115"/>
      <c r="AL138" s="116">
        <f>SUM(AL131:AL137)</f>
        <v>276372</v>
      </c>
      <c r="AM138" s="115"/>
      <c r="AN138" s="116">
        <f>SUM(AN131:AN137)</f>
        <v>276372</v>
      </c>
      <c r="AO138" s="115"/>
      <c r="AP138" s="116">
        <f>SUM(AP131:AP137)</f>
        <v>276372.01</v>
      </c>
      <c r="AQ138" s="115"/>
      <c r="AR138" s="116">
        <f>SUM(AR131:AR137)</f>
        <v>276382.33</v>
      </c>
      <c r="AS138" s="115"/>
      <c r="AT138" s="116">
        <f>SUM(AT131:AT137)</f>
        <v>276372.33</v>
      </c>
      <c r="AU138" s="117"/>
      <c r="AV138" s="116">
        <f>SUM(AV131:AV137)</f>
        <v>0</v>
      </c>
      <c r="AW138" s="117"/>
      <c r="AX138" s="116">
        <f>SUM(AX131:AX137)</f>
        <v>0</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5"/>
      <c r="BL138" s="116">
        <f>SUM(BL131:BL137)</f>
        <v>1934620.67</v>
      </c>
      <c r="BM138" s="115"/>
      <c r="BN138" s="116">
        <f>SUM(BN131:BN137)</f>
        <v>0</v>
      </c>
      <c r="BO138" s="115"/>
      <c r="BP138" s="116">
        <f>SUM(BP131:BP137)</f>
        <v>4448579.33</v>
      </c>
      <c r="BQ138" s="115"/>
      <c r="BR138" s="116">
        <f>SUM(BR131:BR137)</f>
        <v>6383200</v>
      </c>
      <c r="BS138" s="115"/>
      <c r="BT138" s="116">
        <f>SUM(BT131:BT137)</f>
        <v>0</v>
      </c>
      <c r="BU138" s="117"/>
    </row>
    <row r="139" spans="1:73" customFormat="1"/>
    <row r="140" spans="1:73" s="15" customFormat="1">
      <c r="A140" s="62" t="s">
        <v>244</v>
      </c>
      <c r="B140" s="17"/>
      <c r="C140"/>
      <c r="D140"/>
      <c r="E140"/>
      <c r="F140"/>
      <c r="G140"/>
      <c r="H140"/>
      <c r="I140"/>
      <c r="J140" s="49"/>
      <c r="K140"/>
      <c r="L140" s="134" t="s">
        <v>204</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5" customFormat="1">
      <c r="A141" s="62"/>
      <c r="B141" s="17" t="s">
        <v>122</v>
      </c>
      <c r="C141"/>
      <c r="D141"/>
      <c r="E141"/>
      <c r="F141"/>
      <c r="G141"/>
      <c r="H141"/>
      <c r="I141"/>
      <c r="J141" s="49" t="s">
        <v>0</v>
      </c>
      <c r="K141"/>
      <c r="L141" s="134" t="s">
        <v>204</v>
      </c>
      <c r="M141" s="22"/>
      <c r="N141" s="22">
        <v>0</v>
      </c>
      <c r="O141" s="22"/>
      <c r="P141" s="22">
        <v>0</v>
      </c>
      <c r="Q141" s="22"/>
      <c r="R141" s="6">
        <v>0</v>
      </c>
      <c r="S141" s="22"/>
      <c r="T141" s="22">
        <v>0</v>
      </c>
      <c r="U141" s="22"/>
      <c r="V141" s="22">
        <v>0</v>
      </c>
      <c r="W141" s="22"/>
      <c r="X141" s="22">
        <v>0</v>
      </c>
      <c r="Y141" s="22"/>
      <c r="Z141" s="22">
        <v>0</v>
      </c>
      <c r="AA141" s="22"/>
      <c r="AB141" s="22">
        <v>0</v>
      </c>
      <c r="AC141" s="22"/>
      <c r="AD141" s="22">
        <v>0</v>
      </c>
      <c r="AE141" s="22"/>
      <c r="AF141" s="22">
        <v>0</v>
      </c>
      <c r="AG141" s="22"/>
      <c r="AH141" s="22">
        <v>0</v>
      </c>
      <c r="AI141" s="22"/>
      <c r="AJ141" s="22">
        <v>0</v>
      </c>
      <c r="AK141" s="22"/>
      <c r="AL141" s="22">
        <v>0</v>
      </c>
      <c r="AM141" s="22"/>
      <c r="AN141" s="22">
        <v>0</v>
      </c>
      <c r="AO141" s="22"/>
      <c r="AP141" s="22">
        <v>0</v>
      </c>
      <c r="AQ141" s="22"/>
      <c r="AR141" s="22">
        <v>0</v>
      </c>
      <c r="AS141" s="22"/>
      <c r="AT141" s="22">
        <v>0</v>
      </c>
      <c r="AU141" s="22"/>
      <c r="AV141" s="22">
        <v>0</v>
      </c>
      <c r="AW141" s="22"/>
      <c r="AX141" s="22">
        <v>0</v>
      </c>
      <c r="AY141" s="22"/>
      <c r="AZ141" s="22">
        <v>0</v>
      </c>
      <c r="BA141" s="22"/>
      <c r="BB141" s="22">
        <v>0</v>
      </c>
      <c r="BC141" s="22"/>
      <c r="BD141" s="22">
        <v>0</v>
      </c>
      <c r="BE141" s="22"/>
      <c r="BF141" s="22">
        <v>0</v>
      </c>
      <c r="BG141" s="22"/>
      <c r="BH141" s="22">
        <v>0</v>
      </c>
      <c r="BI141" s="22"/>
      <c r="BJ141" s="22">
        <v>0</v>
      </c>
      <c r="BK141" s="22"/>
      <c r="BL141" s="22">
        <f>SUM(T141:BK141)</f>
        <v>0</v>
      </c>
      <c r="BM141" s="22"/>
      <c r="BN141" s="22">
        <v>0</v>
      </c>
      <c r="BO141" s="22"/>
      <c r="BP141" s="6">
        <f>IF(+R141-BL141+BN141&gt;0,R141-BL141+BN141,0)</f>
        <v>0</v>
      </c>
      <c r="BQ141" s="22"/>
      <c r="BR141" s="6">
        <f>+BL141+BP141</f>
        <v>0</v>
      </c>
      <c r="BS141" s="22"/>
      <c r="BT141" s="6">
        <f>+R141-BR141</f>
        <v>0</v>
      </c>
      <c r="BU141" s="22"/>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80"/>
      <c r="BQ142" s="22"/>
      <c r="BR142" s="80"/>
      <c r="BS142" s="22"/>
      <c r="BT142" s="6">
        <f>+R142-BR142</f>
        <v>0</v>
      </c>
      <c r="BU142" s="80"/>
    </row>
    <row r="143" spans="1:73" s="104" customFormat="1">
      <c r="A143" s="111"/>
      <c r="B143" s="77" t="s">
        <v>247</v>
      </c>
      <c r="C143" s="21"/>
      <c r="D143" s="21"/>
      <c r="E143" s="21"/>
      <c r="F143" s="21"/>
      <c r="G143" s="21"/>
      <c r="H143" s="21"/>
      <c r="I143" s="21"/>
      <c r="J143" s="8"/>
      <c r="K143" s="21"/>
      <c r="L143" s="143"/>
      <c r="M143" s="16"/>
      <c r="N143" s="108">
        <f>SUM(N141:N142)</f>
        <v>0</v>
      </c>
      <c r="O143" s="16"/>
      <c r="P143" s="108">
        <f>SUM(P141:P142)</f>
        <v>0</v>
      </c>
      <c r="Q143" s="16"/>
      <c r="R143" s="108">
        <f>SUM(R141:R142)</f>
        <v>0</v>
      </c>
      <c r="S143" s="16"/>
      <c r="T143" s="108">
        <f>SUM(T141:T142)</f>
        <v>0</v>
      </c>
      <c r="U143" s="16"/>
      <c r="V143" s="108">
        <f>SUM(V141:V142)</f>
        <v>0</v>
      </c>
      <c r="W143" s="16"/>
      <c r="X143" s="108">
        <f>SUM(X141:X142)</f>
        <v>0</v>
      </c>
      <c r="Y143" s="16"/>
      <c r="Z143" s="108">
        <f>SUM(Z141:Z142)</f>
        <v>0</v>
      </c>
      <c r="AA143" s="16"/>
      <c r="AB143" s="108">
        <f>SUM(AB141:AB142)</f>
        <v>0</v>
      </c>
      <c r="AC143" s="16"/>
      <c r="AD143" s="108">
        <f>SUM(AD141:AD142)</f>
        <v>0</v>
      </c>
      <c r="AE143" s="16"/>
      <c r="AF143" s="108">
        <f>SUM(AF141:AF142)</f>
        <v>0</v>
      </c>
      <c r="AG143" s="16"/>
      <c r="AH143" s="108">
        <f>SUM(AH141:AH142)</f>
        <v>0</v>
      </c>
      <c r="AI143" s="16"/>
      <c r="AJ143" s="108">
        <f>SUM(AJ141:AJ142)</f>
        <v>0</v>
      </c>
      <c r="AK143" s="16"/>
      <c r="AL143" s="108">
        <f>SUM(AL141:AL142)</f>
        <v>0</v>
      </c>
      <c r="AM143" s="16"/>
      <c r="AN143" s="108">
        <f>SUM(AN141:AN142)</f>
        <v>0</v>
      </c>
      <c r="AO143" s="16"/>
      <c r="AP143" s="108">
        <f>SUM(AP141:AP142)</f>
        <v>0</v>
      </c>
      <c r="AQ143" s="16"/>
      <c r="AR143" s="108">
        <f>SUM(AR141:AR142)</f>
        <v>0</v>
      </c>
      <c r="AS143" s="16"/>
      <c r="AT143" s="108">
        <f>SUM(AT141:AT142)</f>
        <v>0</v>
      </c>
      <c r="AU143" s="103"/>
      <c r="AV143" s="108">
        <f>SUM(AV141:AV142)</f>
        <v>0</v>
      </c>
      <c r="AW143" s="103"/>
      <c r="AX143" s="108">
        <f>SUM(AX141:AX142)</f>
        <v>0</v>
      </c>
      <c r="AY143" s="103"/>
      <c r="AZ143" s="108">
        <f>SUM(AZ141:AZ142)</f>
        <v>0</v>
      </c>
      <c r="BA143" s="103"/>
      <c r="BB143" s="108">
        <f>SUM(BB141:BB142)</f>
        <v>0</v>
      </c>
      <c r="BC143" s="103"/>
      <c r="BD143" s="108">
        <f>SUM(BD141:BD142)</f>
        <v>0</v>
      </c>
      <c r="BE143" s="103"/>
      <c r="BF143" s="108">
        <f>SUM(BF141:BF142)</f>
        <v>0</v>
      </c>
      <c r="BG143" s="103"/>
      <c r="BH143" s="108">
        <f>SUM(BH141:BH142)</f>
        <v>0</v>
      </c>
      <c r="BI143" s="103"/>
      <c r="BJ143" s="108">
        <f>SUM(BJ141:BJ142)</f>
        <v>0</v>
      </c>
      <c r="BK143" s="16"/>
      <c r="BL143" s="108">
        <f>SUM(BL141:BL142)</f>
        <v>0</v>
      </c>
      <c r="BM143" s="16"/>
      <c r="BN143" s="108">
        <f>SUM(BN141:BN142)</f>
        <v>0</v>
      </c>
      <c r="BO143" s="16"/>
      <c r="BP143" s="108">
        <f>SUM(BP141:BP142)</f>
        <v>0</v>
      </c>
      <c r="BQ143" s="16"/>
      <c r="BR143" s="108">
        <f>SUM(BR141:BR142)</f>
        <v>0</v>
      </c>
      <c r="BS143" s="16"/>
      <c r="BT143" s="108">
        <f>SUM(BT141:BT142)</f>
        <v>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248</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c r="A147" s="56" t="s">
        <v>25</v>
      </c>
      <c r="B147" s="58"/>
      <c r="C147"/>
      <c r="D147"/>
      <c r="E147"/>
      <c r="F147"/>
      <c r="G147"/>
      <c r="H147"/>
      <c r="I147"/>
      <c r="J147" s="49"/>
      <c r="K147"/>
      <c r="L147" s="134"/>
      <c r="M147" s="22"/>
      <c r="O147" s="22"/>
      <c r="Q147" s="22"/>
      <c r="S147" s="22"/>
      <c r="T147" s="6"/>
      <c r="U147" s="6"/>
      <c r="V147" s="6"/>
      <c r="X147" s="6"/>
      <c r="Z147" s="6"/>
      <c r="AB147" s="6"/>
      <c r="AD147" s="6"/>
      <c r="BJ147" s="6"/>
      <c r="BK147" s="6"/>
      <c r="BM147" s="6"/>
      <c r="BN147" s="6"/>
      <c r="BO147" s="6"/>
      <c r="BQ147" s="22"/>
      <c r="BS147" s="22"/>
      <c r="BU147" s="6"/>
    </row>
    <row r="148" spans="1:73">
      <c r="A148" s="61"/>
      <c r="B148" s="17" t="s">
        <v>183</v>
      </c>
      <c r="E148" s="4"/>
      <c r="G148" s="4"/>
      <c r="I148" s="4"/>
      <c r="J148" s="5" t="s">
        <v>0</v>
      </c>
      <c r="L148" s="134" t="s">
        <v>204</v>
      </c>
      <c r="M148" s="22"/>
      <c r="N148" s="6">
        <v>0</v>
      </c>
      <c r="O148" s="22"/>
      <c r="P148" s="6">
        <v>0</v>
      </c>
      <c r="Q148" s="22"/>
      <c r="R148" s="6">
        <v>908786</v>
      </c>
      <c r="S148" s="22"/>
      <c r="T148" s="6">
        <v>0</v>
      </c>
      <c r="U148" s="6"/>
      <c r="V148" s="6">
        <v>0</v>
      </c>
      <c r="X148" s="6">
        <v>0</v>
      </c>
      <c r="Z148" s="6">
        <v>0</v>
      </c>
      <c r="AB148" s="6">
        <v>0</v>
      </c>
      <c r="AD148" s="6">
        <v>0</v>
      </c>
      <c r="AF148" s="6">
        <v>0</v>
      </c>
      <c r="AH148" s="6">
        <v>0</v>
      </c>
      <c r="AJ148" s="6">
        <v>0</v>
      </c>
      <c r="AL148" s="6">
        <v>0</v>
      </c>
      <c r="AN148" s="6">
        <v>0</v>
      </c>
      <c r="AP148" s="6">
        <v>0</v>
      </c>
      <c r="AR148" s="6">
        <v>0</v>
      </c>
      <c r="AT148" s="6">
        <v>0</v>
      </c>
      <c r="AV148" s="6">
        <v>0</v>
      </c>
      <c r="AX148" s="6">
        <v>0</v>
      </c>
      <c r="AZ148" s="6">
        <v>0</v>
      </c>
      <c r="BB148" s="6">
        <v>0</v>
      </c>
      <c r="BD148" s="6">
        <v>0</v>
      </c>
      <c r="BF148" s="6">
        <v>0</v>
      </c>
      <c r="BH148" s="6">
        <v>0</v>
      </c>
      <c r="BJ148" s="6">
        <v>0</v>
      </c>
      <c r="BK148" s="6"/>
      <c r="BL148" s="6">
        <f>SUM(T148:BK148)</f>
        <v>0</v>
      </c>
      <c r="BM148" s="6"/>
      <c r="BN148" s="6">
        <v>0</v>
      </c>
      <c r="BO148" s="6"/>
      <c r="BP148" s="6">
        <f>IF(+R148-BL148+BN148&gt;0,R148-BL148+BN148,0)</f>
        <v>908786</v>
      </c>
      <c r="BQ148" s="22"/>
      <c r="BR148" s="6">
        <f>+BL148+BP148</f>
        <v>908786</v>
      </c>
      <c r="BS148" s="22"/>
      <c r="BT148" s="6">
        <f>+R148-BR148</f>
        <v>0</v>
      </c>
      <c r="BU148" s="6"/>
    </row>
    <row r="149" spans="1:73" hidden="1">
      <c r="A149" s="61"/>
      <c r="B149" s="17" t="s">
        <v>40</v>
      </c>
      <c r="E149" s="4"/>
      <c r="G149" s="4"/>
      <c r="I149" s="4"/>
      <c r="L149" s="134" t="s">
        <v>204</v>
      </c>
      <c r="M149" s="22"/>
      <c r="N149" s="6">
        <v>0</v>
      </c>
      <c r="O149" s="22"/>
      <c r="P149" s="6">
        <v>0</v>
      </c>
      <c r="Q149" s="22"/>
      <c r="R149" s="6">
        <f>+N149+P149</f>
        <v>0</v>
      </c>
      <c r="S149" s="22"/>
      <c r="T149" s="6">
        <v>0</v>
      </c>
      <c r="U149" s="6"/>
      <c r="V149" s="6">
        <v>0</v>
      </c>
      <c r="X149" s="6">
        <v>0</v>
      </c>
      <c r="Z149" s="6">
        <v>0</v>
      </c>
      <c r="AB149" s="6">
        <v>0</v>
      </c>
      <c r="AD149" s="6">
        <v>0</v>
      </c>
      <c r="AF149" s="6">
        <v>0</v>
      </c>
      <c r="AH149" s="6">
        <v>0</v>
      </c>
      <c r="AJ149" s="6">
        <v>0</v>
      </c>
      <c r="AL149" s="6">
        <v>0</v>
      </c>
      <c r="AN149" s="6">
        <v>0</v>
      </c>
      <c r="AP149" s="6">
        <v>0</v>
      </c>
      <c r="AR149" s="6">
        <v>0</v>
      </c>
      <c r="AT149" s="6">
        <v>0</v>
      </c>
      <c r="AV149" s="6">
        <v>0</v>
      </c>
      <c r="AX149" s="6">
        <v>0</v>
      </c>
      <c r="AZ149" s="6">
        <v>0</v>
      </c>
      <c r="BB149" s="6">
        <v>0</v>
      </c>
      <c r="BD149" s="6">
        <v>0</v>
      </c>
      <c r="BF149" s="6">
        <v>0</v>
      </c>
      <c r="BH149" s="6">
        <v>0</v>
      </c>
      <c r="BJ149" s="6">
        <v>0</v>
      </c>
      <c r="BK149" s="6"/>
      <c r="BL149" s="6">
        <f>SUM(T149:BK149)</f>
        <v>0</v>
      </c>
      <c r="BM149" s="6"/>
      <c r="BN149" s="6">
        <v>0</v>
      </c>
      <c r="BO149" s="6"/>
      <c r="BP149" s="6">
        <f>+R149-BL149+BN149</f>
        <v>0</v>
      </c>
      <c r="BQ149" s="22"/>
      <c r="BR149" s="6">
        <f>+BL149+BP149</f>
        <v>0</v>
      </c>
      <c r="BS149" s="22"/>
      <c r="BT149" s="6">
        <f>+R149-BR149</f>
        <v>0</v>
      </c>
      <c r="BU149" s="6"/>
    </row>
    <row r="150" spans="1:73" hidden="1">
      <c r="A150" s="61"/>
      <c r="B150" s="17" t="s">
        <v>122</v>
      </c>
      <c r="E150" s="4"/>
      <c r="G150" s="4"/>
      <c r="I150" s="4"/>
      <c r="L150" s="134" t="s">
        <v>204</v>
      </c>
      <c r="M150" s="22"/>
      <c r="N150" s="6">
        <v>0</v>
      </c>
      <c r="O150" s="22"/>
      <c r="P150" s="6">
        <v>0</v>
      </c>
      <c r="Q150" s="22"/>
      <c r="R150" s="6">
        <v>0</v>
      </c>
      <c r="S150" s="22"/>
      <c r="T150" s="6">
        <v>0</v>
      </c>
      <c r="U150" s="6"/>
      <c r="V150" s="6">
        <v>0</v>
      </c>
      <c r="X150" s="6">
        <v>0</v>
      </c>
      <c r="Z150" s="6">
        <v>0</v>
      </c>
      <c r="AB150" s="6">
        <v>0</v>
      </c>
      <c r="AD150" s="6">
        <v>0</v>
      </c>
      <c r="AF150" s="6">
        <v>0</v>
      </c>
      <c r="AH150" s="6">
        <v>0</v>
      </c>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0</v>
      </c>
      <c r="BQ150" s="22"/>
      <c r="BR150" s="6">
        <f>+BL150+BP150</f>
        <v>0</v>
      </c>
      <c r="BS150" s="22"/>
      <c r="BT150" s="6">
        <f>+R150-BR150</f>
        <v>0</v>
      </c>
      <c r="BU150" s="6"/>
    </row>
    <row r="151" spans="1:73" s="21" customFormat="1">
      <c r="A151" s="56"/>
      <c r="B151" s="58" t="s">
        <v>249</v>
      </c>
      <c r="J151" s="8"/>
      <c r="L151" s="143"/>
      <c r="M151" s="16"/>
      <c r="N151" s="102">
        <f>SUM(N148:N150)</f>
        <v>0</v>
      </c>
      <c r="O151" s="16"/>
      <c r="P151" s="102">
        <f>SUM(P148:P150)</f>
        <v>0</v>
      </c>
      <c r="Q151" s="16"/>
      <c r="R151" s="102">
        <f>SUM(R148:R150)</f>
        <v>908786</v>
      </c>
      <c r="S151" s="16"/>
      <c r="T151" s="102">
        <f>SUM(T148:T150)</f>
        <v>0</v>
      </c>
      <c r="U151" s="9"/>
      <c r="V151" s="102">
        <f>SUM(V148:V150)</f>
        <v>0</v>
      </c>
      <c r="W151" s="9"/>
      <c r="X151" s="102">
        <f>SUM(X148:X150)</f>
        <v>0</v>
      </c>
      <c r="Y151" s="9"/>
      <c r="Z151" s="102">
        <f>SUM(Z148:Z150)</f>
        <v>0</v>
      </c>
      <c r="AA151" s="9"/>
      <c r="AB151" s="102">
        <f>SUM(AB148:AB150)</f>
        <v>0</v>
      </c>
      <c r="AC151" s="9"/>
      <c r="AD151" s="102">
        <f>SUM(AD148:AD150)</f>
        <v>0</v>
      </c>
      <c r="AE151" s="9"/>
      <c r="AF151" s="102">
        <f>SUM(AF148:AF150)</f>
        <v>0</v>
      </c>
      <c r="AG151" s="9"/>
      <c r="AH151" s="102">
        <f>SUM(AH148:AH150)</f>
        <v>0</v>
      </c>
      <c r="AI151" s="9"/>
      <c r="AJ151" s="102">
        <f>SUM(AJ148:AJ150)</f>
        <v>0</v>
      </c>
      <c r="AK151" s="9"/>
      <c r="AL151" s="102">
        <f>SUM(AL148:AL150)</f>
        <v>0</v>
      </c>
      <c r="AM151" s="9"/>
      <c r="AN151" s="102">
        <f>SUM(AN148:AN150)</f>
        <v>0</v>
      </c>
      <c r="AO151" s="9"/>
      <c r="AP151" s="102">
        <f>SUM(AP148:AP150)</f>
        <v>0</v>
      </c>
      <c r="AQ151" s="9"/>
      <c r="AR151" s="102">
        <f>SUM(AR148:AR150)</f>
        <v>0</v>
      </c>
      <c r="AS151" s="9"/>
      <c r="AT151" s="102">
        <f>SUM(AT148:AT150)</f>
        <v>0</v>
      </c>
      <c r="AU151" s="10"/>
      <c r="AV151" s="102">
        <f>SUM(AV148:AV150)</f>
        <v>0</v>
      </c>
      <c r="AW151" s="10"/>
      <c r="AX151" s="102">
        <f>SUM(AX148:AX150)</f>
        <v>0</v>
      </c>
      <c r="AY151" s="10"/>
      <c r="AZ151" s="102">
        <f>SUM(AZ148:AZ150)</f>
        <v>0</v>
      </c>
      <c r="BA151" s="10"/>
      <c r="BB151" s="102">
        <f>SUM(BB148:BB150)</f>
        <v>0</v>
      </c>
      <c r="BC151" s="10"/>
      <c r="BD151" s="102">
        <f>SUM(BD148:BD150)</f>
        <v>0</v>
      </c>
      <c r="BE151" s="10"/>
      <c r="BF151" s="102">
        <f>SUM(BF148:BF150)</f>
        <v>0</v>
      </c>
      <c r="BG151" s="10"/>
      <c r="BH151" s="102">
        <f>SUM(BH148:BH150)</f>
        <v>0</v>
      </c>
      <c r="BI151" s="10"/>
      <c r="BJ151" s="102">
        <f>SUM(BJ148:BJ150)</f>
        <v>0</v>
      </c>
      <c r="BK151" s="9"/>
      <c r="BL151" s="102">
        <f>SUM(BL148:BL150)</f>
        <v>0</v>
      </c>
      <c r="BM151" s="9"/>
      <c r="BN151" s="102">
        <f>SUM(BN148:BN150)</f>
        <v>0</v>
      </c>
      <c r="BO151" s="9"/>
      <c r="BP151" s="102">
        <f>SUM(BP148:BP150)</f>
        <v>908786</v>
      </c>
      <c r="BQ151" s="16"/>
      <c r="BR151" s="102">
        <f>SUM(BR148:BR150)</f>
        <v>908786</v>
      </c>
      <c r="BS151" s="16"/>
      <c r="BT151" s="102">
        <f>SUM(BT148:BT150)</f>
        <v>0</v>
      </c>
      <c r="BU151" s="9"/>
    </row>
    <row r="152" spans="1:73" s="21" customFormat="1">
      <c r="A152" s="56"/>
      <c r="B152" s="58"/>
      <c r="J152" s="8"/>
      <c r="L152" s="143"/>
      <c r="M152" s="16"/>
      <c r="N152" s="10"/>
      <c r="O152" s="16"/>
      <c r="P152" s="10"/>
      <c r="Q152" s="16"/>
      <c r="R152" s="10"/>
      <c r="S152" s="16"/>
      <c r="T152" s="10"/>
      <c r="U152" s="9"/>
      <c r="V152" s="10"/>
      <c r="W152" s="9"/>
      <c r="X152" s="10"/>
      <c r="Y152" s="9"/>
      <c r="Z152" s="10"/>
      <c r="AA152" s="9"/>
      <c r="AB152" s="10"/>
      <c r="AC152" s="9"/>
      <c r="AD152" s="10"/>
      <c r="AE152" s="9"/>
      <c r="AF152" s="10"/>
      <c r="AG152" s="9"/>
      <c r="AH152" s="10"/>
      <c r="AI152" s="9"/>
      <c r="AJ152" s="10"/>
      <c r="AK152" s="9"/>
      <c r="AL152" s="10"/>
      <c r="AM152" s="9"/>
      <c r="AN152" s="10"/>
      <c r="AO152" s="9"/>
      <c r="AP152" s="10"/>
      <c r="AQ152" s="9"/>
      <c r="AR152" s="10"/>
      <c r="AS152" s="9"/>
      <c r="AT152" s="10"/>
      <c r="AU152" s="10"/>
      <c r="AV152" s="10"/>
      <c r="AW152" s="10"/>
      <c r="AX152" s="10"/>
      <c r="AY152" s="10"/>
      <c r="AZ152" s="10"/>
      <c r="BA152" s="10"/>
      <c r="BB152" s="10"/>
      <c r="BC152" s="10"/>
      <c r="BD152" s="10"/>
      <c r="BE152" s="10"/>
      <c r="BF152" s="10"/>
      <c r="BG152" s="10"/>
      <c r="BH152" s="10"/>
      <c r="BI152" s="10"/>
      <c r="BJ152" s="10"/>
      <c r="BK152" s="9"/>
      <c r="BL152" s="10"/>
      <c r="BM152" s="9"/>
      <c r="BN152" s="10"/>
      <c r="BO152" s="9"/>
      <c r="BP152" s="10"/>
      <c r="BQ152" s="16"/>
      <c r="BR152" s="10"/>
      <c r="BS152" s="16"/>
      <c r="BT152" s="10"/>
      <c r="BU152" s="9"/>
    </row>
    <row r="153" spans="1:73" s="21" customFormat="1">
      <c r="A153" s="62" t="s">
        <v>121</v>
      </c>
      <c r="B153" s="58"/>
      <c r="J153" s="8" t="s">
        <v>0</v>
      </c>
      <c r="L153" s="143" t="s">
        <v>204</v>
      </c>
      <c r="M153" s="9"/>
      <c r="N153" s="9">
        <v>0</v>
      </c>
      <c r="O153" s="9"/>
      <c r="P153" s="9">
        <v>0</v>
      </c>
      <c r="Q153" s="9"/>
      <c r="R153" s="9">
        <v>0</v>
      </c>
      <c r="S153" s="9"/>
      <c r="T153" s="9">
        <v>0</v>
      </c>
      <c r="U153" s="9"/>
      <c r="V153" s="9">
        <v>0</v>
      </c>
      <c r="W153" s="9"/>
      <c r="X153" s="9">
        <v>0</v>
      </c>
      <c r="Y153" s="9"/>
      <c r="Z153" s="9">
        <v>0</v>
      </c>
      <c r="AA153" s="9"/>
      <c r="AB153" s="9">
        <v>0</v>
      </c>
      <c r="AC153" s="9"/>
      <c r="AD153" s="9">
        <v>0</v>
      </c>
      <c r="AE153" s="9"/>
      <c r="AF153" s="9">
        <v>0</v>
      </c>
      <c r="AG153" s="9"/>
      <c r="AH153" s="9">
        <v>0</v>
      </c>
      <c r="AI153" s="9"/>
      <c r="AJ153" s="9">
        <v>0</v>
      </c>
      <c r="AK153" s="9"/>
      <c r="AL153" s="9">
        <v>0</v>
      </c>
      <c r="AM153" s="9"/>
      <c r="AN153" s="9">
        <v>0</v>
      </c>
      <c r="AO153" s="9"/>
      <c r="AP153" s="9">
        <v>0</v>
      </c>
      <c r="AQ153" s="9"/>
      <c r="AR153" s="9">
        <v>0</v>
      </c>
      <c r="AS153" s="9"/>
      <c r="AT153" s="9">
        <v>0</v>
      </c>
      <c r="AU153" s="9"/>
      <c r="AV153" s="9">
        <v>0</v>
      </c>
      <c r="AW153" s="9"/>
      <c r="AX153" s="9">
        <v>0</v>
      </c>
      <c r="AY153" s="9"/>
      <c r="AZ153" s="9">
        <v>0</v>
      </c>
      <c r="BA153" s="9"/>
      <c r="BB153" s="9">
        <v>0</v>
      </c>
      <c r="BC153" s="9"/>
      <c r="BD153" s="9">
        <v>0</v>
      </c>
      <c r="BE153" s="9"/>
      <c r="BF153" s="9">
        <v>0</v>
      </c>
      <c r="BG153" s="9"/>
      <c r="BH153" s="9">
        <v>0</v>
      </c>
      <c r="BI153" s="9"/>
      <c r="BJ153" s="9">
        <v>0</v>
      </c>
      <c r="BK153" s="9"/>
      <c r="BL153" s="9">
        <f>SUM(T153:BK153)</f>
        <v>0</v>
      </c>
      <c r="BM153" s="9"/>
      <c r="BN153" s="9">
        <v>0</v>
      </c>
      <c r="BO153" s="9"/>
      <c r="BP153" s="6">
        <f>IF(+R153-BL153+BN153&gt;0,R153-BL153+BN153,0)</f>
        <v>0</v>
      </c>
      <c r="BQ153" s="9"/>
      <c r="BR153" s="9">
        <f>+BL153+BP153</f>
        <v>0</v>
      </c>
      <c r="BS153" s="9"/>
      <c r="BT153" s="9">
        <f>+R153-BR153</f>
        <v>0</v>
      </c>
      <c r="BU153" s="9"/>
    </row>
    <row r="154" spans="1:73" s="21" customFormat="1">
      <c r="A154" s="62"/>
      <c r="B154" s="58"/>
      <c r="J154" s="8"/>
      <c r="L154" s="143"/>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row>
    <row r="155" spans="1:73" s="21" customFormat="1">
      <c r="A155" s="56" t="s">
        <v>218</v>
      </c>
      <c r="B155" s="31"/>
      <c r="J155" s="8" t="s">
        <v>0</v>
      </c>
      <c r="L155" s="134" t="s">
        <v>204</v>
      </c>
      <c r="M155" s="9"/>
      <c r="N155" s="9">
        <v>400000</v>
      </c>
      <c r="O155" s="9"/>
      <c r="P155" s="9">
        <v>100000</v>
      </c>
      <c r="Q155" s="9"/>
      <c r="R155" s="9">
        <v>1500000</v>
      </c>
      <c r="S155" s="9"/>
      <c r="T155" s="9">
        <v>0</v>
      </c>
      <c r="U155" s="9"/>
      <c r="V155" s="9">
        <v>0</v>
      </c>
      <c r="W155" s="9"/>
      <c r="X155" s="9">
        <v>0</v>
      </c>
      <c r="Y155" s="9"/>
      <c r="Z155" s="9">
        <v>0</v>
      </c>
      <c r="AA155" s="9"/>
      <c r="AB155" s="9">
        <v>0</v>
      </c>
      <c r="AC155" s="9"/>
      <c r="AD155" s="9">
        <v>0</v>
      </c>
      <c r="AE155" s="9"/>
      <c r="AF155" s="9">
        <v>0</v>
      </c>
      <c r="AG155" s="9"/>
      <c r="AH155" s="9">
        <v>0</v>
      </c>
      <c r="AI155" s="9"/>
      <c r="AJ155" s="9">
        <v>0</v>
      </c>
      <c r="AK155" s="9"/>
      <c r="AL155" s="9">
        <v>0</v>
      </c>
      <c r="AM155" s="9"/>
      <c r="AN155" s="9">
        <v>0</v>
      </c>
      <c r="AO155" s="9"/>
      <c r="AP155" s="9">
        <v>38083.5</v>
      </c>
      <c r="AQ155" s="9"/>
      <c r="AR155" s="9">
        <v>0</v>
      </c>
      <c r="AS155" s="9"/>
      <c r="AT155" s="9">
        <v>16047.5</v>
      </c>
      <c r="AU155" s="9"/>
      <c r="AV155" s="9">
        <v>0</v>
      </c>
      <c r="AW155" s="9"/>
      <c r="AX155" s="9">
        <v>0</v>
      </c>
      <c r="AY155" s="9"/>
      <c r="AZ155" s="9">
        <v>0</v>
      </c>
      <c r="BA155" s="9"/>
      <c r="BB155" s="9">
        <v>0</v>
      </c>
      <c r="BC155" s="9"/>
      <c r="BD155" s="9">
        <v>0</v>
      </c>
      <c r="BE155" s="9"/>
      <c r="BF155" s="9">
        <v>0</v>
      </c>
      <c r="BG155" s="9"/>
      <c r="BH155" s="9">
        <v>0</v>
      </c>
      <c r="BI155" s="9"/>
      <c r="BJ155" s="9">
        <v>0</v>
      </c>
      <c r="BK155" s="9"/>
      <c r="BL155" s="9">
        <f>SUM(T155:BK155)</f>
        <v>54131</v>
      </c>
      <c r="BM155" s="9"/>
      <c r="BN155" s="9">
        <v>0</v>
      </c>
      <c r="BO155" s="9"/>
      <c r="BP155" s="6">
        <f>IF(+R155-BL155+BN155&gt;0,R155-BL155+BN155,0)</f>
        <v>1445869</v>
      </c>
      <c r="BQ155" s="9"/>
      <c r="BR155" s="9">
        <f>+BL155+BP155</f>
        <v>1500000</v>
      </c>
      <c r="BS155" s="9"/>
      <c r="BT155" s="9">
        <f>+R155-BR155</f>
        <v>0</v>
      </c>
      <c r="BU155" s="9"/>
    </row>
    <row r="156" spans="1:73" s="21" customFormat="1">
      <c r="A156" s="56"/>
      <c r="B156" s="31"/>
      <c r="J156" s="8"/>
      <c r="L156" s="134"/>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row>
    <row r="157" spans="1:73" s="31" customFormat="1">
      <c r="A157" s="58" t="s">
        <v>30</v>
      </c>
      <c r="J157" s="159" t="s">
        <v>0</v>
      </c>
      <c r="L157" s="145" t="s">
        <v>204</v>
      </c>
      <c r="M157" s="10"/>
      <c r="N157" s="10">
        <v>0</v>
      </c>
      <c r="O157" s="10"/>
      <c r="P157" s="10">
        <v>0</v>
      </c>
      <c r="Q157" s="10"/>
      <c r="R157" s="9">
        <v>50000</v>
      </c>
      <c r="S157" s="10"/>
      <c r="T157" s="10">
        <v>0</v>
      </c>
      <c r="U157" s="10"/>
      <c r="V157" s="10">
        <v>0</v>
      </c>
      <c r="W157" s="10"/>
      <c r="X157" s="10">
        <v>0</v>
      </c>
      <c r="Y157" s="10"/>
      <c r="Z157" s="10">
        <v>0</v>
      </c>
      <c r="AA157" s="10"/>
      <c r="AB157" s="10">
        <v>0</v>
      </c>
      <c r="AC157" s="10"/>
      <c r="AD157" s="10">
        <v>0</v>
      </c>
      <c r="AE157" s="10"/>
      <c r="AF157" s="10">
        <v>0</v>
      </c>
      <c r="AG157" s="10"/>
      <c r="AH157" s="10">
        <v>0</v>
      </c>
      <c r="AI157" s="10"/>
      <c r="AJ157" s="10">
        <v>0</v>
      </c>
      <c r="AK157" s="10"/>
      <c r="AL157" s="10">
        <v>0</v>
      </c>
      <c r="AM157" s="10"/>
      <c r="AN157" s="10">
        <v>0</v>
      </c>
      <c r="AO157" s="10"/>
      <c r="AP157" s="10">
        <v>0</v>
      </c>
      <c r="AQ157" s="10"/>
      <c r="AR157" s="10">
        <v>0</v>
      </c>
      <c r="AS157" s="10"/>
      <c r="AT157" s="10">
        <v>0</v>
      </c>
      <c r="AU157" s="10"/>
      <c r="AV157" s="10">
        <v>0</v>
      </c>
      <c r="AW157" s="10"/>
      <c r="AX157" s="10">
        <v>0</v>
      </c>
      <c r="AY157" s="10"/>
      <c r="AZ157" s="10">
        <v>0</v>
      </c>
      <c r="BA157" s="10"/>
      <c r="BB157" s="10">
        <v>0</v>
      </c>
      <c r="BC157" s="10"/>
      <c r="BD157" s="10">
        <v>0</v>
      </c>
      <c r="BE157" s="10"/>
      <c r="BF157" s="10">
        <v>0</v>
      </c>
      <c r="BG157" s="10"/>
      <c r="BH157" s="10">
        <v>0</v>
      </c>
      <c r="BI157" s="10"/>
      <c r="BJ157" s="10">
        <v>0</v>
      </c>
      <c r="BK157" s="10"/>
      <c r="BL157" s="10">
        <f>SUM(T157:BK157)</f>
        <v>0</v>
      </c>
      <c r="BM157" s="10"/>
      <c r="BN157" s="10">
        <v>0</v>
      </c>
      <c r="BO157" s="10"/>
      <c r="BP157" s="6">
        <f>IF(+R157-BL157+BN157&gt;0,R157-BL157+BN157,0)</f>
        <v>50000</v>
      </c>
      <c r="BQ157" s="10"/>
      <c r="BR157" s="9">
        <f>+BL157+BP157</f>
        <v>50000</v>
      </c>
      <c r="BS157" s="10"/>
      <c r="BT157" s="9">
        <f>+R157-BR157</f>
        <v>0</v>
      </c>
      <c r="BU157" s="10"/>
    </row>
    <row r="158" spans="1:73" s="21" customFormat="1">
      <c r="A158" s="56"/>
      <c r="B158" s="31"/>
      <c r="J158" s="8"/>
      <c r="L158" s="134"/>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row>
    <row r="159" spans="1:73" s="21" customFormat="1">
      <c r="A159" s="56" t="s">
        <v>26</v>
      </c>
      <c r="B159" s="58"/>
      <c r="J159" s="8" t="s">
        <v>0</v>
      </c>
      <c r="L159" s="134" t="s">
        <v>204</v>
      </c>
      <c r="M159" s="16"/>
      <c r="N159" s="9">
        <v>0</v>
      </c>
      <c r="O159" s="16"/>
      <c r="P159" s="9">
        <v>0</v>
      </c>
      <c r="Q159" s="16"/>
      <c r="R159" s="9">
        <v>1172731</v>
      </c>
      <c r="S159" s="16"/>
      <c r="T159" s="9">
        <v>0</v>
      </c>
      <c r="U159" s="9"/>
      <c r="V159" s="9">
        <v>0</v>
      </c>
      <c r="W159" s="9"/>
      <c r="X159" s="9">
        <v>0</v>
      </c>
      <c r="Y159" s="9"/>
      <c r="Z159" s="9">
        <v>0</v>
      </c>
      <c r="AA159" s="9"/>
      <c r="AB159" s="9">
        <v>0</v>
      </c>
      <c r="AC159" s="9"/>
      <c r="AD159" s="9">
        <v>0</v>
      </c>
      <c r="AE159" s="9"/>
      <c r="AF159" s="9">
        <v>0</v>
      </c>
      <c r="AG159" s="9"/>
      <c r="AH159" s="9">
        <v>0</v>
      </c>
      <c r="AI159" s="9"/>
      <c r="AJ159" s="9">
        <v>0</v>
      </c>
      <c r="AK159" s="9"/>
      <c r="AL159" s="9">
        <v>0</v>
      </c>
      <c r="AM159" s="9"/>
      <c r="AN159" s="9">
        <v>0</v>
      </c>
      <c r="AO159" s="9"/>
      <c r="AP159" s="9">
        <v>0</v>
      </c>
      <c r="AQ159" s="9"/>
      <c r="AR159" s="9">
        <v>0</v>
      </c>
      <c r="AS159" s="9"/>
      <c r="AT159" s="9">
        <v>0</v>
      </c>
      <c r="AU159" s="9"/>
      <c r="AV159" s="9">
        <v>0</v>
      </c>
      <c r="AW159" s="9"/>
      <c r="AX159" s="9">
        <v>0</v>
      </c>
      <c r="AY159" s="9"/>
      <c r="AZ159" s="9">
        <v>0</v>
      </c>
      <c r="BA159" s="9"/>
      <c r="BB159" s="9">
        <v>0</v>
      </c>
      <c r="BC159" s="9"/>
      <c r="BD159" s="9">
        <v>0</v>
      </c>
      <c r="BE159" s="9"/>
      <c r="BF159" s="9">
        <v>0</v>
      </c>
      <c r="BG159" s="9"/>
      <c r="BH159" s="9">
        <v>0</v>
      </c>
      <c r="BI159" s="9"/>
      <c r="BJ159" s="9">
        <v>0</v>
      </c>
      <c r="BK159" s="9"/>
      <c r="BL159" s="9">
        <f>SUM(T159:BK159)</f>
        <v>0</v>
      </c>
      <c r="BM159" s="9"/>
      <c r="BN159" s="9">
        <v>0</v>
      </c>
      <c r="BO159" s="9"/>
      <c r="BP159" s="6">
        <f>IF(+R159-BL159+BN159&gt;0,R159-BL159+BN159,0)</f>
        <v>1172731</v>
      </c>
      <c r="BQ159" s="16"/>
      <c r="BR159" s="9">
        <f>+BL159+BP159</f>
        <v>1172731</v>
      </c>
      <c r="BS159" s="16"/>
      <c r="BT159" s="9">
        <f>+R159-BR159</f>
        <v>0</v>
      </c>
      <c r="BU159" s="9"/>
    </row>
    <row r="160" spans="1:73" s="21" customFormat="1">
      <c r="A160" s="56"/>
      <c r="B160" s="31"/>
      <c r="J160" s="8"/>
      <c r="L160" s="134"/>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row>
    <row r="161" spans="1:73">
      <c r="A161" s="56" t="s">
        <v>27</v>
      </c>
      <c r="B161" s="11"/>
      <c r="C161"/>
      <c r="D161"/>
      <c r="E161"/>
      <c r="F161"/>
      <c r="G161"/>
      <c r="H161"/>
      <c r="I161"/>
      <c r="J161" s="49"/>
      <c r="K161"/>
      <c r="L161" s="134"/>
      <c r="M161" s="6"/>
      <c r="O161" s="6"/>
      <c r="Q161" s="6"/>
      <c r="S161" s="6"/>
      <c r="T161" s="6"/>
      <c r="U161" s="6"/>
      <c r="V161" s="6"/>
      <c r="X161" s="6"/>
      <c r="Z161" s="6"/>
      <c r="AB161" s="6"/>
      <c r="AD161" s="6"/>
      <c r="BJ161" s="6"/>
      <c r="BK161" s="6"/>
      <c r="BM161" s="6"/>
      <c r="BN161" s="6"/>
      <c r="BO161" s="6"/>
      <c r="BU161" s="6"/>
    </row>
    <row r="162" spans="1:73">
      <c r="A162" s="61"/>
      <c r="B162" s="11" t="s">
        <v>209</v>
      </c>
      <c r="E162" s="4"/>
      <c r="G162" s="4"/>
      <c r="I162" s="4"/>
      <c r="J162" s="5" t="s">
        <v>0</v>
      </c>
      <c r="L162" s="134" t="s">
        <v>204</v>
      </c>
      <c r="M162" s="6"/>
      <c r="N162" s="6">
        <v>0</v>
      </c>
      <c r="O162" s="6"/>
      <c r="P162" s="6">
        <v>0</v>
      </c>
      <c r="Q162" s="6"/>
      <c r="R162" s="6">
        <v>42500</v>
      </c>
      <c r="S162" s="6"/>
      <c r="T162" s="6">
        <v>0</v>
      </c>
      <c r="U162" s="6"/>
      <c r="V162" s="6">
        <v>0</v>
      </c>
      <c r="X162" s="6">
        <v>15000</v>
      </c>
      <c r="Z162" s="6">
        <v>10000</v>
      </c>
      <c r="AB162" s="6">
        <v>10000</v>
      </c>
      <c r="AD162" s="6">
        <v>7500</v>
      </c>
      <c r="AF162" s="6">
        <v>0</v>
      </c>
      <c r="AH162" s="6">
        <v>0</v>
      </c>
      <c r="AJ162" s="6">
        <v>0</v>
      </c>
      <c r="AL162" s="6">
        <v>0</v>
      </c>
      <c r="AN162" s="6">
        <v>0</v>
      </c>
      <c r="AP162" s="6">
        <v>0</v>
      </c>
      <c r="AR162" s="6">
        <v>0</v>
      </c>
      <c r="AT162" s="6">
        <v>1500</v>
      </c>
      <c r="AV162" s="6">
        <v>0</v>
      </c>
      <c r="AX162" s="6">
        <v>0</v>
      </c>
      <c r="AZ162" s="6">
        <v>0</v>
      </c>
      <c r="BB162" s="6">
        <v>0</v>
      </c>
      <c r="BD162" s="6">
        <v>0</v>
      </c>
      <c r="BF162" s="6">
        <v>0</v>
      </c>
      <c r="BH162" s="6">
        <v>0</v>
      </c>
      <c r="BJ162" s="6">
        <v>0</v>
      </c>
      <c r="BK162" s="6"/>
      <c r="BL162" s="6">
        <f>SUM(T162:BK162)</f>
        <v>44000</v>
      </c>
      <c r="BM162" s="6"/>
      <c r="BN162" s="6">
        <v>1000</v>
      </c>
      <c r="BO162" s="6"/>
      <c r="BP162" s="6">
        <f>IF(+R162-BL162+BN162&gt;0,R162-BL162+BN162,0)</f>
        <v>0</v>
      </c>
      <c r="BR162" s="6">
        <f>+BL162+BP162</f>
        <v>44000</v>
      </c>
      <c r="BT162" s="6">
        <f>+R162-BR162</f>
        <v>-1500</v>
      </c>
      <c r="BU162" s="6"/>
    </row>
    <row r="163" spans="1:73">
      <c r="A163" s="61"/>
      <c r="B163" s="11" t="s">
        <v>210</v>
      </c>
      <c r="E163" s="4"/>
      <c r="G163" s="4"/>
      <c r="I163" s="4"/>
      <c r="J163" s="5" t="s">
        <v>0</v>
      </c>
      <c r="L163" s="134" t="s">
        <v>204</v>
      </c>
      <c r="M163" s="6"/>
      <c r="O163" s="6"/>
      <c r="Q163" s="6"/>
      <c r="R163" s="6">
        <v>0</v>
      </c>
      <c r="S163" s="6"/>
      <c r="T163" s="6">
        <v>0</v>
      </c>
      <c r="U163" s="6"/>
      <c r="V163" s="6">
        <v>0</v>
      </c>
      <c r="X163" s="6">
        <v>0</v>
      </c>
      <c r="Z163" s="6">
        <v>0</v>
      </c>
      <c r="AB163" s="6">
        <v>0</v>
      </c>
      <c r="AD163" s="6">
        <v>0</v>
      </c>
      <c r="AF163" s="6">
        <v>0</v>
      </c>
      <c r="AH163" s="6">
        <v>0</v>
      </c>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0</v>
      </c>
      <c r="BM163" s="6"/>
      <c r="BN163" s="6">
        <v>0</v>
      </c>
      <c r="BO163" s="6"/>
      <c r="BP163" s="6">
        <f>IF(+R163-BL163+BN163&gt;0,R163-BL163+BN163,0)</f>
        <v>0</v>
      </c>
      <c r="BR163" s="6">
        <f>+BL163+BP163</f>
        <v>0</v>
      </c>
      <c r="BT163" s="6">
        <f>+R163-BR163</f>
        <v>0</v>
      </c>
      <c r="BU163" s="6"/>
    </row>
    <row r="164" spans="1:73">
      <c r="A164" s="61"/>
      <c r="B164" s="11" t="s">
        <v>211</v>
      </c>
      <c r="E164" s="4"/>
      <c r="G164" s="4"/>
      <c r="I164" s="4"/>
      <c r="J164" s="5" t="s">
        <v>0</v>
      </c>
      <c r="L164" s="134" t="s">
        <v>204</v>
      </c>
      <c r="M164" s="6"/>
      <c r="O164" s="6"/>
      <c r="Q164" s="6"/>
      <c r="R164" s="6">
        <f>770000-42500</f>
        <v>727500</v>
      </c>
      <c r="S164" s="6"/>
      <c r="T164" s="6">
        <v>0</v>
      </c>
      <c r="U164" s="6"/>
      <c r="V164" s="6">
        <v>0</v>
      </c>
      <c r="X164" s="6">
        <v>0</v>
      </c>
      <c r="Z164" s="6">
        <v>0</v>
      </c>
      <c r="AB164" s="6"/>
      <c r="AD164" s="6">
        <v>0</v>
      </c>
      <c r="AF164" s="6">
        <v>0</v>
      </c>
      <c r="AH164" s="6">
        <v>0</v>
      </c>
      <c r="AJ164" s="6">
        <v>0</v>
      </c>
      <c r="AL164" s="6">
        <f>101925+797359.26+33000</f>
        <v>932284.26</v>
      </c>
      <c r="AN164" s="6">
        <f>127995.16+664.44</f>
        <v>128659.6</v>
      </c>
      <c r="AP164" s="6">
        <v>8500</v>
      </c>
      <c r="AR164" s="6">
        <v>5000</v>
      </c>
      <c r="AT164" s="6">
        <v>257825</v>
      </c>
      <c r="AV164" s="6">
        <v>0</v>
      </c>
      <c r="AX164" s="6">
        <v>0</v>
      </c>
      <c r="AZ164" s="6">
        <v>0</v>
      </c>
      <c r="BB164" s="6">
        <v>0</v>
      </c>
      <c r="BD164" s="6">
        <v>0</v>
      </c>
      <c r="BF164" s="6">
        <v>0</v>
      </c>
      <c r="BH164" s="6">
        <v>0</v>
      </c>
      <c r="BJ164" s="6">
        <v>0</v>
      </c>
      <c r="BK164" s="6"/>
      <c r="BL164" s="6">
        <f>SUM(T164:BK164)</f>
        <v>1332268.8600000001</v>
      </c>
      <c r="BM164" s="6"/>
      <c r="BN164" s="6">
        <v>341944</v>
      </c>
      <c r="BO164" s="6"/>
      <c r="BP164" s="6">
        <f>IF(+R164-BL164+BN164&gt;0,R164-BL164+BN164,0)</f>
        <v>0</v>
      </c>
      <c r="BR164" s="6">
        <f>+BL164+BP164</f>
        <v>1332268.8600000001</v>
      </c>
      <c r="BT164" s="6">
        <f>+R164-BR164</f>
        <v>-604768.8600000001</v>
      </c>
      <c r="BU164" s="6"/>
    </row>
    <row r="165" spans="1:73">
      <c r="A165" s="61"/>
      <c r="B165" s="11" t="s">
        <v>212</v>
      </c>
      <c r="E165" s="4"/>
      <c r="G165" s="4"/>
      <c r="I165" s="4"/>
      <c r="J165" s="5" t="s">
        <v>0</v>
      </c>
      <c r="L165" s="134" t="s">
        <v>204</v>
      </c>
      <c r="M165" s="6"/>
      <c r="O165" s="6"/>
      <c r="Q165" s="6"/>
      <c r="R165" s="6">
        <v>0</v>
      </c>
      <c r="S165" s="6"/>
      <c r="T165" s="6"/>
      <c r="U165" s="6"/>
      <c r="V165" s="6"/>
      <c r="X165" s="6"/>
      <c r="Z165" s="6"/>
      <c r="AB165" s="6"/>
      <c r="AD165" s="6"/>
      <c r="BJ165" s="6"/>
      <c r="BK165" s="6"/>
      <c r="BM165" s="6"/>
      <c r="BN165" s="6"/>
      <c r="BO165" s="6"/>
      <c r="BP165" s="6">
        <f>IF(+R165-BL165+BN165&gt;0,R165-BL165+BN165,0)</f>
        <v>0</v>
      </c>
      <c r="BR165" s="6">
        <f>+BL165+BP165</f>
        <v>0</v>
      </c>
      <c r="BT165" s="6">
        <f>+R165-BR165</f>
        <v>0</v>
      </c>
      <c r="BU165" s="6"/>
    </row>
    <row r="166" spans="1:73" s="21" customFormat="1">
      <c r="A166" s="56"/>
      <c r="B166" s="31" t="s">
        <v>184</v>
      </c>
      <c r="J166" s="8"/>
      <c r="L166" s="143"/>
      <c r="M166" s="9"/>
      <c r="N166" s="102">
        <f>SUM(N162:N165)</f>
        <v>0</v>
      </c>
      <c r="O166" s="9"/>
      <c r="P166" s="102">
        <f>SUM(P162:P165)</f>
        <v>0</v>
      </c>
      <c r="Q166" s="9"/>
      <c r="R166" s="102">
        <f>SUM(R162:R165)</f>
        <v>770000</v>
      </c>
      <c r="S166" s="9"/>
      <c r="T166" s="102">
        <f>SUM(T162:T165)</f>
        <v>0</v>
      </c>
      <c r="U166" s="9"/>
      <c r="V166" s="102">
        <f>SUM(V162:V165)</f>
        <v>0</v>
      </c>
      <c r="W166" s="9"/>
      <c r="X166" s="102">
        <f>SUM(X162:X165)</f>
        <v>15000</v>
      </c>
      <c r="Y166" s="9"/>
      <c r="Z166" s="102">
        <f>SUM(Z162:Z165)</f>
        <v>10000</v>
      </c>
      <c r="AA166" s="9"/>
      <c r="AB166" s="102">
        <f>SUM(AB162:AB165)</f>
        <v>10000</v>
      </c>
      <c r="AC166" s="9"/>
      <c r="AD166" s="102">
        <f>SUM(AD162:AD165)</f>
        <v>7500</v>
      </c>
      <c r="AE166" s="9"/>
      <c r="AF166" s="102">
        <f>SUM(AF162:AF165)</f>
        <v>0</v>
      </c>
      <c r="AG166" s="9"/>
      <c r="AH166" s="102">
        <f>SUM(AH162:AH165)</f>
        <v>0</v>
      </c>
      <c r="AI166" s="9"/>
      <c r="AJ166" s="102">
        <f>SUM(AJ162:AJ165)</f>
        <v>0</v>
      </c>
      <c r="AK166" s="9"/>
      <c r="AL166" s="102">
        <f>SUM(AL162:AL165)</f>
        <v>932284.26</v>
      </c>
      <c r="AM166" s="9"/>
      <c r="AN166" s="102">
        <f>SUM(AN162:AN165)</f>
        <v>128659.6</v>
      </c>
      <c r="AO166" s="9"/>
      <c r="AP166" s="102">
        <f>SUM(AP162:AP165)</f>
        <v>8500</v>
      </c>
      <c r="AQ166" s="9"/>
      <c r="AR166" s="102">
        <f>SUM(AR162:AR165)</f>
        <v>5000</v>
      </c>
      <c r="AS166" s="9"/>
      <c r="AT166" s="102">
        <f>SUM(AT162:AT165)</f>
        <v>259325</v>
      </c>
      <c r="AU166" s="10"/>
      <c r="AV166" s="102">
        <f>SUM(AV162:AV165)</f>
        <v>0</v>
      </c>
      <c r="AW166" s="10"/>
      <c r="AX166" s="102">
        <f>SUM(AX162:AX165)</f>
        <v>0</v>
      </c>
      <c r="AY166" s="10"/>
      <c r="AZ166" s="102">
        <f>SUM(AZ162:AZ165)</f>
        <v>0</v>
      </c>
      <c r="BA166" s="10"/>
      <c r="BB166" s="102">
        <f>SUM(BB162:BB165)</f>
        <v>0</v>
      </c>
      <c r="BC166" s="10"/>
      <c r="BD166" s="102">
        <f>SUM(BD162:BD165)</f>
        <v>0</v>
      </c>
      <c r="BE166" s="10"/>
      <c r="BF166" s="102">
        <f>SUM(BF162:BF165)</f>
        <v>0</v>
      </c>
      <c r="BG166" s="10"/>
      <c r="BH166" s="102">
        <f>SUM(BH162:BH165)</f>
        <v>0</v>
      </c>
      <c r="BI166" s="10"/>
      <c r="BJ166" s="102">
        <f>SUM(BJ162:BJ165)</f>
        <v>0</v>
      </c>
      <c r="BK166" s="9"/>
      <c r="BL166" s="102">
        <f>SUM(BL162:BL165)</f>
        <v>1376268.86</v>
      </c>
      <c r="BM166" s="9"/>
      <c r="BN166" s="102">
        <f>SUM(BN162:BN165)</f>
        <v>342944</v>
      </c>
      <c r="BO166" s="9"/>
      <c r="BP166" s="102">
        <f>SUM(BP162:BP165)</f>
        <v>0</v>
      </c>
      <c r="BQ166" s="9"/>
      <c r="BR166" s="102">
        <f>SUM(BR162:BR165)</f>
        <v>1376268.86</v>
      </c>
      <c r="BS166" s="9"/>
      <c r="BT166" s="102">
        <f>SUM(BT162:BT165)</f>
        <v>-606268.8600000001</v>
      </c>
      <c r="BU166" s="9"/>
    </row>
    <row r="167" spans="1:73" s="21" customFormat="1">
      <c r="A167" s="56"/>
      <c r="B167" s="31"/>
      <c r="J167" s="8"/>
      <c r="L167" s="134"/>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row>
    <row r="168" spans="1:73">
      <c r="A168" s="56" t="s">
        <v>28</v>
      </c>
      <c r="B168" s="11"/>
      <c r="C168"/>
      <c r="D168"/>
      <c r="E168"/>
      <c r="F168"/>
      <c r="G168"/>
      <c r="H168"/>
      <c r="I168"/>
      <c r="J168" s="49"/>
      <c r="K168"/>
      <c r="L168" s="134"/>
      <c r="M168" s="6"/>
      <c r="O168" s="6"/>
      <c r="Q168" s="6"/>
      <c r="S168" s="6"/>
      <c r="T168" s="6"/>
      <c r="U168" s="6"/>
      <c r="V168" s="6"/>
      <c r="X168" s="6"/>
      <c r="Z168" s="6"/>
      <c r="AB168" s="6"/>
      <c r="AD168" s="6"/>
      <c r="BJ168" s="6"/>
      <c r="BK168" s="6"/>
      <c r="BM168" s="6"/>
      <c r="BN168" s="6"/>
      <c r="BO168" s="6"/>
      <c r="BU168" s="6"/>
    </row>
    <row r="169" spans="1:73">
      <c r="A169" s="56"/>
      <c r="B169" s="11" t="s">
        <v>262</v>
      </c>
      <c r="C169"/>
      <c r="D169"/>
      <c r="E169"/>
      <c r="F169"/>
      <c r="G169"/>
      <c r="H169"/>
      <c r="I169"/>
      <c r="J169" s="49"/>
      <c r="K169"/>
      <c r="L169" s="134" t="s">
        <v>205</v>
      </c>
      <c r="M169" s="6"/>
      <c r="N169" s="6">
        <v>0</v>
      </c>
      <c r="O169" s="6"/>
      <c r="P169" s="6">
        <v>0</v>
      </c>
      <c r="Q169" s="6"/>
      <c r="S169" s="6"/>
      <c r="T169" s="6">
        <v>0</v>
      </c>
      <c r="U169" s="6"/>
      <c r="V169" s="6">
        <v>0</v>
      </c>
      <c r="X169" s="6">
        <v>0</v>
      </c>
      <c r="Z169" s="6">
        <v>0</v>
      </c>
      <c r="AB169" s="6">
        <v>0</v>
      </c>
      <c r="AD169" s="6"/>
      <c r="AF169" s="6">
        <v>0</v>
      </c>
      <c r="AH169" s="6">
        <v>0</v>
      </c>
      <c r="AJ169" s="6">
        <v>0</v>
      </c>
      <c r="AL169" s="6">
        <v>0</v>
      </c>
      <c r="AN169" s="6">
        <v>0</v>
      </c>
      <c r="AP169" s="6">
        <v>0</v>
      </c>
      <c r="AR169" s="6">
        <v>0</v>
      </c>
      <c r="AT169" s="6">
        <v>0</v>
      </c>
      <c r="AV169" s="6">
        <v>0</v>
      </c>
      <c r="AX169" s="6">
        <v>0</v>
      </c>
      <c r="AZ169" s="6">
        <v>0</v>
      </c>
      <c r="BB169" s="6">
        <v>0</v>
      </c>
      <c r="BD169" s="6">
        <v>0</v>
      </c>
      <c r="BF169" s="6">
        <v>0</v>
      </c>
      <c r="BH169" s="6">
        <v>0</v>
      </c>
      <c r="BJ169" s="6">
        <v>0</v>
      </c>
      <c r="BK169" s="6"/>
      <c r="BL169" s="6">
        <f>SUM(T169:BK169)</f>
        <v>0</v>
      </c>
      <c r="BM169" s="6"/>
      <c r="BN169" s="6">
        <v>0</v>
      </c>
      <c r="BO169" s="6"/>
      <c r="BP169" s="6">
        <f>IF(+R169-BL169+BN169&gt;0,R169-BL169+BN169,0)</f>
        <v>0</v>
      </c>
      <c r="BR169" s="6">
        <f>+BL169+BP169</f>
        <v>0</v>
      </c>
      <c r="BT169" s="6">
        <f>+R169-BR169</f>
        <v>0</v>
      </c>
      <c r="BU169" s="6"/>
    </row>
    <row r="170" spans="1:73">
      <c r="A170" s="57"/>
      <c r="B170" s="17" t="s">
        <v>263</v>
      </c>
      <c r="C170"/>
      <c r="D170"/>
      <c r="E170"/>
      <c r="F170"/>
      <c r="G170"/>
      <c r="H170"/>
      <c r="I170"/>
      <c r="J170" s="49"/>
      <c r="K170"/>
      <c r="L170" s="134" t="s">
        <v>205</v>
      </c>
      <c r="M170" s="6"/>
      <c r="N170" s="6">
        <v>0</v>
      </c>
      <c r="O170" s="6"/>
      <c r="P170" s="6">
        <v>0</v>
      </c>
      <c r="Q170" s="6"/>
      <c r="S170" s="6"/>
      <c r="T170" s="6">
        <v>0</v>
      </c>
      <c r="U170" s="6"/>
      <c r="V170" s="6">
        <v>0</v>
      </c>
      <c r="X170" s="6">
        <v>0</v>
      </c>
      <c r="Z170" s="6">
        <v>0</v>
      </c>
      <c r="AB170" s="6">
        <v>0</v>
      </c>
      <c r="AD170" s="6"/>
      <c r="AF170" s="6">
        <v>0</v>
      </c>
      <c r="AH170" s="6">
        <v>0</v>
      </c>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264</v>
      </c>
      <c r="C171"/>
      <c r="D171"/>
      <c r="E171"/>
      <c r="F171"/>
      <c r="G171"/>
      <c r="H171"/>
      <c r="I171"/>
      <c r="J171" s="49"/>
      <c r="K171"/>
      <c r="L171" s="134" t="s">
        <v>205</v>
      </c>
      <c r="M171" s="6"/>
      <c r="O171" s="6"/>
      <c r="P171" s="6">
        <v>0</v>
      </c>
      <c r="Q171" s="6"/>
      <c r="R171" s="6">
        <v>450000</v>
      </c>
      <c r="S171" s="6"/>
      <c r="T171" s="6">
        <v>0</v>
      </c>
      <c r="U171" s="6"/>
      <c r="V171" s="6">
        <v>0</v>
      </c>
      <c r="X171" s="6">
        <v>0</v>
      </c>
      <c r="Z171" s="6">
        <f>17200+23635.1+13005.59</f>
        <v>53840.69</v>
      </c>
      <c r="AB171" s="6">
        <f>60240.81+22098.49</f>
        <v>82339.3</v>
      </c>
      <c r="AD171" s="6">
        <v>9930.43</v>
      </c>
      <c r="AF171" s="6">
        <v>32110.799999999999</v>
      </c>
      <c r="AH171" s="6">
        <v>22234</v>
      </c>
      <c r="AJ171" s="6">
        <v>64176.31</v>
      </c>
      <c r="AL171" s="6">
        <v>27327.91</v>
      </c>
      <c r="AN171" s="6">
        <v>8595.51</v>
      </c>
      <c r="AP171" s="6">
        <v>47810.12</v>
      </c>
      <c r="AR171" s="6">
        <f>1812+9493.06</f>
        <v>11305.06</v>
      </c>
      <c r="AT171" s="6">
        <v>28715.83</v>
      </c>
      <c r="AV171" s="6">
        <v>0</v>
      </c>
      <c r="AX171" s="6">
        <v>0</v>
      </c>
      <c r="AZ171" s="6">
        <v>0</v>
      </c>
      <c r="BB171" s="6">
        <v>0</v>
      </c>
      <c r="BD171" s="6">
        <v>0</v>
      </c>
      <c r="BF171" s="6">
        <v>0</v>
      </c>
      <c r="BH171" s="6">
        <v>0</v>
      </c>
      <c r="BJ171" s="6">
        <v>0</v>
      </c>
      <c r="BK171" s="6"/>
      <c r="BL171" s="6">
        <f>SUM(T171:BK171)</f>
        <v>388385.95999999996</v>
      </c>
      <c r="BM171" s="6"/>
      <c r="BN171" s="6">
        <v>0</v>
      </c>
      <c r="BO171" s="6"/>
      <c r="BP171" s="6">
        <f>IF(+R171-BL171+BN171&gt;0,R171-BL171+BN171,0)</f>
        <v>61614.040000000037</v>
      </c>
      <c r="BR171" s="6">
        <f>+BL171+BP171</f>
        <v>450000</v>
      </c>
      <c r="BT171" s="6">
        <f>+R171-BR171</f>
        <v>0</v>
      </c>
      <c r="BU171" s="6"/>
    </row>
    <row r="172" spans="1:73">
      <c r="A172" s="57"/>
      <c r="B172" s="17"/>
      <c r="C172"/>
      <c r="D172"/>
      <c r="E172"/>
      <c r="F172"/>
      <c r="G172"/>
      <c r="H172"/>
      <c r="I172"/>
      <c r="J172" s="49"/>
      <c r="K172"/>
      <c r="L172" s="134"/>
      <c r="M172" s="6"/>
      <c r="O172" s="6"/>
      <c r="Q172" s="6"/>
      <c r="S172" s="6"/>
      <c r="T172" s="6"/>
      <c r="U172" s="6"/>
      <c r="V172" s="6"/>
      <c r="X172" s="6"/>
      <c r="Z172" s="6"/>
      <c r="AB172" s="6"/>
      <c r="AD172" s="6"/>
      <c r="BJ172" s="6"/>
      <c r="BK172" s="6"/>
      <c r="BM172" s="6"/>
      <c r="BN172" s="6"/>
      <c r="BO172" s="6"/>
      <c r="BU172" s="6"/>
    </row>
    <row r="173" spans="1:73" s="21" customFormat="1">
      <c r="A173" s="118"/>
      <c r="B173" s="58" t="s">
        <v>185</v>
      </c>
      <c r="J173" s="8"/>
      <c r="L173" s="143"/>
      <c r="M173" s="9"/>
      <c r="N173" s="102">
        <f>SUM(N169:N172)</f>
        <v>0</v>
      </c>
      <c r="O173" s="9"/>
      <c r="P173" s="102">
        <f>SUM(P169:P172)</f>
        <v>0</v>
      </c>
      <c r="Q173" s="9"/>
      <c r="R173" s="102">
        <f>SUM(R169:R172)</f>
        <v>450000</v>
      </c>
      <c r="S173" s="9"/>
      <c r="T173" s="102">
        <f>SUM(T169:T172)</f>
        <v>0</v>
      </c>
      <c r="U173" s="9"/>
      <c r="V173" s="102">
        <f>SUM(V169:V172)</f>
        <v>0</v>
      </c>
      <c r="W173" s="9"/>
      <c r="X173" s="102">
        <f>SUM(X169:X172)</f>
        <v>0</v>
      </c>
      <c r="Y173" s="9"/>
      <c r="Z173" s="102">
        <f>SUM(Z169:Z172)</f>
        <v>53840.69</v>
      </c>
      <c r="AA173" s="9"/>
      <c r="AB173" s="102">
        <f>SUM(AB169:AB172)</f>
        <v>82339.3</v>
      </c>
      <c r="AC173" s="9"/>
      <c r="AD173" s="102">
        <f>SUM(AD169:AD172)</f>
        <v>9930.43</v>
      </c>
      <c r="AE173" s="9"/>
      <c r="AF173" s="102">
        <f>SUM(AF169:AF172)</f>
        <v>32110.799999999999</v>
      </c>
      <c r="AG173" s="9"/>
      <c r="AH173" s="102">
        <f>SUM(AH169:AH172)</f>
        <v>22234</v>
      </c>
      <c r="AI173" s="9"/>
      <c r="AJ173" s="102">
        <f>SUM(AJ169:AJ172)</f>
        <v>64176.31</v>
      </c>
      <c r="AK173" s="9"/>
      <c r="AL173" s="102">
        <f>SUM(AL169:AL172)</f>
        <v>27327.91</v>
      </c>
      <c r="AM173" s="9"/>
      <c r="AN173" s="102">
        <f>SUM(AN169:AN172)</f>
        <v>8595.51</v>
      </c>
      <c r="AO173" s="9"/>
      <c r="AP173" s="102">
        <f>SUM(AP169:AP172)</f>
        <v>47810.12</v>
      </c>
      <c r="AQ173" s="9"/>
      <c r="AR173" s="102">
        <f>SUM(AR169:AR172)</f>
        <v>11305.06</v>
      </c>
      <c r="AS173" s="9"/>
      <c r="AT173" s="102">
        <f>SUM(AT169:AT172)</f>
        <v>28715.83</v>
      </c>
      <c r="AU173" s="10"/>
      <c r="AV173" s="102">
        <f>SUM(AV169:AV172)</f>
        <v>0</v>
      </c>
      <c r="AW173" s="10"/>
      <c r="AX173" s="102">
        <f>SUM(AX169:AX172)</f>
        <v>0</v>
      </c>
      <c r="AY173" s="10"/>
      <c r="AZ173" s="102">
        <f>SUM(AZ169:AZ172)</f>
        <v>0</v>
      </c>
      <c r="BA173" s="10"/>
      <c r="BB173" s="102">
        <f>SUM(BB169:BB172)</f>
        <v>0</v>
      </c>
      <c r="BC173" s="10"/>
      <c r="BD173" s="102">
        <f>SUM(BD169:BD172)</f>
        <v>0</v>
      </c>
      <c r="BE173" s="10"/>
      <c r="BF173" s="102">
        <f>SUM(BF169:BF172)</f>
        <v>0</v>
      </c>
      <c r="BG173" s="10"/>
      <c r="BH173" s="102">
        <f>SUM(BH169:BH172)</f>
        <v>0</v>
      </c>
      <c r="BI173" s="10"/>
      <c r="BJ173" s="102">
        <f>SUM(BJ169:BJ172)</f>
        <v>0</v>
      </c>
      <c r="BK173" s="9"/>
      <c r="BL173" s="102">
        <f>SUM(BL169:BL172)</f>
        <v>388385.95999999996</v>
      </c>
      <c r="BM173" s="9"/>
      <c r="BN173" s="102">
        <f>SUM(BN169:BN172)</f>
        <v>0</v>
      </c>
      <c r="BO173" s="9"/>
      <c r="BP173" s="102">
        <f>SUM(BP169:BP172)</f>
        <v>61614.040000000037</v>
      </c>
      <c r="BQ173" s="9"/>
      <c r="BR173" s="102">
        <f>SUM(BR169:BR172)</f>
        <v>450000</v>
      </c>
      <c r="BS173" s="9"/>
      <c r="BT173" s="102">
        <f>SUM(BT169:BT172)</f>
        <v>0</v>
      </c>
      <c r="BU173" s="9"/>
    </row>
    <row r="174" spans="1:73" s="21" customFormat="1">
      <c r="A174" s="118"/>
      <c r="B174" s="58"/>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row>
    <row r="175" spans="1:73" s="21" customFormat="1">
      <c r="A175" s="56" t="s">
        <v>281</v>
      </c>
      <c r="B175" s="31"/>
      <c r="J175" s="8" t="s">
        <v>0</v>
      </c>
      <c r="L175" s="134" t="s">
        <v>204</v>
      </c>
      <c r="M175" s="9"/>
      <c r="N175" s="9">
        <v>0</v>
      </c>
      <c r="O175" s="9"/>
      <c r="P175" s="9">
        <v>0</v>
      </c>
      <c r="Q175" s="9"/>
      <c r="R175" s="9">
        <v>5000000</v>
      </c>
      <c r="S175" s="9"/>
      <c r="T175" s="9">
        <v>0</v>
      </c>
      <c r="U175" s="9"/>
      <c r="V175" s="9">
        <v>0</v>
      </c>
      <c r="W175" s="9"/>
      <c r="X175" s="9">
        <v>0</v>
      </c>
      <c r="Y175" s="9"/>
      <c r="Z175" s="9">
        <v>0</v>
      </c>
      <c r="AA175" s="9"/>
      <c r="AB175" s="9">
        <v>0</v>
      </c>
      <c r="AC175" s="9"/>
      <c r="AD175" s="9">
        <v>0</v>
      </c>
      <c r="AE175" s="9"/>
      <c r="AF175" s="9">
        <v>0</v>
      </c>
      <c r="AG175" s="9"/>
      <c r="AH175" s="9">
        <v>0</v>
      </c>
      <c r="AI175" s="9"/>
      <c r="AJ175" s="9">
        <v>0</v>
      </c>
      <c r="AK175" s="9"/>
      <c r="AL175" s="9">
        <v>10000</v>
      </c>
      <c r="AM175" s="9"/>
      <c r="AN175" s="9">
        <v>0</v>
      </c>
      <c r="AO175" s="9"/>
      <c r="AP175" s="9">
        <v>0</v>
      </c>
      <c r="AQ175" s="9"/>
      <c r="AR175" s="9">
        <v>15000</v>
      </c>
      <c r="AS175" s="9"/>
      <c r="AT175" s="9">
        <v>9120</v>
      </c>
      <c r="AU175" s="9"/>
      <c r="AV175" s="9">
        <v>0</v>
      </c>
      <c r="AW175" s="9"/>
      <c r="AX175" s="9">
        <v>0</v>
      </c>
      <c r="AY175" s="9"/>
      <c r="AZ175" s="9">
        <v>0</v>
      </c>
      <c r="BA175" s="9"/>
      <c r="BB175" s="9">
        <v>0</v>
      </c>
      <c r="BC175" s="9"/>
      <c r="BD175" s="9">
        <v>0</v>
      </c>
      <c r="BE175" s="9"/>
      <c r="BF175" s="9">
        <v>0</v>
      </c>
      <c r="BG175" s="9"/>
      <c r="BH175" s="9">
        <v>0</v>
      </c>
      <c r="BI175" s="9"/>
      <c r="BJ175" s="9">
        <v>0</v>
      </c>
      <c r="BK175" s="9"/>
      <c r="BL175" s="9">
        <f>SUM(T175:BK175)</f>
        <v>34120</v>
      </c>
      <c r="BM175" s="9"/>
      <c r="BN175" s="9">
        <v>0</v>
      </c>
      <c r="BO175" s="9"/>
      <c r="BP175" s="6">
        <f>IF(+R175-BL175+BN175&gt;0,R175-BL175+BN175,0)</f>
        <v>4965880</v>
      </c>
      <c r="BQ175" s="9"/>
      <c r="BR175" s="9">
        <f>+BL175+BP175</f>
        <v>5000000</v>
      </c>
      <c r="BS175" s="9"/>
      <c r="BT175" s="9">
        <f>+R175-BR175</f>
        <v>0</v>
      </c>
      <c r="BU175" s="9"/>
    </row>
    <row r="176" spans="1:73" s="21" customFormat="1">
      <c r="A176" s="118"/>
      <c r="B176" s="58"/>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s="9"/>
      <c r="AJ176" s="10"/>
      <c r="AK176" s="9"/>
      <c r="AL176" s="10"/>
      <c r="AM176" s="9"/>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row>
    <row r="177" spans="1:73" s="21" customFormat="1">
      <c r="A177" s="56" t="s">
        <v>29</v>
      </c>
      <c r="B177" s="31"/>
      <c r="J177" s="8" t="s">
        <v>0</v>
      </c>
      <c r="L177" s="134" t="s">
        <v>204</v>
      </c>
      <c r="M177" s="9"/>
      <c r="N177" s="9">
        <v>0</v>
      </c>
      <c r="O177" s="9"/>
      <c r="P177" s="9">
        <v>0</v>
      </c>
      <c r="Q177" s="9"/>
      <c r="R177" s="9">
        <v>1500000</v>
      </c>
      <c r="S177" s="9"/>
      <c r="T177" s="9">
        <v>0</v>
      </c>
      <c r="U177" s="9"/>
      <c r="V177" s="9">
        <v>0</v>
      </c>
      <c r="W177" s="9"/>
      <c r="X177" s="9">
        <v>0</v>
      </c>
      <c r="Y177" s="9"/>
      <c r="Z177" s="9">
        <v>0</v>
      </c>
      <c r="AA177" s="9"/>
      <c r="AB177" s="9">
        <v>0</v>
      </c>
      <c r="AC177" s="9"/>
      <c r="AD177" s="9">
        <v>0</v>
      </c>
      <c r="AE177" s="9"/>
      <c r="AF177" s="9">
        <v>0</v>
      </c>
      <c r="AG177" s="9"/>
      <c r="AH177" s="9">
        <v>0</v>
      </c>
      <c r="AI177" s="9"/>
      <c r="AJ177" s="9">
        <v>0</v>
      </c>
      <c r="AK177" s="9"/>
      <c r="AL177" s="9">
        <v>0</v>
      </c>
      <c r="AM177" s="9"/>
      <c r="AN177" s="9">
        <v>0</v>
      </c>
      <c r="AO177" s="9"/>
      <c r="AP177" s="9">
        <v>0</v>
      </c>
      <c r="AQ177" s="9"/>
      <c r="AR177" s="9">
        <v>946000</v>
      </c>
      <c r="AS177" s="9"/>
      <c r="AT177" s="9">
        <v>0</v>
      </c>
      <c r="AU177" s="9"/>
      <c r="AV177" s="9">
        <v>0</v>
      </c>
      <c r="AW177" s="9"/>
      <c r="AX177" s="9">
        <v>0</v>
      </c>
      <c r="AY177" s="9"/>
      <c r="AZ177" s="9">
        <v>0</v>
      </c>
      <c r="BA177" s="9"/>
      <c r="BB177" s="9">
        <v>0</v>
      </c>
      <c r="BC177" s="9"/>
      <c r="BD177" s="9">
        <v>0</v>
      </c>
      <c r="BE177" s="9"/>
      <c r="BF177" s="9">
        <v>0</v>
      </c>
      <c r="BG177" s="9"/>
      <c r="BH177" s="9">
        <v>0</v>
      </c>
      <c r="BI177" s="9"/>
      <c r="BJ177" s="9">
        <v>0</v>
      </c>
      <c r="BK177" s="9"/>
      <c r="BL177" s="9">
        <f>SUM(T177:BK177)</f>
        <v>946000</v>
      </c>
      <c r="BM177" s="9"/>
      <c r="BN177" s="9">
        <v>0</v>
      </c>
      <c r="BO177" s="9"/>
      <c r="BP177" s="6">
        <f>IF(+R177-BL177+BN177&gt;0,R177-BL177+BN177,0)</f>
        <v>554000</v>
      </c>
      <c r="BQ177" s="9"/>
      <c r="BR177" s="9">
        <f>+BL177+BP177</f>
        <v>1500000</v>
      </c>
      <c r="BS177" s="9"/>
      <c r="BT177" s="9">
        <f>+R177-BR177</f>
        <v>0</v>
      </c>
      <c r="BU177" s="9"/>
    </row>
    <row r="178" spans="1:73" s="21" customFormat="1">
      <c r="A178" s="118"/>
      <c r="B178" s="58"/>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row>
    <row r="179" spans="1:73" s="15" customFormat="1">
      <c r="A179" s="111" t="s">
        <v>179</v>
      </c>
      <c r="B179" s="60"/>
      <c r="C179"/>
      <c r="D179"/>
      <c r="E179"/>
      <c r="F179"/>
      <c r="G179"/>
      <c r="H179"/>
      <c r="I179"/>
      <c r="J179" s="49"/>
      <c r="K179"/>
      <c r="L179" s="134"/>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row>
    <row r="180" spans="1:73" s="15" customFormat="1" hidden="1">
      <c r="A180" s="14"/>
      <c r="B180" s="60" t="s">
        <v>180</v>
      </c>
      <c r="C180"/>
      <c r="D180"/>
      <c r="E180"/>
      <c r="F180"/>
      <c r="G180"/>
      <c r="H180"/>
      <c r="I180"/>
      <c r="J180" s="49"/>
      <c r="K180"/>
      <c r="L180" s="134" t="s">
        <v>204</v>
      </c>
      <c r="M180" s="22"/>
      <c r="N180" s="22">
        <v>0</v>
      </c>
      <c r="O180" s="22"/>
      <c r="P180" s="22">
        <v>0</v>
      </c>
      <c r="Q180" s="22"/>
      <c r="R180" s="6">
        <f>+N180+P180</f>
        <v>0</v>
      </c>
      <c r="S180" s="22"/>
      <c r="T180" s="22">
        <v>0</v>
      </c>
      <c r="U180" s="22"/>
      <c r="V180" s="22">
        <v>0</v>
      </c>
      <c r="W180" s="22"/>
      <c r="X180" s="22">
        <v>0</v>
      </c>
      <c r="Y180" s="22"/>
      <c r="Z180" s="22">
        <v>0</v>
      </c>
      <c r="AA180" s="22"/>
      <c r="AB180" s="22">
        <v>0</v>
      </c>
      <c r="AC180" s="22"/>
      <c r="AD180" s="22">
        <v>0</v>
      </c>
      <c r="AE180" s="22"/>
      <c r="AF180" s="22">
        <v>0</v>
      </c>
      <c r="AG180" s="22"/>
      <c r="AH180" s="22">
        <v>0</v>
      </c>
      <c r="AI180" s="22"/>
      <c r="AJ180" s="22">
        <v>0</v>
      </c>
      <c r="AK180" s="22"/>
      <c r="AL180" s="22">
        <v>0</v>
      </c>
      <c r="AM180" s="22"/>
      <c r="AN180" s="22">
        <v>0</v>
      </c>
      <c r="AO180" s="22"/>
      <c r="AP180" s="22">
        <v>0</v>
      </c>
      <c r="AQ180" s="22"/>
      <c r="AR180" s="22">
        <v>0</v>
      </c>
      <c r="AS180" s="22"/>
      <c r="AT180" s="22">
        <v>0</v>
      </c>
      <c r="AU180" s="22"/>
      <c r="AV180" s="22">
        <v>0</v>
      </c>
      <c r="AW180" s="22"/>
      <c r="AX180" s="22">
        <v>0</v>
      </c>
      <c r="AY180" s="22"/>
      <c r="AZ180" s="22">
        <v>0</v>
      </c>
      <c r="BA180" s="22"/>
      <c r="BB180" s="22">
        <v>0</v>
      </c>
      <c r="BC180" s="22"/>
      <c r="BD180" s="22">
        <v>0</v>
      </c>
      <c r="BE180" s="22"/>
      <c r="BF180" s="22">
        <v>0</v>
      </c>
      <c r="BG180" s="22"/>
      <c r="BH180" s="22">
        <v>0</v>
      </c>
      <c r="BI180" s="22"/>
      <c r="BJ180" s="22">
        <v>0</v>
      </c>
      <c r="BK180" s="22"/>
      <c r="BL180" s="22">
        <f>SUM(T180:BK180)</f>
        <v>0</v>
      </c>
      <c r="BM180" s="22"/>
      <c r="BN180" s="22">
        <v>0</v>
      </c>
      <c r="BO180" s="22"/>
      <c r="BP180" s="22">
        <f>+R180-BL180+BN180</f>
        <v>0</v>
      </c>
      <c r="BQ180" s="22"/>
      <c r="BR180" s="6">
        <f>+BL180+BP180</f>
        <v>0</v>
      </c>
      <c r="BS180" s="22"/>
      <c r="BT180" s="6">
        <f>+R180-BR180</f>
        <v>0</v>
      </c>
      <c r="BU180" s="22"/>
    </row>
    <row r="181" spans="1:73" s="15" customFormat="1">
      <c r="A181" s="14"/>
      <c r="B181" s="60" t="s">
        <v>181</v>
      </c>
      <c r="C181"/>
      <c r="D181"/>
      <c r="E181"/>
      <c r="F181"/>
      <c r="G181"/>
      <c r="H181"/>
      <c r="I181"/>
      <c r="J181" s="49"/>
      <c r="K181"/>
      <c r="L181" s="134" t="s">
        <v>204</v>
      </c>
      <c r="M181" s="22"/>
      <c r="N181" s="22">
        <v>0</v>
      </c>
      <c r="O181" s="22"/>
      <c r="P181" s="22">
        <v>0</v>
      </c>
      <c r="Q181" s="22"/>
      <c r="R181" s="6">
        <v>1000000</v>
      </c>
      <c r="S181" s="22"/>
      <c r="T181" s="22">
        <v>0</v>
      </c>
      <c r="U181" s="22"/>
      <c r="V181" s="22">
        <v>0</v>
      </c>
      <c r="W181" s="22"/>
      <c r="X181" s="22">
        <v>0</v>
      </c>
      <c r="Y181" s="22"/>
      <c r="Z181" s="22">
        <v>0</v>
      </c>
      <c r="AA181" s="22"/>
      <c r="AB181" s="22">
        <v>0</v>
      </c>
      <c r="AC181" s="22"/>
      <c r="AD181" s="22">
        <v>0</v>
      </c>
      <c r="AE181" s="22"/>
      <c r="AF181" s="22">
        <v>0</v>
      </c>
      <c r="AG181" s="22"/>
      <c r="AH181" s="22">
        <v>0</v>
      </c>
      <c r="AI181" s="22"/>
      <c r="AJ181" s="22">
        <v>0</v>
      </c>
      <c r="AK181" s="22"/>
      <c r="AL181" s="22">
        <v>0</v>
      </c>
      <c r="AM181" s="22"/>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6">
        <f>IF(+R181-BL181+BN181&gt;0,R181-BL181+BN181,0)</f>
        <v>1000000</v>
      </c>
      <c r="BQ181" s="22"/>
      <c r="BR181" s="6">
        <f>+BL181+BP181</f>
        <v>1000000</v>
      </c>
      <c r="BS181" s="22"/>
      <c r="BT181" s="6">
        <f>+R181-BR181</f>
        <v>0</v>
      </c>
      <c r="BU181" s="22"/>
    </row>
    <row r="182" spans="1:73" s="15" customFormat="1" hidden="1">
      <c r="A182" s="14"/>
      <c r="B182" s="60" t="s">
        <v>122</v>
      </c>
      <c r="C182"/>
      <c r="D182"/>
      <c r="E182"/>
      <c r="F182"/>
      <c r="G182"/>
      <c r="H182"/>
      <c r="I182"/>
      <c r="J182" s="49"/>
      <c r="K182"/>
      <c r="L182" s="134" t="s">
        <v>204</v>
      </c>
      <c r="M182" s="22"/>
      <c r="N182" s="22">
        <v>0</v>
      </c>
      <c r="O182" s="22"/>
      <c r="P182" s="22">
        <v>0</v>
      </c>
      <c r="Q182" s="22"/>
      <c r="R182" s="6">
        <v>0</v>
      </c>
      <c r="S182" s="22"/>
      <c r="T182" s="22">
        <v>0</v>
      </c>
      <c r="U182" s="22"/>
      <c r="V182" s="22">
        <v>0</v>
      </c>
      <c r="W182" s="22"/>
      <c r="X182" s="22">
        <v>0</v>
      </c>
      <c r="Y182" s="22"/>
      <c r="Z182" s="22">
        <v>0</v>
      </c>
      <c r="AA182" s="22"/>
      <c r="AB182" s="22">
        <v>0</v>
      </c>
      <c r="AC182" s="22"/>
      <c r="AD182" s="22">
        <v>0</v>
      </c>
      <c r="AE182" s="22"/>
      <c r="AF182" s="22">
        <v>0</v>
      </c>
      <c r="AG182" s="22"/>
      <c r="AH182" s="22">
        <v>0</v>
      </c>
      <c r="AI182" s="22"/>
      <c r="AJ182" s="22">
        <v>0</v>
      </c>
      <c r="AK182" s="22"/>
      <c r="AL182" s="22">
        <v>0</v>
      </c>
      <c r="AM182" s="2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22">
        <f>+R182-BL182+BN182</f>
        <v>0</v>
      </c>
      <c r="BQ182" s="22"/>
      <c r="BR182" s="6">
        <f>+BL182+BP182</f>
        <v>0</v>
      </c>
      <c r="BS182" s="22"/>
      <c r="BT182" s="6">
        <f>+R182-BR182</f>
        <v>0</v>
      </c>
      <c r="BU182" s="22"/>
    </row>
    <row r="183" spans="1:73" s="104" customFormat="1">
      <c r="A183" s="111"/>
      <c r="B183" s="77" t="s">
        <v>182</v>
      </c>
      <c r="C183" s="21"/>
      <c r="D183" s="21"/>
      <c r="E183" s="21"/>
      <c r="F183" s="21"/>
      <c r="G183" s="21"/>
      <c r="H183" s="21"/>
      <c r="I183" s="21"/>
      <c r="J183" s="8"/>
      <c r="K183" s="21"/>
      <c r="L183" s="143"/>
      <c r="M183" s="16"/>
      <c r="N183" s="108">
        <f>SUM(N180:N182)</f>
        <v>0</v>
      </c>
      <c r="O183" s="16"/>
      <c r="P183" s="108">
        <f>SUM(P180:P182)</f>
        <v>0</v>
      </c>
      <c r="Q183" s="16"/>
      <c r="R183" s="108">
        <f>SUM(R180:R182)</f>
        <v>1000000</v>
      </c>
      <c r="S183" s="16"/>
      <c r="T183" s="108">
        <f>SUM(T180:T182)</f>
        <v>0</v>
      </c>
      <c r="U183" s="16"/>
      <c r="V183" s="108">
        <f>SUM(V180:V182)</f>
        <v>0</v>
      </c>
      <c r="W183" s="16"/>
      <c r="X183" s="108">
        <f>SUM(X180:X182)</f>
        <v>0</v>
      </c>
      <c r="Y183" s="16"/>
      <c r="Z183" s="108">
        <f>SUM(Z180:Z182)</f>
        <v>0</v>
      </c>
      <c r="AA183" s="16"/>
      <c r="AB183" s="108">
        <f>SUM(AB180:AB182)</f>
        <v>0</v>
      </c>
      <c r="AC183" s="16"/>
      <c r="AD183" s="108">
        <f>SUM(AD180:AD182)</f>
        <v>0</v>
      </c>
      <c r="AE183" s="16"/>
      <c r="AF183" s="108">
        <f>SUM(AF180:AF182)</f>
        <v>0</v>
      </c>
      <c r="AG183" s="16"/>
      <c r="AH183" s="108">
        <f>SUM(AH180:AH182)</f>
        <v>0</v>
      </c>
      <c r="AI183" s="16"/>
      <c r="AJ183" s="108">
        <f>SUM(AJ180:AJ182)</f>
        <v>0</v>
      </c>
      <c r="AK183" s="16"/>
      <c r="AL183" s="108">
        <f>SUM(AL180:AL182)</f>
        <v>0</v>
      </c>
      <c r="AM183" s="16"/>
      <c r="AN183" s="108">
        <f>SUM(AN180:AN182)</f>
        <v>0</v>
      </c>
      <c r="AO183" s="16"/>
      <c r="AP183" s="108">
        <f>SUM(AP180:AP182)</f>
        <v>0</v>
      </c>
      <c r="AQ183" s="16"/>
      <c r="AR183" s="108">
        <f>SUM(AR180:AR182)</f>
        <v>0</v>
      </c>
      <c r="AS183" s="16"/>
      <c r="AT183" s="108">
        <f>SUM(AT180:AT182)</f>
        <v>0</v>
      </c>
      <c r="AU183" s="103"/>
      <c r="AV183" s="108">
        <f>SUM(AV180:AV182)</f>
        <v>0</v>
      </c>
      <c r="AW183" s="103"/>
      <c r="AX183" s="108">
        <f>SUM(AX180:AX182)</f>
        <v>0</v>
      </c>
      <c r="AY183" s="103"/>
      <c r="AZ183" s="108">
        <f>SUM(AZ180:AZ182)</f>
        <v>0</v>
      </c>
      <c r="BA183" s="103"/>
      <c r="BB183" s="108">
        <f>SUM(BB180:BB182)</f>
        <v>0</v>
      </c>
      <c r="BC183" s="103"/>
      <c r="BD183" s="108">
        <f>SUM(BD180:BD182)</f>
        <v>0</v>
      </c>
      <c r="BE183" s="103"/>
      <c r="BF183" s="108">
        <f>SUM(BF180:BF182)</f>
        <v>0</v>
      </c>
      <c r="BG183" s="103"/>
      <c r="BH183" s="108">
        <f>SUM(BH180:BH182)</f>
        <v>0</v>
      </c>
      <c r="BI183" s="103"/>
      <c r="BJ183" s="108">
        <f>SUM(BJ180:BJ182)</f>
        <v>0</v>
      </c>
      <c r="BK183" s="16"/>
      <c r="BL183" s="108">
        <f>SUM(BL180:BL182)</f>
        <v>0</v>
      </c>
      <c r="BM183" s="16"/>
      <c r="BN183" s="108">
        <f>SUM(BN180:BN182)</f>
        <v>0</v>
      </c>
      <c r="BO183" s="16"/>
      <c r="BP183" s="108">
        <f>SUM(BP180:BP182)</f>
        <v>1000000</v>
      </c>
      <c r="BQ183" s="16"/>
      <c r="BR183" s="108">
        <f>SUM(BR180:BR182)</f>
        <v>1000000</v>
      </c>
      <c r="BS183" s="16"/>
      <c r="BT183" s="108">
        <f>SUM(BT180:BT182)</f>
        <v>0</v>
      </c>
      <c r="BU183" s="16"/>
    </row>
    <row r="184" spans="1:73" s="104" customFormat="1">
      <c r="A184" s="32"/>
      <c r="B184" s="77"/>
      <c r="C184" s="21"/>
      <c r="D184" s="21"/>
      <c r="E184" s="21"/>
      <c r="F184" s="21"/>
      <c r="G184" s="21"/>
      <c r="H184" s="21"/>
      <c r="I184" s="21"/>
      <c r="J184" s="8"/>
      <c r="K184" s="21"/>
      <c r="L184" s="143"/>
      <c r="M184" s="16"/>
      <c r="N184" s="103"/>
      <c r="O184" s="16"/>
      <c r="P184" s="103"/>
      <c r="Q184" s="16"/>
      <c r="R184" s="103"/>
      <c r="S184" s="16"/>
      <c r="T184" s="103"/>
      <c r="U184" s="16"/>
      <c r="V184" s="103"/>
      <c r="W184" s="16"/>
      <c r="X184" s="103"/>
      <c r="Y184" s="16"/>
      <c r="Z184" s="103"/>
      <c r="AA184" s="16"/>
      <c r="AB184" s="103"/>
      <c r="AC184" s="16"/>
      <c r="AD184" s="103"/>
      <c r="AE184" s="16"/>
      <c r="AF184" s="103"/>
      <c r="AG184" s="16"/>
      <c r="AH184" s="103"/>
      <c r="AI184" s="16"/>
      <c r="AJ184" s="103"/>
      <c r="AK184" s="16"/>
      <c r="AL184" s="103"/>
      <c r="AM184" s="16"/>
      <c r="AN184" s="103"/>
      <c r="AO184" s="16"/>
      <c r="AP184" s="103"/>
      <c r="AQ184" s="16"/>
      <c r="AR184" s="103"/>
      <c r="AS184" s="16"/>
      <c r="AT184" s="103"/>
      <c r="AU184" s="103"/>
      <c r="AV184" s="103"/>
      <c r="AW184" s="103"/>
      <c r="AX184" s="103"/>
      <c r="AY184" s="103"/>
      <c r="AZ184" s="103"/>
      <c r="BA184" s="103"/>
      <c r="BB184" s="103"/>
      <c r="BC184" s="103"/>
      <c r="BD184" s="103"/>
      <c r="BE184" s="103"/>
      <c r="BF184" s="103"/>
      <c r="BG184" s="103"/>
      <c r="BH184" s="103"/>
      <c r="BI184" s="103"/>
      <c r="BJ184" s="103"/>
      <c r="BK184" s="16"/>
      <c r="BL184" s="103"/>
      <c r="BM184" s="16"/>
      <c r="BN184" s="103"/>
      <c r="BO184" s="16"/>
      <c r="BP184" s="103"/>
      <c r="BQ184" s="16"/>
      <c r="BR184" s="103"/>
      <c r="BS184" s="16"/>
      <c r="BT184" s="103"/>
      <c r="BU184" s="16"/>
    </row>
    <row r="185" spans="1:73" s="31" customFormat="1">
      <c r="A185" s="58" t="s">
        <v>31</v>
      </c>
      <c r="J185" s="159"/>
      <c r="L185" s="145" t="s">
        <v>204</v>
      </c>
      <c r="M185" s="10"/>
      <c r="N185" s="10">
        <v>0</v>
      </c>
      <c r="O185" s="10"/>
      <c r="P185" s="10">
        <v>0</v>
      </c>
      <c r="Q185" s="10"/>
      <c r="R185" s="9">
        <v>200000</v>
      </c>
      <c r="S185" s="10"/>
      <c r="T185" s="10">
        <v>0</v>
      </c>
      <c r="U185" s="10"/>
      <c r="V185" s="10">
        <v>0</v>
      </c>
      <c r="W185" s="10"/>
      <c r="X185" s="10">
        <v>0</v>
      </c>
      <c r="Y185" s="10"/>
      <c r="Z185" s="10">
        <v>0</v>
      </c>
      <c r="AA185" s="10"/>
      <c r="AB185" s="10">
        <v>0</v>
      </c>
      <c r="AC185" s="10"/>
      <c r="AD185" s="10">
        <v>0</v>
      </c>
      <c r="AE185" s="10"/>
      <c r="AF185" s="10">
        <v>0</v>
      </c>
      <c r="AG185" s="10"/>
      <c r="AH185" s="10">
        <v>0</v>
      </c>
      <c r="AI185" s="10"/>
      <c r="AJ185" s="10">
        <v>0</v>
      </c>
      <c r="AK185" s="10"/>
      <c r="AL185" s="10">
        <v>0</v>
      </c>
      <c r="AM185" s="10"/>
      <c r="AN185" s="10">
        <v>0</v>
      </c>
      <c r="AO185" s="10"/>
      <c r="AP185" s="10">
        <v>0</v>
      </c>
      <c r="AQ185" s="10"/>
      <c r="AR185" s="10">
        <v>175875</v>
      </c>
      <c r="AS185" s="10"/>
      <c r="AT185" s="10">
        <v>0</v>
      </c>
      <c r="AU185" s="10"/>
      <c r="AV185" s="10">
        <v>0</v>
      </c>
      <c r="AW185" s="10"/>
      <c r="AX185" s="10">
        <v>0</v>
      </c>
      <c r="AY185" s="10"/>
      <c r="AZ185" s="10">
        <v>0</v>
      </c>
      <c r="BA185" s="10"/>
      <c r="BB185" s="10">
        <v>0</v>
      </c>
      <c r="BC185" s="10"/>
      <c r="BD185" s="10">
        <v>0</v>
      </c>
      <c r="BE185" s="10"/>
      <c r="BF185" s="10">
        <v>0</v>
      </c>
      <c r="BG185" s="10"/>
      <c r="BH185" s="10">
        <v>0</v>
      </c>
      <c r="BI185" s="10"/>
      <c r="BJ185" s="10">
        <v>0</v>
      </c>
      <c r="BK185" s="10"/>
      <c r="BL185" s="10">
        <f>SUM(T185:BK185)</f>
        <v>175875</v>
      </c>
      <c r="BM185" s="10"/>
      <c r="BN185" s="10">
        <v>0</v>
      </c>
      <c r="BO185" s="10"/>
      <c r="BP185" s="6">
        <f>IF(+R185-BL185+BN185&gt;0,R185-BL185+BN185,0)</f>
        <v>24125</v>
      </c>
      <c r="BQ185" s="10"/>
      <c r="BR185" s="9">
        <f>+BL185+BP185</f>
        <v>200000</v>
      </c>
      <c r="BS185" s="10"/>
      <c r="BT185" s="9">
        <f>+R185-BR185</f>
        <v>0</v>
      </c>
      <c r="BU185" s="10"/>
    </row>
    <row r="186" spans="1:73" s="15" customFormat="1">
      <c r="A186" s="14"/>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row>
    <row r="187" spans="1:73" s="31" customFormat="1">
      <c r="A187" s="58" t="s">
        <v>32</v>
      </c>
      <c r="J187" s="159"/>
      <c r="L187" s="145" t="s">
        <v>204</v>
      </c>
      <c r="M187" s="10"/>
      <c r="N187" s="10">
        <v>0</v>
      </c>
      <c r="O187" s="10"/>
      <c r="P187" s="10">
        <v>0</v>
      </c>
      <c r="Q187" s="10"/>
      <c r="R187" s="9">
        <v>200000</v>
      </c>
      <c r="S187" s="10"/>
      <c r="T187" s="10">
        <v>0</v>
      </c>
      <c r="U187" s="10"/>
      <c r="V187" s="10">
        <v>0</v>
      </c>
      <c r="W187" s="10"/>
      <c r="X187" s="10"/>
      <c r="Y187" s="10"/>
      <c r="Z187" s="10">
        <v>0</v>
      </c>
      <c r="AA187" s="10"/>
      <c r="AB187" s="10">
        <f>3365.69+304.38</f>
        <v>3670.07</v>
      </c>
      <c r="AC187" s="10"/>
      <c r="AD187" s="10">
        <f>7225.26+6587.53+6939.71+1074.93+910.57</f>
        <v>22738</v>
      </c>
      <c r="AE187" s="10"/>
      <c r="AF187" s="10">
        <v>14946.71</v>
      </c>
      <c r="AG187" s="10"/>
      <c r="AH187" s="10">
        <v>7606.71</v>
      </c>
      <c r="AI187" s="10"/>
      <c r="AJ187" s="10">
        <v>10911.6</v>
      </c>
      <c r="AK187" s="10"/>
      <c r="AL187" s="10">
        <v>18233.16</v>
      </c>
      <c r="AM187" s="10"/>
      <c r="AN187" s="10">
        <v>0</v>
      </c>
      <c r="AO187" s="10"/>
      <c r="AP187" s="10">
        <v>0</v>
      </c>
      <c r="AQ187" s="10"/>
      <c r="AR187" s="10">
        <v>0</v>
      </c>
      <c r="AS187" s="10"/>
      <c r="AT187" s="10">
        <v>1468.85</v>
      </c>
      <c r="AU187" s="10"/>
      <c r="AV187" s="10">
        <v>0</v>
      </c>
      <c r="AW187" s="10"/>
      <c r="AX187" s="10">
        <v>0</v>
      </c>
      <c r="AY187" s="10"/>
      <c r="AZ187" s="10">
        <v>0</v>
      </c>
      <c r="BA187" s="10"/>
      <c r="BB187" s="10">
        <v>0</v>
      </c>
      <c r="BC187" s="10"/>
      <c r="BD187" s="10">
        <v>0</v>
      </c>
      <c r="BE187" s="10"/>
      <c r="BF187" s="10">
        <v>0</v>
      </c>
      <c r="BG187" s="10"/>
      <c r="BH187" s="10">
        <v>0</v>
      </c>
      <c r="BI187" s="10"/>
      <c r="BJ187" s="10">
        <v>0</v>
      </c>
      <c r="BK187" s="10"/>
      <c r="BL187" s="10">
        <f>SUM(T187:BK187)</f>
        <v>79575.100000000006</v>
      </c>
      <c r="BM187" s="10"/>
      <c r="BN187" s="10">
        <v>0</v>
      </c>
      <c r="BO187" s="10"/>
      <c r="BP187" s="6">
        <f>IF(+R187-BL187+BN187&gt;0,R187-BL187+BN187,0)</f>
        <v>120424.9</v>
      </c>
      <c r="BQ187" s="10"/>
      <c r="BR187" s="9">
        <f>+BL187+BP187</f>
        <v>200000</v>
      </c>
      <c r="BS187" s="10"/>
      <c r="BT187" s="9">
        <f>+R187-BR187</f>
        <v>0</v>
      </c>
      <c r="BU187" s="10"/>
    </row>
    <row r="188" spans="1:73" s="15" customFormat="1">
      <c r="A188" s="14"/>
      <c r="B188" s="60"/>
      <c r="C188"/>
      <c r="D188"/>
      <c r="E188"/>
      <c r="F188"/>
      <c r="G188"/>
      <c r="H188"/>
      <c r="I188"/>
      <c r="J188" s="49"/>
      <c r="K188"/>
      <c r="L188" s="134"/>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row>
    <row r="189" spans="1:73">
      <c r="A189" s="56" t="s">
        <v>33</v>
      </c>
      <c r="B189" s="11"/>
      <c r="C189"/>
      <c r="D189"/>
      <c r="E189"/>
      <c r="F189"/>
      <c r="G189"/>
      <c r="H189"/>
      <c r="I189"/>
      <c r="J189" s="49"/>
      <c r="K189"/>
      <c r="L189" s="134"/>
      <c r="M189" s="6"/>
      <c r="O189" s="6"/>
      <c r="Q189" s="6"/>
      <c r="S189" s="6"/>
      <c r="T189" s="6"/>
      <c r="U189" s="6"/>
      <c r="V189" s="6"/>
      <c r="X189" s="6"/>
      <c r="Z189" s="6"/>
      <c r="AB189" s="6"/>
      <c r="AD189" s="6"/>
      <c r="BJ189" s="6"/>
      <c r="BK189" s="6"/>
      <c r="BM189" s="6"/>
      <c r="BN189" s="6"/>
      <c r="BO189" s="6"/>
      <c r="BU189" s="6"/>
    </row>
    <row r="190" spans="1:73" s="11" customFormat="1">
      <c r="A190" s="17"/>
      <c r="B190" s="11" t="s">
        <v>186</v>
      </c>
      <c r="J190" s="160"/>
      <c r="L190" s="146" t="s">
        <v>205</v>
      </c>
      <c r="M190" s="12"/>
      <c r="N190" s="12">
        <v>200000</v>
      </c>
      <c r="O190" s="12"/>
      <c r="P190" s="12">
        <v>0</v>
      </c>
      <c r="Q190" s="12"/>
      <c r="R190" s="6">
        <v>30000</v>
      </c>
      <c r="S190" s="12"/>
      <c r="T190" s="12">
        <v>0</v>
      </c>
      <c r="U190" s="12"/>
      <c r="V190" s="12">
        <v>0</v>
      </c>
      <c r="W190" s="12"/>
      <c r="X190" s="12">
        <v>14497.18</v>
      </c>
      <c r="Y190" s="12"/>
      <c r="Z190" s="12">
        <v>0</v>
      </c>
      <c r="AA190" s="12"/>
      <c r="AB190" s="12">
        <v>0</v>
      </c>
      <c r="AC190" s="12"/>
      <c r="AD190" s="12">
        <v>0</v>
      </c>
      <c r="AE190" s="12"/>
      <c r="AF190" s="12">
        <v>0</v>
      </c>
      <c r="AG190" s="12"/>
      <c r="AH190" s="12">
        <v>0</v>
      </c>
      <c r="AI190" s="12"/>
      <c r="AJ190" s="12">
        <v>0</v>
      </c>
      <c r="AK190" s="12"/>
      <c r="AL190" s="12">
        <v>0</v>
      </c>
      <c r="AM190" s="12"/>
      <c r="AN190" s="12">
        <v>0</v>
      </c>
      <c r="AO190" s="12"/>
      <c r="AP190" s="12">
        <v>0</v>
      </c>
      <c r="AQ190" s="12"/>
      <c r="AR190" s="12">
        <v>0</v>
      </c>
      <c r="AS190" s="12"/>
      <c r="AT190" s="12">
        <v>0</v>
      </c>
      <c r="AU190" s="12"/>
      <c r="AV190" s="12">
        <v>0</v>
      </c>
      <c r="AW190" s="12"/>
      <c r="AX190" s="12">
        <v>0</v>
      </c>
      <c r="AY190" s="12"/>
      <c r="AZ190" s="12">
        <v>0</v>
      </c>
      <c r="BA190" s="12"/>
      <c r="BB190" s="12">
        <v>0</v>
      </c>
      <c r="BC190" s="12"/>
      <c r="BD190" s="12">
        <v>0</v>
      </c>
      <c r="BE190" s="12"/>
      <c r="BF190" s="12">
        <v>0</v>
      </c>
      <c r="BG190" s="12"/>
      <c r="BH190" s="12">
        <v>0</v>
      </c>
      <c r="BI190" s="12"/>
      <c r="BJ190" s="12">
        <v>0</v>
      </c>
      <c r="BK190" s="12"/>
      <c r="BL190" s="12">
        <f t="shared" ref="BL190:BL195" si="28">SUM(T190:BK190)</f>
        <v>14497.18</v>
      </c>
      <c r="BM190" s="12"/>
      <c r="BN190" s="12">
        <v>0</v>
      </c>
      <c r="BO190" s="12"/>
      <c r="BP190" s="6">
        <f t="shared" ref="BP190:BP195" si="29">IF(+R190-BL190+BN190&gt;0,R190-BL190+BN190,0)</f>
        <v>15502.82</v>
      </c>
      <c r="BQ190" s="12"/>
      <c r="BR190" s="6">
        <f t="shared" ref="BR190:BR195" si="30">+BL190+BP190</f>
        <v>30000</v>
      </c>
      <c r="BS190" s="12"/>
      <c r="BT190" s="6">
        <f t="shared" ref="BT190:BT195" si="31">+R190-BR190</f>
        <v>0</v>
      </c>
      <c r="BU190" s="12"/>
    </row>
    <row r="191" spans="1:73" s="11" customFormat="1">
      <c r="A191" s="17"/>
      <c r="B191" s="11" t="s">
        <v>34</v>
      </c>
      <c r="J191" s="160"/>
      <c r="L191" s="146" t="s">
        <v>205</v>
      </c>
      <c r="M191" s="12"/>
      <c r="N191" s="12">
        <v>0</v>
      </c>
      <c r="O191" s="12"/>
      <c r="P191" s="12">
        <v>50000</v>
      </c>
      <c r="Q191" s="12"/>
      <c r="R191" s="6">
        <v>150000</v>
      </c>
      <c r="S191" s="12"/>
      <c r="T191" s="12">
        <v>0</v>
      </c>
      <c r="U191" s="12"/>
      <c r="V191" s="12">
        <v>1177.53</v>
      </c>
      <c r="W191" s="12"/>
      <c r="X191" s="12">
        <v>426.75</v>
      </c>
      <c r="Y191" s="12"/>
      <c r="Z191" s="12">
        <f>825.67+21.17+687.5+96.74+1098.18</f>
        <v>2729.26</v>
      </c>
      <c r="AA191" s="12"/>
      <c r="AB191" s="12">
        <v>1480.06</v>
      </c>
      <c r="AC191" s="12"/>
      <c r="AD191" s="12">
        <f>828.24+1000.53+13.74+42+868.24</f>
        <v>2752.75</v>
      </c>
      <c r="AE191" s="12"/>
      <c r="AF191" s="12">
        <v>11808.68</v>
      </c>
      <c r="AG191" s="12"/>
      <c r="AH191" s="12">
        <v>12739.96</v>
      </c>
      <c r="AI191" s="12"/>
      <c r="AJ191" s="12">
        <v>11636.6</v>
      </c>
      <c r="AK191" s="12"/>
      <c r="AL191" s="12">
        <v>3911.51</v>
      </c>
      <c r="AM191" s="12"/>
      <c r="AN191" s="12">
        <v>3113.56</v>
      </c>
      <c r="AO191" s="12"/>
      <c r="AP191" s="12">
        <v>7537.43</v>
      </c>
      <c r="AQ191" s="12"/>
      <c r="AR191" s="12">
        <v>3430.47</v>
      </c>
      <c r="AS191" s="12"/>
      <c r="AT191" s="12">
        <v>6123.69</v>
      </c>
      <c r="AU191" s="12"/>
      <c r="AV191" s="12">
        <v>0</v>
      </c>
      <c r="AW191" s="12"/>
      <c r="AX191" s="12">
        <v>0</v>
      </c>
      <c r="AY191" s="12"/>
      <c r="AZ191" s="12">
        <v>0</v>
      </c>
      <c r="BA191" s="12"/>
      <c r="BB191" s="12">
        <v>0</v>
      </c>
      <c r="BC191" s="12"/>
      <c r="BD191" s="12">
        <v>0</v>
      </c>
      <c r="BE191" s="12"/>
      <c r="BF191" s="12">
        <v>0</v>
      </c>
      <c r="BG191" s="12"/>
      <c r="BH191" s="12">
        <v>0</v>
      </c>
      <c r="BI191" s="12"/>
      <c r="BJ191" s="12">
        <v>0</v>
      </c>
      <c r="BK191" s="12"/>
      <c r="BL191" s="12">
        <f t="shared" si="28"/>
        <v>68868.25</v>
      </c>
      <c r="BM191" s="12"/>
      <c r="BN191" s="12">
        <v>0</v>
      </c>
      <c r="BO191" s="12"/>
      <c r="BP191" s="6">
        <f t="shared" si="29"/>
        <v>81131.75</v>
      </c>
      <c r="BQ191" s="12"/>
      <c r="BR191" s="6">
        <f t="shared" si="30"/>
        <v>150000</v>
      </c>
      <c r="BS191" s="12"/>
      <c r="BT191" s="6">
        <f t="shared" si="31"/>
        <v>0</v>
      </c>
      <c r="BU191" s="12"/>
    </row>
    <row r="192" spans="1:73" s="11" customFormat="1">
      <c r="A192" s="17"/>
      <c r="B192" s="11" t="s">
        <v>219</v>
      </c>
      <c r="J192" s="160"/>
      <c r="L192" s="146" t="s">
        <v>205</v>
      </c>
      <c r="M192" s="12"/>
      <c r="N192" s="12">
        <v>0</v>
      </c>
      <c r="O192" s="12"/>
      <c r="P192" s="12">
        <v>24235</v>
      </c>
      <c r="Q192" s="12"/>
      <c r="R192" s="6"/>
      <c r="S192" s="12"/>
      <c r="T192" s="12">
        <v>0</v>
      </c>
      <c r="U192" s="12"/>
      <c r="V192" s="12">
        <v>0</v>
      </c>
      <c r="W192" s="12"/>
      <c r="X192" s="12">
        <v>0</v>
      </c>
      <c r="Y192" s="12"/>
      <c r="Z192" s="12">
        <v>0</v>
      </c>
      <c r="AA192" s="12"/>
      <c r="AB192" s="12">
        <v>0</v>
      </c>
      <c r="AC192" s="12"/>
      <c r="AD192" s="12">
        <v>0</v>
      </c>
      <c r="AE192" s="12"/>
      <c r="AF192" s="12">
        <v>0</v>
      </c>
      <c r="AG192" s="12"/>
      <c r="AH192" s="12">
        <v>0</v>
      </c>
      <c r="AI192" s="12"/>
      <c r="AJ192" s="12">
        <v>0</v>
      </c>
      <c r="AK192" s="12"/>
      <c r="AL192" s="12">
        <v>0</v>
      </c>
      <c r="AM192" s="12"/>
      <c r="AN192" s="12">
        <v>0</v>
      </c>
      <c r="AO192" s="12"/>
      <c r="AP192" s="12">
        <v>0</v>
      </c>
      <c r="AQ192" s="12"/>
      <c r="AR192" s="12">
        <v>0</v>
      </c>
      <c r="AS192" s="12"/>
      <c r="AT192" s="12">
        <v>0</v>
      </c>
      <c r="AU192" s="12"/>
      <c r="AV192" s="12">
        <v>0</v>
      </c>
      <c r="AW192" s="12"/>
      <c r="AX192" s="12">
        <v>0</v>
      </c>
      <c r="AY192" s="12"/>
      <c r="AZ192" s="12">
        <v>0</v>
      </c>
      <c r="BA192" s="12"/>
      <c r="BB192" s="12">
        <v>0</v>
      </c>
      <c r="BC192" s="12"/>
      <c r="BD192" s="12">
        <v>0</v>
      </c>
      <c r="BE192" s="12"/>
      <c r="BF192" s="12">
        <v>0</v>
      </c>
      <c r="BG192" s="12"/>
      <c r="BH192" s="12">
        <v>0</v>
      </c>
      <c r="BI192" s="12"/>
      <c r="BJ192" s="12">
        <v>0</v>
      </c>
      <c r="BK192" s="12"/>
      <c r="BL192" s="12">
        <f t="shared" si="28"/>
        <v>0</v>
      </c>
      <c r="BM192" s="12"/>
      <c r="BN192" s="12">
        <v>0</v>
      </c>
      <c r="BO192" s="12"/>
      <c r="BP192" s="6">
        <f t="shared" si="29"/>
        <v>0</v>
      </c>
      <c r="BQ192" s="12"/>
      <c r="BR192" s="6">
        <f t="shared" si="30"/>
        <v>0</v>
      </c>
      <c r="BS192" s="12"/>
      <c r="BT192" s="6">
        <f t="shared" si="31"/>
        <v>0</v>
      </c>
      <c r="BU192" s="12"/>
    </row>
    <row r="193" spans="1:122" s="11" customFormat="1">
      <c r="A193" s="17"/>
      <c r="B193" s="11" t="s">
        <v>122</v>
      </c>
      <c r="J193" s="160"/>
      <c r="L193" s="146" t="s">
        <v>205</v>
      </c>
      <c r="M193" s="12"/>
      <c r="N193" s="12">
        <v>400000</v>
      </c>
      <c r="O193" s="12"/>
      <c r="P193" s="12">
        <f>49065-N193-6000</f>
        <v>-356935</v>
      </c>
      <c r="Q193" s="12"/>
      <c r="R193" s="6">
        <v>220000</v>
      </c>
      <c r="S193" s="12"/>
      <c r="T193" s="12">
        <v>0</v>
      </c>
      <c r="U193" s="12"/>
      <c r="V193" s="12">
        <v>0</v>
      </c>
      <c r="W193" s="12"/>
      <c r="X193" s="12"/>
      <c r="Y193" s="12"/>
      <c r="Z193" s="12"/>
      <c r="AA193" s="12"/>
      <c r="AB193" s="12"/>
      <c r="AC193" s="12"/>
      <c r="AD193" s="12">
        <f>2287.5</f>
        <v>2287.5</v>
      </c>
      <c r="AE193" s="12"/>
      <c r="AF193" s="12">
        <v>7317.49</v>
      </c>
      <c r="AG193" s="12"/>
      <c r="AH193" s="12">
        <v>20400</v>
      </c>
      <c r="AI193" s="12"/>
      <c r="AJ193" s="12">
        <v>875</v>
      </c>
      <c r="AK193" s="12"/>
      <c r="AL193" s="12">
        <v>26869.599999999999</v>
      </c>
      <c r="AM193" s="12"/>
      <c r="AN193" s="12">
        <v>11540.02</v>
      </c>
      <c r="AO193" s="12"/>
      <c r="AP193" s="12">
        <f>106180-83333.35</f>
        <v>22846.649999999994</v>
      </c>
      <c r="AQ193" s="12"/>
      <c r="AR193" s="12">
        <f>23517.61+1866.18+2591+150</f>
        <v>28124.79</v>
      </c>
      <c r="AS193" s="12"/>
      <c r="AT193" s="12">
        <v>28858.74</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f t="shared" si="28"/>
        <v>149119.78999999998</v>
      </c>
      <c r="BM193" s="12"/>
      <c r="BN193" s="12">
        <v>0</v>
      </c>
      <c r="BO193" s="12"/>
      <c r="BP193" s="6">
        <f t="shared" si="29"/>
        <v>70880.210000000021</v>
      </c>
      <c r="BQ193" s="12"/>
      <c r="BR193" s="6">
        <f t="shared" si="30"/>
        <v>220000</v>
      </c>
      <c r="BS193" s="12"/>
      <c r="BT193" s="6">
        <f t="shared" si="31"/>
        <v>0</v>
      </c>
      <c r="BU193" s="12"/>
    </row>
    <row r="194" spans="1:122" s="11" customFormat="1">
      <c r="A194" s="17"/>
      <c r="B194" s="11" t="s">
        <v>497</v>
      </c>
      <c r="J194" s="160"/>
      <c r="L194" s="146"/>
      <c r="M194" s="12"/>
      <c r="N194" s="12"/>
      <c r="O194" s="12"/>
      <c r="P194" s="12"/>
      <c r="Q194" s="12"/>
      <c r="R194" s="6"/>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v>83333.350000000006</v>
      </c>
      <c r="AQ194" s="12"/>
      <c r="AR194" s="12">
        <f>82333.33+25346.23+4027.9</f>
        <v>111707.45999999999</v>
      </c>
      <c r="AS194" s="12"/>
      <c r="AT194" s="12"/>
      <c r="AU194" s="12"/>
      <c r="AV194" s="12"/>
      <c r="AW194" s="12"/>
      <c r="AX194" s="12"/>
      <c r="AY194" s="12"/>
      <c r="AZ194" s="12"/>
      <c r="BA194" s="12"/>
      <c r="BB194" s="12"/>
      <c r="BC194" s="12"/>
      <c r="BD194" s="12"/>
      <c r="BE194" s="12"/>
      <c r="BF194" s="12"/>
      <c r="BG194" s="12"/>
      <c r="BH194" s="12"/>
      <c r="BI194" s="12"/>
      <c r="BJ194" s="12"/>
      <c r="BK194" s="12"/>
      <c r="BL194" s="12">
        <f t="shared" si="28"/>
        <v>195040.81</v>
      </c>
      <c r="BM194" s="12"/>
      <c r="BN194" s="12">
        <v>0</v>
      </c>
      <c r="BO194" s="12"/>
      <c r="BP194" s="6">
        <f t="shared" si="29"/>
        <v>0</v>
      </c>
      <c r="BQ194" s="12"/>
      <c r="BR194" s="6">
        <f t="shared" si="30"/>
        <v>195040.81</v>
      </c>
      <c r="BS194" s="12"/>
      <c r="BT194" s="6">
        <f t="shared" si="31"/>
        <v>-195040.81</v>
      </c>
      <c r="BU194" s="12"/>
    </row>
    <row r="195" spans="1:122" s="11" customFormat="1">
      <c r="A195" s="17"/>
      <c r="B195" s="11" t="s">
        <v>285</v>
      </c>
      <c r="J195" s="160"/>
      <c r="L195" s="146"/>
      <c r="M195" s="12"/>
      <c r="N195" s="12"/>
      <c r="O195" s="12"/>
      <c r="P195" s="12"/>
      <c r="Q195" s="12"/>
      <c r="R195" s="6"/>
      <c r="S195" s="12"/>
      <c r="T195" s="12"/>
      <c r="U195" s="12"/>
      <c r="V195" s="12"/>
      <c r="W195" s="12"/>
      <c r="X195" s="12"/>
      <c r="Y195" s="12"/>
      <c r="Z195" s="12"/>
      <c r="AA195" s="12"/>
      <c r="AB195" s="12"/>
      <c r="AC195" s="12"/>
      <c r="AD195" s="12"/>
      <c r="AE195" s="12"/>
      <c r="AF195" s="12">
        <v>75487.009999999995</v>
      </c>
      <c r="AG195" s="12"/>
      <c r="AH195" s="12">
        <f>17132.73+566.91+17351.65+16608.78+10439.68+3047.17</f>
        <v>65146.92</v>
      </c>
      <c r="AI195" s="12"/>
      <c r="AJ195" s="12">
        <v>18599.240000000002</v>
      </c>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f t="shared" si="28"/>
        <v>159233.16999999998</v>
      </c>
      <c r="BM195" s="12"/>
      <c r="BN195" s="12">
        <v>159233</v>
      </c>
      <c r="BO195" s="12"/>
      <c r="BP195" s="6">
        <f t="shared" si="29"/>
        <v>0</v>
      </c>
      <c r="BQ195" s="12"/>
      <c r="BR195" s="6">
        <f t="shared" si="30"/>
        <v>159233.16999999998</v>
      </c>
      <c r="BS195" s="12"/>
      <c r="BT195" s="6">
        <f t="shared" si="31"/>
        <v>-159233.16999999998</v>
      </c>
      <c r="BU195" s="12"/>
    </row>
    <row r="196" spans="1:122" s="21" customFormat="1">
      <c r="A196" s="56"/>
      <c r="B196" s="31" t="s">
        <v>41</v>
      </c>
      <c r="J196" s="8"/>
      <c r="L196" s="143"/>
      <c r="M196" s="9"/>
      <c r="N196" s="102">
        <f>SUM(N190:N193)</f>
        <v>600000</v>
      </c>
      <c r="O196" s="9"/>
      <c r="P196" s="102">
        <f>SUM(P190:P193)</f>
        <v>-282700</v>
      </c>
      <c r="Q196" s="9"/>
      <c r="R196" s="102">
        <f>SUM(R190:R195)</f>
        <v>400000</v>
      </c>
      <c r="S196" s="102">
        <f t="shared" ref="S196:BT196" si="32">SUM(S190:S195)</f>
        <v>0</v>
      </c>
      <c r="T196" s="102">
        <f t="shared" si="32"/>
        <v>0</v>
      </c>
      <c r="U196" s="102">
        <f t="shared" si="32"/>
        <v>0</v>
      </c>
      <c r="V196" s="102">
        <f t="shared" si="32"/>
        <v>1177.53</v>
      </c>
      <c r="W196" s="102">
        <f t="shared" si="32"/>
        <v>0</v>
      </c>
      <c r="X196" s="102">
        <f t="shared" si="32"/>
        <v>14923.93</v>
      </c>
      <c r="Y196" s="102">
        <f t="shared" si="32"/>
        <v>0</v>
      </c>
      <c r="Z196" s="102">
        <f t="shared" si="32"/>
        <v>2729.26</v>
      </c>
      <c r="AA196" s="102">
        <f t="shared" si="32"/>
        <v>0</v>
      </c>
      <c r="AB196" s="102">
        <f t="shared" si="32"/>
        <v>1480.06</v>
      </c>
      <c r="AC196" s="102">
        <f t="shared" si="32"/>
        <v>0</v>
      </c>
      <c r="AD196" s="102">
        <f t="shared" si="32"/>
        <v>5040.25</v>
      </c>
      <c r="AE196" s="102">
        <f t="shared" si="32"/>
        <v>0</v>
      </c>
      <c r="AF196" s="102">
        <f t="shared" si="32"/>
        <v>94613.18</v>
      </c>
      <c r="AG196" s="102">
        <f t="shared" si="32"/>
        <v>0</v>
      </c>
      <c r="AH196" s="102">
        <f t="shared" si="32"/>
        <v>98286.88</v>
      </c>
      <c r="AI196" s="102">
        <f t="shared" si="32"/>
        <v>0</v>
      </c>
      <c r="AJ196" s="102">
        <f t="shared" si="32"/>
        <v>31110.840000000004</v>
      </c>
      <c r="AK196" s="102">
        <f t="shared" si="32"/>
        <v>0</v>
      </c>
      <c r="AL196" s="102">
        <f t="shared" si="32"/>
        <v>30781.11</v>
      </c>
      <c r="AM196" s="102">
        <f t="shared" si="32"/>
        <v>0</v>
      </c>
      <c r="AN196" s="102">
        <f t="shared" si="32"/>
        <v>14653.58</v>
      </c>
      <c r="AO196" s="102">
        <f t="shared" si="32"/>
        <v>0</v>
      </c>
      <c r="AP196" s="102">
        <f t="shared" si="32"/>
        <v>113717.43</v>
      </c>
      <c r="AQ196" s="102">
        <f t="shared" si="32"/>
        <v>0</v>
      </c>
      <c r="AR196" s="102">
        <f t="shared" si="32"/>
        <v>143262.72</v>
      </c>
      <c r="AS196" s="102">
        <f t="shared" si="32"/>
        <v>0</v>
      </c>
      <c r="AT196" s="102">
        <f t="shared" si="32"/>
        <v>34982.43</v>
      </c>
      <c r="AU196" s="102">
        <f t="shared" si="32"/>
        <v>0</v>
      </c>
      <c r="AV196" s="102">
        <f t="shared" si="32"/>
        <v>0</v>
      </c>
      <c r="AW196" s="102">
        <f t="shared" si="32"/>
        <v>0</v>
      </c>
      <c r="AX196" s="102">
        <f t="shared" si="32"/>
        <v>0</v>
      </c>
      <c r="AY196" s="102">
        <f t="shared" si="32"/>
        <v>0</v>
      </c>
      <c r="AZ196" s="102">
        <f t="shared" si="32"/>
        <v>0</v>
      </c>
      <c r="BA196" s="102">
        <f t="shared" si="32"/>
        <v>0</v>
      </c>
      <c r="BB196" s="102">
        <f t="shared" si="32"/>
        <v>0</v>
      </c>
      <c r="BC196" s="102">
        <f t="shared" si="32"/>
        <v>0</v>
      </c>
      <c r="BD196" s="102">
        <f t="shared" si="32"/>
        <v>0</v>
      </c>
      <c r="BE196" s="102">
        <f t="shared" si="32"/>
        <v>0</v>
      </c>
      <c r="BF196" s="102">
        <f t="shared" si="32"/>
        <v>0</v>
      </c>
      <c r="BG196" s="102">
        <f t="shared" si="32"/>
        <v>0</v>
      </c>
      <c r="BH196" s="102">
        <f t="shared" si="32"/>
        <v>0</v>
      </c>
      <c r="BI196" s="102">
        <f t="shared" si="32"/>
        <v>0</v>
      </c>
      <c r="BJ196" s="102">
        <f t="shared" si="32"/>
        <v>0</v>
      </c>
      <c r="BK196" s="102">
        <f t="shared" si="32"/>
        <v>0</v>
      </c>
      <c r="BL196" s="102">
        <f t="shared" si="32"/>
        <v>586759.19999999995</v>
      </c>
      <c r="BM196" s="102">
        <f t="shared" si="32"/>
        <v>0</v>
      </c>
      <c r="BN196" s="102">
        <f t="shared" si="32"/>
        <v>159233</v>
      </c>
      <c r="BO196" s="102">
        <f t="shared" si="32"/>
        <v>0</v>
      </c>
      <c r="BP196" s="102">
        <f t="shared" si="32"/>
        <v>167514.78000000003</v>
      </c>
      <c r="BQ196" s="102">
        <f t="shared" si="32"/>
        <v>0</v>
      </c>
      <c r="BR196" s="102">
        <f t="shared" si="32"/>
        <v>754273.98</v>
      </c>
      <c r="BS196" s="102">
        <f t="shared" si="32"/>
        <v>0</v>
      </c>
      <c r="BT196" s="102">
        <f t="shared" si="32"/>
        <v>-354273.98</v>
      </c>
      <c r="BU196" s="9"/>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s="21" customFormat="1">
      <c r="A197" s="56"/>
      <c r="B197" s="31"/>
      <c r="J197" s="8"/>
      <c r="L197" s="143"/>
      <c r="M197" s="9"/>
      <c r="N197" s="10"/>
      <c r="O197" s="9"/>
      <c r="P197" s="10"/>
      <c r="Q197" s="9"/>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10"/>
      <c r="AV197" s="10"/>
      <c r="AW197" s="10"/>
      <c r="AX197" s="10"/>
      <c r="AY197" s="10"/>
      <c r="AZ197" s="10"/>
      <c r="BA197" s="10"/>
      <c r="BB197" s="10"/>
      <c r="BC197" s="10"/>
      <c r="BD197" s="10"/>
      <c r="BE197" s="10"/>
      <c r="BF197" s="10"/>
      <c r="BG197" s="10"/>
      <c r="BH197" s="10"/>
      <c r="BI197" s="10"/>
      <c r="BJ197" s="10"/>
      <c r="BK197" s="9"/>
      <c r="BL197" s="10"/>
      <c r="BM197" s="9"/>
      <c r="BN197" s="10"/>
      <c r="BO197" s="9"/>
      <c r="BP197" s="10"/>
      <c r="BQ197" s="9"/>
      <c r="BR197" s="10"/>
      <c r="BS197" s="9"/>
      <c r="BT197" s="10"/>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A198" s="56" t="s">
        <v>35</v>
      </c>
      <c r="B198" s="11"/>
      <c r="C198"/>
      <c r="D198"/>
      <c r="E198"/>
      <c r="F198"/>
      <c r="G198"/>
      <c r="H198"/>
      <c r="I198"/>
      <c r="J198" s="49"/>
      <c r="K198"/>
      <c r="L198" s="134"/>
      <c r="M198" s="6"/>
      <c r="O198" s="6"/>
      <c r="Q198" s="6"/>
      <c r="S198" s="6"/>
      <c r="T198" s="6"/>
      <c r="U198" s="12"/>
      <c r="V198" s="6"/>
      <c r="W198" s="12"/>
      <c r="X198" s="6"/>
      <c r="Y198" s="12"/>
      <c r="Z198" s="6"/>
      <c r="AA198" s="12"/>
      <c r="AB198" s="6"/>
      <c r="AC198" s="12"/>
      <c r="AD198" s="6"/>
      <c r="AE198" s="12"/>
      <c r="AG198" s="12"/>
      <c r="AI198" s="12"/>
      <c r="AK198" s="12"/>
      <c r="AM198" s="12"/>
      <c r="AO198" s="12"/>
      <c r="AQ198" s="12"/>
      <c r="AS198" s="12"/>
      <c r="BJ198" s="6"/>
      <c r="BK198" s="6"/>
      <c r="BM198" s="6"/>
      <c r="BN198" s="6"/>
      <c r="BO198" s="6"/>
      <c r="BU198" s="12"/>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s="11" customFormat="1">
      <c r="A199" s="17"/>
      <c r="B199" s="11" t="s">
        <v>37</v>
      </c>
      <c r="J199" s="160"/>
      <c r="L199" s="146" t="s">
        <v>205</v>
      </c>
      <c r="M199" s="12"/>
      <c r="N199" s="12">
        <v>0</v>
      </c>
      <c r="O199" s="12"/>
      <c r="P199" s="12">
        <f>300000-5511</f>
        <v>294489</v>
      </c>
      <c r="Q199" s="12"/>
      <c r="R199" s="6">
        <v>0</v>
      </c>
      <c r="S199" s="12"/>
      <c r="T199" s="12">
        <v>0</v>
      </c>
      <c r="U199" s="12"/>
      <c r="V199" s="12">
        <v>0</v>
      </c>
      <c r="W199" s="12"/>
      <c r="X199" s="12">
        <v>0</v>
      </c>
      <c r="Y199" s="12"/>
      <c r="Z199" s="12">
        <v>0</v>
      </c>
      <c r="AA199" s="12"/>
      <c r="AB199" s="12">
        <v>0</v>
      </c>
      <c r="AC199" s="12"/>
      <c r="AD199" s="12"/>
      <c r="AE199" s="12"/>
      <c r="AF199" s="12">
        <v>0</v>
      </c>
      <c r="AG199" s="12"/>
      <c r="AH199" s="12">
        <v>0</v>
      </c>
      <c r="AI199" s="12"/>
      <c r="AJ199" s="12">
        <v>0</v>
      </c>
      <c r="AK199" s="12"/>
      <c r="AL199" s="12">
        <v>0</v>
      </c>
      <c r="AM199" s="12"/>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f>SUM(T199:BK199)</f>
        <v>0</v>
      </c>
      <c r="BM199" s="12"/>
      <c r="BN199" s="12">
        <v>0</v>
      </c>
      <c r="BO199" s="12"/>
      <c r="BP199" s="6">
        <f>IF(+R199-BL199+BN199&gt;0,R199-BL199+BN199,0)</f>
        <v>0</v>
      </c>
      <c r="BQ199" s="12"/>
      <c r="BR199" s="6">
        <f>+BL199+BP199</f>
        <v>0</v>
      </c>
      <c r="BS199" s="12"/>
      <c r="BT199" s="6">
        <f>+R199-BR199</f>
        <v>0</v>
      </c>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506</v>
      </c>
      <c r="J200" s="160"/>
      <c r="L200" s="146"/>
      <c r="M200" s="12"/>
      <c r="N200" s="12"/>
      <c r="O200" s="12"/>
      <c r="P200" s="12"/>
      <c r="Q200" s="12"/>
      <c r="R200" s="6">
        <v>200000</v>
      </c>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f>165893.1+86315.36</f>
        <v>252208.46000000002</v>
      </c>
      <c r="AS200" s="12"/>
      <c r="AT200" s="12"/>
      <c r="AU200" s="12"/>
      <c r="AV200" s="12"/>
      <c r="AW200" s="12"/>
      <c r="AX200" s="12"/>
      <c r="AY200" s="12"/>
      <c r="AZ200" s="12"/>
      <c r="BA200" s="12"/>
      <c r="BB200" s="12"/>
      <c r="BC200" s="12"/>
      <c r="BD200" s="12"/>
      <c r="BE200" s="12"/>
      <c r="BF200" s="12"/>
      <c r="BG200" s="12"/>
      <c r="BH200" s="12"/>
      <c r="BI200" s="12"/>
      <c r="BJ200" s="12"/>
      <c r="BK200" s="12"/>
      <c r="BL200" s="12">
        <f>SUM(T200:BK200)</f>
        <v>252208.46000000002</v>
      </c>
      <c r="BM200" s="12"/>
      <c r="BN200" s="12">
        <v>0</v>
      </c>
      <c r="BO200" s="12"/>
      <c r="BP200" s="6">
        <f>IF(+R200-BL200+BN200&gt;0,R200-BL200+BN200,0)</f>
        <v>0</v>
      </c>
      <c r="BQ200" s="12"/>
      <c r="BR200" s="6">
        <f>+BL200+BP200</f>
        <v>252208.46000000002</v>
      </c>
      <c r="BS200" s="12"/>
      <c r="BT200" s="6">
        <f>+R200-BR200</f>
        <v>-52208.460000000021</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122</v>
      </c>
      <c r="J201" s="160"/>
      <c r="L201" s="146" t="s">
        <v>205</v>
      </c>
      <c r="M201" s="12"/>
      <c r="N201" s="12">
        <v>500000</v>
      </c>
      <c r="O201" s="12"/>
      <c r="P201" s="12">
        <v>-300000</v>
      </c>
      <c r="Q201" s="12"/>
      <c r="R201" s="6">
        <v>200000</v>
      </c>
      <c r="S201" s="12"/>
      <c r="T201" s="12">
        <v>0</v>
      </c>
      <c r="U201" s="12"/>
      <c r="V201" s="12">
        <v>0</v>
      </c>
      <c r="W201" s="12"/>
      <c r="X201" s="12">
        <v>0</v>
      </c>
      <c r="Y201" s="12"/>
      <c r="Z201" s="12"/>
      <c r="AA201" s="12"/>
      <c r="AB201" s="12"/>
      <c r="AC201" s="12"/>
      <c r="AD201" s="12"/>
      <c r="AE201" s="12"/>
      <c r="AF201" s="12">
        <v>0</v>
      </c>
      <c r="AG201" s="12"/>
      <c r="AH201" s="12">
        <v>15169.98</v>
      </c>
      <c r="AI201" s="12"/>
      <c r="AJ201" s="12">
        <v>0</v>
      </c>
      <c r="AK201" s="12"/>
      <c r="AL201" s="12">
        <v>29399.49</v>
      </c>
      <c r="AM201" s="12"/>
      <c r="AN201" s="12">
        <v>20442.900000000001</v>
      </c>
      <c r="AO201" s="12"/>
      <c r="AP201" s="12">
        <v>10582.42</v>
      </c>
      <c r="AQ201" s="12"/>
      <c r="AR201" s="12">
        <f>589.73+2046.96+65709.82</f>
        <v>68346.510000000009</v>
      </c>
      <c r="AS201" s="12"/>
      <c r="AT201" s="12">
        <v>5360.34</v>
      </c>
      <c r="AU201" s="12"/>
      <c r="AV201" s="12">
        <v>0</v>
      </c>
      <c r="AW201" s="12"/>
      <c r="AX201" s="12">
        <v>0</v>
      </c>
      <c r="AY201" s="12"/>
      <c r="AZ201" s="12">
        <v>0</v>
      </c>
      <c r="BA201" s="12"/>
      <c r="BB201" s="12">
        <v>0</v>
      </c>
      <c r="BC201" s="12"/>
      <c r="BD201" s="12">
        <v>0</v>
      </c>
      <c r="BE201" s="12"/>
      <c r="BF201" s="12">
        <v>0</v>
      </c>
      <c r="BG201" s="12"/>
      <c r="BH201" s="12">
        <v>0</v>
      </c>
      <c r="BI201" s="12"/>
      <c r="BJ201" s="12">
        <v>0</v>
      </c>
      <c r="BK201" s="12"/>
      <c r="BL201" s="12">
        <f>SUM(T201:BK201)</f>
        <v>149301.64000000001</v>
      </c>
      <c r="BM201" s="12"/>
      <c r="BN201" s="12">
        <v>0</v>
      </c>
      <c r="BO201" s="12"/>
      <c r="BP201" s="6">
        <f>IF(+R201-BL201+BN201&gt;0,R201-BL201+BN201,0)</f>
        <v>50698.359999999986</v>
      </c>
      <c r="BQ201" s="12"/>
      <c r="BR201" s="6">
        <f>+BL201+BP201</f>
        <v>200000</v>
      </c>
      <c r="BS201" s="12"/>
      <c r="BT201" s="6">
        <f>+R201-BR201</f>
        <v>0</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J202" s="160"/>
      <c r="L202" s="146"/>
      <c r="M202" s="12"/>
      <c r="N202" s="12"/>
      <c r="O202" s="12"/>
      <c r="P202" s="12">
        <v>5511</v>
      </c>
      <c r="Q202" s="12"/>
      <c r="R202" s="6"/>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f>SUM(T202:BK202)</f>
        <v>0</v>
      </c>
      <c r="BM202" s="12"/>
      <c r="BN202" s="12">
        <v>0</v>
      </c>
      <c r="BO202" s="12"/>
      <c r="BP202" s="6">
        <f>IF(+R202-BL202+BN202&gt;0,R202-BL202+BN202,0)</f>
        <v>0</v>
      </c>
      <c r="BQ202" s="12"/>
      <c r="BR202" s="6">
        <f>+BL202+BP202</f>
        <v>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21" customFormat="1">
      <c r="A203" s="56"/>
      <c r="B203" s="31" t="s">
        <v>42</v>
      </c>
      <c r="J203" s="8"/>
      <c r="L203" s="143"/>
      <c r="M203" s="9"/>
      <c r="N203" s="102">
        <f>SUM(N199:N202)</f>
        <v>500000</v>
      </c>
      <c r="O203" s="102">
        <f>SUM(O199:O202)</f>
        <v>0</v>
      </c>
      <c r="P203" s="102">
        <f>SUM(P199:P202)</f>
        <v>0</v>
      </c>
      <c r="Q203" s="102">
        <f>SUM(Q199:Q202)</f>
        <v>0</v>
      </c>
      <c r="R203" s="102">
        <f>SUM(R199:R202)</f>
        <v>400000</v>
      </c>
      <c r="S203" s="9"/>
      <c r="T203" s="102">
        <f>SUM(T199:T202)</f>
        <v>0</v>
      </c>
      <c r="U203" s="9"/>
      <c r="V203" s="102">
        <f>SUM(V199:V202)</f>
        <v>0</v>
      </c>
      <c r="W203" s="9"/>
      <c r="X203" s="102">
        <f>SUM(X199:X202)</f>
        <v>0</v>
      </c>
      <c r="Y203" s="9"/>
      <c r="Z203" s="102">
        <f>SUM(Z199:Z202)</f>
        <v>0</v>
      </c>
      <c r="AA203" s="9"/>
      <c r="AB203" s="102">
        <f>SUM(AB199:AB202)</f>
        <v>0</v>
      </c>
      <c r="AC203" s="9"/>
      <c r="AD203" s="102">
        <f>SUM(AD199:AD202)</f>
        <v>0</v>
      </c>
      <c r="AE203" s="9"/>
      <c r="AF203" s="102">
        <f>SUM(AF199:AF202)</f>
        <v>0</v>
      </c>
      <c r="AG203" s="9"/>
      <c r="AH203" s="102">
        <f>SUM(AH199:AH202)</f>
        <v>15169.98</v>
      </c>
      <c r="AI203" s="9"/>
      <c r="AJ203" s="102">
        <f>SUM(AJ199:AJ202)</f>
        <v>0</v>
      </c>
      <c r="AK203" s="9"/>
      <c r="AL203" s="102">
        <f>SUM(AL199:AL202)</f>
        <v>29399.49</v>
      </c>
      <c r="AM203" s="9"/>
      <c r="AN203" s="102">
        <f>SUM(AN199:AN202)</f>
        <v>20442.900000000001</v>
      </c>
      <c r="AO203" s="9"/>
      <c r="AP203" s="102">
        <f>SUM(AP199:AP202)</f>
        <v>10582.42</v>
      </c>
      <c r="AQ203" s="9"/>
      <c r="AR203" s="102">
        <f>SUM(AR199:AR202)</f>
        <v>320554.97000000003</v>
      </c>
      <c r="AS203" s="9"/>
      <c r="AT203" s="102">
        <f>SUM(AT199:AT202)</f>
        <v>5360.34</v>
      </c>
      <c r="AU203" s="10"/>
      <c r="AV203" s="102">
        <f>SUM(AV199:AV202)</f>
        <v>0</v>
      </c>
      <c r="AW203" s="10"/>
      <c r="AX203" s="102">
        <f>SUM(AX199:AX202)</f>
        <v>0</v>
      </c>
      <c r="AY203" s="10"/>
      <c r="AZ203" s="102">
        <f>SUM(AZ199:AZ202)</f>
        <v>0</v>
      </c>
      <c r="BA203" s="10"/>
      <c r="BB203" s="102">
        <f>SUM(BB199:BB202)</f>
        <v>0</v>
      </c>
      <c r="BC203" s="10"/>
      <c r="BD203" s="102">
        <f>SUM(BD199:BD202)</f>
        <v>0</v>
      </c>
      <c r="BE203" s="10"/>
      <c r="BF203" s="102">
        <f>SUM(BF199:BF202)</f>
        <v>0</v>
      </c>
      <c r="BG203" s="10"/>
      <c r="BH203" s="102">
        <f>SUM(BH199:BH202)</f>
        <v>0</v>
      </c>
      <c r="BI203" s="10"/>
      <c r="BJ203" s="102">
        <f>SUM(BJ199:BJ202)</f>
        <v>0</v>
      </c>
      <c r="BK203" s="9"/>
      <c r="BL203" s="102">
        <f>SUM(BL199:BL202)</f>
        <v>401510.10000000003</v>
      </c>
      <c r="BM203" s="9"/>
      <c r="BN203" s="102">
        <f>SUM(BN199:BN202)</f>
        <v>0</v>
      </c>
      <c r="BO203" s="9"/>
      <c r="BP203" s="102">
        <f>SUM(BP199:BP202)</f>
        <v>50698.359999999986</v>
      </c>
      <c r="BQ203" s="9"/>
      <c r="BR203" s="102">
        <f>SUM(BR199:BR202)</f>
        <v>452208.46</v>
      </c>
      <c r="BS203" s="9"/>
      <c r="BT203" s="102">
        <f>SUM(BT199:BT202)</f>
        <v>-52208.460000000021</v>
      </c>
      <c r="BU203" s="9"/>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8"/>
      <c r="B204" s="31"/>
      <c r="J204" s="8"/>
      <c r="L204" s="143"/>
      <c r="M204" s="9"/>
      <c r="N204" s="10"/>
      <c r="O204" s="10"/>
      <c r="P204" s="10"/>
      <c r="Q204" s="10"/>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10"/>
      <c r="AV204" s="10"/>
      <c r="AW204" s="10"/>
      <c r="AX204" s="10"/>
      <c r="AY204" s="10"/>
      <c r="AZ204" s="10"/>
      <c r="BA204" s="10"/>
      <c r="BB204" s="10"/>
      <c r="BC204" s="10"/>
      <c r="BD204" s="10"/>
      <c r="BE204" s="10"/>
      <c r="BF204" s="10"/>
      <c r="BG204" s="10"/>
      <c r="BH204" s="10"/>
      <c r="BI204" s="10"/>
      <c r="BJ204" s="10"/>
      <c r="BK204" s="9"/>
      <c r="BL204" s="10"/>
      <c r="BM204" s="9"/>
      <c r="BN204" s="10"/>
      <c r="BO204" s="9"/>
      <c r="BP204" s="10"/>
      <c r="BQ204" s="9"/>
      <c r="BR204" s="10"/>
      <c r="BS204" s="9"/>
      <c r="BT204" s="10"/>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31" customFormat="1">
      <c r="A205" s="58" t="s">
        <v>251</v>
      </c>
      <c r="J205" s="159"/>
      <c r="L205" s="145" t="s">
        <v>204</v>
      </c>
      <c r="M205" s="10"/>
      <c r="N205" s="10">
        <v>10922239</v>
      </c>
      <c r="O205" s="10"/>
      <c r="P205" s="10">
        <f>10969926-N205</f>
        <v>47687</v>
      </c>
      <c r="Q205" s="10"/>
      <c r="R205" s="9">
        <v>10032325</v>
      </c>
      <c r="S205" s="10"/>
      <c r="T205" s="10">
        <v>413818</v>
      </c>
      <c r="U205" s="10"/>
      <c r="V205" s="10">
        <f>250563-10722</f>
        <v>239841</v>
      </c>
      <c r="W205" s="10"/>
      <c r="X205" s="10">
        <v>375473</v>
      </c>
      <c r="Y205" s="10"/>
      <c r="Z205" s="10">
        <f>11622+362544-6</f>
        <v>374160</v>
      </c>
      <c r="AA205" s="10"/>
      <c r="AB205" s="10">
        <v>374175</v>
      </c>
      <c r="AC205" s="10"/>
      <c r="AD205" s="10">
        <v>479817</v>
      </c>
      <c r="AE205" s="10"/>
      <c r="AF205" s="10">
        <f>[1]Wheatland!$I$39</f>
        <v>431577.41862083337</v>
      </c>
      <c r="AG205" s="10"/>
      <c r="AH205" s="10">
        <f>[1]Wheatland!$J$39</f>
        <v>437225.48213836289</v>
      </c>
      <c r="AI205" s="10"/>
      <c r="AJ205" s="10">
        <f>[1]Wheatland!$K$39</f>
        <v>445286.67641661229</v>
      </c>
      <c r="AK205" s="10"/>
      <c r="AL205" s="10">
        <f>[1]Wheatland!$L$39</f>
        <v>454783</v>
      </c>
      <c r="AM205" s="10"/>
      <c r="AN205" s="10">
        <f>[1]Wheatland!$M$39</f>
        <v>462626.31550692458</v>
      </c>
      <c r="AO205" s="10"/>
      <c r="AP205" s="10">
        <f>[1]Wheatland!$N$39</f>
        <v>491955.34096592036</v>
      </c>
      <c r="AQ205" s="10"/>
      <c r="AR205" s="10">
        <f>[1]Wheatland!$O$39</f>
        <v>516340</v>
      </c>
      <c r="AS205" s="10"/>
      <c r="AT205" s="10">
        <v>0</v>
      </c>
      <c r="AU205" s="10"/>
      <c r="AV205" s="10">
        <v>0</v>
      </c>
      <c r="AW205" s="10"/>
      <c r="AX205" s="10">
        <v>0</v>
      </c>
      <c r="AY205" s="10"/>
      <c r="AZ205" s="10">
        <v>0</v>
      </c>
      <c r="BA205" s="10"/>
      <c r="BB205" s="10">
        <v>0</v>
      </c>
      <c r="BC205" s="10"/>
      <c r="BD205" s="10">
        <v>0</v>
      </c>
      <c r="BE205" s="10"/>
      <c r="BF205" s="10">
        <v>0</v>
      </c>
      <c r="BG205" s="10"/>
      <c r="BH205" s="10">
        <v>0</v>
      </c>
      <c r="BI205" s="10"/>
      <c r="BJ205" s="10">
        <v>0</v>
      </c>
      <c r="BK205" s="10"/>
      <c r="BL205" s="10">
        <f>SUM(T205:BK205)</f>
        <v>5497078.2336486531</v>
      </c>
      <c r="BM205" s="10"/>
      <c r="BN205" s="10">
        <f>-R205+[1]Wheatland!$Y$39</f>
        <v>-283132.33967769518</v>
      </c>
      <c r="BO205" s="10"/>
      <c r="BP205" s="6">
        <f>IF(+R205-BL205+BN205&gt;0,R205-BL205+BN205,0)</f>
        <v>4252114.4266736517</v>
      </c>
      <c r="BQ205" s="10"/>
      <c r="BR205" s="9">
        <f>+BL205+BP205</f>
        <v>9749192.6603223048</v>
      </c>
      <c r="BS205" s="10"/>
      <c r="BT205" s="9">
        <f>+R205-BR205</f>
        <v>283132.33967769518</v>
      </c>
      <c r="BU205" s="10"/>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21" customFormat="1">
      <c r="A206" s="56"/>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10"/>
      <c r="AV206" s="10"/>
      <c r="AW206" s="10"/>
      <c r="AX206" s="10"/>
      <c r="AY206" s="10"/>
      <c r="AZ206" s="10"/>
      <c r="BA206" s="10"/>
      <c r="BB206" s="10"/>
      <c r="BC206" s="10"/>
      <c r="BD206" s="10"/>
      <c r="BE206" s="10"/>
      <c r="BF206" s="10"/>
      <c r="BG206" s="10"/>
      <c r="BH206" s="10"/>
      <c r="BI206" s="10"/>
      <c r="BJ206" s="10"/>
      <c r="BK206" s="9"/>
      <c r="BL206" s="10"/>
      <c r="BM206" s="9"/>
      <c r="BN206" s="10"/>
      <c r="BO206" s="9"/>
      <c r="BP206" s="10"/>
      <c r="BQ206" s="9"/>
      <c r="BR206" s="10"/>
      <c r="BS206" s="9"/>
      <c r="BT206" s="10"/>
      <c r="BU206" s="9"/>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105" customFormat="1">
      <c r="A207" s="84" t="s">
        <v>250</v>
      </c>
      <c r="B207" s="54"/>
      <c r="J207" s="158"/>
      <c r="L207" s="144"/>
      <c r="M207" s="13"/>
      <c r="N207" s="120"/>
      <c r="O207" s="13"/>
      <c r="P207" s="120"/>
      <c r="Q207" s="13"/>
      <c r="R207" s="120">
        <f>R205+R196+R187+R185+R183+R177+R175+R173+R166+R159+R157+R155+R153+R151+R203</f>
        <v>23583842</v>
      </c>
      <c r="S207" s="120">
        <f t="shared" ref="S207:BU207" si="33">S205+S196+S187+S185+S183+S177+S175+S173+S166+S159+S157+S155+S153+S151+S203</f>
        <v>0</v>
      </c>
      <c r="T207" s="120">
        <f t="shared" si="33"/>
        <v>413818</v>
      </c>
      <c r="U207" s="120">
        <f t="shared" si="33"/>
        <v>0</v>
      </c>
      <c r="V207" s="120">
        <f t="shared" si="33"/>
        <v>241018.53</v>
      </c>
      <c r="W207" s="120">
        <f t="shared" si="33"/>
        <v>0</v>
      </c>
      <c r="X207" s="120">
        <f t="shared" si="33"/>
        <v>405396.93</v>
      </c>
      <c r="Y207" s="120">
        <f t="shared" si="33"/>
        <v>0</v>
      </c>
      <c r="Z207" s="120">
        <f t="shared" si="33"/>
        <v>440729.95</v>
      </c>
      <c r="AA207" s="120">
        <f t="shared" si="33"/>
        <v>0</v>
      </c>
      <c r="AB207" s="120">
        <f t="shared" si="33"/>
        <v>471664.43</v>
      </c>
      <c r="AC207" s="120">
        <f t="shared" si="33"/>
        <v>0</v>
      </c>
      <c r="AD207" s="120">
        <f t="shared" si="33"/>
        <v>525025.67999999993</v>
      </c>
      <c r="AE207" s="120">
        <f t="shared" si="33"/>
        <v>0</v>
      </c>
      <c r="AF207" s="120">
        <f t="shared" si="33"/>
        <v>573248.10862083337</v>
      </c>
      <c r="AG207" s="120">
        <f t="shared" si="33"/>
        <v>0</v>
      </c>
      <c r="AH207" s="120">
        <f t="shared" si="33"/>
        <v>580523.05213836278</v>
      </c>
      <c r="AI207" s="120">
        <f t="shared" si="33"/>
        <v>0</v>
      </c>
      <c r="AJ207" s="120">
        <f t="shared" si="33"/>
        <v>551485.42641661223</v>
      </c>
      <c r="AK207" s="120">
        <f t="shared" si="33"/>
        <v>0</v>
      </c>
      <c r="AL207" s="120">
        <f t="shared" si="33"/>
        <v>1502808.93</v>
      </c>
      <c r="AM207" s="120">
        <f t="shared" si="33"/>
        <v>0</v>
      </c>
      <c r="AN207" s="120">
        <f t="shared" si="33"/>
        <v>634977.90550692461</v>
      </c>
      <c r="AO207" s="120">
        <f t="shared" si="33"/>
        <v>0</v>
      </c>
      <c r="AP207" s="120">
        <f t="shared" si="33"/>
        <v>710648.81096592033</v>
      </c>
      <c r="AQ207" s="120">
        <f t="shared" si="33"/>
        <v>0</v>
      </c>
      <c r="AR207" s="120">
        <f t="shared" si="33"/>
        <v>2133337.75</v>
      </c>
      <c r="AS207" s="120">
        <f t="shared" si="33"/>
        <v>0</v>
      </c>
      <c r="AT207" s="120">
        <f t="shared" si="33"/>
        <v>355019.95</v>
      </c>
      <c r="AU207" s="120">
        <f t="shared" si="33"/>
        <v>0</v>
      </c>
      <c r="AV207" s="120">
        <f t="shared" si="33"/>
        <v>0</v>
      </c>
      <c r="AW207" s="120">
        <f t="shared" si="33"/>
        <v>0</v>
      </c>
      <c r="AX207" s="120">
        <f t="shared" si="33"/>
        <v>0</v>
      </c>
      <c r="AY207" s="120">
        <f t="shared" si="33"/>
        <v>0</v>
      </c>
      <c r="AZ207" s="120">
        <f t="shared" si="33"/>
        <v>0</v>
      </c>
      <c r="BA207" s="120">
        <f t="shared" si="33"/>
        <v>0</v>
      </c>
      <c r="BB207" s="120">
        <f t="shared" si="33"/>
        <v>0</v>
      </c>
      <c r="BC207" s="120">
        <f t="shared" si="33"/>
        <v>0</v>
      </c>
      <c r="BD207" s="120">
        <f t="shared" si="33"/>
        <v>0</v>
      </c>
      <c r="BE207" s="120">
        <f t="shared" si="33"/>
        <v>0</v>
      </c>
      <c r="BF207" s="120">
        <f t="shared" si="33"/>
        <v>0</v>
      </c>
      <c r="BG207" s="120">
        <f t="shared" si="33"/>
        <v>0</v>
      </c>
      <c r="BH207" s="120">
        <f t="shared" si="33"/>
        <v>0</v>
      </c>
      <c r="BI207" s="120">
        <f t="shared" si="33"/>
        <v>0</v>
      </c>
      <c r="BJ207" s="120">
        <f t="shared" si="33"/>
        <v>0</v>
      </c>
      <c r="BK207" s="120">
        <f t="shared" si="33"/>
        <v>0</v>
      </c>
      <c r="BL207" s="120">
        <f t="shared" si="33"/>
        <v>9539703.4536486529</v>
      </c>
      <c r="BM207" s="120">
        <f t="shared" si="33"/>
        <v>0</v>
      </c>
      <c r="BN207" s="120">
        <f t="shared" si="33"/>
        <v>219044.66032230482</v>
      </c>
      <c r="BO207" s="120">
        <f t="shared" si="33"/>
        <v>0</v>
      </c>
      <c r="BP207" s="120">
        <f t="shared" si="33"/>
        <v>14773757.506673653</v>
      </c>
      <c r="BQ207" s="120">
        <f t="shared" si="33"/>
        <v>0</v>
      </c>
      <c r="BR207" s="120">
        <f t="shared" si="33"/>
        <v>24313460.960322306</v>
      </c>
      <c r="BS207" s="120">
        <f t="shared" si="33"/>
        <v>0</v>
      </c>
      <c r="BT207" s="120">
        <f t="shared" si="33"/>
        <v>-729618.96032230486</v>
      </c>
      <c r="BU207" s="120">
        <f t="shared" si="33"/>
        <v>0</v>
      </c>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6"/>
      <c r="B208" s="31"/>
      <c r="J208" s="8"/>
      <c r="L208" s="143"/>
      <c r="M208" s="9"/>
      <c r="N208" s="10"/>
      <c r="O208" s="9"/>
      <c r="P208" s="10"/>
      <c r="Q208" s="9"/>
      <c r="R208" s="10"/>
      <c r="S208" s="9"/>
      <c r="T208" s="10"/>
      <c r="U208" s="9"/>
      <c r="V208" s="10"/>
      <c r="W208" s="9"/>
      <c r="X208" s="10"/>
      <c r="Y208" s="9"/>
      <c r="Z208" s="10"/>
      <c r="AA208" s="9"/>
      <c r="AB208" s="10"/>
      <c r="AC208" s="9"/>
      <c r="AD208" s="10"/>
      <c r="AE208" s="9"/>
      <c r="AF208" s="10"/>
      <c r="AG208" s="9"/>
      <c r="AH208" s="10"/>
      <c r="AI208" s="9"/>
      <c r="AJ208" s="10"/>
      <c r="AK208" s="9"/>
      <c r="AL208" s="10"/>
      <c r="AM208" s="9"/>
      <c r="AN208" s="10"/>
      <c r="AO208" s="9"/>
      <c r="AP208" s="10"/>
      <c r="AQ208" s="9"/>
      <c r="AR208" s="10"/>
      <c r="AS208" s="9"/>
      <c r="AT208" s="10"/>
      <c r="AU208" s="10"/>
      <c r="AV208" s="10"/>
      <c r="AW208" s="10"/>
      <c r="AX208" s="10"/>
      <c r="AY208" s="10"/>
      <c r="AZ208" s="10"/>
      <c r="BA208" s="10"/>
      <c r="BB208" s="10"/>
      <c r="BC208" s="10"/>
      <c r="BD208" s="10"/>
      <c r="BE208" s="10"/>
      <c r="BF208" s="10"/>
      <c r="BG208" s="10"/>
      <c r="BH208" s="10"/>
      <c r="BI208" s="10"/>
      <c r="BJ208" s="10"/>
      <c r="BK208" s="9"/>
      <c r="BL208" s="10"/>
      <c r="BM208" s="9"/>
      <c r="BN208" s="10"/>
      <c r="BO208" s="9"/>
      <c r="BP208" s="10"/>
      <c r="BQ208" s="9"/>
      <c r="BR208" s="10"/>
      <c r="BS208" s="9"/>
      <c r="BT208" s="10"/>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t="s">
        <v>192</v>
      </c>
      <c r="B209" s="31"/>
      <c r="J209" s="8"/>
      <c r="L209" s="143" t="s">
        <v>204</v>
      </c>
      <c r="M209" s="9"/>
      <c r="N209" s="9">
        <v>5395729</v>
      </c>
      <c r="O209" s="9"/>
      <c r="P209" s="9">
        <f>5463580+-N209</f>
        <v>67851</v>
      </c>
      <c r="Q209" s="9"/>
      <c r="R209" s="9">
        <f>3088152.1+236000</f>
        <v>3324152.1</v>
      </c>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10"/>
      <c r="BM209" s="9">
        <v>2030320</v>
      </c>
      <c r="BN209" s="9">
        <v>-3324152</v>
      </c>
      <c r="BO209" s="9">
        <v>2030320</v>
      </c>
      <c r="BP209" s="6">
        <f>IF(+R209-BL209+BN209&gt;0,R209-BL209+BN209,0)</f>
        <v>0.10000000009313226</v>
      </c>
      <c r="BQ209" s="9">
        <v>2030320</v>
      </c>
      <c r="BR209" s="9">
        <f>+BL209+BP209</f>
        <v>0.10000000009313226</v>
      </c>
      <c r="BS209" s="9">
        <v>2030320</v>
      </c>
      <c r="BT209" s="6">
        <f>+R209-BR209</f>
        <v>3324152</v>
      </c>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c r="B210" s="31"/>
      <c r="J210" s="8"/>
      <c r="L210" s="143"/>
      <c r="M210" s="9"/>
      <c r="N210" s="10"/>
      <c r="O210" s="9"/>
      <c r="P210" s="10"/>
      <c r="Q210" s="9"/>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10"/>
      <c r="AV210" s="10"/>
      <c r="AW210" s="10"/>
      <c r="AX210" s="10"/>
      <c r="AY210" s="10"/>
      <c r="AZ210" s="10"/>
      <c r="BA210" s="10"/>
      <c r="BB210" s="10"/>
      <c r="BC210" s="10"/>
      <c r="BD210" s="10"/>
      <c r="BE210" s="10"/>
      <c r="BF210" s="10"/>
      <c r="BG210" s="10"/>
      <c r="BH210" s="10"/>
      <c r="BI210" s="10"/>
      <c r="BJ210" s="10"/>
      <c r="BK210" s="9"/>
      <c r="BL210" s="10"/>
      <c r="BM210" s="9"/>
      <c r="BN210" s="10"/>
      <c r="BO210" s="9"/>
      <c r="BP210" s="10"/>
      <c r="BQ210" s="9"/>
      <c r="BR210" s="10"/>
      <c r="BS210" s="9"/>
      <c r="BT210" s="10"/>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170" customFormat="1">
      <c r="A212" s="169" t="s">
        <v>255</v>
      </c>
      <c r="J212" s="171"/>
      <c r="L212" s="172"/>
      <c r="M212" s="173"/>
      <c r="N212" s="173"/>
      <c r="O212" s="173"/>
      <c r="P212" s="173"/>
      <c r="Q212" s="173"/>
      <c r="R212" s="168">
        <f>R34+R138+R127+R143+R207+R209</f>
        <v>161517948.09999999</v>
      </c>
      <c r="S212" s="168">
        <f t="shared" ref="S212:BT212" si="34">S34+S138+S127+S143+S207+S209</f>
        <v>0</v>
      </c>
      <c r="T212" s="168">
        <f t="shared" si="34"/>
        <v>17087218</v>
      </c>
      <c r="U212" s="168">
        <f t="shared" si="34"/>
        <v>0</v>
      </c>
      <c r="V212" s="168">
        <f t="shared" si="34"/>
        <v>43642668.530000001</v>
      </c>
      <c r="W212" s="168">
        <f t="shared" si="34"/>
        <v>0</v>
      </c>
      <c r="X212" s="168">
        <f t="shared" si="34"/>
        <v>4696471.93</v>
      </c>
      <c r="Y212" s="168">
        <f t="shared" si="34"/>
        <v>0</v>
      </c>
      <c r="Z212" s="168">
        <f t="shared" si="34"/>
        <v>440729.95</v>
      </c>
      <c r="AA212" s="168">
        <f t="shared" si="34"/>
        <v>0</v>
      </c>
      <c r="AB212" s="168">
        <f t="shared" si="34"/>
        <v>4762739.43</v>
      </c>
      <c r="AC212" s="168">
        <f t="shared" si="34"/>
        <v>0</v>
      </c>
      <c r="AD212" s="168">
        <f t="shared" si="34"/>
        <v>9142692.6799999997</v>
      </c>
      <c r="AE212" s="168">
        <f t="shared" si="34"/>
        <v>0</v>
      </c>
      <c r="AF212" s="168">
        <f t="shared" si="34"/>
        <v>573248.10862083337</v>
      </c>
      <c r="AG212" s="168">
        <f t="shared" si="34"/>
        <v>0</v>
      </c>
      <c r="AH212" s="168">
        <f t="shared" si="34"/>
        <v>1116780.7521383627</v>
      </c>
      <c r="AI212" s="168">
        <f t="shared" si="34"/>
        <v>0</v>
      </c>
      <c r="AJ212" s="168">
        <f t="shared" si="34"/>
        <v>1496281.3264166121</v>
      </c>
      <c r="AK212" s="168">
        <f t="shared" si="34"/>
        <v>0</v>
      </c>
      <c r="AL212" s="168">
        <f t="shared" si="34"/>
        <v>1780115.93</v>
      </c>
      <c r="AM212" s="168">
        <f t="shared" si="34"/>
        <v>0</v>
      </c>
      <c r="AN212" s="168">
        <f t="shared" si="34"/>
        <v>1566383.0055069246</v>
      </c>
      <c r="AO212" s="168">
        <f t="shared" si="34"/>
        <v>0</v>
      </c>
      <c r="AP212" s="168">
        <f t="shared" si="34"/>
        <v>5481999.3709659204</v>
      </c>
      <c r="AQ212" s="168">
        <f t="shared" si="34"/>
        <v>0</v>
      </c>
      <c r="AR212" s="168">
        <f t="shared" si="34"/>
        <v>4677967.54</v>
      </c>
      <c r="AS212" s="168">
        <f t="shared" si="34"/>
        <v>0</v>
      </c>
      <c r="AT212" s="168">
        <f t="shared" si="34"/>
        <v>8137080.3100000005</v>
      </c>
      <c r="AU212" s="168">
        <f t="shared" si="34"/>
        <v>0</v>
      </c>
      <c r="AV212" s="168">
        <f t="shared" si="34"/>
        <v>0</v>
      </c>
      <c r="AW212" s="168">
        <f t="shared" si="34"/>
        <v>0</v>
      </c>
      <c r="AX212" s="168">
        <f t="shared" si="34"/>
        <v>0</v>
      </c>
      <c r="AY212" s="168">
        <f t="shared" si="34"/>
        <v>0</v>
      </c>
      <c r="AZ212" s="168">
        <f t="shared" si="34"/>
        <v>0</v>
      </c>
      <c r="BA212" s="168">
        <f t="shared" si="34"/>
        <v>0</v>
      </c>
      <c r="BB212" s="168">
        <f t="shared" si="34"/>
        <v>0</v>
      </c>
      <c r="BC212" s="168">
        <f t="shared" si="34"/>
        <v>0</v>
      </c>
      <c r="BD212" s="168">
        <f t="shared" si="34"/>
        <v>0</v>
      </c>
      <c r="BE212" s="168">
        <f t="shared" si="34"/>
        <v>0</v>
      </c>
      <c r="BF212" s="168">
        <f t="shared" si="34"/>
        <v>0</v>
      </c>
      <c r="BG212" s="168">
        <f t="shared" si="34"/>
        <v>0</v>
      </c>
      <c r="BH212" s="168">
        <f t="shared" si="34"/>
        <v>0</v>
      </c>
      <c r="BI212" s="168">
        <f t="shared" si="34"/>
        <v>0</v>
      </c>
      <c r="BJ212" s="168">
        <f t="shared" si="34"/>
        <v>0</v>
      </c>
      <c r="BK212" s="168">
        <f t="shared" si="34"/>
        <v>0</v>
      </c>
      <c r="BL212" s="168">
        <f t="shared" si="34"/>
        <v>104602376.86364868</v>
      </c>
      <c r="BM212" s="168">
        <f t="shared" si="34"/>
        <v>2589412</v>
      </c>
      <c r="BN212" s="168">
        <f t="shared" si="34"/>
        <v>3885536.6603223048</v>
      </c>
      <c r="BO212" s="168">
        <f t="shared" si="34"/>
        <v>3445639</v>
      </c>
      <c r="BP212" s="168">
        <f t="shared" si="34"/>
        <v>56455539.196673639</v>
      </c>
      <c r="BQ212" s="168">
        <f t="shared" si="34"/>
        <v>5467108</v>
      </c>
      <c r="BR212" s="168">
        <f t="shared" si="34"/>
        <v>162001781.06032231</v>
      </c>
      <c r="BS212" s="168">
        <f t="shared" si="34"/>
        <v>9789592</v>
      </c>
      <c r="BT212" s="168">
        <f t="shared" si="34"/>
        <v>-483832.96032230463</v>
      </c>
      <c r="BU212" s="173"/>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t="s">
        <v>253</v>
      </c>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c r="BM213" s="9"/>
      <c r="BN213" s="10"/>
      <c r="BO213" s="9"/>
      <c r="BP213" s="10"/>
      <c r="BQ213" s="9"/>
      <c r="BR213" s="10">
        <f>BR212/B4</f>
        <v>344684.64055387728</v>
      </c>
      <c r="BS213" s="9"/>
      <c r="BT213" s="10"/>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8" t="s">
        <v>221</v>
      </c>
      <c r="B215" s="31"/>
      <c r="J215" s="8"/>
      <c r="L215" s="143" t="s">
        <v>204</v>
      </c>
      <c r="M215" s="9"/>
      <c r="N215" s="9">
        <v>0</v>
      </c>
      <c r="O215" s="9"/>
      <c r="P215" s="9">
        <f>21557+23365.91</f>
        <v>44922.91</v>
      </c>
      <c r="Q215" s="9"/>
      <c r="R215" s="9">
        <v>-6078</v>
      </c>
      <c r="S215" s="9"/>
      <c r="T215" s="9"/>
      <c r="U215" s="9"/>
      <c r="V215" s="9"/>
      <c r="W215" s="9"/>
      <c r="X215" s="9"/>
      <c r="Y215" s="9"/>
      <c r="Z215" s="9">
        <v>-21556.400000000001</v>
      </c>
      <c r="AA215" s="9"/>
      <c r="AB215" s="9">
        <f>43113+23365.91</f>
        <v>66478.91</v>
      </c>
      <c r="AC215" s="9"/>
      <c r="AD215" s="9">
        <v>-51000</v>
      </c>
      <c r="AE215" s="9"/>
      <c r="AF215" s="9">
        <v>0</v>
      </c>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10">
        <f>SUM(T215:BK215)</f>
        <v>-6077.489999999998</v>
      </c>
      <c r="BM215" s="9"/>
      <c r="BN215" s="10">
        <v>0</v>
      </c>
      <c r="BO215" s="10"/>
      <c r="BP215" s="10">
        <f>+R215-BL215+BN215</f>
        <v>-0.51000000000203727</v>
      </c>
      <c r="BQ215" s="10"/>
      <c r="BR215" s="9">
        <f>+BL215+BP215</f>
        <v>-6078</v>
      </c>
      <c r="BS215" s="10"/>
      <c r="BT215" s="9">
        <f>+R215-BR215</f>
        <v>0</v>
      </c>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6"/>
      <c r="B216" s="31"/>
      <c r="J216" s="8"/>
      <c r="L216" s="143"/>
      <c r="M216" s="9"/>
      <c r="N216" s="10"/>
      <c r="O216" s="9"/>
      <c r="P216" s="10"/>
      <c r="Q216" s="9"/>
      <c r="R216" s="10"/>
      <c r="S216" s="9"/>
      <c r="T216" s="10"/>
      <c r="U216" s="9"/>
      <c r="V216" s="10"/>
      <c r="W216" s="9"/>
      <c r="X216" s="10"/>
      <c r="Y216" s="9"/>
      <c r="Z216" s="10"/>
      <c r="AA216" s="9"/>
      <c r="AB216" s="10"/>
      <c r="AC216" s="9"/>
      <c r="AD216" s="10"/>
      <c r="AE216" s="9"/>
      <c r="AF216" s="10"/>
      <c r="AG216" s="9"/>
      <c r="AH216" s="10"/>
      <c r="AI216" s="9"/>
      <c r="AJ216" s="10"/>
      <c r="AK216" s="9"/>
      <c r="AL216" s="10"/>
      <c r="AM216" s="9"/>
      <c r="AN216" s="10"/>
      <c r="AO216" s="9"/>
      <c r="AP216" s="10"/>
      <c r="AQ216" s="9"/>
      <c r="AR216" s="10"/>
      <c r="AS216" s="9"/>
      <c r="AT216" s="10"/>
      <c r="AU216" s="10"/>
      <c r="AV216" s="10"/>
      <c r="AW216" s="10"/>
      <c r="AX216" s="10"/>
      <c r="AY216" s="10"/>
      <c r="AZ216" s="10"/>
      <c r="BA216" s="10"/>
      <c r="BB216" s="10"/>
      <c r="BC216" s="10"/>
      <c r="BD216" s="10"/>
      <c r="BE216" s="10"/>
      <c r="BF216" s="10"/>
      <c r="BG216" s="10"/>
      <c r="BH216" s="10"/>
      <c r="BI216" s="10"/>
      <c r="BJ216" s="10"/>
      <c r="BK216" s="9"/>
      <c r="BL216" s="10"/>
      <c r="BM216" s="9"/>
      <c r="BN216" s="10"/>
      <c r="BO216" s="9"/>
      <c r="BP216" s="10"/>
      <c r="BQ216" s="9"/>
      <c r="BR216" s="10"/>
      <c r="BS216" s="9"/>
      <c r="BT216" s="10"/>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t="s">
        <v>252</v>
      </c>
      <c r="B217" s="31"/>
      <c r="J217" s="8"/>
      <c r="L217" s="143"/>
      <c r="M217" s="9"/>
      <c r="N217" s="10"/>
      <c r="O217" s="9"/>
      <c r="P217" s="10"/>
      <c r="Q217" s="9"/>
      <c r="R217" s="10">
        <v>0</v>
      </c>
      <c r="S217" s="9"/>
      <c r="T217" s="10"/>
      <c r="U217" s="9"/>
      <c r="V217" s="10"/>
      <c r="W217" s="9"/>
      <c r="X217" s="10"/>
      <c r="Y217" s="9"/>
      <c r="Z217" s="10">
        <v>0</v>
      </c>
      <c r="AA217" s="9"/>
      <c r="AB217" s="10">
        <v>0</v>
      </c>
      <c r="AC217" s="9"/>
      <c r="AD217" s="10">
        <v>0</v>
      </c>
      <c r="AE217" s="9"/>
      <c r="AF217" s="10">
        <v>0</v>
      </c>
      <c r="AG217" s="9"/>
      <c r="AH217" s="10"/>
      <c r="AI217" s="9"/>
      <c r="AJ217" s="10"/>
      <c r="AK217" s="9"/>
      <c r="AL217" s="10"/>
      <c r="AM217" s="9"/>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f>SUM(T217:BK217)</f>
        <v>0</v>
      </c>
      <c r="BM217" s="9"/>
      <c r="BN217" s="10">
        <v>0</v>
      </c>
      <c r="BO217" s="9"/>
      <c r="BP217" s="10">
        <f>+R217-BL217+BN217</f>
        <v>0</v>
      </c>
      <c r="BQ217" s="9"/>
      <c r="BR217" s="9">
        <f>+BL217+BP217</f>
        <v>0</v>
      </c>
      <c r="BS217" s="9"/>
      <c r="BT217" s="10">
        <f>SUM(BT214:BT216)</f>
        <v>0</v>
      </c>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c r="BM218" s="9"/>
      <c r="BN218" s="10"/>
      <c r="BO218" s="9"/>
      <c r="BP218" s="10"/>
      <c r="BQ218" s="9"/>
      <c r="BR218" s="10"/>
      <c r="BS218" s="9"/>
      <c r="BT218" s="10"/>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8" t="s">
        <v>271</v>
      </c>
      <c r="B219" s="31"/>
      <c r="J219" s="8"/>
      <c r="L219" s="143"/>
      <c r="M219" s="9"/>
      <c r="N219" s="10"/>
      <c r="O219" s="9"/>
      <c r="P219" s="10"/>
      <c r="Q219" s="9"/>
      <c r="R219" s="10">
        <v>-54879</v>
      </c>
      <c r="S219" s="9"/>
      <c r="T219" s="10"/>
      <c r="U219" s="9"/>
      <c r="V219" s="10"/>
      <c r="W219" s="9"/>
      <c r="X219" s="10"/>
      <c r="Y219" s="9"/>
      <c r="Z219" s="10"/>
      <c r="AA219" s="9"/>
      <c r="AB219" s="10">
        <v>-67129</v>
      </c>
      <c r="AC219" s="9"/>
      <c r="AD219" s="10">
        <v>12250</v>
      </c>
      <c r="AE219" s="9"/>
      <c r="AF219" s="21">
        <v>-26420</v>
      </c>
      <c r="AG219" s="9"/>
      <c r="AH219" s="10">
        <v>-23945</v>
      </c>
      <c r="AI219" s="9"/>
      <c r="AJ219" s="10"/>
      <c r="AK219" s="9"/>
      <c r="AL219" s="10"/>
      <c r="AM219" s="9"/>
      <c r="AN219" s="10">
        <v>36835</v>
      </c>
      <c r="AO219" s="9"/>
      <c r="AP219" s="10">
        <v>-36835</v>
      </c>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f>SUM(T219:BK219)</f>
        <v>-105244</v>
      </c>
      <c r="BM219" s="9"/>
      <c r="BN219" s="10"/>
      <c r="BO219" s="9"/>
      <c r="BP219" s="10">
        <v>0</v>
      </c>
      <c r="BQ219" s="9"/>
      <c r="BR219" s="9">
        <f>+BL219+BP219</f>
        <v>-105244</v>
      </c>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c r="BM220" s="9"/>
      <c r="BN220" s="10"/>
      <c r="BO220" s="9"/>
      <c r="BP220" s="10"/>
      <c r="BQ220" s="9"/>
      <c r="BR220" s="10"/>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t="s">
        <v>254</v>
      </c>
      <c r="B221" s="31"/>
      <c r="J221" s="8"/>
      <c r="L221" s="143"/>
      <c r="M221" s="9"/>
      <c r="N221" s="10"/>
      <c r="O221" s="9"/>
      <c r="P221" s="10"/>
      <c r="Q221" s="9"/>
      <c r="R221" s="10">
        <f t="shared" ref="R221:BU221" si="35">R212+R215+R217+R219</f>
        <v>161456991.09999999</v>
      </c>
      <c r="S221" s="10">
        <f t="shared" si="35"/>
        <v>0</v>
      </c>
      <c r="T221" s="10">
        <f t="shared" si="35"/>
        <v>17087218</v>
      </c>
      <c r="U221" s="10">
        <f t="shared" si="35"/>
        <v>0</v>
      </c>
      <c r="V221" s="10">
        <f t="shared" si="35"/>
        <v>43642668.530000001</v>
      </c>
      <c r="W221" s="10">
        <f t="shared" si="35"/>
        <v>0</v>
      </c>
      <c r="X221" s="10">
        <f t="shared" si="35"/>
        <v>4696471.93</v>
      </c>
      <c r="Y221" s="10">
        <f t="shared" si="35"/>
        <v>0</v>
      </c>
      <c r="Z221" s="10">
        <f t="shared" si="35"/>
        <v>419173.55</v>
      </c>
      <c r="AA221" s="10">
        <f t="shared" si="35"/>
        <v>0</v>
      </c>
      <c r="AB221" s="10">
        <f t="shared" si="35"/>
        <v>4762089.34</v>
      </c>
      <c r="AC221" s="10">
        <f t="shared" si="35"/>
        <v>0</v>
      </c>
      <c r="AD221" s="10">
        <f t="shared" si="35"/>
        <v>9103942.6799999997</v>
      </c>
      <c r="AE221" s="10">
        <f t="shared" si="35"/>
        <v>0</v>
      </c>
      <c r="AF221" s="10">
        <f t="shared" si="35"/>
        <v>546828.10862083337</v>
      </c>
      <c r="AG221" s="10">
        <f t="shared" si="35"/>
        <v>0</v>
      </c>
      <c r="AH221" s="10">
        <f t="shared" si="35"/>
        <v>1092835.7521383627</v>
      </c>
      <c r="AI221" s="10">
        <f t="shared" si="35"/>
        <v>0</v>
      </c>
      <c r="AJ221" s="10">
        <f t="shared" si="35"/>
        <v>1496281.3264166121</v>
      </c>
      <c r="AK221" s="10"/>
      <c r="AL221" s="10">
        <f t="shared" si="35"/>
        <v>1780115.93</v>
      </c>
      <c r="AM221" s="10"/>
      <c r="AN221" s="10">
        <f t="shared" si="35"/>
        <v>1603218.0055069246</v>
      </c>
      <c r="AO221" s="10">
        <f t="shared" si="35"/>
        <v>0</v>
      </c>
      <c r="AP221" s="10">
        <f t="shared" si="35"/>
        <v>5445164.3709659204</v>
      </c>
      <c r="AQ221" s="10">
        <f t="shared" si="35"/>
        <v>0</v>
      </c>
      <c r="AR221" s="10">
        <f t="shared" si="35"/>
        <v>4677967.54</v>
      </c>
      <c r="AS221" s="10">
        <f t="shared" si="35"/>
        <v>0</v>
      </c>
      <c r="AT221" s="10">
        <f t="shared" si="35"/>
        <v>8137080.3100000005</v>
      </c>
      <c r="AU221" s="10">
        <f t="shared" si="35"/>
        <v>0</v>
      </c>
      <c r="AV221" s="10">
        <f t="shared" si="35"/>
        <v>0</v>
      </c>
      <c r="AW221" s="10">
        <f t="shared" si="35"/>
        <v>0</v>
      </c>
      <c r="AX221" s="10">
        <f t="shared" si="35"/>
        <v>0</v>
      </c>
      <c r="AY221" s="10">
        <f t="shared" si="35"/>
        <v>0</v>
      </c>
      <c r="AZ221" s="10">
        <f t="shared" si="35"/>
        <v>0</v>
      </c>
      <c r="BA221" s="10">
        <f t="shared" si="35"/>
        <v>0</v>
      </c>
      <c r="BB221" s="10">
        <f t="shared" si="35"/>
        <v>0</v>
      </c>
      <c r="BC221" s="10">
        <f t="shared" si="35"/>
        <v>0</v>
      </c>
      <c r="BD221" s="10">
        <f t="shared" si="35"/>
        <v>0</v>
      </c>
      <c r="BE221" s="10">
        <f t="shared" si="35"/>
        <v>0</v>
      </c>
      <c r="BF221" s="10">
        <f t="shared" si="35"/>
        <v>0</v>
      </c>
      <c r="BG221" s="10">
        <f t="shared" si="35"/>
        <v>0</v>
      </c>
      <c r="BH221" s="10">
        <f t="shared" si="35"/>
        <v>0</v>
      </c>
      <c r="BI221" s="10">
        <f t="shared" si="35"/>
        <v>0</v>
      </c>
      <c r="BJ221" s="10">
        <f t="shared" si="35"/>
        <v>0</v>
      </c>
      <c r="BK221" s="10">
        <f t="shared" si="35"/>
        <v>0</v>
      </c>
      <c r="BL221" s="10">
        <f t="shared" si="35"/>
        <v>104491055.37364869</v>
      </c>
      <c r="BM221" s="10">
        <f t="shared" si="35"/>
        <v>2589412</v>
      </c>
      <c r="BN221" s="10">
        <f>BN212+BN215+BN217+BN219</f>
        <v>3885536.6603223048</v>
      </c>
      <c r="BO221" s="10">
        <f t="shared" si="35"/>
        <v>3445639</v>
      </c>
      <c r="BP221" s="10">
        <f t="shared" si="35"/>
        <v>56455538.686673641</v>
      </c>
      <c r="BQ221" s="10">
        <f t="shared" si="35"/>
        <v>5467108</v>
      </c>
      <c r="BR221" s="10">
        <f t="shared" si="35"/>
        <v>161890459.06032231</v>
      </c>
      <c r="BS221" s="10">
        <f t="shared" si="35"/>
        <v>9789592</v>
      </c>
      <c r="BT221" s="10">
        <f t="shared" si="35"/>
        <v>-483832.96032230463</v>
      </c>
      <c r="BU221" s="10">
        <f t="shared" si="35"/>
        <v>0</v>
      </c>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c r="B222" s="31"/>
      <c r="J222" s="8"/>
      <c r="L222" s="143"/>
      <c r="M222" s="9"/>
      <c r="N222" s="10"/>
      <c r="O222" s="9"/>
      <c r="P222" s="10"/>
      <c r="Q222" s="9"/>
      <c r="R222" s="10"/>
      <c r="S222" s="9"/>
      <c r="T222" s="10"/>
      <c r="U222" s="9"/>
      <c r="V222" s="10"/>
      <c r="W222" s="9"/>
      <c r="X222" s="10"/>
      <c r="Y222" s="9"/>
      <c r="Z222" s="10"/>
      <c r="AA222" s="9"/>
      <c r="AB222" s="10"/>
      <c r="AC222" s="9"/>
      <c r="AD222" s="10"/>
      <c r="AE222" s="9"/>
      <c r="AF222" s="10"/>
      <c r="AG222" s="9"/>
      <c r="AH222" s="10"/>
      <c r="AI222" s="9"/>
      <c r="AJ222" s="10"/>
      <c r="AK222" s="9"/>
      <c r="AL222" s="10"/>
      <c r="AM222" s="9"/>
      <c r="AN222" s="10"/>
      <c r="AO222" s="9"/>
      <c r="AP222" s="10"/>
      <c r="AQ222" s="9"/>
      <c r="AR222" s="10"/>
      <c r="AS222" s="9"/>
      <c r="AT222" s="10"/>
      <c r="AU222" s="10"/>
      <c r="AV222" s="10"/>
      <c r="AW222" s="10"/>
      <c r="AX222" s="10"/>
      <c r="AY222" s="10"/>
      <c r="AZ222" s="10"/>
      <c r="BA222" s="10"/>
      <c r="BB222" s="10"/>
      <c r="BC222" s="10"/>
      <c r="BD222" s="10"/>
      <c r="BE222" s="10"/>
      <c r="BF222" s="10"/>
      <c r="BG222" s="10"/>
      <c r="BH222" s="10"/>
      <c r="BI222" s="10"/>
      <c r="BJ222" s="10"/>
      <c r="BK222" s="9"/>
      <c r="BL222" s="10"/>
      <c r="BM222" s="9"/>
      <c r="BN222" s="10"/>
      <c r="BO222" s="9"/>
      <c r="BP222" s="10"/>
      <c r="BQ222" s="9"/>
      <c r="BR222" s="10"/>
      <c r="BS222" s="9"/>
      <c r="BT222" s="10"/>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c r="C223"/>
      <c r="D223"/>
      <c r="E223"/>
      <c r="F223"/>
      <c r="G223"/>
      <c r="H223"/>
      <c r="I223"/>
      <c r="J223" s="49"/>
      <c r="K223"/>
      <c r="L223" s="134"/>
      <c r="M223" s="6"/>
      <c r="O223" s="6"/>
      <c r="Q223" s="6"/>
      <c r="S223" s="6"/>
      <c r="T223" s="6"/>
      <c r="U223" s="6"/>
      <c r="V223" s="6"/>
      <c r="X223" s="6"/>
      <c r="Z223" s="6"/>
      <c r="AB223" s="6"/>
      <c r="AD223" s="6"/>
      <c r="BJ223" s="6"/>
      <c r="BK223" s="6"/>
      <c r="BM223" s="6"/>
      <c r="BN223" s="6"/>
      <c r="BO223" s="6"/>
      <c r="BU223" s="6"/>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ht="15.6">
      <c r="A224" s="131" t="s">
        <v>201</v>
      </c>
      <c r="B224" s="132"/>
      <c r="C224" s="119"/>
      <c r="D224" s="119"/>
      <c r="E224" s="119"/>
      <c r="F224" s="119"/>
      <c r="G224" s="119"/>
      <c r="H224" s="119"/>
      <c r="I224" s="119"/>
      <c r="J224" s="161"/>
      <c r="K224" s="119"/>
      <c r="L224" s="148"/>
      <c r="M224" s="133"/>
      <c r="N224" s="133"/>
      <c r="O224" s="133"/>
      <c r="P224" s="133"/>
      <c r="Q224" s="133"/>
      <c r="R224" s="133"/>
      <c r="S224" s="133"/>
      <c r="T224" s="133"/>
      <c r="U224" s="133"/>
      <c r="V224" s="133"/>
      <c r="W224" s="133"/>
      <c r="X224" s="133"/>
      <c r="Y224" s="133"/>
      <c r="Z224" s="133"/>
      <c r="AA224" s="133"/>
      <c r="AB224" s="133"/>
      <c r="AC224" s="133"/>
      <c r="AD224" s="133"/>
      <c r="AE224" s="133"/>
      <c r="AF224" s="133"/>
      <c r="AG224" s="133"/>
      <c r="AH224" s="133"/>
      <c r="AI224" s="133"/>
      <c r="AJ224" s="133"/>
      <c r="AK224" s="133"/>
      <c r="AL224" s="133"/>
      <c r="AM224" s="133"/>
      <c r="AN224" s="133"/>
      <c r="AO224" s="133"/>
      <c r="AP224" s="133"/>
      <c r="AQ224" s="133"/>
      <c r="AR224" s="133"/>
      <c r="AS224" s="133"/>
      <c r="AT224" s="133"/>
      <c r="AU224" s="133"/>
      <c r="AV224" s="133"/>
      <c r="AW224" s="133"/>
      <c r="AX224" s="133"/>
      <c r="AY224" s="133"/>
      <c r="AZ224" s="133"/>
      <c r="BA224" s="133"/>
      <c r="BB224" s="133"/>
      <c r="BC224" s="133"/>
      <c r="BD224" s="133"/>
      <c r="BE224" s="133"/>
      <c r="BF224" s="133"/>
      <c r="BG224" s="133"/>
      <c r="BH224" s="133"/>
      <c r="BI224" s="133"/>
      <c r="BJ224" s="133"/>
      <c r="BK224" s="133"/>
      <c r="BL224" s="133"/>
      <c r="BM224" s="133"/>
      <c r="BN224" s="133"/>
      <c r="BO224" s="133"/>
      <c r="BP224" s="133"/>
      <c r="BQ224" s="133"/>
      <c r="BR224" s="13"/>
      <c r="BS224" s="133"/>
      <c r="BT224" s="133"/>
      <c r="BU224" s="133"/>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c r="A225" s="21" t="s">
        <v>200</v>
      </c>
      <c r="C225"/>
      <c r="D225"/>
      <c r="E225"/>
      <c r="F225"/>
      <c r="G225"/>
      <c r="H225"/>
      <c r="I225"/>
      <c r="J225" s="49"/>
      <c r="K225"/>
      <c r="L225" s="134" t="s">
        <v>205</v>
      </c>
      <c r="M225" s="6"/>
      <c r="N225" s="6">
        <v>0</v>
      </c>
      <c r="O225" s="6"/>
      <c r="P225" s="6">
        <v>220000</v>
      </c>
      <c r="Q225" s="6"/>
      <c r="R225" s="9">
        <v>0</v>
      </c>
      <c r="S225" s="6"/>
      <c r="T225" s="22"/>
      <c r="U225" s="6"/>
      <c r="V225" s="22"/>
      <c r="X225" s="22">
        <v>15000</v>
      </c>
      <c r="Z225" s="22">
        <v>0</v>
      </c>
      <c r="AB225" s="22"/>
      <c r="AD225" s="22"/>
      <c r="AF225" s="22"/>
      <c r="AH225" s="22"/>
      <c r="AJ225" s="22"/>
      <c r="AL225" s="22"/>
      <c r="AN225" s="22"/>
      <c r="AP225" s="22"/>
      <c r="AR225" s="22"/>
      <c r="AT225" s="22"/>
      <c r="AU225" s="22"/>
      <c r="AV225" s="22"/>
      <c r="AW225" s="22"/>
      <c r="AX225" s="22"/>
      <c r="AY225" s="22"/>
      <c r="AZ225" s="22"/>
      <c r="BA225" s="22"/>
      <c r="BB225" s="22"/>
      <c r="BC225" s="22"/>
      <c r="BD225" s="22"/>
      <c r="BE225" s="22"/>
      <c r="BF225" s="22"/>
      <c r="BG225" s="22"/>
      <c r="BH225" s="22"/>
      <c r="BI225" s="22"/>
      <c r="BJ225" s="22"/>
      <c r="BK225" s="6"/>
      <c r="BL225" s="9">
        <f>SUM(T225:BK225)</f>
        <v>15000</v>
      </c>
      <c r="BM225" s="6"/>
      <c r="BN225" s="22"/>
      <c r="BO225" s="6"/>
      <c r="BP225" s="9">
        <v>0</v>
      </c>
      <c r="BR225" s="9">
        <f>+BP225+BL225</f>
        <v>15000</v>
      </c>
      <c r="BT225" s="9">
        <v>0</v>
      </c>
      <c r="BU225" s="6"/>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205</v>
      </c>
      <c r="M226" s="6"/>
      <c r="N226" s="6">
        <v>0</v>
      </c>
      <c r="O226" s="6"/>
      <c r="P226" s="6">
        <v>30000</v>
      </c>
      <c r="Q226" s="6"/>
      <c r="R226" s="9">
        <v>0</v>
      </c>
      <c r="S226" s="6"/>
      <c r="T226" s="22"/>
      <c r="U226" s="6"/>
      <c r="V226" s="22"/>
      <c r="X226" s="22">
        <v>0</v>
      </c>
      <c r="Z226" s="22"/>
      <c r="AB226" s="22"/>
      <c r="AD226" s="22"/>
      <c r="AF226" s="22"/>
      <c r="AH226" s="22"/>
      <c r="AJ226" s="22"/>
      <c r="AL226" s="22"/>
      <c r="AN226" s="22"/>
      <c r="AP226" s="22"/>
      <c r="AR226" s="22"/>
      <c r="AT226" s="22"/>
      <c r="AU226" s="22"/>
      <c r="AV226" s="22"/>
      <c r="AW226" s="22"/>
      <c r="AX226" s="22"/>
      <c r="AY226" s="22"/>
      <c r="AZ226" s="22"/>
      <c r="BA226" s="22"/>
      <c r="BB226" s="22"/>
      <c r="BC226" s="22"/>
      <c r="BD226" s="22"/>
      <c r="BE226" s="22"/>
      <c r="BF226" s="22"/>
      <c r="BG226" s="22"/>
      <c r="BH226" s="22"/>
      <c r="BI226" s="22"/>
      <c r="BJ226" s="22"/>
      <c r="BK226" s="6"/>
      <c r="BL226" s="9">
        <f>SUM(T226:BK226)</f>
        <v>0</v>
      </c>
      <c r="BM226" s="6"/>
      <c r="BN226" s="22"/>
      <c r="BO226" s="6"/>
      <c r="BP226" s="9">
        <v>0</v>
      </c>
      <c r="BR226" s="9">
        <f>+BP226+BL226</f>
        <v>0</v>
      </c>
      <c r="BT226" s="9">
        <f>+R226-BR226</f>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28</v>
      </c>
      <c r="C227"/>
      <c r="D227"/>
      <c r="E227"/>
      <c r="F227"/>
      <c r="G227"/>
      <c r="H227"/>
      <c r="I227"/>
      <c r="J227" s="49"/>
      <c r="K227"/>
      <c r="L227" s="134" t="s">
        <v>205</v>
      </c>
      <c r="M227" s="6"/>
      <c r="N227" s="6">
        <v>0</v>
      </c>
      <c r="O227" s="6"/>
      <c r="P227" s="6">
        <v>35000</v>
      </c>
      <c r="Q227" s="6"/>
      <c r="R227" s="9">
        <v>0</v>
      </c>
      <c r="S227" s="6"/>
      <c r="T227" s="22"/>
      <c r="U227" s="6"/>
      <c r="V227" s="22"/>
      <c r="X227" s="22">
        <v>0</v>
      </c>
      <c r="Z227" s="22">
        <v>100</v>
      </c>
      <c r="AB227" s="22"/>
      <c r="AD227" s="22"/>
      <c r="AF227" s="22"/>
      <c r="AH227" s="22"/>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SUM(T227:BK227)</f>
        <v>100</v>
      </c>
      <c r="BM227" s="6"/>
      <c r="BN227" s="22"/>
      <c r="BO227" s="6"/>
      <c r="BP227" s="9">
        <v>0</v>
      </c>
      <c r="BR227" s="9">
        <f>+BP227+BL227</f>
        <v>100</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33</v>
      </c>
      <c r="C228"/>
      <c r="D228"/>
      <c r="E228"/>
      <c r="F228"/>
      <c r="G228"/>
      <c r="H228"/>
      <c r="I228"/>
      <c r="J228" s="49"/>
      <c r="K228"/>
      <c r="L228" s="134" t="s">
        <v>205</v>
      </c>
      <c r="M228" s="6"/>
      <c r="N228" s="6">
        <v>0</v>
      </c>
      <c r="O228" s="6"/>
      <c r="P228" s="6">
        <v>20000</v>
      </c>
      <c r="Q228" s="6"/>
      <c r="R228" s="9">
        <v>0</v>
      </c>
      <c r="S228" s="6"/>
      <c r="T228" s="22"/>
      <c r="U228" s="6"/>
      <c r="V228" s="22"/>
      <c r="X228" s="22"/>
      <c r="Z228" s="22"/>
      <c r="AB228" s="22"/>
      <c r="AD228" s="22"/>
      <c r="AF228" s="22"/>
      <c r="AH228" s="22"/>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SUM(T228:BK228)</f>
        <v>0</v>
      </c>
      <c r="BM228" s="6"/>
      <c r="BN228" s="22"/>
      <c r="BO228" s="6"/>
      <c r="BP228" s="9">
        <v>0</v>
      </c>
      <c r="BR228" s="9">
        <f>+BP228+BL228</f>
        <v>0</v>
      </c>
      <c r="BT228" s="9">
        <f>+R228-BR228</f>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ustomFormat="1">
      <c r="A229" s="56" t="s">
        <v>35</v>
      </c>
      <c r="B229" s="4"/>
      <c r="R229">
        <v>0</v>
      </c>
    </row>
    <row r="230" spans="1:122" s="105" customFormat="1" ht="13.8" thickBot="1">
      <c r="A230" s="128" t="s">
        <v>267</v>
      </c>
      <c r="B230" s="54"/>
      <c r="J230" s="158"/>
      <c r="L230" s="144"/>
      <c r="M230" s="13"/>
      <c r="N230" s="121">
        <f>SUM(N225:N229)</f>
        <v>0</v>
      </c>
      <c r="O230" s="13"/>
      <c r="P230" s="121">
        <f>SUM(P225:P229)</f>
        <v>305000</v>
      </c>
      <c r="Q230" s="13"/>
      <c r="R230" s="121">
        <f>SUM(R225:R229)</f>
        <v>0</v>
      </c>
      <c r="S230" s="13"/>
      <c r="T230" s="121">
        <f>SUM(T225:T229)</f>
        <v>0</v>
      </c>
      <c r="U230" s="120"/>
      <c r="V230" s="121">
        <f>SUM(V225:V229)</f>
        <v>0</v>
      </c>
      <c r="W230" s="120"/>
      <c r="X230" s="121">
        <f>SUM(X225:X229)</f>
        <v>15000</v>
      </c>
      <c r="Y230" s="120"/>
      <c r="Z230" s="121">
        <f>SUM(Z225:Z229)</f>
        <v>100</v>
      </c>
      <c r="AA230" s="121">
        <f>SUM(AA225:AA229)</f>
        <v>0</v>
      </c>
      <c r="AB230" s="121">
        <f>SUM(AB225:AB229)</f>
        <v>0</v>
      </c>
      <c r="AC230" s="121">
        <f>SUM(AC225:AC229)</f>
        <v>0</v>
      </c>
      <c r="AD230" s="121">
        <f>SUM(AD225:AD229)</f>
        <v>0</v>
      </c>
      <c r="AE230" s="120"/>
      <c r="AF230" s="121"/>
      <c r="AG230" s="120"/>
      <c r="AH230" s="121"/>
      <c r="AI230" s="120"/>
      <c r="AJ230" s="121"/>
      <c r="AK230" s="120"/>
      <c r="AL230" s="121"/>
      <c r="AM230" s="120"/>
      <c r="AN230" s="121"/>
      <c r="AO230" s="120"/>
      <c r="AP230" s="121"/>
      <c r="AQ230" s="120"/>
      <c r="AR230" s="121"/>
      <c r="AS230" s="120"/>
      <c r="AT230" s="121"/>
      <c r="AU230" s="120"/>
      <c r="AV230" s="121"/>
      <c r="AW230" s="120"/>
      <c r="AX230" s="121"/>
      <c r="AY230" s="120"/>
      <c r="AZ230" s="121"/>
      <c r="BA230" s="120"/>
      <c r="BB230" s="121"/>
      <c r="BC230" s="120"/>
      <c r="BD230" s="121"/>
      <c r="BE230" s="120"/>
      <c r="BF230" s="121"/>
      <c r="BG230" s="120"/>
      <c r="BH230" s="121"/>
      <c r="BI230" s="120"/>
      <c r="BJ230" s="121"/>
      <c r="BK230" s="13"/>
      <c r="BL230" s="121">
        <f>SUM(T230:BK230)</f>
        <v>15100</v>
      </c>
      <c r="BM230" s="13"/>
      <c r="BN230" s="121"/>
      <c r="BO230" s="13"/>
      <c r="BP230" s="121">
        <f>SUM(BP224:BP229)</f>
        <v>0</v>
      </c>
      <c r="BQ230" s="13"/>
      <c r="BR230" s="121">
        <f>+BP230+BL230</f>
        <v>15100</v>
      </c>
      <c r="BS230" s="13"/>
      <c r="BT230" s="121">
        <f>SUM(BT225:BT229)</f>
        <v>0</v>
      </c>
      <c r="BU230" s="12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ht="13.8" thickTop="1">
      <c r="C231"/>
      <c r="D231"/>
      <c r="E231"/>
      <c r="F231"/>
      <c r="G231"/>
      <c r="H231"/>
      <c r="I231"/>
      <c r="J231" s="49"/>
      <c r="K231"/>
      <c r="L231" s="134"/>
      <c r="M231" s="6"/>
      <c r="O231" s="6"/>
      <c r="Q231" s="6"/>
      <c r="S231" s="6"/>
      <c r="T231" s="22"/>
      <c r="U231" s="6"/>
      <c r="V231" s="22"/>
      <c r="X231" s="22"/>
      <c r="Z231" s="22"/>
      <c r="AB231" s="22"/>
      <c r="AD231" s="22"/>
      <c r="AF231" s="22"/>
      <c r="AH231" s="22"/>
      <c r="AJ231" s="22"/>
      <c r="AL231" s="22"/>
      <c r="AN231" s="22"/>
      <c r="AP231" s="22"/>
      <c r="AR231" s="22"/>
      <c r="AT231" s="22"/>
      <c r="AU231" s="22"/>
      <c r="AV231" s="22"/>
      <c r="AW231" s="22"/>
      <c r="AX231" s="22"/>
      <c r="AY231" s="22"/>
      <c r="AZ231" s="22"/>
      <c r="BA231" s="22"/>
      <c r="BB231" s="22"/>
      <c r="BC231" s="22"/>
      <c r="BD231" s="22"/>
      <c r="BE231" s="22"/>
      <c r="BF231" s="22"/>
      <c r="BG231" s="22"/>
      <c r="BH231" s="22"/>
      <c r="BI231" s="22"/>
      <c r="BJ231" s="22"/>
      <c r="BK231" s="6"/>
      <c r="BL231" s="22"/>
      <c r="BM231" s="6"/>
      <c r="BN231" s="22"/>
      <c r="BO231" s="6"/>
      <c r="BR231" s="58"/>
      <c r="BU231" s="6"/>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9"/>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22"/>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s="132" customFormat="1" ht="16.2" thickBot="1">
      <c r="A234" s="131" t="s">
        <v>268</v>
      </c>
      <c r="C234" s="119"/>
      <c r="D234" s="119"/>
      <c r="E234" s="119"/>
      <c r="F234" s="119"/>
      <c r="G234" s="119"/>
      <c r="H234" s="119"/>
      <c r="I234" s="119"/>
      <c r="J234" s="161"/>
      <c r="K234" s="119"/>
      <c r="L234" s="148"/>
      <c r="M234" s="133"/>
      <c r="N234" s="121" t="e">
        <f>#REF!+N230</f>
        <v>#REF!</v>
      </c>
      <c r="O234" s="121"/>
      <c r="P234" s="121" t="e">
        <f>#REF!+P230</f>
        <v>#REF!</v>
      </c>
      <c r="Q234" s="121"/>
      <c r="R234" s="121">
        <f t="shared" ref="R234:AW234" si="36">R212+R230</f>
        <v>161517948.09999999</v>
      </c>
      <c r="S234" s="121">
        <f t="shared" si="36"/>
        <v>0</v>
      </c>
      <c r="T234" s="121">
        <f t="shared" si="36"/>
        <v>17087218</v>
      </c>
      <c r="U234" s="121">
        <f t="shared" si="36"/>
        <v>0</v>
      </c>
      <c r="V234" s="121">
        <f t="shared" si="36"/>
        <v>43642668.530000001</v>
      </c>
      <c r="W234" s="121">
        <f t="shared" si="36"/>
        <v>0</v>
      </c>
      <c r="X234" s="121">
        <f t="shared" si="36"/>
        <v>4711471.93</v>
      </c>
      <c r="Y234" s="121">
        <f t="shared" si="36"/>
        <v>0</v>
      </c>
      <c r="Z234" s="121">
        <f t="shared" si="36"/>
        <v>440829.95</v>
      </c>
      <c r="AA234" s="121">
        <f t="shared" si="36"/>
        <v>0</v>
      </c>
      <c r="AB234" s="121">
        <f t="shared" si="36"/>
        <v>4762739.43</v>
      </c>
      <c r="AC234" s="121">
        <f t="shared" si="36"/>
        <v>0</v>
      </c>
      <c r="AD234" s="121">
        <f t="shared" si="36"/>
        <v>9142692.6799999997</v>
      </c>
      <c r="AE234" s="121">
        <f t="shared" si="36"/>
        <v>0</v>
      </c>
      <c r="AF234" s="121">
        <f t="shared" si="36"/>
        <v>573248.10862083337</v>
      </c>
      <c r="AG234" s="121">
        <f t="shared" si="36"/>
        <v>0</v>
      </c>
      <c r="AH234" s="121">
        <f t="shared" si="36"/>
        <v>1116780.7521383627</v>
      </c>
      <c r="AI234" s="121">
        <f t="shared" si="36"/>
        <v>0</v>
      </c>
      <c r="AJ234" s="121">
        <f t="shared" si="36"/>
        <v>1496281.3264166121</v>
      </c>
      <c r="AK234" s="121">
        <f t="shared" si="36"/>
        <v>0</v>
      </c>
      <c r="AL234" s="121">
        <f t="shared" si="36"/>
        <v>1780115.93</v>
      </c>
      <c r="AM234" s="121">
        <f t="shared" si="36"/>
        <v>0</v>
      </c>
      <c r="AN234" s="121">
        <f t="shared" si="36"/>
        <v>1566383.0055069246</v>
      </c>
      <c r="AO234" s="121">
        <f t="shared" si="36"/>
        <v>0</v>
      </c>
      <c r="AP234" s="121">
        <f t="shared" si="36"/>
        <v>5481999.3709659204</v>
      </c>
      <c r="AQ234" s="121">
        <f t="shared" si="36"/>
        <v>0</v>
      </c>
      <c r="AR234" s="121">
        <f t="shared" si="36"/>
        <v>4677967.54</v>
      </c>
      <c r="AS234" s="121">
        <f t="shared" si="36"/>
        <v>0</v>
      </c>
      <c r="AT234" s="121">
        <f t="shared" si="36"/>
        <v>8137080.3100000005</v>
      </c>
      <c r="AU234" s="121">
        <f t="shared" si="36"/>
        <v>0</v>
      </c>
      <c r="AV234" s="121">
        <f t="shared" si="36"/>
        <v>0</v>
      </c>
      <c r="AW234" s="121">
        <f t="shared" si="36"/>
        <v>0</v>
      </c>
      <c r="AX234" s="121">
        <f t="shared" ref="AX234:BT234" si="37">AX212+AX230</f>
        <v>0</v>
      </c>
      <c r="AY234" s="121">
        <f t="shared" si="37"/>
        <v>0</v>
      </c>
      <c r="AZ234" s="121">
        <f t="shared" si="37"/>
        <v>0</v>
      </c>
      <c r="BA234" s="121">
        <f t="shared" si="37"/>
        <v>0</v>
      </c>
      <c r="BB234" s="121">
        <f t="shared" si="37"/>
        <v>0</v>
      </c>
      <c r="BC234" s="121">
        <f t="shared" si="37"/>
        <v>0</v>
      </c>
      <c r="BD234" s="121">
        <f t="shared" si="37"/>
        <v>0</v>
      </c>
      <c r="BE234" s="121">
        <f t="shared" si="37"/>
        <v>0</v>
      </c>
      <c r="BF234" s="121">
        <f t="shared" si="37"/>
        <v>0</v>
      </c>
      <c r="BG234" s="121">
        <f t="shared" si="37"/>
        <v>0</v>
      </c>
      <c r="BH234" s="121">
        <f t="shared" si="37"/>
        <v>0</v>
      </c>
      <c r="BI234" s="121">
        <f t="shared" si="37"/>
        <v>0</v>
      </c>
      <c r="BJ234" s="121">
        <f t="shared" si="37"/>
        <v>0</v>
      </c>
      <c r="BK234" s="121">
        <f t="shared" si="37"/>
        <v>0</v>
      </c>
      <c r="BL234" s="121">
        <f t="shared" si="37"/>
        <v>104617476.86364868</v>
      </c>
      <c r="BM234" s="121">
        <f t="shared" si="37"/>
        <v>2589412</v>
      </c>
      <c r="BN234" s="121">
        <f t="shared" si="37"/>
        <v>3885536.6603223048</v>
      </c>
      <c r="BO234" s="121">
        <f t="shared" si="37"/>
        <v>3445639</v>
      </c>
      <c r="BP234" s="121">
        <f t="shared" si="37"/>
        <v>56455539.196673639</v>
      </c>
      <c r="BQ234" s="121">
        <f t="shared" si="37"/>
        <v>5467108</v>
      </c>
      <c r="BR234" s="121">
        <f t="shared" si="37"/>
        <v>162016881.06032231</v>
      </c>
      <c r="BS234" s="121">
        <f t="shared" si="37"/>
        <v>9789592</v>
      </c>
      <c r="BT234" s="121">
        <f t="shared" si="37"/>
        <v>-483832.96032230463</v>
      </c>
      <c r="BU234" s="133"/>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ht="13.8" thickTop="1">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2" thickBot="1">
      <c r="A236" s="131" t="s">
        <v>272</v>
      </c>
      <c r="C236" s="119"/>
      <c r="D236" s="119"/>
      <c r="E236" s="119"/>
      <c r="F236" s="119"/>
      <c r="G236" s="119"/>
      <c r="H236" s="119"/>
      <c r="I236" s="119"/>
      <c r="J236" s="161"/>
      <c r="K236" s="119"/>
      <c r="L236" s="148"/>
      <c r="M236" s="133"/>
      <c r="N236" s="121" t="e">
        <f>#REF!+N232</f>
        <v>#REF!</v>
      </c>
      <c r="O236" s="121"/>
      <c r="P236" s="121" t="e">
        <f>#REF!+P232</f>
        <v>#REF!</v>
      </c>
      <c r="Q236" s="121"/>
      <c r="R236" s="121">
        <f>R221+R230</f>
        <v>161456991.09999999</v>
      </c>
      <c r="S236" s="121">
        <f>S221+S230</f>
        <v>0</v>
      </c>
      <c r="T236" s="121">
        <f>T221+T230</f>
        <v>17087218</v>
      </c>
      <c r="U236" s="121">
        <f>U221+U230</f>
        <v>0</v>
      </c>
      <c r="V236" s="121">
        <f>V221+V230</f>
        <v>43642668.530000001</v>
      </c>
      <c r="W236" s="121">
        <f t="shared" ref="W236:BT236" si="38">W221+W230</f>
        <v>0</v>
      </c>
      <c r="X236" s="121">
        <f t="shared" si="38"/>
        <v>4711471.93</v>
      </c>
      <c r="Y236" s="121">
        <f t="shared" si="38"/>
        <v>0</v>
      </c>
      <c r="Z236" s="121">
        <f t="shared" si="38"/>
        <v>419273.55</v>
      </c>
      <c r="AA236" s="121">
        <f t="shared" si="38"/>
        <v>0</v>
      </c>
      <c r="AB236" s="121">
        <f t="shared" si="38"/>
        <v>4762089.34</v>
      </c>
      <c r="AC236" s="121">
        <f t="shared" si="38"/>
        <v>0</v>
      </c>
      <c r="AD236" s="121">
        <f t="shared" si="38"/>
        <v>9103942.6799999997</v>
      </c>
      <c r="AE236" s="121">
        <f t="shared" si="38"/>
        <v>0</v>
      </c>
      <c r="AF236" s="121">
        <f t="shared" si="38"/>
        <v>546828.10862083337</v>
      </c>
      <c r="AG236" s="121">
        <f t="shared" si="38"/>
        <v>0</v>
      </c>
      <c r="AH236" s="121">
        <f t="shared" si="38"/>
        <v>1092835.7521383627</v>
      </c>
      <c r="AI236" s="121">
        <f t="shared" si="38"/>
        <v>0</v>
      </c>
      <c r="AJ236" s="121">
        <f t="shared" si="38"/>
        <v>1496281.3264166121</v>
      </c>
      <c r="AK236" s="121">
        <f t="shared" si="38"/>
        <v>0</v>
      </c>
      <c r="AL236" s="121">
        <f t="shared" si="38"/>
        <v>1780115.93</v>
      </c>
      <c r="AM236" s="121">
        <f t="shared" si="38"/>
        <v>0</v>
      </c>
      <c r="AN236" s="121">
        <f t="shared" si="38"/>
        <v>1603218.0055069246</v>
      </c>
      <c r="AO236" s="121">
        <f t="shared" si="38"/>
        <v>0</v>
      </c>
      <c r="AP236" s="121">
        <f t="shared" si="38"/>
        <v>5445164.3709659204</v>
      </c>
      <c r="AQ236" s="121">
        <f t="shared" si="38"/>
        <v>0</v>
      </c>
      <c r="AR236" s="121">
        <f t="shared" si="38"/>
        <v>4677967.54</v>
      </c>
      <c r="AS236" s="121">
        <f t="shared" si="38"/>
        <v>0</v>
      </c>
      <c r="AT236" s="121">
        <f t="shared" si="38"/>
        <v>8137080.3100000005</v>
      </c>
      <c r="AU236" s="121">
        <f t="shared" si="38"/>
        <v>0</v>
      </c>
      <c r="AV236" s="121">
        <f t="shared" si="38"/>
        <v>0</v>
      </c>
      <c r="AW236" s="121">
        <f t="shared" si="38"/>
        <v>0</v>
      </c>
      <c r="AX236" s="121">
        <f t="shared" si="38"/>
        <v>0</v>
      </c>
      <c r="AY236" s="121">
        <f t="shared" si="38"/>
        <v>0</v>
      </c>
      <c r="AZ236" s="121">
        <f t="shared" si="38"/>
        <v>0</v>
      </c>
      <c r="BA236" s="121">
        <f t="shared" si="38"/>
        <v>0</v>
      </c>
      <c r="BB236" s="121">
        <f t="shared" si="38"/>
        <v>0</v>
      </c>
      <c r="BC236" s="121">
        <f t="shared" si="38"/>
        <v>0</v>
      </c>
      <c r="BD236" s="121">
        <f t="shared" si="38"/>
        <v>0</v>
      </c>
      <c r="BE236" s="121">
        <f t="shared" si="38"/>
        <v>0</v>
      </c>
      <c r="BF236" s="121">
        <f t="shared" si="38"/>
        <v>0</v>
      </c>
      <c r="BG236" s="121">
        <f t="shared" si="38"/>
        <v>0</v>
      </c>
      <c r="BH236" s="121">
        <f t="shared" si="38"/>
        <v>0</v>
      </c>
      <c r="BI236" s="121">
        <f t="shared" si="38"/>
        <v>0</v>
      </c>
      <c r="BJ236" s="121">
        <f t="shared" si="38"/>
        <v>0</v>
      </c>
      <c r="BK236" s="121">
        <f t="shared" si="38"/>
        <v>0</v>
      </c>
      <c r="BL236" s="121">
        <f t="shared" si="38"/>
        <v>104506155.37364869</v>
      </c>
      <c r="BM236" s="121">
        <f t="shared" si="38"/>
        <v>2589412</v>
      </c>
      <c r="BN236" s="121">
        <f t="shared" si="38"/>
        <v>3885536.6603223048</v>
      </c>
      <c r="BO236" s="121">
        <f t="shared" si="38"/>
        <v>3445639</v>
      </c>
      <c r="BP236" s="121">
        <f t="shared" si="38"/>
        <v>56455538.686673641</v>
      </c>
      <c r="BQ236" s="121">
        <f t="shared" si="38"/>
        <v>5467108</v>
      </c>
      <c r="BR236" s="121">
        <f t="shared" si="38"/>
        <v>161905559.06032231</v>
      </c>
      <c r="BS236" s="121">
        <f t="shared" si="38"/>
        <v>9789592</v>
      </c>
      <c r="BT236" s="121">
        <f t="shared" si="38"/>
        <v>-483832.96032230463</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8"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19" right="0.17" top="0.25" bottom="0.25" header="0.5" footer="0.5"/>
  <pageSetup scale="40" fitToWidth="2" orientation="portrait" horizontalDpi="300" verticalDpi="300" r:id="rId1"/>
  <headerFooter alignWithMargins="0"/>
  <rowBreaks count="1" manualBreakCount="1">
    <brk id="127" max="7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2000-01-31T19:10:25Z</cp:lastPrinted>
  <dcterms:created xsi:type="dcterms:W3CDTF">1998-11-04T14:40:39Z</dcterms:created>
  <dcterms:modified xsi:type="dcterms:W3CDTF">2023-09-10T11:57:09Z</dcterms:modified>
</cp:coreProperties>
</file>