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drawings/drawing2.xml" ContentType="application/vnd.openxmlformats-officedocument.drawing+xml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48" windowWidth="12120" windowHeight="8580" tabRatio="877" firstSheet="1" activeTab="6"/>
  </bookViews>
  <sheets>
    <sheet name="SUMMARY" sheetId="5" r:id="rId1"/>
    <sheet name="PROJECTCONFIGURATION" sheetId="3" r:id="rId2"/>
    <sheet name="OPERATIONAL CHARACTERISTICS" sheetId="2" r:id="rId3"/>
    <sheet name="EPC DETAIL X 2 LM 6000" sheetId="1" r:id="rId4"/>
    <sheet name="FINANCE" sheetId="8" r:id="rId5"/>
    <sheet name="TURBINE AVAILABILITY" sheetId="6" r:id="rId6"/>
    <sheet name="SOURCEDATA" sheetId="4" r:id="rId7"/>
    <sheet name="CLARIFICATIONS" sheetId="9" r:id="rId8"/>
  </sheets>
  <definedNames>
    <definedName name="chillers">PROJECTCONFIGURATION!$M$65</definedName>
    <definedName name="iso">PROJECTCONFIGURATION!$A$1</definedName>
    <definedName name="_xlnm.Print_Area" localSheetId="7">CLARIFICATIONS!$A$1:$C$51</definedName>
    <definedName name="_xlnm.Print_Area" localSheetId="3">'EPC DETAIL X 2 LM 6000'!$B$2:$K$104</definedName>
    <definedName name="_xlnm.Print_Area" localSheetId="4">FINANCE!$B$4:$S$52</definedName>
    <definedName name="_xlnm.Print_Area" localSheetId="2">'OPERATIONAL CHARACTERISTICS'!$B$2:$J$45</definedName>
    <definedName name="_xlnm.Print_Area" localSheetId="1">PROJECTCONFIGURATION!$A$1:$K$37</definedName>
    <definedName name="_xlnm.Print_Area" localSheetId="6">SOURCEDATA!$A$1:$L$76</definedName>
    <definedName name="_xlnm.Print_Area" localSheetId="0">SUMMARY!$B$1:$J$32</definedName>
    <definedName name="_xlnm.Print_Area" localSheetId="5">'TURBINE AVAILABILITY'!$B$2:$E$17</definedName>
  </definedNames>
  <calcPr calcId="0"/>
</workbook>
</file>

<file path=xl/calcChain.xml><?xml version="1.0" encoding="utf-8"?>
<calcChain xmlns="http://schemas.openxmlformats.org/spreadsheetml/2006/main">
  <c r="A5" i="9" l="1"/>
  <c r="A6" i="9"/>
  <c r="A7" i="9"/>
  <c r="A8" i="9"/>
  <c r="A9" i="9"/>
  <c r="A15" i="9"/>
  <c r="A21" i="9"/>
  <c r="A22" i="9"/>
  <c r="A23" i="9"/>
  <c r="A24" i="9"/>
  <c r="A25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K8" i="1"/>
  <c r="I15" i="1"/>
  <c r="K15" i="1"/>
  <c r="F17" i="1"/>
  <c r="I17" i="1"/>
  <c r="K17" i="1"/>
  <c r="I18" i="1"/>
  <c r="K18" i="1"/>
  <c r="I19" i="1"/>
  <c r="K19" i="1"/>
  <c r="I20" i="1"/>
  <c r="K20" i="1"/>
  <c r="I21" i="1"/>
  <c r="K21" i="1"/>
  <c r="I22" i="1"/>
  <c r="K22" i="1"/>
  <c r="I23" i="1"/>
  <c r="K23" i="1"/>
  <c r="I24" i="1"/>
  <c r="K24" i="1"/>
  <c r="I25" i="1"/>
  <c r="K25" i="1"/>
  <c r="I26" i="1"/>
  <c r="K26" i="1"/>
  <c r="I27" i="1"/>
  <c r="K27" i="1"/>
  <c r="I28" i="1"/>
  <c r="K28" i="1"/>
  <c r="I29" i="1"/>
  <c r="K29" i="1"/>
  <c r="I30" i="1"/>
  <c r="K30" i="1"/>
  <c r="I31" i="1"/>
  <c r="K31" i="1"/>
  <c r="I32" i="1"/>
  <c r="K32" i="1"/>
  <c r="I33" i="1"/>
  <c r="K33" i="1"/>
  <c r="I34" i="1"/>
  <c r="K34" i="1"/>
  <c r="D35" i="1"/>
  <c r="F35" i="1"/>
  <c r="I35" i="1"/>
  <c r="K35" i="1"/>
  <c r="I38" i="1"/>
  <c r="K38" i="1"/>
  <c r="I39" i="1"/>
  <c r="K39" i="1"/>
  <c r="I40" i="1"/>
  <c r="K40" i="1"/>
  <c r="I41" i="1"/>
  <c r="K41" i="1"/>
  <c r="I42" i="1"/>
  <c r="K42" i="1"/>
  <c r="I43" i="1"/>
  <c r="K43" i="1"/>
  <c r="I44" i="1"/>
  <c r="K44" i="1"/>
  <c r="I45" i="1"/>
  <c r="K45" i="1"/>
  <c r="I46" i="1"/>
  <c r="K46" i="1"/>
  <c r="I47" i="1"/>
  <c r="K47" i="1"/>
  <c r="I48" i="1"/>
  <c r="K48" i="1"/>
  <c r="I49" i="1"/>
  <c r="K49" i="1"/>
  <c r="I50" i="1"/>
  <c r="K50" i="1"/>
  <c r="I51" i="1"/>
  <c r="K51" i="1"/>
  <c r="I52" i="1"/>
  <c r="K52" i="1"/>
  <c r="I53" i="1"/>
  <c r="K53" i="1"/>
  <c r="I54" i="1"/>
  <c r="K54" i="1"/>
  <c r="I55" i="1"/>
  <c r="K55" i="1"/>
  <c r="I56" i="1"/>
  <c r="K56" i="1"/>
  <c r="I57" i="1"/>
  <c r="K57" i="1"/>
  <c r="I58" i="1"/>
  <c r="K58" i="1"/>
  <c r="I59" i="1"/>
  <c r="K59" i="1"/>
  <c r="I60" i="1"/>
  <c r="K60" i="1"/>
  <c r="D61" i="1"/>
  <c r="F61" i="1"/>
  <c r="I61" i="1"/>
  <c r="K61" i="1"/>
  <c r="I63" i="1"/>
  <c r="K63" i="1"/>
  <c r="I64" i="1"/>
  <c r="K64" i="1"/>
  <c r="I65" i="1"/>
  <c r="K65" i="1"/>
  <c r="D66" i="1"/>
  <c r="I66" i="1"/>
  <c r="K66" i="1"/>
  <c r="I67" i="1"/>
  <c r="K67" i="1"/>
  <c r="D68" i="1"/>
  <c r="F68" i="1"/>
  <c r="I68" i="1"/>
  <c r="K68" i="1"/>
  <c r="D70" i="1"/>
  <c r="F70" i="1"/>
  <c r="I70" i="1"/>
  <c r="K70" i="1"/>
  <c r="I72" i="1"/>
  <c r="K72" i="1"/>
  <c r="I73" i="1"/>
  <c r="K73" i="1"/>
  <c r="D74" i="1"/>
  <c r="F74" i="1"/>
  <c r="I74" i="1"/>
  <c r="K74" i="1"/>
  <c r="I76" i="1"/>
  <c r="K76" i="1"/>
  <c r="I77" i="1"/>
  <c r="K77" i="1"/>
  <c r="I78" i="1"/>
  <c r="K78" i="1"/>
  <c r="D79" i="1"/>
  <c r="F79" i="1"/>
  <c r="I79" i="1"/>
  <c r="K79" i="1"/>
  <c r="D81" i="1"/>
  <c r="F81" i="1"/>
  <c r="I81" i="1"/>
  <c r="K81" i="1"/>
  <c r="I83" i="1"/>
  <c r="K83" i="1"/>
  <c r="I84" i="1"/>
  <c r="K84" i="1"/>
  <c r="I85" i="1"/>
  <c r="K85" i="1"/>
  <c r="D86" i="1"/>
  <c r="F86" i="1"/>
  <c r="I86" i="1"/>
  <c r="K86" i="1"/>
  <c r="J87" i="1"/>
  <c r="L87" i="1"/>
  <c r="M87" i="1"/>
  <c r="E88" i="1"/>
  <c r="J88" i="1"/>
  <c r="E89" i="1"/>
  <c r="J89" i="1"/>
  <c r="D92" i="1"/>
  <c r="E92" i="1"/>
  <c r="F92" i="1"/>
  <c r="G92" i="1"/>
  <c r="I92" i="1"/>
  <c r="J92" i="1"/>
  <c r="K92" i="1"/>
  <c r="L92" i="1"/>
  <c r="M92" i="1"/>
  <c r="D93" i="1"/>
  <c r="F93" i="1"/>
  <c r="I93" i="1"/>
  <c r="K93" i="1"/>
  <c r="E94" i="1"/>
  <c r="G94" i="1"/>
  <c r="J94" i="1"/>
  <c r="L94" i="1"/>
  <c r="M94" i="1"/>
  <c r="E95" i="1"/>
  <c r="G95" i="1"/>
  <c r="J95" i="1"/>
  <c r="L95" i="1"/>
  <c r="M95" i="1"/>
  <c r="E96" i="1"/>
  <c r="G96" i="1"/>
  <c r="J96" i="1"/>
  <c r="L96" i="1"/>
  <c r="M96" i="1"/>
  <c r="E97" i="1"/>
  <c r="G97" i="1"/>
  <c r="J97" i="1"/>
  <c r="L97" i="1"/>
  <c r="M97" i="1"/>
  <c r="D98" i="1"/>
  <c r="F98" i="1"/>
  <c r="I98" i="1"/>
  <c r="K98" i="1"/>
  <c r="I99" i="1"/>
  <c r="K99" i="1"/>
  <c r="I100" i="1"/>
  <c r="K100" i="1"/>
  <c r="D101" i="1"/>
  <c r="F101" i="1"/>
  <c r="I101" i="1"/>
  <c r="K101" i="1"/>
  <c r="D103" i="1"/>
  <c r="F103" i="1"/>
  <c r="I103" i="1"/>
  <c r="K103" i="1"/>
  <c r="D104" i="1"/>
  <c r="F104" i="1"/>
  <c r="I104" i="1"/>
  <c r="K104" i="1"/>
  <c r="S6" i="8"/>
  <c r="F7" i="8"/>
  <c r="S8" i="8"/>
  <c r="L9" i="8"/>
  <c r="M9" i="8"/>
  <c r="N9" i="8"/>
  <c r="Q9" i="8"/>
  <c r="R9" i="8"/>
  <c r="S9" i="8"/>
  <c r="L10" i="8"/>
  <c r="M10" i="8"/>
  <c r="N10" i="8"/>
  <c r="Q10" i="8"/>
  <c r="R10" i="8"/>
  <c r="S10" i="8"/>
  <c r="L11" i="8"/>
  <c r="M11" i="8"/>
  <c r="N11" i="8"/>
  <c r="Q11" i="8"/>
  <c r="R11" i="8"/>
  <c r="S11" i="8"/>
  <c r="L12" i="8"/>
  <c r="M12" i="8"/>
  <c r="N12" i="8"/>
  <c r="Q12" i="8"/>
  <c r="R12" i="8"/>
  <c r="S12" i="8"/>
  <c r="D13" i="8"/>
  <c r="E13" i="8"/>
  <c r="F13" i="8"/>
  <c r="L13" i="8"/>
  <c r="M13" i="8"/>
  <c r="N13" i="8"/>
  <c r="Q13" i="8"/>
  <c r="R13" i="8"/>
  <c r="S13" i="8"/>
  <c r="C14" i="8"/>
  <c r="D14" i="8"/>
  <c r="E14" i="8"/>
  <c r="F14" i="8"/>
  <c r="L14" i="8"/>
  <c r="M14" i="8"/>
  <c r="N14" i="8"/>
  <c r="Q14" i="8"/>
  <c r="R14" i="8"/>
  <c r="S14" i="8"/>
  <c r="C15" i="8"/>
  <c r="D15" i="8"/>
  <c r="E15" i="8"/>
  <c r="F15" i="8"/>
  <c r="L15" i="8"/>
  <c r="M15" i="8"/>
  <c r="N15" i="8"/>
  <c r="Q15" i="8"/>
  <c r="R15" i="8"/>
  <c r="S15" i="8"/>
  <c r="C16" i="8"/>
  <c r="D16" i="8"/>
  <c r="E16" i="8"/>
  <c r="F16" i="8"/>
  <c r="L16" i="8"/>
  <c r="M16" i="8"/>
  <c r="N16" i="8"/>
  <c r="Q16" i="8"/>
  <c r="R16" i="8"/>
  <c r="S16" i="8"/>
  <c r="C17" i="8"/>
  <c r="D17" i="8"/>
  <c r="E17" i="8"/>
  <c r="F17" i="8"/>
  <c r="L17" i="8"/>
  <c r="M17" i="8"/>
  <c r="N17" i="8"/>
  <c r="Q17" i="8"/>
  <c r="R17" i="8"/>
  <c r="S17" i="8"/>
  <c r="C18" i="8"/>
  <c r="D18" i="8"/>
  <c r="E18" i="8"/>
  <c r="F18" i="8"/>
  <c r="L18" i="8"/>
  <c r="M18" i="8"/>
  <c r="N18" i="8"/>
  <c r="Q18" i="8"/>
  <c r="R18" i="8"/>
  <c r="S18" i="8"/>
  <c r="C19" i="8"/>
  <c r="D19" i="8"/>
  <c r="E19" i="8"/>
  <c r="F19" i="8"/>
  <c r="L19" i="8"/>
  <c r="M19" i="8"/>
  <c r="N19" i="8"/>
  <c r="Q19" i="8"/>
  <c r="R19" i="8"/>
  <c r="S19" i="8"/>
  <c r="C20" i="8"/>
  <c r="D20" i="8"/>
  <c r="E20" i="8"/>
  <c r="F20" i="8"/>
  <c r="L20" i="8"/>
  <c r="M20" i="8"/>
  <c r="N20" i="8"/>
  <c r="Q20" i="8"/>
  <c r="R20" i="8"/>
  <c r="S20" i="8"/>
  <c r="C21" i="8"/>
  <c r="D21" i="8"/>
  <c r="E21" i="8"/>
  <c r="F21" i="8"/>
  <c r="L21" i="8"/>
  <c r="M21" i="8"/>
  <c r="N21" i="8"/>
  <c r="Q21" i="8"/>
  <c r="R21" i="8"/>
  <c r="S21" i="8"/>
  <c r="C22" i="8"/>
  <c r="D22" i="8"/>
  <c r="E22" i="8"/>
  <c r="F22" i="8"/>
  <c r="L22" i="8"/>
  <c r="M22" i="8"/>
  <c r="N22" i="8"/>
  <c r="Q22" i="8"/>
  <c r="R22" i="8"/>
  <c r="S22" i="8"/>
  <c r="C23" i="8"/>
  <c r="D23" i="8"/>
  <c r="E23" i="8"/>
  <c r="F23" i="8"/>
  <c r="L23" i="8"/>
  <c r="M23" i="8"/>
  <c r="N23" i="8"/>
  <c r="Q23" i="8"/>
  <c r="R23" i="8"/>
  <c r="S23" i="8"/>
  <c r="C24" i="8"/>
  <c r="D24" i="8"/>
  <c r="E24" i="8"/>
  <c r="F24" i="8"/>
  <c r="L24" i="8"/>
  <c r="M24" i="8"/>
  <c r="N24" i="8"/>
  <c r="Q24" i="8"/>
  <c r="R24" i="8"/>
  <c r="S24" i="8"/>
  <c r="C25" i="8"/>
  <c r="D25" i="8"/>
  <c r="E25" i="8"/>
  <c r="F25" i="8"/>
  <c r="L25" i="8"/>
  <c r="M25" i="8"/>
  <c r="N25" i="8"/>
  <c r="Q25" i="8"/>
  <c r="R25" i="8"/>
  <c r="S25" i="8"/>
  <c r="C26" i="8"/>
  <c r="D26" i="8"/>
  <c r="E26" i="8"/>
  <c r="F26" i="8"/>
  <c r="L26" i="8"/>
  <c r="M26" i="8"/>
  <c r="N26" i="8"/>
  <c r="Q26" i="8"/>
  <c r="R26" i="8"/>
  <c r="S26" i="8"/>
  <c r="C27" i="8"/>
  <c r="D27" i="8"/>
  <c r="E27" i="8"/>
  <c r="F27" i="8"/>
  <c r="L27" i="8"/>
  <c r="M27" i="8"/>
  <c r="N27" i="8"/>
  <c r="Q27" i="8"/>
  <c r="R27" i="8"/>
  <c r="S27" i="8"/>
  <c r="C28" i="8"/>
  <c r="D28" i="8"/>
  <c r="E28" i="8"/>
  <c r="F28" i="8"/>
  <c r="L28" i="8"/>
  <c r="M28" i="8"/>
  <c r="N28" i="8"/>
  <c r="Q28" i="8"/>
  <c r="R28" i="8"/>
  <c r="S28" i="8"/>
  <c r="L29" i="8"/>
  <c r="M29" i="8"/>
  <c r="N29" i="8"/>
  <c r="Q29" i="8"/>
  <c r="R29" i="8"/>
  <c r="S29" i="8"/>
  <c r="L30" i="8"/>
  <c r="M30" i="8"/>
  <c r="N30" i="8"/>
  <c r="Q30" i="8"/>
  <c r="R30" i="8"/>
  <c r="S30" i="8"/>
  <c r="L31" i="8"/>
  <c r="M31" i="8"/>
  <c r="N31" i="8"/>
  <c r="Q31" i="8"/>
  <c r="R31" i="8"/>
  <c r="S31" i="8"/>
  <c r="L32" i="8"/>
  <c r="M32" i="8"/>
  <c r="N32" i="8"/>
  <c r="Q32" i="8"/>
  <c r="R32" i="8"/>
  <c r="S32" i="8"/>
  <c r="L33" i="8"/>
  <c r="M33" i="8"/>
  <c r="N33" i="8"/>
  <c r="Q33" i="8"/>
  <c r="R33" i="8"/>
  <c r="S33" i="8"/>
  <c r="L34" i="8"/>
  <c r="M34" i="8"/>
  <c r="N34" i="8"/>
  <c r="Q34" i="8"/>
  <c r="R34" i="8"/>
  <c r="S34" i="8"/>
  <c r="L35" i="8"/>
  <c r="M35" i="8"/>
  <c r="N35" i="8"/>
  <c r="Q35" i="8"/>
  <c r="R35" i="8"/>
  <c r="S35" i="8"/>
  <c r="L36" i="8"/>
  <c r="M36" i="8"/>
  <c r="N36" i="8"/>
  <c r="Q36" i="8"/>
  <c r="R36" i="8"/>
  <c r="S36" i="8"/>
  <c r="L37" i="8"/>
  <c r="M37" i="8"/>
  <c r="N37" i="8"/>
  <c r="Q37" i="8"/>
  <c r="R37" i="8"/>
  <c r="S37" i="8"/>
  <c r="L38" i="8"/>
  <c r="M38" i="8"/>
  <c r="N38" i="8"/>
  <c r="Q38" i="8"/>
  <c r="R38" i="8"/>
  <c r="S38" i="8"/>
  <c r="L39" i="8"/>
  <c r="M39" i="8"/>
  <c r="N39" i="8"/>
  <c r="L40" i="8"/>
  <c r="M40" i="8"/>
  <c r="N40" i="8"/>
  <c r="L41" i="8"/>
  <c r="M41" i="8"/>
  <c r="N41" i="8"/>
  <c r="L42" i="8"/>
  <c r="M42" i="8"/>
  <c r="N42" i="8"/>
  <c r="L43" i="8"/>
  <c r="M43" i="8"/>
  <c r="N43" i="8"/>
  <c r="L44" i="8"/>
  <c r="M44" i="8"/>
  <c r="N44" i="8"/>
  <c r="L45" i="8"/>
  <c r="M45" i="8"/>
  <c r="N45" i="8"/>
  <c r="L46" i="8"/>
  <c r="M46" i="8"/>
  <c r="N46" i="8"/>
  <c r="L47" i="8"/>
  <c r="M47" i="8"/>
  <c r="N47" i="8"/>
  <c r="L48" i="8"/>
  <c r="M48" i="8"/>
  <c r="N48" i="8"/>
  <c r="L49" i="8"/>
  <c r="M49" i="8"/>
  <c r="N49" i="8"/>
  <c r="L50" i="8"/>
  <c r="M50" i="8"/>
  <c r="N50" i="8"/>
  <c r="L51" i="8"/>
  <c r="M51" i="8"/>
  <c r="N51" i="8"/>
  <c r="L52" i="8"/>
  <c r="M52" i="8"/>
  <c r="N52" i="8"/>
  <c r="L53" i="8"/>
  <c r="M53" i="8"/>
  <c r="N53" i="8"/>
  <c r="L54" i="8"/>
  <c r="M54" i="8"/>
  <c r="N54" i="8"/>
  <c r="L55" i="8"/>
  <c r="M55" i="8"/>
  <c r="N55" i="8"/>
  <c r="L56" i="8"/>
  <c r="M56" i="8"/>
  <c r="N56" i="8"/>
  <c r="L57" i="8"/>
  <c r="M57" i="8"/>
  <c r="N57" i="8"/>
  <c r="L58" i="8"/>
  <c r="M58" i="8"/>
  <c r="N58" i="8"/>
  <c r="L59" i="8"/>
  <c r="M59" i="8"/>
  <c r="N59" i="8"/>
  <c r="L60" i="8"/>
  <c r="M60" i="8"/>
  <c r="N60" i="8"/>
  <c r="L61" i="8"/>
  <c r="M61" i="8"/>
  <c r="N61" i="8"/>
  <c r="L62" i="8"/>
  <c r="M62" i="8"/>
  <c r="N62" i="8"/>
  <c r="L63" i="8"/>
  <c r="M63" i="8"/>
  <c r="N63" i="8"/>
  <c r="L64" i="8"/>
  <c r="M64" i="8"/>
  <c r="N64" i="8"/>
  <c r="L65" i="8"/>
  <c r="M65" i="8"/>
  <c r="N65" i="8"/>
  <c r="L66" i="8"/>
  <c r="M66" i="8"/>
  <c r="N66" i="8"/>
  <c r="L67" i="8"/>
  <c r="M67" i="8"/>
  <c r="N67" i="8"/>
  <c r="L68" i="8"/>
  <c r="M68" i="8"/>
  <c r="N68" i="8"/>
  <c r="L69" i="8"/>
  <c r="M69" i="8"/>
  <c r="N69" i="8"/>
  <c r="L70" i="8"/>
  <c r="M70" i="8"/>
  <c r="N70" i="8"/>
  <c r="L71" i="8"/>
  <c r="M71" i="8"/>
  <c r="N71" i="8"/>
  <c r="L72" i="8"/>
  <c r="M72" i="8"/>
  <c r="N72" i="8"/>
  <c r="L73" i="8"/>
  <c r="M73" i="8"/>
  <c r="N73" i="8"/>
  <c r="L74" i="8"/>
  <c r="M74" i="8"/>
  <c r="N74" i="8"/>
  <c r="L75" i="8"/>
  <c r="M75" i="8"/>
  <c r="N75" i="8"/>
  <c r="L76" i="8"/>
  <c r="M76" i="8"/>
  <c r="N76" i="8"/>
  <c r="L77" i="8"/>
  <c r="M77" i="8"/>
  <c r="N77" i="8"/>
  <c r="L78" i="8"/>
  <c r="M78" i="8"/>
  <c r="N78" i="8"/>
  <c r="L79" i="8"/>
  <c r="M79" i="8"/>
  <c r="N79" i="8"/>
  <c r="L80" i="8"/>
  <c r="M80" i="8"/>
  <c r="N80" i="8"/>
  <c r="L81" i="8"/>
  <c r="M81" i="8"/>
  <c r="N81" i="8"/>
  <c r="L82" i="8"/>
  <c r="M82" i="8"/>
  <c r="N82" i="8"/>
  <c r="L83" i="8"/>
  <c r="M83" i="8"/>
  <c r="N83" i="8"/>
  <c r="L84" i="8"/>
  <c r="M84" i="8"/>
  <c r="N84" i="8"/>
  <c r="L85" i="8"/>
  <c r="M85" i="8"/>
  <c r="N85" i="8"/>
  <c r="L86" i="8"/>
  <c r="M86" i="8"/>
  <c r="N86" i="8"/>
  <c r="L87" i="8"/>
  <c r="M87" i="8"/>
  <c r="N87" i="8"/>
  <c r="L88" i="8"/>
  <c r="M88" i="8"/>
  <c r="N88" i="8"/>
  <c r="L89" i="8"/>
  <c r="M89" i="8"/>
  <c r="N89" i="8"/>
  <c r="L90" i="8"/>
  <c r="M90" i="8"/>
  <c r="N90" i="8"/>
  <c r="L91" i="8"/>
  <c r="M91" i="8"/>
  <c r="N91" i="8"/>
  <c r="L92" i="8"/>
  <c r="M92" i="8"/>
  <c r="N92" i="8"/>
  <c r="L93" i="8"/>
  <c r="M93" i="8"/>
  <c r="N93" i="8"/>
  <c r="L94" i="8"/>
  <c r="M94" i="8"/>
  <c r="N94" i="8"/>
  <c r="L95" i="8"/>
  <c r="M95" i="8"/>
  <c r="N95" i="8"/>
  <c r="L96" i="8"/>
  <c r="M96" i="8"/>
  <c r="N96" i="8"/>
  <c r="L97" i="8"/>
  <c r="M97" i="8"/>
  <c r="N97" i="8"/>
  <c r="L98" i="8"/>
  <c r="M98" i="8"/>
  <c r="N98" i="8"/>
  <c r="L99" i="8"/>
  <c r="M99" i="8"/>
  <c r="N99" i="8"/>
  <c r="L100" i="8"/>
  <c r="M100" i="8"/>
  <c r="N100" i="8"/>
  <c r="L101" i="8"/>
  <c r="M101" i="8"/>
  <c r="N101" i="8"/>
  <c r="L102" i="8"/>
  <c r="M102" i="8"/>
  <c r="N102" i="8"/>
  <c r="L103" i="8"/>
  <c r="M103" i="8"/>
  <c r="N103" i="8"/>
  <c r="L104" i="8"/>
  <c r="M104" i="8"/>
  <c r="N104" i="8"/>
  <c r="L105" i="8"/>
  <c r="M105" i="8"/>
  <c r="N105" i="8"/>
  <c r="L106" i="8"/>
  <c r="M106" i="8"/>
  <c r="N106" i="8"/>
  <c r="L107" i="8"/>
  <c r="M107" i="8"/>
  <c r="N107" i="8"/>
  <c r="L108" i="8"/>
  <c r="M108" i="8"/>
  <c r="N108" i="8"/>
  <c r="L109" i="8"/>
  <c r="M109" i="8"/>
  <c r="N109" i="8"/>
  <c r="L110" i="8"/>
  <c r="M110" i="8"/>
  <c r="N110" i="8"/>
  <c r="L111" i="8"/>
  <c r="M111" i="8"/>
  <c r="N111" i="8"/>
  <c r="L112" i="8"/>
  <c r="M112" i="8"/>
  <c r="N112" i="8"/>
  <c r="L113" i="8"/>
  <c r="M113" i="8"/>
  <c r="N113" i="8"/>
  <c r="L114" i="8"/>
  <c r="M114" i="8"/>
  <c r="N114" i="8"/>
  <c r="L115" i="8"/>
  <c r="M115" i="8"/>
  <c r="N115" i="8"/>
  <c r="L116" i="8"/>
  <c r="M116" i="8"/>
  <c r="N116" i="8"/>
  <c r="L117" i="8"/>
  <c r="M117" i="8"/>
  <c r="N117" i="8"/>
  <c r="L118" i="8"/>
  <c r="M118" i="8"/>
  <c r="N118" i="8"/>
  <c r="L119" i="8"/>
  <c r="M119" i="8"/>
  <c r="N119" i="8"/>
  <c r="L120" i="8"/>
  <c r="M120" i="8"/>
  <c r="N120" i="8"/>
  <c r="L121" i="8"/>
  <c r="M121" i="8"/>
  <c r="N121" i="8"/>
  <c r="L122" i="8"/>
  <c r="M122" i="8"/>
  <c r="N122" i="8"/>
  <c r="L123" i="8"/>
  <c r="M123" i="8"/>
  <c r="N123" i="8"/>
  <c r="L124" i="8"/>
  <c r="M124" i="8"/>
  <c r="N124" i="8"/>
  <c r="L125" i="8"/>
  <c r="M125" i="8"/>
  <c r="N125" i="8"/>
  <c r="L126" i="8"/>
  <c r="M126" i="8"/>
  <c r="N126" i="8"/>
  <c r="L127" i="8"/>
  <c r="M127" i="8"/>
  <c r="N127" i="8"/>
  <c r="L128" i="8"/>
  <c r="M128" i="8"/>
  <c r="N128" i="8"/>
  <c r="L129" i="8"/>
  <c r="M129" i="8"/>
  <c r="N129" i="8"/>
  <c r="L130" i="8"/>
  <c r="M130" i="8"/>
  <c r="N130" i="8"/>
  <c r="L131" i="8"/>
  <c r="M131" i="8"/>
  <c r="N131" i="8"/>
  <c r="L132" i="8"/>
  <c r="M132" i="8"/>
  <c r="N132" i="8"/>
  <c r="L133" i="8"/>
  <c r="M133" i="8"/>
  <c r="N133" i="8"/>
  <c r="L134" i="8"/>
  <c r="M134" i="8"/>
  <c r="N134" i="8"/>
  <c r="L135" i="8"/>
  <c r="M135" i="8"/>
  <c r="N135" i="8"/>
  <c r="L136" i="8"/>
  <c r="M136" i="8"/>
  <c r="N136" i="8"/>
  <c r="L137" i="8"/>
  <c r="M137" i="8"/>
  <c r="N137" i="8"/>
  <c r="L138" i="8"/>
  <c r="M138" i="8"/>
  <c r="N138" i="8"/>
  <c r="L139" i="8"/>
  <c r="M139" i="8"/>
  <c r="N139" i="8"/>
  <c r="L140" i="8"/>
  <c r="M140" i="8"/>
  <c r="N140" i="8"/>
  <c r="L141" i="8"/>
  <c r="M141" i="8"/>
  <c r="N141" i="8"/>
  <c r="L142" i="8"/>
  <c r="M142" i="8"/>
  <c r="N142" i="8"/>
  <c r="L143" i="8"/>
  <c r="M143" i="8"/>
  <c r="N143" i="8"/>
  <c r="L144" i="8"/>
  <c r="M144" i="8"/>
  <c r="N144" i="8"/>
  <c r="L145" i="8"/>
  <c r="M145" i="8"/>
  <c r="N145" i="8"/>
  <c r="L146" i="8"/>
  <c r="M146" i="8"/>
  <c r="N146" i="8"/>
  <c r="L147" i="8"/>
  <c r="M147" i="8"/>
  <c r="N147" i="8"/>
  <c r="L148" i="8"/>
  <c r="M148" i="8"/>
  <c r="N148" i="8"/>
  <c r="L149" i="8"/>
  <c r="M149" i="8"/>
  <c r="N149" i="8"/>
  <c r="L150" i="8"/>
  <c r="M150" i="8"/>
  <c r="N150" i="8"/>
  <c r="L151" i="8"/>
  <c r="M151" i="8"/>
  <c r="N151" i="8"/>
  <c r="L152" i="8"/>
  <c r="M152" i="8"/>
  <c r="N152" i="8"/>
  <c r="L153" i="8"/>
  <c r="M153" i="8"/>
  <c r="N153" i="8"/>
  <c r="L154" i="8"/>
  <c r="M154" i="8"/>
  <c r="N154" i="8"/>
  <c r="L155" i="8"/>
  <c r="M155" i="8"/>
  <c r="N155" i="8"/>
  <c r="L156" i="8"/>
  <c r="M156" i="8"/>
  <c r="N156" i="8"/>
  <c r="L157" i="8"/>
  <c r="M157" i="8"/>
  <c r="N157" i="8"/>
  <c r="L158" i="8"/>
  <c r="M158" i="8"/>
  <c r="N158" i="8"/>
  <c r="L159" i="8"/>
  <c r="M159" i="8"/>
  <c r="N159" i="8"/>
  <c r="L160" i="8"/>
  <c r="M160" i="8"/>
  <c r="N160" i="8"/>
  <c r="L161" i="8"/>
  <c r="M161" i="8"/>
  <c r="N161" i="8"/>
  <c r="L162" i="8"/>
  <c r="M162" i="8"/>
  <c r="N162" i="8"/>
  <c r="L163" i="8"/>
  <c r="M163" i="8"/>
  <c r="N163" i="8"/>
  <c r="L164" i="8"/>
  <c r="M164" i="8"/>
  <c r="N164" i="8"/>
  <c r="L165" i="8"/>
  <c r="M165" i="8"/>
  <c r="N165" i="8"/>
  <c r="L166" i="8"/>
  <c r="M166" i="8"/>
  <c r="N166" i="8"/>
  <c r="L167" i="8"/>
  <c r="M167" i="8"/>
  <c r="N167" i="8"/>
  <c r="L168" i="8"/>
  <c r="M168" i="8"/>
  <c r="N168" i="8"/>
  <c r="L169" i="8"/>
  <c r="M169" i="8"/>
  <c r="N169" i="8"/>
  <c r="L170" i="8"/>
  <c r="M170" i="8"/>
  <c r="N170" i="8"/>
  <c r="L171" i="8"/>
  <c r="M171" i="8"/>
  <c r="N171" i="8"/>
  <c r="L172" i="8"/>
  <c r="M172" i="8"/>
  <c r="N172" i="8"/>
  <c r="L173" i="8"/>
  <c r="M173" i="8"/>
  <c r="N173" i="8"/>
  <c r="L174" i="8"/>
  <c r="M174" i="8"/>
  <c r="N174" i="8"/>
  <c r="L175" i="8"/>
  <c r="M175" i="8"/>
  <c r="N175" i="8"/>
  <c r="L176" i="8"/>
  <c r="M176" i="8"/>
  <c r="N176" i="8"/>
  <c r="L177" i="8"/>
  <c r="M177" i="8"/>
  <c r="N177" i="8"/>
  <c r="L178" i="8"/>
  <c r="M178" i="8"/>
  <c r="N178" i="8"/>
  <c r="L179" i="8"/>
  <c r="M179" i="8"/>
  <c r="N179" i="8"/>
  <c r="L180" i="8"/>
  <c r="M180" i="8"/>
  <c r="N180" i="8"/>
  <c r="L181" i="8"/>
  <c r="M181" i="8"/>
  <c r="N181" i="8"/>
  <c r="L182" i="8"/>
  <c r="M182" i="8"/>
  <c r="N182" i="8"/>
  <c r="L183" i="8"/>
  <c r="M183" i="8"/>
  <c r="N183" i="8"/>
  <c r="L184" i="8"/>
  <c r="M184" i="8"/>
  <c r="N184" i="8"/>
  <c r="L185" i="8"/>
  <c r="M185" i="8"/>
  <c r="N185" i="8"/>
  <c r="L186" i="8"/>
  <c r="M186" i="8"/>
  <c r="N186" i="8"/>
  <c r="L187" i="8"/>
  <c r="M187" i="8"/>
  <c r="N187" i="8"/>
  <c r="L188" i="8"/>
  <c r="M188" i="8"/>
  <c r="N188" i="8"/>
  <c r="L189" i="8"/>
  <c r="M189" i="8"/>
  <c r="N189" i="8"/>
  <c r="L190" i="8"/>
  <c r="M190" i="8"/>
  <c r="N190" i="8"/>
  <c r="L191" i="8"/>
  <c r="M191" i="8"/>
  <c r="N191" i="8"/>
  <c r="L192" i="8"/>
  <c r="M192" i="8"/>
  <c r="N192" i="8"/>
  <c r="L193" i="8"/>
  <c r="M193" i="8"/>
  <c r="N193" i="8"/>
  <c r="L194" i="8"/>
  <c r="M194" i="8"/>
  <c r="N194" i="8"/>
  <c r="L195" i="8"/>
  <c r="M195" i="8"/>
  <c r="N195" i="8"/>
  <c r="L196" i="8"/>
  <c r="M196" i="8"/>
  <c r="N196" i="8"/>
  <c r="L197" i="8"/>
  <c r="M197" i="8"/>
  <c r="N197" i="8"/>
  <c r="L198" i="8"/>
  <c r="M198" i="8"/>
  <c r="N198" i="8"/>
  <c r="L199" i="8"/>
  <c r="M199" i="8"/>
  <c r="N199" i="8"/>
  <c r="L200" i="8"/>
  <c r="M200" i="8"/>
  <c r="N200" i="8"/>
  <c r="L201" i="8"/>
  <c r="M201" i="8"/>
  <c r="N201" i="8"/>
  <c r="L202" i="8"/>
  <c r="M202" i="8"/>
  <c r="N202" i="8"/>
  <c r="L203" i="8"/>
  <c r="M203" i="8"/>
  <c r="N203" i="8"/>
  <c r="L204" i="8"/>
  <c r="M204" i="8"/>
  <c r="N204" i="8"/>
  <c r="L205" i="8"/>
  <c r="M205" i="8"/>
  <c r="N205" i="8"/>
  <c r="L206" i="8"/>
  <c r="M206" i="8"/>
  <c r="N206" i="8"/>
  <c r="L207" i="8"/>
  <c r="M207" i="8"/>
  <c r="N207" i="8"/>
  <c r="L208" i="8"/>
  <c r="M208" i="8"/>
  <c r="N208" i="8"/>
  <c r="L209" i="8"/>
  <c r="M209" i="8"/>
  <c r="N209" i="8"/>
  <c r="L210" i="8"/>
  <c r="M210" i="8"/>
  <c r="N210" i="8"/>
  <c r="L211" i="8"/>
  <c r="M211" i="8"/>
  <c r="N211" i="8"/>
  <c r="L212" i="8"/>
  <c r="M212" i="8"/>
  <c r="N212" i="8"/>
  <c r="L213" i="8"/>
  <c r="M213" i="8"/>
  <c r="N213" i="8"/>
  <c r="L214" i="8"/>
  <c r="M214" i="8"/>
  <c r="N214" i="8"/>
  <c r="L215" i="8"/>
  <c r="M215" i="8"/>
  <c r="N215" i="8"/>
  <c r="L216" i="8"/>
  <c r="M216" i="8"/>
  <c r="N216" i="8"/>
  <c r="L217" i="8"/>
  <c r="M217" i="8"/>
  <c r="N217" i="8"/>
  <c r="L218" i="8"/>
  <c r="M218" i="8"/>
  <c r="N218" i="8"/>
  <c r="L219" i="8"/>
  <c r="M219" i="8"/>
  <c r="N219" i="8"/>
  <c r="L220" i="8"/>
  <c r="M220" i="8"/>
  <c r="N220" i="8"/>
  <c r="L221" i="8"/>
  <c r="M221" i="8"/>
  <c r="N221" i="8"/>
  <c r="L222" i="8"/>
  <c r="M222" i="8"/>
  <c r="N222" i="8"/>
  <c r="L223" i="8"/>
  <c r="M223" i="8"/>
  <c r="N223" i="8"/>
  <c r="L224" i="8"/>
  <c r="M224" i="8"/>
  <c r="N224" i="8"/>
  <c r="L225" i="8"/>
  <c r="M225" i="8"/>
  <c r="N225" i="8"/>
  <c r="L226" i="8"/>
  <c r="M226" i="8"/>
  <c r="N226" i="8"/>
  <c r="L227" i="8"/>
  <c r="M227" i="8"/>
  <c r="N227" i="8"/>
  <c r="L228" i="8"/>
  <c r="M228" i="8"/>
  <c r="N228" i="8"/>
  <c r="L229" i="8"/>
  <c r="M229" i="8"/>
  <c r="N229" i="8"/>
  <c r="L230" i="8"/>
  <c r="M230" i="8"/>
  <c r="N230" i="8"/>
  <c r="L231" i="8"/>
  <c r="M231" i="8"/>
  <c r="N231" i="8"/>
  <c r="L232" i="8"/>
  <c r="M232" i="8"/>
  <c r="N232" i="8"/>
  <c r="L233" i="8"/>
  <c r="M233" i="8"/>
  <c r="N233" i="8"/>
  <c r="L234" i="8"/>
  <c r="M234" i="8"/>
  <c r="N234" i="8"/>
  <c r="L235" i="8"/>
  <c r="M235" i="8"/>
  <c r="N235" i="8"/>
  <c r="L236" i="8"/>
  <c r="M236" i="8"/>
  <c r="N236" i="8"/>
  <c r="L237" i="8"/>
  <c r="M237" i="8"/>
  <c r="N237" i="8"/>
  <c r="L238" i="8"/>
  <c r="M238" i="8"/>
  <c r="N238" i="8"/>
  <c r="L239" i="8"/>
  <c r="M239" i="8"/>
  <c r="N239" i="8"/>
  <c r="L240" i="8"/>
  <c r="M240" i="8"/>
  <c r="N240" i="8"/>
  <c r="L241" i="8"/>
  <c r="M241" i="8"/>
  <c r="N241" i="8"/>
  <c r="L242" i="8"/>
  <c r="M242" i="8"/>
  <c r="N242" i="8"/>
  <c r="L243" i="8"/>
  <c r="M243" i="8"/>
  <c r="N243" i="8"/>
  <c r="L244" i="8"/>
  <c r="M244" i="8"/>
  <c r="N244" i="8"/>
  <c r="L245" i="8"/>
  <c r="M245" i="8"/>
  <c r="N245" i="8"/>
  <c r="L246" i="8"/>
  <c r="M246" i="8"/>
  <c r="N246" i="8"/>
  <c r="L247" i="8"/>
  <c r="M247" i="8"/>
  <c r="N247" i="8"/>
  <c r="L248" i="8"/>
  <c r="M248" i="8"/>
  <c r="N248" i="8"/>
  <c r="L249" i="8"/>
  <c r="M249" i="8"/>
  <c r="N249" i="8"/>
  <c r="L250" i="8"/>
  <c r="M250" i="8"/>
  <c r="N250" i="8"/>
  <c r="L251" i="8"/>
  <c r="M251" i="8"/>
  <c r="N251" i="8"/>
  <c r="L252" i="8"/>
  <c r="M252" i="8"/>
  <c r="N252" i="8"/>
  <c r="L253" i="8"/>
  <c r="M253" i="8"/>
  <c r="N253" i="8"/>
  <c r="L254" i="8"/>
  <c r="M254" i="8"/>
  <c r="N254" i="8"/>
  <c r="L255" i="8"/>
  <c r="M255" i="8"/>
  <c r="N255" i="8"/>
  <c r="L256" i="8"/>
  <c r="M256" i="8"/>
  <c r="N256" i="8"/>
  <c r="L257" i="8"/>
  <c r="M257" i="8"/>
  <c r="N257" i="8"/>
  <c r="L258" i="8"/>
  <c r="M258" i="8"/>
  <c r="N258" i="8"/>
  <c r="L259" i="8"/>
  <c r="M259" i="8"/>
  <c r="N259" i="8"/>
  <c r="L260" i="8"/>
  <c r="M260" i="8"/>
  <c r="N260" i="8"/>
  <c r="L261" i="8"/>
  <c r="M261" i="8"/>
  <c r="N261" i="8"/>
  <c r="L262" i="8"/>
  <c r="M262" i="8"/>
  <c r="N262" i="8"/>
  <c r="L263" i="8"/>
  <c r="M263" i="8"/>
  <c r="N263" i="8"/>
  <c r="L264" i="8"/>
  <c r="M264" i="8"/>
  <c r="N264" i="8"/>
  <c r="L265" i="8"/>
  <c r="M265" i="8"/>
  <c r="N265" i="8"/>
  <c r="L266" i="8"/>
  <c r="M266" i="8"/>
  <c r="N266" i="8"/>
  <c r="L267" i="8"/>
  <c r="M267" i="8"/>
  <c r="N267" i="8"/>
  <c r="L268" i="8"/>
  <c r="M268" i="8"/>
  <c r="N268" i="8"/>
  <c r="L269" i="8"/>
  <c r="M269" i="8"/>
  <c r="N269" i="8"/>
  <c r="L270" i="8"/>
  <c r="M270" i="8"/>
  <c r="N270" i="8"/>
  <c r="L271" i="8"/>
  <c r="M271" i="8"/>
  <c r="N271" i="8"/>
  <c r="L272" i="8"/>
  <c r="M272" i="8"/>
  <c r="N272" i="8"/>
  <c r="L273" i="8"/>
  <c r="M273" i="8"/>
  <c r="N273" i="8"/>
  <c r="L274" i="8"/>
  <c r="M274" i="8"/>
  <c r="N274" i="8"/>
  <c r="L275" i="8"/>
  <c r="M275" i="8"/>
  <c r="N275" i="8"/>
  <c r="L276" i="8"/>
  <c r="M276" i="8"/>
  <c r="N276" i="8"/>
  <c r="L277" i="8"/>
  <c r="M277" i="8"/>
  <c r="N277" i="8"/>
  <c r="L278" i="8"/>
  <c r="M278" i="8"/>
  <c r="N278" i="8"/>
  <c r="L279" i="8"/>
  <c r="M279" i="8"/>
  <c r="N279" i="8"/>
  <c r="L280" i="8"/>
  <c r="M280" i="8"/>
  <c r="N280" i="8"/>
  <c r="L281" i="8"/>
  <c r="M281" i="8"/>
  <c r="N281" i="8"/>
  <c r="L282" i="8"/>
  <c r="M282" i="8"/>
  <c r="N282" i="8"/>
  <c r="L283" i="8"/>
  <c r="M283" i="8"/>
  <c r="N283" i="8"/>
  <c r="L284" i="8"/>
  <c r="M284" i="8"/>
  <c r="N284" i="8"/>
  <c r="L285" i="8"/>
  <c r="M285" i="8"/>
  <c r="N285" i="8"/>
  <c r="L286" i="8"/>
  <c r="M286" i="8"/>
  <c r="N286" i="8"/>
  <c r="L287" i="8"/>
  <c r="M287" i="8"/>
  <c r="N287" i="8"/>
  <c r="L288" i="8"/>
  <c r="M288" i="8"/>
  <c r="N288" i="8"/>
  <c r="L289" i="8"/>
  <c r="M289" i="8"/>
  <c r="N289" i="8"/>
  <c r="L290" i="8"/>
  <c r="M290" i="8"/>
  <c r="N290" i="8"/>
  <c r="L291" i="8"/>
  <c r="M291" i="8"/>
  <c r="N291" i="8"/>
  <c r="L292" i="8"/>
  <c r="M292" i="8"/>
  <c r="N292" i="8"/>
  <c r="L293" i="8"/>
  <c r="M293" i="8"/>
  <c r="N293" i="8"/>
  <c r="L294" i="8"/>
  <c r="M294" i="8"/>
  <c r="N294" i="8"/>
  <c r="L295" i="8"/>
  <c r="M295" i="8"/>
  <c r="N295" i="8"/>
  <c r="L296" i="8"/>
  <c r="M296" i="8"/>
  <c r="N296" i="8"/>
  <c r="L297" i="8"/>
  <c r="M297" i="8"/>
  <c r="N297" i="8"/>
  <c r="L298" i="8"/>
  <c r="M298" i="8"/>
  <c r="N298" i="8"/>
  <c r="L299" i="8"/>
  <c r="M299" i="8"/>
  <c r="N299" i="8"/>
  <c r="L300" i="8"/>
  <c r="M300" i="8"/>
  <c r="N300" i="8"/>
  <c r="L301" i="8"/>
  <c r="M301" i="8"/>
  <c r="N301" i="8"/>
  <c r="L302" i="8"/>
  <c r="M302" i="8"/>
  <c r="N302" i="8"/>
  <c r="L303" i="8"/>
  <c r="M303" i="8"/>
  <c r="N303" i="8"/>
  <c r="L304" i="8"/>
  <c r="M304" i="8"/>
  <c r="N304" i="8"/>
  <c r="L305" i="8"/>
  <c r="M305" i="8"/>
  <c r="N305" i="8"/>
  <c r="L306" i="8"/>
  <c r="M306" i="8"/>
  <c r="N306" i="8"/>
  <c r="L307" i="8"/>
  <c r="M307" i="8"/>
  <c r="N307" i="8"/>
  <c r="L308" i="8"/>
  <c r="M308" i="8"/>
  <c r="N308" i="8"/>
  <c r="L309" i="8"/>
  <c r="M309" i="8"/>
  <c r="N309" i="8"/>
  <c r="L310" i="8"/>
  <c r="M310" i="8"/>
  <c r="N310" i="8"/>
  <c r="L311" i="8"/>
  <c r="M311" i="8"/>
  <c r="N311" i="8"/>
  <c r="L312" i="8"/>
  <c r="M312" i="8"/>
  <c r="N312" i="8"/>
  <c r="L313" i="8"/>
  <c r="M313" i="8"/>
  <c r="N313" i="8"/>
  <c r="L314" i="8"/>
  <c r="M314" i="8"/>
  <c r="N314" i="8"/>
  <c r="L315" i="8"/>
  <c r="M315" i="8"/>
  <c r="N315" i="8"/>
  <c r="L316" i="8"/>
  <c r="M316" i="8"/>
  <c r="N316" i="8"/>
  <c r="L317" i="8"/>
  <c r="M317" i="8"/>
  <c r="N317" i="8"/>
  <c r="L318" i="8"/>
  <c r="M318" i="8"/>
  <c r="N318" i="8"/>
  <c r="L319" i="8"/>
  <c r="M319" i="8"/>
  <c r="N319" i="8"/>
  <c r="L320" i="8"/>
  <c r="M320" i="8"/>
  <c r="N320" i="8"/>
  <c r="L321" i="8"/>
  <c r="M321" i="8"/>
  <c r="N321" i="8"/>
  <c r="L322" i="8"/>
  <c r="M322" i="8"/>
  <c r="N322" i="8"/>
  <c r="L323" i="8"/>
  <c r="M323" i="8"/>
  <c r="N323" i="8"/>
  <c r="L324" i="8"/>
  <c r="M324" i="8"/>
  <c r="N324" i="8"/>
  <c r="L325" i="8"/>
  <c r="M325" i="8"/>
  <c r="N325" i="8"/>
  <c r="L326" i="8"/>
  <c r="M326" i="8"/>
  <c r="N326" i="8"/>
  <c r="L327" i="8"/>
  <c r="M327" i="8"/>
  <c r="N327" i="8"/>
  <c r="L328" i="8"/>
  <c r="M328" i="8"/>
  <c r="N328" i="8"/>
  <c r="L329" i="8"/>
  <c r="M329" i="8"/>
  <c r="N329" i="8"/>
  <c r="L330" i="8"/>
  <c r="M330" i="8"/>
  <c r="N330" i="8"/>
  <c r="L331" i="8"/>
  <c r="M331" i="8"/>
  <c r="N331" i="8"/>
  <c r="L332" i="8"/>
  <c r="M332" i="8"/>
  <c r="N332" i="8"/>
  <c r="L333" i="8"/>
  <c r="M333" i="8"/>
  <c r="N333" i="8"/>
  <c r="L334" i="8"/>
  <c r="M334" i="8"/>
  <c r="N334" i="8"/>
  <c r="L335" i="8"/>
  <c r="M335" i="8"/>
  <c r="N335" i="8"/>
  <c r="L336" i="8"/>
  <c r="M336" i="8"/>
  <c r="N336" i="8"/>
  <c r="L337" i="8"/>
  <c r="M337" i="8"/>
  <c r="N337" i="8"/>
  <c r="L338" i="8"/>
  <c r="M338" i="8"/>
  <c r="N338" i="8"/>
  <c r="L339" i="8"/>
  <c r="M339" i="8"/>
  <c r="N339" i="8"/>
  <c r="L340" i="8"/>
  <c r="M340" i="8"/>
  <c r="N340" i="8"/>
  <c r="L341" i="8"/>
  <c r="M341" i="8"/>
  <c r="N341" i="8"/>
  <c r="L342" i="8"/>
  <c r="M342" i="8"/>
  <c r="N342" i="8"/>
  <c r="L343" i="8"/>
  <c r="M343" i="8"/>
  <c r="N343" i="8"/>
  <c r="L344" i="8"/>
  <c r="M344" i="8"/>
  <c r="N344" i="8"/>
  <c r="L345" i="8"/>
  <c r="M345" i="8"/>
  <c r="N345" i="8"/>
  <c r="L346" i="8"/>
  <c r="M346" i="8"/>
  <c r="N346" i="8"/>
  <c r="L347" i="8"/>
  <c r="M347" i="8"/>
  <c r="N347" i="8"/>
  <c r="L348" i="8"/>
  <c r="M348" i="8"/>
  <c r="N348" i="8"/>
  <c r="L349" i="8"/>
  <c r="M349" i="8"/>
  <c r="N349" i="8"/>
  <c r="L350" i="8"/>
  <c r="M350" i="8"/>
  <c r="N350" i="8"/>
  <c r="L351" i="8"/>
  <c r="M351" i="8"/>
  <c r="N351" i="8"/>
  <c r="L352" i="8"/>
  <c r="M352" i="8"/>
  <c r="N352" i="8"/>
  <c r="L353" i="8"/>
  <c r="M353" i="8"/>
  <c r="N353" i="8"/>
  <c r="L354" i="8"/>
  <c r="M354" i="8"/>
  <c r="N354" i="8"/>
  <c r="L355" i="8"/>
  <c r="M355" i="8"/>
  <c r="N355" i="8"/>
  <c r="L356" i="8"/>
  <c r="M356" i="8"/>
  <c r="N356" i="8"/>
  <c r="L357" i="8"/>
  <c r="M357" i="8"/>
  <c r="N357" i="8"/>
  <c r="L358" i="8"/>
  <c r="M358" i="8"/>
  <c r="N358" i="8"/>
  <c r="L359" i="8"/>
  <c r="M359" i="8"/>
  <c r="N359" i="8"/>
  <c r="L360" i="8"/>
  <c r="M360" i="8"/>
  <c r="N360" i="8"/>
  <c r="L361" i="8"/>
  <c r="M361" i="8"/>
  <c r="N361" i="8"/>
  <c r="L362" i="8"/>
  <c r="M362" i="8"/>
  <c r="N362" i="8"/>
  <c r="L363" i="8"/>
  <c r="M363" i="8"/>
  <c r="N363" i="8"/>
  <c r="L364" i="8"/>
  <c r="M364" i="8"/>
  <c r="N364" i="8"/>
  <c r="L365" i="8"/>
  <c r="M365" i="8"/>
  <c r="N365" i="8"/>
  <c r="L366" i="8"/>
  <c r="M366" i="8"/>
  <c r="N366" i="8"/>
  <c r="L367" i="8"/>
  <c r="M367" i="8"/>
  <c r="N367" i="8"/>
  <c r="L368" i="8"/>
  <c r="M368" i="8"/>
  <c r="N368" i="8"/>
  <c r="E8" i="2"/>
  <c r="F8" i="2"/>
  <c r="G8" i="2"/>
  <c r="H8" i="2"/>
  <c r="E9" i="2"/>
  <c r="F9" i="2"/>
  <c r="G9" i="2"/>
  <c r="H9" i="2"/>
  <c r="E10" i="2"/>
  <c r="F10" i="2"/>
  <c r="G10" i="2"/>
  <c r="H10" i="2"/>
  <c r="B12" i="2"/>
  <c r="E12" i="2"/>
  <c r="F12" i="2"/>
  <c r="G12" i="2"/>
  <c r="H12" i="2"/>
  <c r="B14" i="2"/>
  <c r="E14" i="2"/>
  <c r="F14" i="2"/>
  <c r="G14" i="2"/>
  <c r="H14" i="2"/>
  <c r="C15" i="2"/>
  <c r="E42" i="2"/>
  <c r="E4" i="3"/>
  <c r="I4" i="3"/>
  <c r="K4" i="3"/>
  <c r="E7" i="3"/>
  <c r="I7" i="3"/>
  <c r="K7" i="3"/>
  <c r="I10" i="3"/>
  <c r="K10" i="3"/>
  <c r="I13" i="3"/>
  <c r="K13" i="3"/>
  <c r="E16" i="3"/>
  <c r="I16" i="3"/>
  <c r="K16" i="3"/>
  <c r="E19" i="3"/>
  <c r="I19" i="3"/>
  <c r="K19" i="3"/>
  <c r="I22" i="3"/>
  <c r="K22" i="3"/>
  <c r="I25" i="3"/>
  <c r="K25" i="3"/>
  <c r="I28" i="3"/>
  <c r="K28" i="3"/>
  <c r="I31" i="3"/>
  <c r="K31" i="3"/>
  <c r="I34" i="3"/>
  <c r="K34" i="3"/>
  <c r="M34" i="3"/>
  <c r="M35" i="3"/>
  <c r="I37" i="3"/>
  <c r="K37" i="3"/>
  <c r="I39" i="3"/>
  <c r="B65" i="3"/>
  <c r="C65" i="3"/>
  <c r="D65" i="3"/>
  <c r="E65" i="3"/>
  <c r="F65" i="3"/>
  <c r="G65" i="3"/>
  <c r="H65" i="3"/>
  <c r="I65" i="3"/>
  <c r="J65" i="3"/>
  <c r="K65" i="3"/>
  <c r="L65" i="3"/>
  <c r="M65" i="3"/>
  <c r="B4" i="4"/>
  <c r="C4" i="4"/>
  <c r="D4" i="4"/>
  <c r="E4" i="4"/>
  <c r="F4" i="4"/>
  <c r="G4" i="4"/>
  <c r="H4" i="4"/>
  <c r="I4" i="4"/>
  <c r="J4" i="4"/>
  <c r="K4" i="4"/>
  <c r="B6" i="4"/>
  <c r="C6" i="4"/>
  <c r="D6" i="4"/>
  <c r="E6" i="4"/>
  <c r="F6" i="4"/>
  <c r="G6" i="4"/>
  <c r="H6" i="4"/>
  <c r="I6" i="4"/>
  <c r="J6" i="4"/>
  <c r="K6" i="4"/>
  <c r="B7" i="4"/>
  <c r="C7" i="4"/>
  <c r="D7" i="4"/>
  <c r="E7" i="4"/>
  <c r="F7" i="4"/>
  <c r="G7" i="4"/>
  <c r="H7" i="4"/>
  <c r="I7" i="4"/>
  <c r="J7" i="4"/>
  <c r="K7" i="4"/>
  <c r="C13" i="4"/>
  <c r="D13" i="4"/>
  <c r="E13" i="4"/>
  <c r="F13" i="4"/>
  <c r="G13" i="4"/>
  <c r="H13" i="4"/>
  <c r="C16" i="4"/>
  <c r="D16" i="4"/>
  <c r="E16" i="4"/>
  <c r="F16" i="4"/>
  <c r="G16" i="4"/>
  <c r="H16" i="4"/>
  <c r="C17" i="4"/>
  <c r="D17" i="4"/>
  <c r="E17" i="4"/>
  <c r="F17" i="4"/>
  <c r="G17" i="4"/>
  <c r="H17" i="4"/>
  <c r="C18" i="4"/>
  <c r="D18" i="4"/>
  <c r="E18" i="4"/>
  <c r="F18" i="4"/>
  <c r="G18" i="4"/>
  <c r="H18" i="4"/>
  <c r="C19" i="4"/>
  <c r="D19" i="4"/>
  <c r="E19" i="4"/>
  <c r="F19" i="4"/>
  <c r="G19" i="4"/>
  <c r="H19" i="4"/>
  <c r="C20" i="4"/>
  <c r="D20" i="4"/>
  <c r="E20" i="4"/>
  <c r="F20" i="4"/>
  <c r="G20" i="4"/>
  <c r="H20" i="4"/>
  <c r="C21" i="4"/>
  <c r="D21" i="4"/>
  <c r="E21" i="4"/>
  <c r="F21" i="4"/>
  <c r="G21" i="4"/>
  <c r="H21" i="4"/>
  <c r="C22" i="4"/>
  <c r="D22" i="4"/>
  <c r="E22" i="4"/>
  <c r="F22" i="4"/>
  <c r="G22" i="4"/>
  <c r="H22" i="4"/>
  <c r="C23" i="4"/>
  <c r="D23" i="4"/>
  <c r="E23" i="4"/>
  <c r="F23" i="4"/>
  <c r="G23" i="4"/>
  <c r="H23" i="4"/>
  <c r="C24" i="4"/>
  <c r="D24" i="4"/>
  <c r="E24" i="4"/>
  <c r="F24" i="4"/>
  <c r="G24" i="4"/>
  <c r="H24" i="4"/>
  <c r="C25" i="4"/>
  <c r="D25" i="4"/>
  <c r="E25" i="4"/>
  <c r="F25" i="4"/>
  <c r="G25" i="4"/>
  <c r="H25" i="4"/>
  <c r="C31" i="4"/>
  <c r="D31" i="4"/>
  <c r="E31" i="4"/>
  <c r="F31" i="4"/>
  <c r="G31" i="4"/>
  <c r="H31" i="4"/>
  <c r="I31" i="4"/>
  <c r="J31" i="4"/>
  <c r="K31" i="4"/>
  <c r="B33" i="4"/>
  <c r="C33" i="4"/>
  <c r="D33" i="4"/>
  <c r="E33" i="4"/>
  <c r="F33" i="4"/>
  <c r="G33" i="4"/>
  <c r="H33" i="4"/>
  <c r="I33" i="4"/>
  <c r="J33" i="4"/>
  <c r="K33" i="4"/>
  <c r="B34" i="4"/>
  <c r="C34" i="4"/>
  <c r="D34" i="4"/>
  <c r="E34" i="4"/>
  <c r="F34" i="4"/>
  <c r="G34" i="4"/>
  <c r="H34" i="4"/>
  <c r="I34" i="4"/>
  <c r="J34" i="4"/>
  <c r="K34" i="4"/>
  <c r="C40" i="4"/>
  <c r="D40" i="4"/>
  <c r="E40" i="4"/>
  <c r="F40" i="4"/>
  <c r="G40" i="4"/>
  <c r="H40" i="4"/>
  <c r="I40" i="4"/>
  <c r="J40" i="4"/>
  <c r="K40" i="4"/>
  <c r="L40" i="4"/>
  <c r="P40" i="4"/>
  <c r="C41" i="4"/>
  <c r="D41" i="4"/>
  <c r="E41" i="4"/>
  <c r="F41" i="4"/>
  <c r="G41" i="4"/>
  <c r="H41" i="4"/>
  <c r="I41" i="4"/>
  <c r="J41" i="4"/>
  <c r="K41" i="4"/>
  <c r="L41" i="4"/>
  <c r="C42" i="4"/>
  <c r="D42" i="4"/>
  <c r="E42" i="4"/>
  <c r="F42" i="4"/>
  <c r="G42" i="4"/>
  <c r="H42" i="4"/>
  <c r="I42" i="4"/>
  <c r="J42" i="4"/>
  <c r="K42" i="4"/>
  <c r="L42" i="4"/>
  <c r="D43" i="4"/>
  <c r="E43" i="4"/>
  <c r="F43" i="4"/>
  <c r="G43" i="4"/>
  <c r="H43" i="4"/>
  <c r="I43" i="4"/>
  <c r="J43" i="4"/>
  <c r="K43" i="4"/>
  <c r="L43" i="4"/>
  <c r="C44" i="4"/>
  <c r="D44" i="4"/>
  <c r="E44" i="4"/>
  <c r="F44" i="4"/>
  <c r="G44" i="4"/>
  <c r="H44" i="4"/>
  <c r="I44" i="4"/>
  <c r="J44" i="4"/>
  <c r="K44" i="4"/>
  <c r="L44" i="4"/>
  <c r="C45" i="4"/>
  <c r="D45" i="4"/>
  <c r="E45" i="4"/>
  <c r="F45" i="4"/>
  <c r="G45" i="4"/>
  <c r="H45" i="4"/>
  <c r="I45" i="4"/>
  <c r="J45" i="4"/>
  <c r="K45" i="4"/>
  <c r="L45" i="4"/>
  <c r="P45" i="4"/>
  <c r="P47" i="4"/>
  <c r="P48" i="4"/>
  <c r="B53" i="4"/>
  <c r="C53" i="4"/>
  <c r="D53" i="4"/>
  <c r="E53" i="4"/>
  <c r="F53" i="4"/>
  <c r="G53" i="4"/>
  <c r="H53" i="4"/>
  <c r="I53" i="4"/>
  <c r="J53" i="4"/>
  <c r="K53" i="4"/>
  <c r="C54" i="4"/>
  <c r="D54" i="4"/>
  <c r="E54" i="4"/>
  <c r="F54" i="4"/>
  <c r="G54" i="4"/>
  <c r="H54" i="4"/>
  <c r="I54" i="4"/>
  <c r="J54" i="4"/>
  <c r="K54" i="4"/>
  <c r="B56" i="4"/>
  <c r="C56" i="4"/>
  <c r="D56" i="4"/>
  <c r="E56" i="4"/>
  <c r="F56" i="4"/>
  <c r="G56" i="4"/>
  <c r="H56" i="4"/>
  <c r="I56" i="4"/>
  <c r="J56" i="4"/>
  <c r="K56" i="4"/>
  <c r="C57" i="4"/>
  <c r="D57" i="4"/>
  <c r="E57" i="4"/>
  <c r="F57" i="4"/>
  <c r="G57" i="4"/>
  <c r="H57" i="4"/>
  <c r="I57" i="4"/>
  <c r="J57" i="4"/>
  <c r="K57" i="4"/>
  <c r="C59" i="4"/>
  <c r="D59" i="4"/>
  <c r="E59" i="4"/>
  <c r="F59" i="4"/>
  <c r="G59" i="4"/>
  <c r="H59" i="4"/>
  <c r="I59" i="4"/>
  <c r="J59" i="4"/>
  <c r="K59" i="4"/>
  <c r="D64" i="4"/>
  <c r="D66" i="4"/>
  <c r="D68" i="4"/>
  <c r="D70" i="4"/>
  <c r="D72" i="4"/>
  <c r="D74" i="4"/>
  <c r="D76" i="4"/>
  <c r="D5" i="5"/>
  <c r="D6" i="5"/>
  <c r="I6" i="5"/>
  <c r="D7" i="5"/>
  <c r="I7" i="5"/>
  <c r="D10" i="5"/>
  <c r="I10" i="5"/>
  <c r="M10" i="5"/>
  <c r="I11" i="5"/>
  <c r="D12" i="5"/>
  <c r="I12" i="5"/>
  <c r="I13" i="5"/>
  <c r="D14" i="5"/>
  <c r="D15" i="5"/>
  <c r="I15" i="5"/>
  <c r="I16" i="5"/>
  <c r="I17" i="5"/>
  <c r="D19" i="5"/>
  <c r="D20" i="5"/>
  <c r="D23" i="5"/>
  <c r="D24" i="5"/>
  <c r="D27" i="5"/>
  <c r="C30" i="5"/>
  <c r="D30" i="5"/>
  <c r="E22" i="6"/>
</calcChain>
</file>

<file path=xl/sharedStrings.xml><?xml version="1.0" encoding="utf-8"?>
<sst xmlns="http://schemas.openxmlformats.org/spreadsheetml/2006/main" count="508" uniqueCount="357">
  <si>
    <t>DESCRIPTION OF ITEM</t>
  </si>
  <si>
    <t>UNIT</t>
  </si>
  <si>
    <t>QTY</t>
  </si>
  <si>
    <t>HOURS</t>
  </si>
  <si>
    <t>TOTAL</t>
  </si>
  <si>
    <t>ENGINEERING</t>
  </si>
  <si>
    <t xml:space="preserve">NEPCO ENGINEERING </t>
  </si>
  <si>
    <t>ENGINEERED EQUIPMENT</t>
  </si>
  <si>
    <t>ELECTRICAL EQUIP</t>
  </si>
  <si>
    <t>DCS,CEMS,INST,VLVS</t>
  </si>
  <si>
    <t>HRSG</t>
  </si>
  <si>
    <t>GTG LM-6000</t>
  </si>
  <si>
    <t>STG</t>
  </si>
  <si>
    <t>CHILLERS</t>
  </si>
  <si>
    <t>GAS COMPRESSORS</t>
  </si>
  <si>
    <t>FUEL GAS HEATERS</t>
  </si>
  <si>
    <t>FUEL GAS FILTERS</t>
  </si>
  <si>
    <t>ODORANT SKID</t>
  </si>
  <si>
    <t>PUMPS/MOTORS</t>
  </si>
  <si>
    <t>TANKS/VESSELS</t>
  </si>
  <si>
    <t>CHEMICAL FEEDS SKID</t>
  </si>
  <si>
    <t>AIR COMPRESSOR SKID</t>
  </si>
  <si>
    <t>STACK</t>
  </si>
  <si>
    <t>DIESEL GENERATOR -250KW</t>
  </si>
  <si>
    <t>FREIGHT &amp; HEAVY HAUL</t>
  </si>
  <si>
    <t>TOTAL ENGINEERED EQUIPMENT</t>
  </si>
  <si>
    <t>CONSTRUCTION</t>
  </si>
  <si>
    <t>DIRECT COSTS</t>
  </si>
  <si>
    <t>SITE WORK</t>
  </si>
  <si>
    <t>U/G ELECTRICAL</t>
  </si>
  <si>
    <t>U/G PIPING</t>
  </si>
  <si>
    <t>CONCRETE &amp; GROUT</t>
  </si>
  <si>
    <t>STRUCTURAL STEEL</t>
  </si>
  <si>
    <t>ARCHITECTURAL</t>
  </si>
  <si>
    <t>BUILDINGS</t>
  </si>
  <si>
    <t>A/G PIPING</t>
  </si>
  <si>
    <t>A/G ELECTRICAL</t>
  </si>
  <si>
    <t>INSTRUMENTATION</t>
  </si>
  <si>
    <t>INSULATION - MECH</t>
  </si>
  <si>
    <t>PAINTING</t>
  </si>
  <si>
    <t>GTG</t>
  </si>
  <si>
    <t>OTHER EQUIPMENT</t>
  </si>
  <si>
    <t>PRODUCTIVITY LOSS</t>
  </si>
  <si>
    <t>PER DIEM</t>
  </si>
  <si>
    <t>CONSTR BURDENS</t>
  </si>
  <si>
    <t>TOTAL DIRECT COSTS</t>
  </si>
  <si>
    <t>INDIRECT COSTS</t>
  </si>
  <si>
    <t>PROJECT STAFF</t>
  </si>
  <si>
    <t>CONSTR EQUIPMENT</t>
  </si>
  <si>
    <t>SM TOOLS/CONSUM</t>
  </si>
  <si>
    <t>GEN'L COND - OTHER</t>
  </si>
  <si>
    <t>INDIRECT LABOR</t>
  </si>
  <si>
    <t>TOTAL INDIRECT COSTS</t>
  </si>
  <si>
    <t>TOTAL CONSTRUCTION</t>
  </si>
  <si>
    <t>START UP</t>
  </si>
  <si>
    <t>MANUALS &amp; TRAINING</t>
  </si>
  <si>
    <t>TOTAL START UP</t>
  </si>
  <si>
    <t>OTHER COSTS</t>
  </si>
  <si>
    <t>HOME OFFICE</t>
  </si>
  <si>
    <t>WARRANTY</t>
  </si>
  <si>
    <t>OVERHEAD</t>
  </si>
  <si>
    <t>TOTAL OTHER COSTS</t>
  </si>
  <si>
    <t>TOTAL PROJECT COST</t>
  </si>
  <si>
    <t>MARGIN</t>
  </si>
  <si>
    <t>CONTINGENCY</t>
  </si>
  <si>
    <t>FIXED G&amp;A</t>
  </si>
  <si>
    <t>PROFIT</t>
  </si>
  <si>
    <t>TOTAL MARGIN</t>
  </si>
  <si>
    <t>ROCKY MOUNT, NORTH CAROLINA</t>
  </si>
  <si>
    <t xml:space="preserve">LOCATION:     </t>
  </si>
  <si>
    <t xml:space="preserve">PROJECT:     </t>
  </si>
  <si>
    <t>NEPCO TOTAL PROJECT COST WITH MARGIN</t>
  </si>
  <si>
    <t>TURBINE</t>
  </si>
  <si>
    <t>BOP</t>
  </si>
  <si>
    <t>BLACK START</t>
  </si>
  <si>
    <t>DUAL FUEL</t>
  </si>
  <si>
    <t>PIPELINE</t>
  </si>
  <si>
    <t>SCR</t>
  </si>
  <si>
    <t>POWER INTERCONNECTION</t>
  </si>
  <si>
    <t>EACH</t>
  </si>
  <si>
    <t>PIPELINE $/MILE</t>
  </si>
  <si>
    <t>COMPRESSION</t>
  </si>
  <si>
    <t>MILES</t>
  </si>
  <si>
    <t>QTY TURBINES</t>
  </si>
  <si>
    <t>SIZE</t>
  </si>
  <si>
    <t>SIZE (IN.)</t>
  </si>
  <si>
    <t>DEMIN WATER</t>
  </si>
  <si>
    <t>$/KW</t>
  </si>
  <si>
    <t>KV</t>
  </si>
  <si>
    <t>INTERCONNECT</t>
  </si>
  <si>
    <t>YES</t>
  </si>
  <si>
    <t>ADJ.</t>
  </si>
  <si>
    <t>UNION ?</t>
  </si>
  <si>
    <t>UNION PREMIUM</t>
  </si>
  <si>
    <t>FOR 1 TURBINE</t>
  </si>
  <si>
    <t>DEMIN</t>
  </si>
  <si>
    <t>TOTAL EPC PROJECT COST</t>
  </si>
  <si>
    <t>TOTAL ENGINEERING, PROCUREMENT AND CONSTRUCTION</t>
  </si>
  <si>
    <t>$000</t>
  </si>
  <si>
    <t>TERM</t>
  </si>
  <si>
    <t>CONSTRUCTION PERIOD</t>
  </si>
  <si>
    <t>EQUITY</t>
  </si>
  <si>
    <t>DEBT ISSUANCE</t>
  </si>
  <si>
    <t>INTEREST DURING CONSTRUCTION</t>
  </si>
  <si>
    <t>BOND FEES %</t>
  </si>
  <si>
    <t>BOND ISSUANCE CHARGE</t>
  </si>
  <si>
    <t>MONTH</t>
  </si>
  <si>
    <t>IPMT</t>
  </si>
  <si>
    <t>PPMT</t>
  </si>
  <si>
    <t>ANNUAL DEBT SERVICE</t>
  </si>
  <si>
    <t>INTEREST RATE - MO. COMP.</t>
  </si>
  <si>
    <t>CAPACITY AND HEAT RATE</t>
  </si>
  <si>
    <t>FIXED O&amp;M</t>
  </si>
  <si>
    <t>RAMP UP TIME</t>
  </si>
  <si>
    <t>RAMP DOWN TIME</t>
  </si>
  <si>
    <t>TIME BEFORE RESTART</t>
  </si>
  <si>
    <t>SPARE PARTS</t>
  </si>
  <si>
    <t>SPARE</t>
  </si>
  <si>
    <t>PARTS</t>
  </si>
  <si>
    <t>EQUITY CONTRIBUTION</t>
  </si>
  <si>
    <t>PROJECT SUMMARY</t>
  </si>
  <si>
    <t>EXPECTED RUN HOURS</t>
  </si>
  <si>
    <t>VALUATION CAPACITY</t>
  </si>
  <si>
    <t>NET PLANT HEAT RATE</t>
  </si>
  <si>
    <t>NET PLANT CAPACITY</t>
  </si>
  <si>
    <t>WATER</t>
  </si>
  <si>
    <t>MAJOR MAINT ACCRUAL</t>
  </si>
  <si>
    <t>$/MWh</t>
  </si>
  <si>
    <t>VARIABLE O&amp;M</t>
  </si>
  <si>
    <t xml:space="preserve">  Per Year</t>
  </si>
  <si>
    <t xml:space="preserve">  MW</t>
  </si>
  <si>
    <t xml:space="preserve">  Btu/kWh</t>
  </si>
  <si>
    <t xml:space="preserve">  '$(000)</t>
  </si>
  <si>
    <t xml:space="preserve">  MONTHS</t>
  </si>
  <si>
    <t xml:space="preserve">  %</t>
  </si>
  <si>
    <t xml:space="preserve">  Years</t>
  </si>
  <si>
    <t xml:space="preserve">  Kw-month</t>
  </si>
  <si>
    <t xml:space="preserve">  VALUATION BASIS</t>
  </si>
  <si>
    <t xml:space="preserve">  USES OF FUNDS</t>
  </si>
  <si>
    <t>INCREASE</t>
  </si>
  <si>
    <t xml:space="preserve">ISO  </t>
  </si>
  <si>
    <t xml:space="preserve">95*  </t>
  </si>
  <si>
    <t xml:space="preserve">  SOURCES OF FUNDS</t>
  </si>
  <si>
    <t>DEBT SERVICE AMORTIZATION</t>
  </si>
  <si>
    <t>TURBINE DELIVERY SCHEDULE</t>
  </si>
  <si>
    <t>14-15</t>
  </si>
  <si>
    <t>16-18</t>
  </si>
  <si>
    <t>19-20</t>
  </si>
  <si>
    <t>21-22</t>
  </si>
  <si>
    <t>23-24</t>
  </si>
  <si>
    <t>1-3</t>
  </si>
  <si>
    <t>4-6</t>
  </si>
  <si>
    <t>7-8</t>
  </si>
  <si>
    <t>9-11</t>
  </si>
  <si>
    <t>12-13</t>
  </si>
  <si>
    <t>NUMBER</t>
  </si>
  <si>
    <t>TURBINES</t>
  </si>
  <si>
    <t>DELIVERED</t>
  </si>
  <si>
    <t>LD'S</t>
  </si>
  <si>
    <t>ENFORCED ON</t>
  </si>
  <si>
    <t>DELIVERY</t>
  </si>
  <si>
    <t>SCHEDULE</t>
  </si>
  <si>
    <t>EPC DETAIL</t>
  </si>
  <si>
    <t>OPERATIONAL CHARACTERISTICS</t>
  </si>
  <si>
    <t>FINANCE</t>
  </si>
  <si>
    <t>DEBT SRV.</t>
  </si>
  <si>
    <t>TOTAL USE OF FUNDS</t>
  </si>
  <si>
    <t>$/TURBINE HOUR</t>
  </si>
  <si>
    <t>TOTAL VARIABLE O&amp;M</t>
  </si>
  <si>
    <t>AVAILABILITY</t>
  </si>
  <si>
    <t>BREAK-EVEN ANALYSIS</t>
  </si>
  <si>
    <t>TOTAL OPERATING COST</t>
  </si>
  <si>
    <t>TOTAL FIXED O&amp;M</t>
  </si>
  <si>
    <t>COST</t>
  </si>
  <si>
    <t>RUN</t>
  </si>
  <si>
    <t>FIXED</t>
  </si>
  <si>
    <t>GENERATION COST AT</t>
  </si>
  <si>
    <t>/ MMBTU IS</t>
  </si>
  <si>
    <t>/ YEAR</t>
  </si>
  <si>
    <t>$ / MWH</t>
  </si>
  <si>
    <t>GEN. COST</t>
  </si>
  <si>
    <t>RELIABILITY</t>
  </si>
  <si>
    <t>MAJOR MAINTENANCE SCHEDULE</t>
  </si>
  <si>
    <t>Annually</t>
  </si>
  <si>
    <t>ENGINE LEASE PROGRAM - WITHIN 72 HOURS</t>
  </si>
  <si>
    <t>$000 / Year</t>
  </si>
  <si>
    <t>SOURCE DATA</t>
  </si>
  <si>
    <t>RAMP UP/DOWN TIME</t>
  </si>
  <si>
    <t>10,000 HOURS</t>
  </si>
  <si>
    <t>15,000 HOURS</t>
  </si>
  <si>
    <t>20,000 HOURS</t>
  </si>
  <si>
    <t>25,000 HOURS</t>
  </si>
  <si>
    <t xml:space="preserve">  5,000 HOURS</t>
  </si>
  <si>
    <t>TIME</t>
  </si>
  <si>
    <t>10 WEEKS</t>
  </si>
  <si>
    <t xml:space="preserve">  3 WEEKS</t>
  </si>
  <si>
    <t xml:space="preserve">  5 WEEKS</t>
  </si>
  <si>
    <t>GAS COMPRESSION to 700 PSI</t>
  </si>
  <si>
    <t>PROPOSED CAPACITY PAYMENT</t>
  </si>
  <si>
    <t xml:space="preserve">  RETURN ON EQUITY </t>
  </si>
  <si>
    <t>SALVAGE VALUE</t>
  </si>
  <si>
    <t>FIXED PMT</t>
  </si>
  <si>
    <t>CAP PMT</t>
  </si>
  <si>
    <t>IRR</t>
  </si>
  <si>
    <t>EQUITY RETURNS</t>
  </si>
  <si>
    <t>YEAR</t>
  </si>
  <si>
    <t>TOTAL FIXED CHARGES (FOM &amp; DEBT SRVC)</t>
  </si>
  <si>
    <t>Minutes</t>
  </si>
  <si>
    <t>LM 6000</t>
  </si>
  <si>
    <t>2 TURBINES IN</t>
  </si>
  <si>
    <t>SIMPLE CYCLE</t>
  </si>
  <si>
    <t>4 TURBINES IN</t>
  </si>
  <si>
    <t>AVAILABLE PSIG</t>
  </si>
  <si>
    <t>psig</t>
  </si>
  <si>
    <t>discharge press.</t>
  </si>
  <si>
    <t>suction press.</t>
  </si>
  <si>
    <t>suction temp.</t>
  </si>
  <si>
    <t>compressor efficiency</t>
  </si>
  <si>
    <t>%</t>
  </si>
  <si>
    <t>F</t>
  </si>
  <si>
    <t>design gas flow</t>
  </si>
  <si>
    <t>MMscfd</t>
  </si>
  <si>
    <t>compression power</t>
  </si>
  <si>
    <t>gas compressibility</t>
  </si>
  <si>
    <t xml:space="preserve"> </t>
  </si>
  <si>
    <t>compression ratio</t>
  </si>
  <si>
    <t>unit portion</t>
  </si>
  <si>
    <t>cost scale factor</t>
  </si>
  <si>
    <t>assumes 2X100% based on my catalog data</t>
  </si>
  <si>
    <t>assumes at three CTG's goes to plant config</t>
  </si>
  <si>
    <t>kW</t>
  </si>
  <si>
    <t>compression ratio factor</t>
  </si>
  <si>
    <t>base 69 kV - $50-building, $30-UPS/batt, $120-metering,$30-base site/fence</t>
  </si>
  <si>
    <t>base cost &gt;&gt;</t>
  </si>
  <si>
    <t>per breaker&gt;</t>
  </si>
  <si>
    <t>this was a mistake - Nepco adjusted GC elsewhere</t>
  </si>
  <si>
    <t>number of CTG's</t>
  </si>
  <si>
    <t>GROSS UNIT CAPACITY MW</t>
  </si>
  <si>
    <t>GAS COMPRESSION (MW)</t>
  </si>
  <si>
    <t>MAIN POWER TRANSFORMER (MW)</t>
  </si>
  <si>
    <t>UNIT AUXILIARY POWER (MW)</t>
  </si>
  <si>
    <t>CHILLER LOAD</t>
  </si>
  <si>
    <t>with chilling</t>
  </si>
  <si>
    <t>no chilling</t>
  </si>
  <si>
    <r>
      <t xml:space="preserve">          </t>
    </r>
    <r>
      <rPr>
        <sz val="10"/>
        <color indexed="10"/>
        <rFont val="Arial"/>
        <family val="2"/>
      </rPr>
      <t>NOTE: These are New and Clean data</t>
    </r>
  </si>
  <si>
    <t>base $13800, $450Sprint, $62finfan</t>
  </si>
  <si>
    <t>assume $280/CTG + fuel tank increase + filter - should add centrifuge if long downtimes or poor fuel</t>
  </si>
  <si>
    <t>this also includes 3% GE/S&amp;S margin</t>
  </si>
  <si>
    <t>Direct Labor &amp; Burden</t>
  </si>
  <si>
    <t>$1000/yr</t>
  </si>
  <si>
    <t>Admin</t>
  </si>
  <si>
    <t>Routine Maintenance</t>
  </si>
  <si>
    <t>Misc Tools &amp; Supplies</t>
  </si>
  <si>
    <t>Subcontracts</t>
  </si>
  <si>
    <t>$-kW month</t>
  </si>
  <si>
    <t>DEMIN WATER CONSUMPTION</t>
  </si>
  <si>
    <t>gal/MWhr</t>
  </si>
  <si>
    <t>cost</t>
  </si>
  <si>
    <t>US$/1000gal</t>
  </si>
  <si>
    <t>US$/MWhr</t>
  </si>
  <si>
    <t>RAW WATER CONSUMPTION</t>
  </si>
  <si>
    <t>total water consumption</t>
  </si>
  <si>
    <t>see calc in SOURCEDATA</t>
  </si>
  <si>
    <t>MOBILIZATION (no spare parts)</t>
  </si>
  <si>
    <t>TOTAL OWNER COST</t>
  </si>
  <si>
    <t xml:space="preserve">SUBTOTAL OWNER COST </t>
  </si>
  <si>
    <t>DEVELOPMENT COSTS</t>
  </si>
  <si>
    <t>INSURANCE/SITE/MISC OTHER OWNER COSTS</t>
  </si>
  <si>
    <t>Estimated CTG accural</t>
  </si>
  <si>
    <t>US$/CTGyr</t>
  </si>
  <si>
    <t>Estimated operating hours</t>
  </si>
  <si>
    <t>hr/yr</t>
  </si>
  <si>
    <t>US$/CTGhr</t>
  </si>
  <si>
    <t>includes gas compression/chillers</t>
  </si>
  <si>
    <t>LM6000 lease program</t>
  </si>
  <si>
    <t>this matches S&amp;S claim - reality is more like 16 minutes for typical push button to full load</t>
  </si>
  <si>
    <t>LM6000's</t>
  </si>
  <si>
    <t>chillers</t>
  </si>
  <si>
    <t>dual fuel</t>
  </si>
  <si>
    <t>CTG TDI</t>
  </si>
  <si>
    <t>NO margin/Contingency</t>
  </si>
  <si>
    <t>CTG only at 95F</t>
  </si>
  <si>
    <t>Clarifications</t>
  </si>
  <si>
    <t xml:space="preserve">based on use of spread footings on a site that has a soil bearing pressure of 3000 psf at 3 feet </t>
  </si>
  <si>
    <t xml:space="preserve">soil from excavations on site is assumed to be suitable for backfill </t>
  </si>
  <si>
    <t>spoils will be stockpiled at site</t>
  </si>
  <si>
    <t>EPC includes initial fill of lubricants in equipment but does not include filling bulk storage tanks</t>
  </si>
  <si>
    <t>temporary utilities provided by others at site boundary including the following:</t>
  </si>
  <si>
    <t>construction power - nominally 480V 3 phase 500 kVA</t>
  </si>
  <si>
    <t>municipal or potable treated water - nominally 50 gpm at 50 psig</t>
  </si>
  <si>
    <t>telephone service - ten lines</t>
  </si>
  <si>
    <t>all offsites not specifically included per the selection sheet will be provided by others including but not limited to the following:</t>
  </si>
  <si>
    <t>all-weather hard surface access road from local highway (suitable for transport of the major components)</t>
  </si>
  <si>
    <t>stormwater and treated wastewater drainage from the site boundary to the designated receiving stream or waters</t>
  </si>
  <si>
    <t>temporary construction laydown, fabrication, equipment storage, … area</t>
  </si>
  <si>
    <t>construction craft/equipment technician parking area</t>
  </si>
  <si>
    <t>all underground piping assumed to be installed with excavated materials from site (no imported fill)</t>
  </si>
  <si>
    <t>not turned on yet</t>
  </si>
  <si>
    <t>this should be changed to incorporate real comprssion loads</t>
  </si>
  <si>
    <t>assumes 1 breaker per CTG plus 1 breaker as outgoing and one breaker position at far end</t>
  </si>
  <si>
    <t>site assumed to be provided cleared and grubbed (usually Owner can get to clear and grub for the value of the lumber/pulpwood he gets)</t>
  </si>
  <si>
    <t>noise will be manufacturer standard - expect nominally 65 dBA at 400 feet from unit for single unit plant</t>
  </si>
  <si>
    <t>Exclusions</t>
  </si>
  <si>
    <t xml:space="preserve">Permits and permit fees. EPC Cost includes supply of normal technical data in support of the Owner permit applications. </t>
  </si>
  <si>
    <t>Payment and Performance Bonds</t>
  </si>
  <si>
    <t>All Risk Insurance</t>
  </si>
  <si>
    <t>Sales and Use Taxes</t>
  </si>
  <si>
    <t>Extended Waranties beyond manufacturer standard 12 months.</t>
  </si>
  <si>
    <t>Spare parts except those required for plant startup</t>
  </si>
  <si>
    <t>Utility charges after initial synchronization to grid including backfeed through switchyard for startup.</t>
  </si>
  <si>
    <t>Personnel for plant startup</t>
  </si>
  <si>
    <t>Disposal, handling or treatment of any existing hazardous materials.</t>
  </si>
  <si>
    <t>Demolition and removal of any existing structures or equipment, if required.</t>
  </si>
  <si>
    <t>Blasting or rock removal, per a comprehensive soils study</t>
  </si>
  <si>
    <t>Dewatering or well pointing beyond casual dewatering</t>
  </si>
  <si>
    <t>Caissons and/or piling.</t>
  </si>
  <si>
    <t>Tie-ins to municipal water and sewer</t>
  </si>
  <si>
    <t>Electrical transmission from power plant to untility substation and interconnection costs to local utility</t>
  </si>
  <si>
    <t>Cathodic protection.</t>
  </si>
  <si>
    <t>Utilities including water, sewer and fuel required for plant operation after Mechanical/Substantial Completion.</t>
  </si>
  <si>
    <t>Mobil equipment</t>
  </si>
  <si>
    <t>monitoring wells</t>
  </si>
  <si>
    <t>machine shop equipment and tools</t>
  </si>
  <si>
    <t>Cancellation and accelerated equipment delivery costs</t>
  </si>
  <si>
    <t>furnishings for offices, buildings and laboratory</t>
  </si>
  <si>
    <t>Continuous Air Emission Monitoring System (CEMS)</t>
  </si>
  <si>
    <t>took out HV breakers/switches</t>
  </si>
  <si>
    <t>per bkr/Dend</t>
  </si>
  <si>
    <t>138 kV breaker $$50K, 1 switch at $25k@, tubular buss 3 X 200' at $30/ft or $$18k, instrumentation $10k, construction at $47</t>
  </si>
  <si>
    <t>138 kV breaker $$50K, 1 switch at $25k@, tubular buss 3 X 50' at $30/ft or $$5k, instrumentation $30k, deadend structure at $100k, construction at $40</t>
  </si>
  <si>
    <t>230 kV breaker $$70K, 1 switch at $35k@, tubular buss 3 X 200' at $40/ft or $$24k, instrumentation $10k, construction at $60</t>
  </si>
  <si>
    <t>base configuration</t>
  </si>
  <si>
    <t>CTG only at ISO</t>
  </si>
  <si>
    <t>ISO</t>
  </si>
  <si>
    <t>CHILLED</t>
  </si>
  <si>
    <t>UN-CHILLED</t>
  </si>
  <si>
    <t>table assumes paired units for ties to grid</t>
  </si>
  <si>
    <t>Administration building, shops, warehouse, laboratory</t>
  </si>
  <si>
    <t>BASE TURBINE</t>
  </si>
  <si>
    <t>SPRINT OPTION</t>
  </si>
  <si>
    <t>FIN FAN COOLERS</t>
  </si>
  <si>
    <t>TOTAL PRICE</t>
  </si>
  <si>
    <t>OTHER MAINTENANCE</t>
  </si>
  <si>
    <t>BRUCE, HEATHER HAS AN OEC ESTIMATE THAT ADDS UP TO 56¢ PER KW-MONTH</t>
  </si>
  <si>
    <t>230</t>
  </si>
  <si>
    <t xml:space="preserve">PROJECT CONFIGURATION AT </t>
  </si>
  <si>
    <t>Temp.</t>
  </si>
  <si>
    <t>CURRENT GE MARKET PRICE AND AVAILABILITY</t>
  </si>
  <si>
    <t>SPRINT PACKAGE</t>
  </si>
  <si>
    <t>FIN FAN COOLER</t>
  </si>
  <si>
    <t>Q3 2001</t>
  </si>
  <si>
    <t>TOTAL TURBINE COST</t>
  </si>
  <si>
    <t>HEAT RATE - PLANT NET OF GSU AND AUXILIARY (HHV)</t>
  </si>
  <si>
    <t>DEMINERALIZED WATER FACILITY (need 75gpm/turbine)</t>
  </si>
  <si>
    <t>16</t>
  </si>
  <si>
    <t>0</t>
  </si>
  <si>
    <t>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</si>
</sst>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6" formatCode="0.0%"/>
    <numFmt numFmtId="172" formatCode="_(&quot;$&quot;* #,##0_);_(&quot;$&quot;* \(#,##0\);_(&quot;$&quot;* &quot;-&quot;??_);_(@_)"/>
  </numFmts>
  <fonts count="1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sz val="10"/>
      <color indexed="12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sz val="10"/>
      <color indexed="9"/>
      <name val="Arial"/>
      <family val="2"/>
    </font>
    <font>
      <b/>
      <sz val="16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10"/>
      <color indexed="8"/>
      <name val="Arial"/>
      <family val="2"/>
    </font>
    <font>
      <sz val="10"/>
      <color indexed="11"/>
      <name val="Arial"/>
      <family val="2"/>
    </font>
    <font>
      <b/>
      <sz val="12"/>
      <color indexed="10"/>
      <name val="Arial"/>
      <family val="2"/>
    </font>
    <font>
      <b/>
      <sz val="10"/>
      <color indexed="48"/>
      <name val="Arial"/>
      <family val="2"/>
    </font>
    <font>
      <b/>
      <sz val="10"/>
      <color indexed="2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</fills>
  <borders count="61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/>
      <right/>
      <top style="thin">
        <color indexed="22"/>
      </top>
      <bottom style="thin">
        <color indexed="64"/>
      </bottom>
      <diagonal/>
    </border>
    <border>
      <left/>
      <right/>
      <top style="thin">
        <color indexed="22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22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22"/>
      </bottom>
      <diagonal/>
    </border>
    <border>
      <left style="medium">
        <color indexed="64"/>
      </left>
      <right/>
      <top style="thin">
        <color indexed="22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thin">
        <color indexed="22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22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22"/>
      </bottom>
      <diagonal/>
    </border>
    <border>
      <left/>
      <right/>
      <top style="medium">
        <color indexed="64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22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67">
    <xf numFmtId="0" fontId="0" fillId="0" borderId="0" xfId="0"/>
    <xf numFmtId="165" fontId="0" fillId="0" borderId="0" xfId="1" applyNumberFormat="1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2" borderId="4" xfId="0" applyFill="1" applyBorder="1"/>
    <xf numFmtId="0" fontId="0" fillId="2" borderId="7" xfId="0" applyFill="1" applyBorder="1"/>
    <xf numFmtId="0" fontId="0" fillId="2" borderId="0" xfId="0" applyFill="1" applyBorder="1"/>
    <xf numFmtId="0" fontId="0" fillId="2" borderId="6" xfId="0" applyFill="1" applyBorder="1"/>
    <xf numFmtId="0" fontId="0" fillId="2" borderId="8" xfId="0" applyFill="1" applyBorder="1"/>
    <xf numFmtId="0" fontId="2" fillId="0" borderId="9" xfId="0" applyFont="1" applyBorder="1"/>
    <xf numFmtId="0" fontId="0" fillId="0" borderId="9" xfId="0" applyBorder="1"/>
    <xf numFmtId="165" fontId="2" fillId="0" borderId="10" xfId="1" applyNumberFormat="1" applyFont="1" applyBorder="1" applyAlignment="1">
      <alignment horizontal="right"/>
    </xf>
    <xf numFmtId="0" fontId="0" fillId="0" borderId="11" xfId="0" applyBorder="1"/>
    <xf numFmtId="44" fontId="0" fillId="0" borderId="3" xfId="2" applyFont="1" applyBorder="1"/>
    <xf numFmtId="0" fontId="0" fillId="0" borderId="12" xfId="0" applyBorder="1"/>
    <xf numFmtId="0" fontId="2" fillId="0" borderId="13" xfId="0" applyFont="1" applyBorder="1"/>
    <xf numFmtId="0" fontId="4" fillId="0" borderId="0" xfId="0" applyFont="1"/>
    <xf numFmtId="10" fontId="0" fillId="0" borderId="3" xfId="3" applyNumberFormat="1" applyFont="1" applyBorder="1"/>
    <xf numFmtId="10" fontId="0" fillId="0" borderId="11" xfId="3" applyNumberFormat="1" applyFont="1" applyBorder="1"/>
    <xf numFmtId="10" fontId="6" fillId="0" borderId="3" xfId="3" applyNumberFormat="1" applyFont="1" applyBorder="1"/>
    <xf numFmtId="165" fontId="3" fillId="2" borderId="13" xfId="0" applyNumberFormat="1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2" fillId="0" borderId="5" xfId="0" applyFont="1" applyBorder="1"/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10" fontId="0" fillId="0" borderId="0" xfId="3" applyNumberFormat="1" applyFont="1" applyBorder="1"/>
    <xf numFmtId="165" fontId="0" fillId="0" borderId="0" xfId="1" applyNumberFormat="1" applyFont="1" applyBorder="1"/>
    <xf numFmtId="43" fontId="0" fillId="0" borderId="0" xfId="1" applyFont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2" fillId="0" borderId="17" xfId="0" applyFont="1" applyBorder="1"/>
    <xf numFmtId="0" fontId="0" fillId="0" borderId="18" xfId="0" applyBorder="1"/>
    <xf numFmtId="0" fontId="2" fillId="0" borderId="14" xfId="0" applyFont="1" applyBorder="1"/>
    <xf numFmtId="0" fontId="2" fillId="2" borderId="0" xfId="0" applyFont="1" applyFill="1" applyBorder="1"/>
    <xf numFmtId="0" fontId="2" fillId="2" borderId="5" xfId="0" applyFont="1" applyFill="1" applyBorder="1" applyAlignment="1">
      <alignment horizontal="right"/>
    </xf>
    <xf numFmtId="0" fontId="0" fillId="2" borderId="5" xfId="0" applyFill="1" applyBorder="1" applyAlignment="1">
      <alignment horizontal="right"/>
    </xf>
    <xf numFmtId="0" fontId="3" fillId="2" borderId="13" xfId="0" applyFont="1" applyFill="1" applyBorder="1" applyAlignment="1">
      <alignment horizontal="left"/>
    </xf>
    <xf numFmtId="0" fontId="0" fillId="2" borderId="19" xfId="0" applyFill="1" applyBorder="1"/>
    <xf numFmtId="0" fontId="0" fillId="2" borderId="20" xfId="0" applyFill="1" applyBorder="1"/>
    <xf numFmtId="0" fontId="0" fillId="2" borderId="21" xfId="0" applyFill="1" applyBorder="1"/>
    <xf numFmtId="0" fontId="2" fillId="0" borderId="20" xfId="0" applyFont="1" applyBorder="1" applyAlignment="1">
      <alignment horizontal="center"/>
    </xf>
    <xf numFmtId="0" fontId="3" fillId="2" borderId="22" xfId="0" applyFont="1" applyFill="1" applyBorder="1" applyAlignment="1">
      <alignment horizontal="left"/>
    </xf>
    <xf numFmtId="165" fontId="5" fillId="0" borderId="20" xfId="1" applyNumberFormat="1" applyFont="1" applyBorder="1"/>
    <xf numFmtId="165" fontId="5" fillId="0" borderId="23" xfId="1" applyNumberFormat="1" applyFont="1" applyBorder="1"/>
    <xf numFmtId="165" fontId="5" fillId="0" borderId="24" xfId="1" applyNumberFormat="1" applyFont="1" applyBorder="1"/>
    <xf numFmtId="165" fontId="4" fillId="0" borderId="25" xfId="1" applyNumberFormat="1" applyFont="1" applyBorder="1"/>
    <xf numFmtId="165" fontId="4" fillId="0" borderId="0" xfId="1" applyNumberFormat="1" applyFont="1" applyBorder="1"/>
    <xf numFmtId="0" fontId="2" fillId="2" borderId="20" xfId="0" applyFont="1" applyFill="1" applyBorder="1" applyAlignment="1">
      <alignment horizontal="center"/>
    </xf>
    <xf numFmtId="165" fontId="5" fillId="0" borderId="19" xfId="1" applyNumberFormat="1" applyFont="1" applyBorder="1"/>
    <xf numFmtId="165" fontId="5" fillId="0" borderId="26" xfId="1" applyNumberFormat="1" applyFont="1" applyBorder="1"/>
    <xf numFmtId="0" fontId="2" fillId="0" borderId="0" xfId="0" applyFont="1" applyBorder="1" applyAlignment="1">
      <alignment horizontal="right"/>
    </xf>
    <xf numFmtId="0" fontId="2" fillId="0" borderId="0" xfId="0" applyFont="1"/>
    <xf numFmtId="0" fontId="6" fillId="0" borderId="0" xfId="0" applyFont="1"/>
    <xf numFmtId="0" fontId="0" fillId="0" borderId="0" xfId="0" applyAlignment="1">
      <alignment vertical="center"/>
    </xf>
    <xf numFmtId="165" fontId="0" fillId="0" borderId="0" xfId="1" applyNumberFormat="1" applyFont="1" applyAlignment="1">
      <alignment vertical="center"/>
    </xf>
    <xf numFmtId="165" fontId="0" fillId="0" borderId="27" xfId="1" applyNumberFormat="1" applyFont="1" applyBorder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2" xfId="0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165" fontId="4" fillId="0" borderId="27" xfId="1" applyNumberFormat="1" applyFont="1" applyBorder="1" applyAlignment="1">
      <alignment vertical="center"/>
    </xf>
    <xf numFmtId="165" fontId="4" fillId="0" borderId="27" xfId="1" applyNumberFormat="1" applyFont="1" applyBorder="1"/>
    <xf numFmtId="165" fontId="6" fillId="0" borderId="27" xfId="1" applyNumberFormat="1" applyFont="1" applyBorder="1" applyAlignment="1">
      <alignment vertical="center"/>
    </xf>
    <xf numFmtId="165" fontId="7" fillId="0" borderId="0" xfId="1" applyNumberFormat="1" applyFont="1"/>
    <xf numFmtId="165" fontId="0" fillId="0" borderId="0" xfId="0" applyNumberFormat="1"/>
    <xf numFmtId="165" fontId="4" fillId="0" borderId="27" xfId="1" applyNumberFormat="1" applyFont="1" applyBorder="1" applyAlignment="1">
      <alignment horizontal="left" vertical="center"/>
    </xf>
    <xf numFmtId="3" fontId="2" fillId="0" borderId="0" xfId="0" applyNumberFormat="1" applyFont="1" applyAlignment="1">
      <alignment vertical="center"/>
    </xf>
    <xf numFmtId="0" fontId="7" fillId="0" borderId="0" xfId="0" applyFont="1"/>
    <xf numFmtId="0" fontId="0" fillId="0" borderId="7" xfId="0" applyBorder="1"/>
    <xf numFmtId="0" fontId="2" fillId="0" borderId="7" xfId="0" applyFont="1" applyBorder="1"/>
    <xf numFmtId="0" fontId="0" fillId="0" borderId="28" xfId="0" applyBorder="1"/>
    <xf numFmtId="165" fontId="2" fillId="0" borderId="0" xfId="1" applyNumberFormat="1" applyFont="1" applyBorder="1"/>
    <xf numFmtId="0" fontId="0" fillId="0" borderId="29" xfId="0" applyBorder="1"/>
    <xf numFmtId="165" fontId="2" fillId="0" borderId="8" xfId="1" applyNumberFormat="1" applyFont="1" applyBorder="1"/>
    <xf numFmtId="165" fontId="0" fillId="0" borderId="8" xfId="1" applyNumberFormat="1" applyFont="1" applyBorder="1"/>
    <xf numFmtId="0" fontId="0" fillId="0" borderId="8" xfId="0" applyBorder="1"/>
    <xf numFmtId="0" fontId="0" fillId="0" borderId="30" xfId="0" applyBorder="1"/>
    <xf numFmtId="0" fontId="6" fillId="0" borderId="8" xfId="0" applyFont="1" applyBorder="1"/>
    <xf numFmtId="0" fontId="0" fillId="0" borderId="31" xfId="0" applyBorder="1"/>
    <xf numFmtId="0" fontId="2" fillId="0" borderId="28" xfId="0" applyFont="1" applyBorder="1"/>
    <xf numFmtId="0" fontId="2" fillId="0" borderId="19" xfId="0" applyFont="1" applyBorder="1"/>
    <xf numFmtId="0" fontId="0" fillId="0" borderId="20" xfId="0" applyBorder="1"/>
    <xf numFmtId="0" fontId="2" fillId="0" borderId="21" xfId="0" applyFont="1" applyBorder="1"/>
    <xf numFmtId="0" fontId="2" fillId="0" borderId="20" xfId="0" applyFont="1" applyBorder="1"/>
    <xf numFmtId="0" fontId="0" fillId="0" borderId="21" xfId="0" applyBorder="1"/>
    <xf numFmtId="0" fontId="2" fillId="0" borderId="22" xfId="0" applyFont="1" applyBorder="1"/>
    <xf numFmtId="165" fontId="0" fillId="0" borderId="27" xfId="1" applyNumberFormat="1" applyFont="1" applyBorder="1"/>
    <xf numFmtId="43" fontId="0" fillId="0" borderId="27" xfId="1" applyNumberFormat="1" applyFont="1" applyBorder="1"/>
    <xf numFmtId="0" fontId="0" fillId="0" borderId="0" xfId="0" applyAlignment="1">
      <alignment horizontal="left"/>
    </xf>
    <xf numFmtId="6" fontId="2" fillId="0" borderId="0" xfId="0" quotePrefix="1" applyNumberFormat="1" applyFont="1" applyAlignment="1">
      <alignment horizontal="left" vertical="center"/>
    </xf>
    <xf numFmtId="0" fontId="2" fillId="0" borderId="13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31" xfId="0" applyBorder="1" applyAlignment="1">
      <alignment vertical="center"/>
    </xf>
    <xf numFmtId="0" fontId="0" fillId="0" borderId="32" xfId="0" applyBorder="1" applyAlignment="1">
      <alignment horizontal="left" vertical="center"/>
    </xf>
    <xf numFmtId="0" fontId="0" fillId="0" borderId="33" xfId="0" applyBorder="1" applyAlignment="1">
      <alignment vertical="center"/>
    </xf>
    <xf numFmtId="0" fontId="0" fillId="0" borderId="34" xfId="0" applyBorder="1" applyAlignment="1">
      <alignment horizontal="left"/>
    </xf>
    <xf numFmtId="0" fontId="0" fillId="0" borderId="35" xfId="0" applyBorder="1" applyAlignment="1">
      <alignment vertical="center"/>
    </xf>
    <xf numFmtId="165" fontId="0" fillId="0" borderId="36" xfId="1" applyNumberFormat="1" applyFont="1" applyBorder="1"/>
    <xf numFmtId="3" fontId="0" fillId="0" borderId="37" xfId="1" applyNumberFormat="1" applyFont="1" applyBorder="1" applyAlignment="1">
      <alignment horizontal="left"/>
    </xf>
    <xf numFmtId="0" fontId="2" fillId="0" borderId="13" xfId="0" applyFont="1" applyBorder="1" applyAlignment="1">
      <alignment horizontal="left" vertical="center"/>
    </xf>
    <xf numFmtId="0" fontId="0" fillId="0" borderId="31" xfId="0" applyBorder="1" applyAlignment="1">
      <alignment horizontal="left"/>
    </xf>
    <xf numFmtId="0" fontId="0" fillId="0" borderId="38" xfId="0" applyBorder="1" applyAlignment="1">
      <alignment vertical="center"/>
    </xf>
    <xf numFmtId="3" fontId="0" fillId="0" borderId="39" xfId="0" applyNumberFormat="1" applyBorder="1" applyAlignment="1">
      <alignment vertical="center"/>
    </xf>
    <xf numFmtId="6" fontId="0" fillId="0" borderId="32" xfId="0" applyNumberFormat="1" applyBorder="1" applyAlignment="1">
      <alignment horizontal="left" vertical="center"/>
    </xf>
    <xf numFmtId="0" fontId="0" fillId="0" borderId="34" xfId="0" applyBorder="1" applyAlignment="1">
      <alignment horizontal="left" vertical="center"/>
    </xf>
    <xf numFmtId="6" fontId="0" fillId="0" borderId="34" xfId="0" applyNumberFormat="1" applyBorder="1" applyAlignment="1">
      <alignment horizontal="left" vertical="center"/>
    </xf>
    <xf numFmtId="3" fontId="2" fillId="0" borderId="36" xfId="0" applyNumberFormat="1" applyFont="1" applyBorder="1" applyAlignment="1">
      <alignment vertical="center"/>
    </xf>
    <xf numFmtId="6" fontId="2" fillId="0" borderId="37" xfId="0" applyNumberFormat="1" applyFont="1" applyBorder="1" applyAlignment="1">
      <alignment horizontal="left" vertical="center"/>
    </xf>
    <xf numFmtId="165" fontId="4" fillId="0" borderId="1" xfId="1" applyNumberFormat="1" applyFont="1" applyBorder="1"/>
    <xf numFmtId="9" fontId="4" fillId="0" borderId="1" xfId="3" applyFont="1" applyBorder="1"/>
    <xf numFmtId="0" fontId="8" fillId="0" borderId="0" xfId="0" applyFont="1" applyAlignment="1">
      <alignment vertical="center"/>
    </xf>
    <xf numFmtId="3" fontId="2" fillId="0" borderId="29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right"/>
    </xf>
    <xf numFmtId="43" fontId="0" fillId="0" borderId="36" xfId="0" applyNumberFormat="1" applyBorder="1" applyAlignment="1">
      <alignment vertical="center"/>
    </xf>
    <xf numFmtId="0" fontId="0" fillId="0" borderId="37" xfId="0" applyBorder="1" applyAlignment="1">
      <alignment horizontal="left" vertical="center"/>
    </xf>
    <xf numFmtId="43" fontId="0" fillId="0" borderId="0" xfId="1" applyNumberFormat="1" applyFont="1" applyAlignment="1">
      <alignment vertical="center"/>
    </xf>
    <xf numFmtId="165" fontId="5" fillId="0" borderId="39" xfId="1" applyNumberFormat="1" applyFont="1" applyBorder="1" applyAlignment="1">
      <alignment vertical="center"/>
    </xf>
    <xf numFmtId="1" fontId="5" fillId="0" borderId="27" xfId="0" applyNumberFormat="1" applyFont="1" applyBorder="1" applyAlignment="1">
      <alignment vertical="center"/>
    </xf>
    <xf numFmtId="9" fontId="5" fillId="0" borderId="27" xfId="3" applyFont="1" applyBorder="1" applyAlignment="1">
      <alignment vertical="center"/>
    </xf>
    <xf numFmtId="9" fontId="5" fillId="0" borderId="39" xfId="3" applyFont="1" applyBorder="1" applyAlignment="1">
      <alignment vertical="center"/>
    </xf>
    <xf numFmtId="0" fontId="5" fillId="0" borderId="27" xfId="0" applyFont="1" applyBorder="1" applyAlignment="1">
      <alignment vertical="center"/>
    </xf>
    <xf numFmtId="10" fontId="5" fillId="0" borderId="27" xfId="3" applyNumberFormat="1" applyFont="1" applyBorder="1" applyAlignment="1">
      <alignment vertical="center"/>
    </xf>
    <xf numFmtId="3" fontId="0" fillId="0" borderId="0" xfId="0" applyNumberFormat="1" applyAlignment="1">
      <alignment horizontal="center" vertical="center"/>
    </xf>
    <xf numFmtId="3" fontId="0" fillId="0" borderId="27" xfId="0" applyNumberFormat="1" applyBorder="1" applyAlignment="1">
      <alignment horizontal="center" vertical="center"/>
    </xf>
    <xf numFmtId="0" fontId="2" fillId="0" borderId="0" xfId="0" applyFont="1" applyAlignment="1">
      <alignment horizontal="center"/>
    </xf>
    <xf numFmtId="1" fontId="0" fillId="0" borderId="27" xfId="0" applyNumberFormat="1" applyBorder="1" applyAlignment="1">
      <alignment horizontal="center"/>
    </xf>
    <xf numFmtId="14" fontId="0" fillId="0" borderId="27" xfId="0" applyNumberFormat="1" applyBorder="1" applyAlignment="1">
      <alignment horizontal="center"/>
    </xf>
    <xf numFmtId="0" fontId="0" fillId="0" borderId="38" xfId="0" quotePrefix="1" applyBorder="1" applyAlignment="1">
      <alignment horizontal="center"/>
    </xf>
    <xf numFmtId="1" fontId="0" fillId="0" borderId="39" xfId="0" applyNumberFormat="1" applyBorder="1" applyAlignment="1">
      <alignment horizontal="center"/>
    </xf>
    <xf numFmtId="14" fontId="0" fillId="0" borderId="39" xfId="0" applyNumberFormat="1" applyBorder="1" applyAlignment="1">
      <alignment horizontal="center"/>
    </xf>
    <xf numFmtId="0" fontId="0" fillId="0" borderId="33" xfId="0" quotePrefix="1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5" xfId="0" applyBorder="1" applyAlignment="1">
      <alignment horizontal="center"/>
    </xf>
    <xf numFmtId="1" fontId="0" fillId="0" borderId="36" xfId="0" applyNumberFormat="1" applyBorder="1" applyAlignment="1">
      <alignment horizontal="center"/>
    </xf>
    <xf numFmtId="14" fontId="0" fillId="0" borderId="36" xfId="0" applyNumberFormat="1" applyBorder="1" applyAlignment="1">
      <alignment horizontal="center"/>
    </xf>
    <xf numFmtId="0" fontId="2" fillId="0" borderId="35" xfId="0" applyFont="1" applyBorder="1"/>
    <xf numFmtId="43" fontId="2" fillId="0" borderId="36" xfId="1" applyNumberFormat="1" applyFont="1" applyBorder="1"/>
    <xf numFmtId="0" fontId="2" fillId="0" borderId="35" xfId="0" applyFont="1" applyBorder="1" applyAlignment="1">
      <alignment vertical="center"/>
    </xf>
    <xf numFmtId="3" fontId="5" fillId="0" borderId="27" xfId="1" applyNumberFormat="1" applyFont="1" applyBorder="1" applyAlignment="1">
      <alignment horizontal="center" vertical="center"/>
    </xf>
    <xf numFmtId="0" fontId="2" fillId="0" borderId="4" xfId="0" applyFont="1" applyBorder="1"/>
    <xf numFmtId="0" fontId="2" fillId="0" borderId="7" xfId="0" applyFont="1" applyBorder="1" applyAlignment="1">
      <alignment horizontal="center"/>
    </xf>
    <xf numFmtId="6" fontId="0" fillId="0" borderId="37" xfId="0" applyNumberFormat="1" applyBorder="1" applyAlignment="1">
      <alignment horizontal="left" vertical="center"/>
    </xf>
    <xf numFmtId="43" fontId="0" fillId="0" borderId="0" xfId="0" applyNumberFormat="1"/>
    <xf numFmtId="3" fontId="0" fillId="0" borderId="0" xfId="0" applyNumberFormat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3" fontId="0" fillId="0" borderId="29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3" fontId="0" fillId="0" borderId="8" xfId="1" applyNumberFormat="1" applyFont="1" applyBorder="1" applyAlignment="1">
      <alignment horizontal="center"/>
    </xf>
    <xf numFmtId="3" fontId="0" fillId="0" borderId="33" xfId="0" applyNumberFormat="1" applyBorder="1" applyAlignment="1">
      <alignment horizontal="center" vertical="center"/>
    </xf>
    <xf numFmtId="3" fontId="0" fillId="0" borderId="34" xfId="0" applyNumberFormat="1" applyBorder="1" applyAlignment="1">
      <alignment horizontal="center" vertical="center"/>
    </xf>
    <xf numFmtId="3" fontId="0" fillId="0" borderId="35" xfId="0" applyNumberFormat="1" applyBorder="1" applyAlignment="1">
      <alignment horizontal="center" vertical="center"/>
    </xf>
    <xf numFmtId="3" fontId="0" fillId="0" borderId="36" xfId="0" applyNumberFormat="1" applyBorder="1" applyAlignment="1">
      <alignment horizontal="center" vertical="center"/>
    </xf>
    <xf numFmtId="3" fontId="0" fillId="0" borderId="37" xfId="0" applyNumberFormat="1" applyBorder="1" applyAlignment="1">
      <alignment horizontal="center" vertical="center"/>
    </xf>
    <xf numFmtId="3" fontId="0" fillId="0" borderId="40" xfId="0" applyNumberFormat="1" applyBorder="1" applyAlignment="1">
      <alignment horizontal="center" vertical="center"/>
    </xf>
    <xf numFmtId="3" fontId="0" fillId="0" borderId="41" xfId="0" applyNumberFormat="1" applyBorder="1" applyAlignment="1">
      <alignment horizontal="center" vertical="center"/>
    </xf>
    <xf numFmtId="3" fontId="0" fillId="0" borderId="42" xfId="0" applyNumberFormat="1" applyBorder="1" applyAlignment="1">
      <alignment horizontal="center" vertical="center"/>
    </xf>
    <xf numFmtId="0" fontId="2" fillId="0" borderId="43" xfId="0" applyFont="1" applyBorder="1" applyAlignment="1">
      <alignment horizontal="center" vertical="center"/>
    </xf>
    <xf numFmtId="3" fontId="2" fillId="0" borderId="44" xfId="0" applyNumberFormat="1" applyFont="1" applyBorder="1" applyAlignment="1">
      <alignment horizontal="center" vertical="center"/>
    </xf>
    <xf numFmtId="3" fontId="2" fillId="0" borderId="45" xfId="0" applyNumberFormat="1" applyFont="1" applyBorder="1" applyAlignment="1">
      <alignment horizontal="center" vertical="center"/>
    </xf>
    <xf numFmtId="3" fontId="0" fillId="0" borderId="28" xfId="0" applyNumberFormat="1" applyBorder="1" applyAlignment="1">
      <alignment horizontal="center"/>
    </xf>
    <xf numFmtId="0" fontId="2" fillId="0" borderId="8" xfId="0" quotePrefix="1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3" fontId="0" fillId="0" borderId="30" xfId="0" applyNumberFormat="1" applyBorder="1" applyAlignment="1">
      <alignment horizontal="center"/>
    </xf>
    <xf numFmtId="0" fontId="2" fillId="0" borderId="13" xfId="0" applyFont="1" applyBorder="1" applyAlignment="1">
      <alignment horizontal="left"/>
    </xf>
    <xf numFmtId="44" fontId="5" fillId="0" borderId="1" xfId="2" applyFont="1" applyBorder="1"/>
    <xf numFmtId="0" fontId="2" fillId="0" borderId="1" xfId="0" quotePrefix="1" applyFont="1" applyBorder="1" applyAlignment="1">
      <alignment horizontal="left"/>
    </xf>
    <xf numFmtId="44" fontId="2" fillId="0" borderId="31" xfId="2" applyFont="1" applyBorder="1" applyAlignment="1">
      <alignment horizontal="center"/>
    </xf>
    <xf numFmtId="43" fontId="7" fillId="0" borderId="30" xfId="1" applyFont="1" applyBorder="1"/>
    <xf numFmtId="43" fontId="0" fillId="0" borderId="0" xfId="1" applyNumberFormat="1" applyFont="1"/>
    <xf numFmtId="3" fontId="0" fillId="0" borderId="3" xfId="0" applyNumberFormat="1" applyBorder="1" applyAlignment="1">
      <alignment horizontal="center"/>
    </xf>
    <xf numFmtId="3" fontId="0" fillId="0" borderId="3" xfId="1" applyNumberFormat="1" applyFont="1" applyBorder="1" applyAlignment="1">
      <alignment horizontal="center"/>
    </xf>
    <xf numFmtId="43" fontId="7" fillId="0" borderId="46" xfId="1" applyFont="1" applyBorder="1" applyAlignment="1">
      <alignment horizontal="center"/>
    </xf>
    <xf numFmtId="43" fontId="7" fillId="0" borderId="46" xfId="1" applyFont="1" applyBorder="1"/>
    <xf numFmtId="43" fontId="6" fillId="0" borderId="0" xfId="1" applyFont="1" applyBorder="1"/>
    <xf numFmtId="9" fontId="6" fillId="0" borderId="0" xfId="3" applyFont="1" applyBorder="1"/>
    <xf numFmtId="165" fontId="6" fillId="0" borderId="0" xfId="1" applyNumberFormat="1" applyFont="1" applyBorder="1"/>
    <xf numFmtId="43" fontId="0" fillId="0" borderId="8" xfId="1" applyFont="1" applyBorder="1"/>
    <xf numFmtId="43" fontId="6" fillId="0" borderId="8" xfId="1" applyFont="1" applyBorder="1"/>
    <xf numFmtId="172" fontId="0" fillId="0" borderId="0" xfId="2" applyNumberFormat="1" applyFont="1" applyBorder="1"/>
    <xf numFmtId="43" fontId="0" fillId="0" borderId="0" xfId="1" applyFont="1" applyBorder="1" applyAlignment="1">
      <alignment horizontal="center"/>
    </xf>
    <xf numFmtId="43" fontId="6" fillId="0" borderId="0" xfId="1" applyFont="1" applyBorder="1" applyAlignment="1">
      <alignment horizontal="center"/>
    </xf>
    <xf numFmtId="43" fontId="5" fillId="0" borderId="27" xfId="1" applyFont="1" applyBorder="1" applyAlignment="1">
      <alignment vertical="center"/>
    </xf>
    <xf numFmtId="165" fontId="0" fillId="0" borderId="42" xfId="1" applyNumberFormat="1" applyFont="1" applyBorder="1" applyAlignment="1">
      <alignment horizontal="center" vertical="center"/>
    </xf>
    <xf numFmtId="165" fontId="0" fillId="0" borderId="27" xfId="1" applyNumberFormat="1" applyFont="1" applyBorder="1" applyAlignment="1">
      <alignment horizontal="center" vertical="center"/>
    </xf>
    <xf numFmtId="165" fontId="0" fillId="0" borderId="34" xfId="1" applyNumberFormat="1" applyFont="1" applyBorder="1" applyAlignment="1">
      <alignment horizontal="center" vertical="center"/>
    </xf>
    <xf numFmtId="165" fontId="0" fillId="0" borderId="36" xfId="1" applyNumberFormat="1" applyFont="1" applyBorder="1" applyAlignment="1">
      <alignment horizontal="center" vertical="center"/>
    </xf>
    <xf numFmtId="165" fontId="0" fillId="0" borderId="37" xfId="1" applyNumberFormat="1" applyFont="1" applyBorder="1" applyAlignment="1">
      <alignment horizontal="center" vertical="center"/>
    </xf>
    <xf numFmtId="9" fontId="0" fillId="0" borderId="0" xfId="3" applyFont="1"/>
    <xf numFmtId="3" fontId="0" fillId="0" borderId="0" xfId="0" applyNumberFormat="1" applyBorder="1" applyAlignment="1">
      <alignment horizontal="center" vertical="center"/>
    </xf>
    <xf numFmtId="165" fontId="0" fillId="0" borderId="0" xfId="1" applyNumberFormat="1" applyFont="1" applyBorder="1" applyAlignment="1">
      <alignment horizontal="center" vertical="center"/>
    </xf>
    <xf numFmtId="10" fontId="6" fillId="0" borderId="27" xfId="3" applyNumberFormat="1" applyFont="1" applyBorder="1" applyAlignment="1">
      <alignment vertical="center"/>
    </xf>
    <xf numFmtId="6" fontId="0" fillId="0" borderId="47" xfId="0" applyNumberFormat="1" applyBorder="1" applyAlignment="1">
      <alignment horizontal="left" vertical="center"/>
    </xf>
    <xf numFmtId="43" fontId="6" fillId="0" borderId="27" xfId="3" applyNumberFormat="1" applyFont="1" applyBorder="1" applyAlignment="1">
      <alignment vertical="center"/>
    </xf>
    <xf numFmtId="165" fontId="2" fillId="0" borderId="19" xfId="1" applyNumberFormat="1" applyFont="1" applyBorder="1"/>
    <xf numFmtId="165" fontId="2" fillId="0" borderId="23" xfId="1" applyNumberFormat="1" applyFont="1" applyBorder="1"/>
    <xf numFmtId="165" fontId="2" fillId="0" borderId="26" xfId="1" applyNumberFormat="1" applyFont="1" applyBorder="1"/>
    <xf numFmtId="165" fontId="2" fillId="0" borderId="20" xfId="1" applyNumberFormat="1" applyFont="1" applyBorder="1"/>
    <xf numFmtId="165" fontId="2" fillId="0" borderId="24" xfId="1" applyNumberFormat="1" applyFont="1" applyBorder="1"/>
    <xf numFmtId="165" fontId="2" fillId="0" borderId="48" xfId="1" applyNumberFormat="1" applyFont="1" applyBorder="1" applyAlignment="1">
      <alignment horizontal="right"/>
    </xf>
    <xf numFmtId="165" fontId="6" fillId="0" borderId="25" xfId="1" applyNumberFormat="1" applyFont="1" applyBorder="1"/>
    <xf numFmtId="165" fontId="2" fillId="0" borderId="22" xfId="1" applyNumberFormat="1" applyFont="1" applyBorder="1" applyAlignment="1">
      <alignment horizontal="right"/>
    </xf>
    <xf numFmtId="165" fontId="2" fillId="0" borderId="48" xfId="1" applyNumberFormat="1" applyFont="1" applyBorder="1"/>
    <xf numFmtId="165" fontId="3" fillId="2" borderId="22" xfId="0" applyNumberFormat="1" applyFont="1" applyFill="1" applyBorder="1" applyAlignment="1">
      <alignment horizontal="left"/>
    </xf>
    <xf numFmtId="0" fontId="6" fillId="0" borderId="0" xfId="0" applyFont="1" applyBorder="1"/>
    <xf numFmtId="165" fontId="2" fillId="0" borderId="0" xfId="1" applyNumberFormat="1" applyFont="1" applyBorder="1" applyAlignment="1">
      <alignment horizontal="right"/>
    </xf>
    <xf numFmtId="0" fontId="9" fillId="0" borderId="0" xfId="0" applyFont="1" applyBorder="1" applyAlignment="1">
      <alignment horizontal="center" vertical="center"/>
    </xf>
    <xf numFmtId="165" fontId="10" fillId="0" borderId="7" xfId="1" applyNumberFormat="1" applyFont="1" applyBorder="1"/>
    <xf numFmtId="0" fontId="10" fillId="0" borderId="8" xfId="0" applyFont="1" applyBorder="1"/>
    <xf numFmtId="0" fontId="10" fillId="0" borderId="0" xfId="0" applyFont="1"/>
    <xf numFmtId="0" fontId="10" fillId="0" borderId="4" xfId="0" applyFont="1" applyBorder="1"/>
    <xf numFmtId="0" fontId="10" fillId="0" borderId="7" xfId="0" applyFont="1" applyBorder="1"/>
    <xf numFmtId="165" fontId="10" fillId="0" borderId="28" xfId="1" applyNumberFormat="1" applyFont="1" applyBorder="1"/>
    <xf numFmtId="0" fontId="10" fillId="0" borderId="5" xfId="0" applyFont="1" applyBorder="1"/>
    <xf numFmtId="0" fontId="10" fillId="0" borderId="0" xfId="0" applyFont="1" applyBorder="1"/>
    <xf numFmtId="165" fontId="10" fillId="0" borderId="29" xfId="1" applyNumberFormat="1" applyFont="1" applyBorder="1"/>
    <xf numFmtId="9" fontId="10" fillId="0" borderId="29" xfId="3" applyFont="1" applyBorder="1"/>
    <xf numFmtId="0" fontId="10" fillId="0" borderId="29" xfId="0" applyFont="1" applyBorder="1"/>
    <xf numFmtId="0" fontId="10" fillId="0" borderId="6" xfId="0" applyFont="1" applyBorder="1"/>
    <xf numFmtId="165" fontId="10" fillId="0" borderId="30" xfId="1" applyNumberFormat="1" applyFont="1" applyBorder="1"/>
    <xf numFmtId="165" fontId="10" fillId="0" borderId="8" xfId="1" applyNumberFormat="1" applyFont="1" applyBorder="1"/>
    <xf numFmtId="165" fontId="10" fillId="3" borderId="7" xfId="1" applyNumberFormat="1" applyFont="1" applyFill="1" applyBorder="1"/>
    <xf numFmtId="165" fontId="10" fillId="3" borderId="8" xfId="1" applyNumberFormat="1" applyFont="1" applyFill="1" applyBorder="1"/>
    <xf numFmtId="0" fontId="10" fillId="3" borderId="8" xfId="0" applyFont="1" applyFill="1" applyBorder="1"/>
    <xf numFmtId="165" fontId="10" fillId="3" borderId="0" xfId="1" applyNumberFormat="1" applyFont="1" applyFill="1" applyBorder="1"/>
    <xf numFmtId="165" fontId="10" fillId="0" borderId="0" xfId="1" applyNumberFormat="1" applyFont="1" applyBorder="1"/>
    <xf numFmtId="0" fontId="2" fillId="0" borderId="6" xfId="0" applyFont="1" applyBorder="1"/>
    <xf numFmtId="9" fontId="10" fillId="3" borderId="0" xfId="3" applyFont="1" applyFill="1"/>
    <xf numFmtId="43" fontId="10" fillId="3" borderId="0" xfId="1" applyNumberFormat="1" applyFont="1" applyFill="1"/>
    <xf numFmtId="165" fontId="9" fillId="0" borderId="23" xfId="1" applyNumberFormat="1" applyFont="1" applyBorder="1"/>
    <xf numFmtId="172" fontId="3" fillId="2" borderId="22" xfId="2" applyNumberFormat="1" applyFont="1" applyFill="1" applyBorder="1" applyAlignment="1">
      <alignment horizontal="left"/>
    </xf>
    <xf numFmtId="0" fontId="9" fillId="0" borderId="0" xfId="0" applyFont="1" applyBorder="1"/>
    <xf numFmtId="0" fontId="9" fillId="0" borderId="0" xfId="0" applyFont="1" applyBorder="1" applyAlignment="1">
      <alignment horizontal="left"/>
    </xf>
    <xf numFmtId="0" fontId="9" fillId="0" borderId="0" xfId="0" applyFont="1" applyBorder="1" applyAlignment="1">
      <alignment horizontal="center"/>
    </xf>
    <xf numFmtId="43" fontId="10" fillId="0" borderId="0" xfId="1" applyFont="1" applyBorder="1"/>
    <xf numFmtId="166" fontId="10" fillId="0" borderId="0" xfId="3" applyNumberFormat="1" applyFont="1" applyBorder="1"/>
    <xf numFmtId="43" fontId="10" fillId="0" borderId="2" xfId="1" applyFont="1" applyBorder="1"/>
    <xf numFmtId="172" fontId="12" fillId="0" borderId="8" xfId="2" applyNumberFormat="1" applyFont="1" applyBorder="1"/>
    <xf numFmtId="9" fontId="10" fillId="3" borderId="0" xfId="0" applyNumberFormat="1" applyFont="1" applyFill="1"/>
    <xf numFmtId="172" fontId="10" fillId="0" borderId="49" xfId="2" applyNumberFormat="1" applyFont="1" applyBorder="1" applyAlignment="1">
      <alignment horizontal="left" vertical="center"/>
    </xf>
    <xf numFmtId="172" fontId="10" fillId="0" borderId="27" xfId="2" applyNumberFormat="1" applyFont="1" applyBorder="1" applyAlignment="1">
      <alignment horizontal="left" vertical="center"/>
    </xf>
    <xf numFmtId="0" fontId="10" fillId="0" borderId="38" xfId="0" applyFont="1" applyBorder="1" applyAlignment="1">
      <alignment vertical="center"/>
    </xf>
    <xf numFmtId="0" fontId="10" fillId="0" borderId="33" xfId="0" applyFont="1" applyBorder="1" applyAlignment="1">
      <alignment vertical="center"/>
    </xf>
    <xf numFmtId="6" fontId="10" fillId="0" borderId="34" xfId="0" applyNumberFormat="1" applyFont="1" applyBorder="1" applyAlignment="1">
      <alignment horizontal="left" vertical="center"/>
    </xf>
    <xf numFmtId="0" fontId="10" fillId="0" borderId="34" xfId="0" applyFont="1" applyBorder="1" applyAlignment="1">
      <alignment horizontal="left" vertical="center"/>
    </xf>
    <xf numFmtId="6" fontId="10" fillId="0" borderId="32" xfId="0" applyNumberFormat="1" applyFont="1" applyBorder="1" applyAlignment="1">
      <alignment horizontal="left" vertical="center"/>
    </xf>
    <xf numFmtId="6" fontId="9" fillId="0" borderId="37" xfId="0" applyNumberFormat="1" applyFont="1" applyBorder="1" applyAlignment="1">
      <alignment horizontal="left" vertical="center"/>
    </xf>
    <xf numFmtId="44" fontId="9" fillId="0" borderId="36" xfId="2" applyNumberFormat="1" applyFont="1" applyBorder="1" applyAlignment="1">
      <alignment vertical="center"/>
    </xf>
    <xf numFmtId="0" fontId="10" fillId="0" borderId="0" xfId="0" applyFont="1" applyAlignment="1">
      <alignment vertical="center"/>
    </xf>
    <xf numFmtId="9" fontId="10" fillId="0" borderId="0" xfId="0" applyNumberFormat="1" applyFont="1"/>
    <xf numFmtId="0" fontId="0" fillId="0" borderId="50" xfId="0" applyBorder="1"/>
    <xf numFmtId="0" fontId="0" fillId="0" borderId="51" xfId="0" applyBorder="1"/>
    <xf numFmtId="165" fontId="5" fillId="0" borderId="52" xfId="1" applyNumberFormat="1" applyFont="1" applyBorder="1"/>
    <xf numFmtId="165" fontId="2" fillId="0" borderId="52" xfId="1" applyNumberFormat="1" applyFont="1" applyBorder="1"/>
    <xf numFmtId="43" fontId="10" fillId="0" borderId="28" xfId="1" applyFont="1" applyBorder="1"/>
    <xf numFmtId="44" fontId="10" fillId="0" borderId="29" xfId="2" applyFont="1" applyBorder="1"/>
    <xf numFmtId="43" fontId="10" fillId="0" borderId="29" xfId="1" applyFont="1" applyBorder="1"/>
    <xf numFmtId="44" fontId="10" fillId="0" borderId="30" xfId="2" applyFont="1" applyBorder="1"/>
    <xf numFmtId="44" fontId="10" fillId="0" borderId="39" xfId="2" applyFont="1" applyBorder="1"/>
    <xf numFmtId="165" fontId="10" fillId="0" borderId="27" xfId="1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0" fillId="0" borderId="0" xfId="0" applyFill="1"/>
    <xf numFmtId="0" fontId="0" fillId="0" borderId="0" xfId="0" applyFill="1" applyBorder="1"/>
    <xf numFmtId="0" fontId="2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left"/>
    </xf>
    <xf numFmtId="165" fontId="5" fillId="0" borderId="0" xfId="1" applyNumberFormat="1" applyFont="1" applyFill="1" applyBorder="1"/>
    <xf numFmtId="165" fontId="9" fillId="0" borderId="0" xfId="1" applyNumberFormat="1" applyFont="1" applyFill="1" applyBorder="1"/>
    <xf numFmtId="165" fontId="2" fillId="0" borderId="0" xfId="1" applyNumberFormat="1" applyFont="1" applyFill="1" applyBorder="1"/>
    <xf numFmtId="165" fontId="2" fillId="0" borderId="0" xfId="1" applyNumberFormat="1" applyFont="1" applyFill="1" applyBorder="1" applyAlignment="1">
      <alignment horizontal="right"/>
    </xf>
    <xf numFmtId="165" fontId="4" fillId="0" borderId="0" xfId="1" applyNumberFormat="1" applyFont="1" applyFill="1" applyBorder="1"/>
    <xf numFmtId="165" fontId="3" fillId="0" borderId="0" xfId="0" applyNumberFormat="1" applyFont="1" applyFill="1" applyBorder="1" applyAlignment="1">
      <alignment horizontal="left"/>
    </xf>
    <xf numFmtId="172" fontId="3" fillId="0" borderId="0" xfId="2" applyNumberFormat="1" applyFont="1" applyFill="1" applyBorder="1" applyAlignment="1">
      <alignment horizontal="left"/>
    </xf>
    <xf numFmtId="0" fontId="2" fillId="0" borderId="0" xfId="0" applyFont="1" applyFill="1" applyBorder="1" applyAlignment="1">
      <alignment horizontal="right"/>
    </xf>
    <xf numFmtId="0" fontId="3" fillId="2" borderId="1" xfId="0" applyFont="1" applyFill="1" applyBorder="1" applyAlignment="1">
      <alignment horizontal="right"/>
    </xf>
    <xf numFmtId="44" fontId="10" fillId="0" borderId="0" xfId="2" applyFont="1" applyFill="1" applyBorder="1"/>
    <xf numFmtId="165" fontId="9" fillId="0" borderId="24" xfId="1" applyNumberFormat="1" applyFont="1" applyBorder="1"/>
    <xf numFmtId="0" fontId="13" fillId="2" borderId="22" xfId="0" applyFont="1" applyFill="1" applyBorder="1" applyAlignment="1">
      <alignment horizontal="left"/>
    </xf>
    <xf numFmtId="172" fontId="10" fillId="0" borderId="7" xfId="2" applyNumberFormat="1" applyFont="1" applyBorder="1"/>
    <xf numFmtId="44" fontId="10" fillId="0" borderId="8" xfId="2" applyFont="1" applyBorder="1"/>
    <xf numFmtId="165" fontId="9" fillId="0" borderId="19" xfId="1" applyNumberFormat="1" applyFont="1" applyBorder="1"/>
    <xf numFmtId="172" fontId="14" fillId="0" borderId="0" xfId="2" applyNumberFormat="1" applyFont="1" applyFill="1" applyBorder="1" applyAlignment="1">
      <alignment horizontal="center"/>
    </xf>
    <xf numFmtId="44" fontId="10" fillId="0" borderId="27" xfId="2" applyFont="1" applyBorder="1"/>
    <xf numFmtId="0" fontId="0" fillId="0" borderId="7" xfId="0" applyFill="1" applyBorder="1"/>
    <xf numFmtId="2" fontId="0" fillId="0" borderId="7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0" xfId="1" applyNumberFormat="1" applyFont="1" applyBorder="1" applyAlignment="1">
      <alignment horizontal="center"/>
    </xf>
    <xf numFmtId="2" fontId="11" fillId="0" borderId="0" xfId="1" applyNumberFormat="1" applyFont="1" applyBorder="1" applyAlignment="1">
      <alignment horizontal="center"/>
    </xf>
    <xf numFmtId="2" fontId="10" fillId="0" borderId="0" xfId="1" applyNumberFormat="1" applyFont="1" applyBorder="1" applyAlignment="1">
      <alignment horizontal="center"/>
    </xf>
    <xf numFmtId="2" fontId="5" fillId="0" borderId="0" xfId="1" applyNumberFormat="1" applyFont="1" applyBorder="1" applyAlignment="1">
      <alignment horizontal="center"/>
    </xf>
    <xf numFmtId="0" fontId="4" fillId="0" borderId="0" xfId="0" applyFont="1" applyBorder="1"/>
    <xf numFmtId="165" fontId="5" fillId="0" borderId="5" xfId="1" applyNumberFormat="1" applyFont="1" applyBorder="1" applyAlignment="1">
      <alignment horizontal="right"/>
    </xf>
    <xf numFmtId="0" fontId="6" fillId="0" borderId="29" xfId="0" applyFont="1" applyBorder="1"/>
    <xf numFmtId="165" fontId="5" fillId="0" borderId="5" xfId="1" applyNumberFormat="1" applyFont="1" applyBorder="1"/>
    <xf numFmtId="172" fontId="3" fillId="0" borderId="8" xfId="2" applyNumberFormat="1" applyFont="1" applyFill="1" applyBorder="1" applyAlignment="1">
      <alignment horizontal="left"/>
    </xf>
    <xf numFmtId="2" fontId="0" fillId="0" borderId="8" xfId="1" applyNumberFormat="1" applyFont="1" applyBorder="1" applyAlignment="1">
      <alignment horizontal="center"/>
    </xf>
    <xf numFmtId="14" fontId="0" fillId="0" borderId="32" xfId="0" applyNumberFormat="1" applyBorder="1" applyAlignment="1">
      <alignment horizontal="center"/>
    </xf>
    <xf numFmtId="14" fontId="0" fillId="0" borderId="34" xfId="0" applyNumberFormat="1" applyBorder="1" applyAlignment="1">
      <alignment horizontal="center"/>
    </xf>
    <xf numFmtId="14" fontId="0" fillId="0" borderId="37" xfId="0" applyNumberFormat="1" applyBorder="1" applyAlignment="1">
      <alignment horizontal="center"/>
    </xf>
    <xf numFmtId="165" fontId="0" fillId="0" borderId="28" xfId="1" applyNumberFormat="1" applyFont="1" applyBorder="1"/>
    <xf numFmtId="165" fontId="0" fillId="0" borderId="29" xfId="1" applyNumberFormat="1" applyFont="1" applyBorder="1"/>
    <xf numFmtId="165" fontId="0" fillId="0" borderId="30" xfId="1" applyNumberFormat="1" applyFont="1" applyBorder="1"/>
    <xf numFmtId="0" fontId="15" fillId="0" borderId="0" xfId="0" applyFont="1" applyAlignment="1">
      <alignment vertical="center"/>
    </xf>
    <xf numFmtId="43" fontId="6" fillId="0" borderId="29" xfId="0" applyNumberFormat="1" applyFont="1" applyBorder="1"/>
    <xf numFmtId="165" fontId="6" fillId="0" borderId="29" xfId="0" applyNumberFormat="1" applyFont="1" applyBorder="1"/>
    <xf numFmtId="165" fontId="4" fillId="0" borderId="36" xfId="1" applyNumberFormat="1" applyFont="1" applyBorder="1" applyAlignment="1">
      <alignment vertical="center"/>
    </xf>
    <xf numFmtId="0" fontId="0" fillId="0" borderId="27" xfId="0" applyBorder="1" applyAlignment="1">
      <alignment horizontal="right"/>
    </xf>
    <xf numFmtId="165" fontId="2" fillId="0" borderId="0" xfId="0" applyNumberFormat="1" applyFont="1" applyBorder="1"/>
    <xf numFmtId="0" fontId="2" fillId="0" borderId="0" xfId="0" quotePrefix="1" applyFont="1" applyBorder="1" applyAlignment="1">
      <alignment horizontal="right"/>
    </xf>
    <xf numFmtId="0" fontId="6" fillId="0" borderId="1" xfId="0" applyFont="1" applyBorder="1"/>
    <xf numFmtId="43" fontId="6" fillId="0" borderId="31" xfId="0" applyNumberFormat="1" applyFont="1" applyBorder="1"/>
    <xf numFmtId="43" fontId="6" fillId="0" borderId="4" xfId="1" applyFont="1" applyBorder="1"/>
    <xf numFmtId="0" fontId="6" fillId="0" borderId="7" xfId="0" applyFont="1" applyBorder="1"/>
    <xf numFmtId="0" fontId="6" fillId="0" borderId="28" xfId="0" applyFont="1" applyBorder="1"/>
    <xf numFmtId="0" fontId="6" fillId="0" borderId="5" xfId="0" applyFont="1" applyBorder="1"/>
    <xf numFmtId="0" fontId="6" fillId="0" borderId="0" xfId="0" applyFont="1" applyBorder="1" applyAlignment="1">
      <alignment horizontal="center" vertical="center"/>
    </xf>
    <xf numFmtId="0" fontId="2" fillId="0" borderId="15" xfId="0" applyFont="1" applyBorder="1"/>
    <xf numFmtId="0" fontId="6" fillId="0" borderId="2" xfId="0" applyFont="1" applyBorder="1" applyAlignment="1">
      <alignment vertical="center"/>
    </xf>
    <xf numFmtId="165" fontId="6" fillId="0" borderId="2" xfId="1" applyNumberFormat="1" applyFont="1" applyBorder="1" applyAlignment="1">
      <alignment vertical="center"/>
    </xf>
    <xf numFmtId="0" fontId="6" fillId="0" borderId="2" xfId="0" applyFont="1" applyBorder="1"/>
    <xf numFmtId="3" fontId="6" fillId="0" borderId="53" xfId="1" applyNumberFormat="1" applyFont="1" applyBorder="1" applyAlignment="1">
      <alignment horizontal="center" vertical="center"/>
    </xf>
    <xf numFmtId="0" fontId="2" fillId="0" borderId="54" xfId="0" applyFont="1" applyBorder="1"/>
    <xf numFmtId="0" fontId="6" fillId="0" borderId="55" xfId="0" applyFont="1" applyBorder="1" applyAlignment="1">
      <alignment vertical="center"/>
    </xf>
    <xf numFmtId="165" fontId="6" fillId="0" borderId="55" xfId="1" applyNumberFormat="1" applyFont="1" applyBorder="1" applyAlignment="1">
      <alignment vertical="center"/>
    </xf>
    <xf numFmtId="0" fontId="6" fillId="0" borderId="55" xfId="0" applyFont="1" applyBorder="1"/>
    <xf numFmtId="3" fontId="6" fillId="0" borderId="56" xfId="0" applyNumberFormat="1" applyFont="1" applyBorder="1" applyAlignment="1">
      <alignment horizontal="center"/>
    </xf>
    <xf numFmtId="0" fontId="6" fillId="0" borderId="0" xfId="0" applyFont="1" applyBorder="1" applyAlignment="1">
      <alignment vertical="center"/>
    </xf>
    <xf numFmtId="0" fontId="6" fillId="0" borderId="54" xfId="0" applyFont="1" applyBorder="1"/>
    <xf numFmtId="0" fontId="6" fillId="0" borderId="56" xfId="0" applyFont="1" applyBorder="1"/>
    <xf numFmtId="0" fontId="6" fillId="0" borderId="8" xfId="0" applyFont="1" applyBorder="1" applyAlignment="1">
      <alignment vertical="center"/>
    </xf>
    <xf numFmtId="165" fontId="6" fillId="0" borderId="36" xfId="1" applyNumberFormat="1" applyFont="1" applyBorder="1" applyAlignment="1">
      <alignment vertical="center"/>
    </xf>
    <xf numFmtId="3" fontId="6" fillId="0" borderId="30" xfId="1" applyNumberFormat="1" applyFont="1" applyBorder="1" applyAlignment="1">
      <alignment horizontal="center" vertical="center"/>
    </xf>
    <xf numFmtId="6" fontId="2" fillId="0" borderId="39" xfId="0" quotePrefix="1" applyNumberFormat="1" applyFont="1" applyBorder="1" applyAlignment="1">
      <alignment horizontal="center"/>
    </xf>
    <xf numFmtId="0" fontId="2" fillId="0" borderId="49" xfId="0" applyFont="1" applyBorder="1" applyAlignment="1">
      <alignment horizontal="center"/>
    </xf>
    <xf numFmtId="0" fontId="2" fillId="0" borderId="32" xfId="0" applyFont="1" applyBorder="1" applyAlignment="1">
      <alignment horizontal="center"/>
    </xf>
    <xf numFmtId="3" fontId="2" fillId="0" borderId="36" xfId="1" applyNumberFormat="1" applyFont="1" applyBorder="1" applyAlignment="1">
      <alignment horizontal="center" vertical="center"/>
    </xf>
    <xf numFmtId="3" fontId="2" fillId="0" borderId="37" xfId="1" applyNumberFormat="1" applyFont="1" applyBorder="1" applyAlignment="1">
      <alignment horizontal="center" vertical="center"/>
    </xf>
    <xf numFmtId="0" fontId="6" fillId="0" borderId="57" xfId="0" applyFont="1" applyBorder="1"/>
    <xf numFmtId="0" fontId="6" fillId="0" borderId="58" xfId="0" applyFont="1" applyBorder="1"/>
    <xf numFmtId="0" fontId="6" fillId="0" borderId="58" xfId="0" applyFont="1" applyBorder="1" applyAlignment="1">
      <alignment horizontal="center"/>
    </xf>
    <xf numFmtId="43" fontId="6" fillId="0" borderId="58" xfId="0" applyNumberFormat="1" applyFont="1" applyBorder="1" applyAlignment="1">
      <alignment horizontal="center"/>
    </xf>
    <xf numFmtId="43" fontId="6" fillId="0" borderId="58" xfId="1" applyFont="1" applyBorder="1" applyAlignment="1">
      <alignment horizontal="center"/>
    </xf>
    <xf numFmtId="43" fontId="6" fillId="0" borderId="58" xfId="1" applyNumberFormat="1" applyFont="1" applyBorder="1"/>
    <xf numFmtId="43" fontId="6" fillId="0" borderId="58" xfId="1" applyFont="1" applyBorder="1" applyAlignment="1">
      <alignment horizontal="right"/>
    </xf>
    <xf numFmtId="165" fontId="6" fillId="0" borderId="58" xfId="1" applyNumberFormat="1" applyFont="1" applyBorder="1"/>
    <xf numFmtId="165" fontId="6" fillId="0" borderId="41" xfId="1" applyNumberFormat="1" applyFont="1" applyBorder="1"/>
    <xf numFmtId="0" fontId="6" fillId="0" borderId="41" xfId="0" applyFont="1" applyBorder="1"/>
    <xf numFmtId="165" fontId="6" fillId="0" borderId="0" xfId="1" applyNumberFormat="1" applyFont="1"/>
    <xf numFmtId="0" fontId="2" fillId="0" borderId="4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59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60" xfId="0" applyFont="1" applyBorder="1" applyAlignment="1">
      <alignment horizontal="center" vertical="center"/>
    </xf>
    <xf numFmtId="3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6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17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18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19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213260455996472"/>
          <c:y val="7.9772468176358025E-2"/>
          <c:w val="0.87500196345152803"/>
          <c:h val="0.72365024702839076"/>
        </c:manualLayout>
      </c:layout>
      <c:areaChart>
        <c:grouping val="stacked"/>
        <c:varyColors val="0"/>
        <c:ser>
          <c:idx val="0"/>
          <c:order val="0"/>
          <c:tx>
            <c:v>FIXED COSTS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FINANCE!$C$13:$C$28</c:f>
              <c:numCache>
                <c:formatCode>#,##0</c:formatCode>
                <c:ptCount val="16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2000</c:v>
                </c:pt>
                <c:pt idx="12">
                  <c:v>2500</c:v>
                </c:pt>
                <c:pt idx="13">
                  <c:v>3000</c:v>
                </c:pt>
                <c:pt idx="14">
                  <c:v>3500</c:v>
                </c:pt>
                <c:pt idx="15">
                  <c:v>4000</c:v>
                </c:pt>
              </c:numCache>
            </c:numRef>
          </c:cat>
          <c:val>
            <c:numRef>
              <c:f>FINANCE!$D$13:$D$28</c:f>
              <c:numCache>
                <c:formatCode>#,##0</c:formatCode>
                <c:ptCount val="16"/>
                <c:pt idx="0">
                  <c:v>85.966621861173635</c:v>
                </c:pt>
                <c:pt idx="1">
                  <c:v>71.638851550978018</c:v>
                </c:pt>
                <c:pt idx="2">
                  <c:v>61.404729900838312</c:v>
                </c:pt>
                <c:pt idx="3">
                  <c:v>53.72913866323352</c:v>
                </c:pt>
                <c:pt idx="4">
                  <c:v>47.759234367318683</c:v>
                </c:pt>
                <c:pt idx="5">
                  <c:v>42.983310930586818</c:v>
                </c:pt>
                <c:pt idx="6">
                  <c:v>39.075737209624371</c:v>
                </c:pt>
                <c:pt idx="7">
                  <c:v>35.819425775489009</c:v>
                </c:pt>
                <c:pt idx="8">
                  <c:v>33.064085331220625</c:v>
                </c:pt>
                <c:pt idx="9">
                  <c:v>30.702364950419156</c:v>
                </c:pt>
                <c:pt idx="10">
                  <c:v>28.655540620391211</c:v>
                </c:pt>
                <c:pt idx="11">
                  <c:v>21.491655465293409</c:v>
                </c:pt>
                <c:pt idx="12">
                  <c:v>17.193324372234724</c:v>
                </c:pt>
                <c:pt idx="13">
                  <c:v>14.327770310195605</c:v>
                </c:pt>
                <c:pt idx="14">
                  <c:v>12.280945980167662</c:v>
                </c:pt>
                <c:pt idx="15">
                  <c:v>10.745827732646704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2F-4E7C-AAB1-809AD2BC7287}"/>
            </c:ext>
          </c:extLst>
        </c:ser>
        <c:ser>
          <c:idx val="1"/>
          <c:order val="1"/>
          <c:tx>
            <c:v>VARIABLE COST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FINANCE!$C$13:$C$28</c:f>
              <c:numCache>
                <c:formatCode>#,##0</c:formatCode>
                <c:ptCount val="16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2000</c:v>
                </c:pt>
                <c:pt idx="12">
                  <c:v>2500</c:v>
                </c:pt>
                <c:pt idx="13">
                  <c:v>3000</c:v>
                </c:pt>
                <c:pt idx="14">
                  <c:v>3500</c:v>
                </c:pt>
                <c:pt idx="15">
                  <c:v>4000</c:v>
                </c:pt>
              </c:numCache>
            </c:numRef>
          </c:cat>
          <c:val>
            <c:numRef>
              <c:f>FINANCE!$F$13:$F$28</c:f>
              <c:numCache>
                <c:formatCode>_(* #,##0.00_);_(* \(#,##0.00\);_(* "-"??_);_(@_)</c:formatCode>
                <c:ptCount val="16"/>
                <c:pt idx="0">
                  <c:v>23.75815814469944</c:v>
                </c:pt>
                <c:pt idx="1">
                  <c:v>23.75815814469944</c:v>
                </c:pt>
                <c:pt idx="2">
                  <c:v>23.75815814469944</c:v>
                </c:pt>
                <c:pt idx="3">
                  <c:v>23.75815814469944</c:v>
                </c:pt>
                <c:pt idx="4">
                  <c:v>23.75815814469944</c:v>
                </c:pt>
                <c:pt idx="5">
                  <c:v>23.75815814469944</c:v>
                </c:pt>
                <c:pt idx="6">
                  <c:v>23.75815814469944</c:v>
                </c:pt>
                <c:pt idx="7">
                  <c:v>23.75815814469944</c:v>
                </c:pt>
                <c:pt idx="8">
                  <c:v>23.75815814469944</c:v>
                </c:pt>
                <c:pt idx="9">
                  <c:v>23.75815814469944</c:v>
                </c:pt>
                <c:pt idx="10">
                  <c:v>23.75815814469944</c:v>
                </c:pt>
                <c:pt idx="11">
                  <c:v>23.75815814469944</c:v>
                </c:pt>
                <c:pt idx="12">
                  <c:v>23.75815814469944</c:v>
                </c:pt>
                <c:pt idx="13">
                  <c:v>23.75815814469944</c:v>
                </c:pt>
                <c:pt idx="14">
                  <c:v>23.75815814469944</c:v>
                </c:pt>
                <c:pt idx="15">
                  <c:v>23.75815814469944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2F-4E7C-AAB1-809AD2BC72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584496"/>
        <c:axId val="1"/>
      </c:areaChart>
      <c:catAx>
        <c:axId val="185584496"/>
        <c:scaling>
          <c:orientation val="minMax"/>
        </c:scaling>
        <c:delete val="0"/>
        <c:axPos val="b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58449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57720717757096585"/>
          <c:y val="0.21367625404381616"/>
          <c:w val="0.25367703982418244"/>
          <c:h val="0.133903785867458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image" Target="../media/image2.emf"/><Relationship Id="rId1" Type="http://schemas.openxmlformats.org/officeDocument/2006/relationships/image" Target="../media/image3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9.emf"/><Relationship Id="rId3" Type="http://schemas.openxmlformats.org/officeDocument/2006/relationships/image" Target="../media/image12.emf"/><Relationship Id="rId7" Type="http://schemas.openxmlformats.org/officeDocument/2006/relationships/image" Target="../media/image6.emf"/><Relationship Id="rId2" Type="http://schemas.openxmlformats.org/officeDocument/2006/relationships/image" Target="../media/image13.emf"/><Relationship Id="rId1" Type="http://schemas.openxmlformats.org/officeDocument/2006/relationships/image" Target="../media/image14.emf"/><Relationship Id="rId6" Type="http://schemas.openxmlformats.org/officeDocument/2006/relationships/image" Target="../media/image10.emf"/><Relationship Id="rId11" Type="http://schemas.openxmlformats.org/officeDocument/2006/relationships/image" Target="../media/image4.emf"/><Relationship Id="rId5" Type="http://schemas.openxmlformats.org/officeDocument/2006/relationships/image" Target="../media/image7.emf"/><Relationship Id="rId10" Type="http://schemas.openxmlformats.org/officeDocument/2006/relationships/image" Target="../media/image5.emf"/><Relationship Id="rId4" Type="http://schemas.openxmlformats.org/officeDocument/2006/relationships/image" Target="../media/image11.emf"/><Relationship Id="rId9" Type="http://schemas.openxmlformats.org/officeDocument/2006/relationships/image" Target="../media/image8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2095500</xdr:colOff>
          <xdr:row>9</xdr:row>
          <xdr:rowOff>15240</xdr:rowOff>
        </xdr:from>
        <xdr:to>
          <xdr:col>2</xdr:col>
          <xdr:colOff>2720340</xdr:colOff>
          <xdr:row>9</xdr:row>
          <xdr:rowOff>205740</xdr:rowOff>
        </xdr:to>
        <xdr:sp macro="" textlink="">
          <xdr:nvSpPr>
            <xdr:cNvPr id="2051" name="CommandButton1" hidden="1">
              <a:extLst>
                <a:ext uri="{63B3BB69-23CF-44E3-9099-C40C66FF867C}">
                  <a14:compatExt spid="_x0000_s2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2103120</xdr:colOff>
          <xdr:row>3</xdr:row>
          <xdr:rowOff>15240</xdr:rowOff>
        </xdr:from>
        <xdr:to>
          <xdr:col>2</xdr:col>
          <xdr:colOff>2735580</xdr:colOff>
          <xdr:row>6</xdr:row>
          <xdr:rowOff>198120</xdr:rowOff>
        </xdr:to>
        <xdr:sp macro="" textlink="">
          <xdr:nvSpPr>
            <xdr:cNvPr id="2054" name="CommandButton2" hidden="1">
              <a:extLst>
                <a:ext uri="{63B3BB69-23CF-44E3-9099-C40C66FF867C}">
                  <a14:compatExt spid="_x0000_s20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2095500</xdr:colOff>
          <xdr:row>23</xdr:row>
          <xdr:rowOff>7620</xdr:rowOff>
        </xdr:from>
        <xdr:to>
          <xdr:col>2</xdr:col>
          <xdr:colOff>2720340</xdr:colOff>
          <xdr:row>23</xdr:row>
          <xdr:rowOff>198120</xdr:rowOff>
        </xdr:to>
        <xdr:sp macro="" textlink="">
          <xdr:nvSpPr>
            <xdr:cNvPr id="2055" name="CommandButton3" hidden="1">
              <a:extLst>
                <a:ext uri="{63B3BB69-23CF-44E3-9099-C40C66FF867C}">
                  <a14:compatExt spid="_x0000_s20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</xdr:row>
          <xdr:rowOff>198120</xdr:rowOff>
        </xdr:from>
        <xdr:to>
          <xdr:col>3</xdr:col>
          <xdr:colOff>68580</xdr:colOff>
          <xdr:row>3</xdr:row>
          <xdr:rowOff>213360</xdr:rowOff>
        </xdr:to>
        <xdr:sp macro="" textlink="">
          <xdr:nvSpPr>
            <xdr:cNvPr id="1025" name="ComboBox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</xdr:colOff>
          <xdr:row>8</xdr:row>
          <xdr:rowOff>198120</xdr:rowOff>
        </xdr:from>
        <xdr:to>
          <xdr:col>3</xdr:col>
          <xdr:colOff>68580</xdr:colOff>
          <xdr:row>10</xdr:row>
          <xdr:rowOff>0</xdr:rowOff>
        </xdr:to>
        <xdr:sp macro="" textlink="">
          <xdr:nvSpPr>
            <xdr:cNvPr id="1028" name="ComboBox2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</xdr:colOff>
          <xdr:row>9</xdr:row>
          <xdr:rowOff>0</xdr:rowOff>
        </xdr:from>
        <xdr:to>
          <xdr:col>5</xdr:col>
          <xdr:colOff>38100</xdr:colOff>
          <xdr:row>10</xdr:row>
          <xdr:rowOff>0</xdr:rowOff>
        </xdr:to>
        <xdr:sp macro="" textlink="">
          <xdr:nvSpPr>
            <xdr:cNvPr id="1029" name="ComboBox3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12</xdr:row>
          <xdr:rowOff>0</xdr:rowOff>
        </xdr:from>
        <xdr:to>
          <xdr:col>5</xdr:col>
          <xdr:colOff>0</xdr:colOff>
          <xdr:row>12</xdr:row>
          <xdr:rowOff>213360</xdr:rowOff>
        </xdr:to>
        <xdr:sp macro="" textlink="">
          <xdr:nvSpPr>
            <xdr:cNvPr id="1030" name="ComboBox4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266700</xdr:colOff>
          <xdr:row>14</xdr:row>
          <xdr:rowOff>198120</xdr:rowOff>
        </xdr:from>
        <xdr:to>
          <xdr:col>2</xdr:col>
          <xdr:colOff>586740</xdr:colOff>
          <xdr:row>16</xdr:row>
          <xdr:rowOff>0</xdr:rowOff>
        </xdr:to>
        <xdr:sp macro="" textlink="">
          <xdr:nvSpPr>
            <xdr:cNvPr id="1033" name="CheckBox1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198120</xdr:colOff>
          <xdr:row>6</xdr:row>
          <xdr:rowOff>0</xdr:rowOff>
        </xdr:from>
        <xdr:to>
          <xdr:col>2</xdr:col>
          <xdr:colOff>579120</xdr:colOff>
          <xdr:row>7</xdr:row>
          <xdr:rowOff>0</xdr:rowOff>
        </xdr:to>
        <xdr:sp macro="" textlink="">
          <xdr:nvSpPr>
            <xdr:cNvPr id="1053" name="CheckBox2" hidden="1">
              <a:extLst>
                <a:ext uri="{63B3BB69-23CF-44E3-9099-C40C66FF867C}">
                  <a14:compatExt spid="_x0000_s10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243840</xdr:colOff>
          <xdr:row>20</xdr:row>
          <xdr:rowOff>198120</xdr:rowOff>
        </xdr:from>
        <xdr:to>
          <xdr:col>2</xdr:col>
          <xdr:colOff>563880</xdr:colOff>
          <xdr:row>22</xdr:row>
          <xdr:rowOff>0</xdr:rowOff>
        </xdr:to>
        <xdr:sp macro="" textlink="">
          <xdr:nvSpPr>
            <xdr:cNvPr id="1064" name="CheckBox3" hidden="1">
              <a:extLst>
                <a:ext uri="{63B3BB69-23CF-44E3-9099-C40C66FF867C}">
                  <a14:compatExt spid="_x0000_s10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251460</xdr:colOff>
          <xdr:row>23</xdr:row>
          <xdr:rowOff>198120</xdr:rowOff>
        </xdr:from>
        <xdr:to>
          <xdr:col>2</xdr:col>
          <xdr:colOff>579120</xdr:colOff>
          <xdr:row>25</xdr:row>
          <xdr:rowOff>0</xdr:rowOff>
        </xdr:to>
        <xdr:sp macro="" textlink="">
          <xdr:nvSpPr>
            <xdr:cNvPr id="1070" name="CheckBox4" hidden="1">
              <a:extLst>
                <a:ext uri="{63B3BB69-23CF-44E3-9099-C40C66FF867C}">
                  <a14:compatExt spid="_x0000_s10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281940</xdr:colOff>
          <xdr:row>26</xdr:row>
          <xdr:rowOff>198120</xdr:rowOff>
        </xdr:from>
        <xdr:to>
          <xdr:col>4</xdr:col>
          <xdr:colOff>609600</xdr:colOff>
          <xdr:row>28</xdr:row>
          <xdr:rowOff>0</xdr:rowOff>
        </xdr:to>
        <xdr:sp macro="" textlink="">
          <xdr:nvSpPr>
            <xdr:cNvPr id="1071" name="CheckBox5" hidden="1">
              <a:extLst>
                <a:ext uri="{63B3BB69-23CF-44E3-9099-C40C66FF867C}">
                  <a14:compatExt spid="_x0000_s10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281940</xdr:colOff>
          <xdr:row>32</xdr:row>
          <xdr:rowOff>190500</xdr:rowOff>
        </xdr:from>
        <xdr:to>
          <xdr:col>4</xdr:col>
          <xdr:colOff>609600</xdr:colOff>
          <xdr:row>33</xdr:row>
          <xdr:rowOff>213360</xdr:rowOff>
        </xdr:to>
        <xdr:sp macro="" textlink="">
          <xdr:nvSpPr>
            <xdr:cNvPr id="1118" name="CheckBox6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251460</xdr:colOff>
          <xdr:row>11</xdr:row>
          <xdr:rowOff>198120</xdr:rowOff>
        </xdr:from>
        <xdr:to>
          <xdr:col>2</xdr:col>
          <xdr:colOff>579120</xdr:colOff>
          <xdr:row>13</xdr:row>
          <xdr:rowOff>0</xdr:rowOff>
        </xdr:to>
        <xdr:sp macro="" textlink="">
          <xdr:nvSpPr>
            <xdr:cNvPr id="1124" name="CheckBox7" hidden="1">
              <a:extLst>
                <a:ext uri="{63B3BB69-23CF-44E3-9099-C40C66FF867C}">
                  <a14:compatExt spid="_x0000_s1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998220</xdr:colOff>
          <xdr:row>4</xdr:row>
          <xdr:rowOff>15240</xdr:rowOff>
        </xdr:from>
        <xdr:to>
          <xdr:col>1</xdr:col>
          <xdr:colOff>1714500</xdr:colOff>
          <xdr:row>6</xdr:row>
          <xdr:rowOff>213360</xdr:rowOff>
        </xdr:to>
        <xdr:sp macro="" textlink="">
          <xdr:nvSpPr>
            <xdr:cNvPr id="1159" name="CommandButton1" hidden="1">
              <a:extLst>
                <a:ext uri="{63B3BB69-23CF-44E3-9099-C40C66FF867C}">
                  <a14:compatExt spid="_x0000_s11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281940</xdr:colOff>
          <xdr:row>29</xdr:row>
          <xdr:rowOff>182880</xdr:rowOff>
        </xdr:from>
        <xdr:to>
          <xdr:col>4</xdr:col>
          <xdr:colOff>609600</xdr:colOff>
          <xdr:row>30</xdr:row>
          <xdr:rowOff>198120</xdr:rowOff>
        </xdr:to>
        <xdr:sp macro="" textlink="">
          <xdr:nvSpPr>
            <xdr:cNvPr id="1182" name="CheckBox8" hidden="1">
              <a:extLst>
                <a:ext uri="{63B3BB69-23CF-44E3-9099-C40C66FF867C}">
                  <a14:compatExt spid="_x0000_s11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236220</xdr:colOff>
          <xdr:row>17</xdr:row>
          <xdr:rowOff>190500</xdr:rowOff>
        </xdr:from>
        <xdr:to>
          <xdr:col>2</xdr:col>
          <xdr:colOff>556260</xdr:colOff>
          <xdr:row>18</xdr:row>
          <xdr:rowOff>213360</xdr:rowOff>
        </xdr:to>
        <xdr:sp macro="" textlink="">
          <xdr:nvSpPr>
            <xdr:cNvPr id="1261" name="CheckBox9" hidden="1">
              <a:extLst>
                <a:ext uri="{63B3BB69-23CF-44E3-9099-C40C66FF867C}">
                  <a14:compatExt spid="_x0000_s12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358140</xdr:colOff>
          <xdr:row>0</xdr:row>
          <xdr:rowOff>152400</xdr:rowOff>
        </xdr:from>
        <xdr:to>
          <xdr:col>4</xdr:col>
          <xdr:colOff>495300</xdr:colOff>
          <xdr:row>0</xdr:row>
          <xdr:rowOff>457200</xdr:rowOff>
        </xdr:to>
        <xdr:sp macro="" textlink="">
          <xdr:nvSpPr>
            <xdr:cNvPr id="1277" name="OptionButton1" hidden="1">
              <a:extLst>
                <a:ext uri="{63B3BB69-23CF-44E3-9099-C40C66FF867C}">
                  <a14:compatExt spid="_x0000_s12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510540</xdr:colOff>
          <xdr:row>0</xdr:row>
          <xdr:rowOff>160020</xdr:rowOff>
        </xdr:from>
        <xdr:to>
          <xdr:col>5</xdr:col>
          <xdr:colOff>266700</xdr:colOff>
          <xdr:row>0</xdr:row>
          <xdr:rowOff>434340</xdr:rowOff>
        </xdr:to>
        <xdr:sp macro="" textlink="">
          <xdr:nvSpPr>
            <xdr:cNvPr id="1278" name="OptionButton2" hidden="1">
              <a:extLst>
                <a:ext uri="{63B3BB69-23CF-44E3-9099-C40C66FF867C}">
                  <a14:compatExt spid="_x0000_s12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</xdr:colOff>
      <xdr:row>28</xdr:row>
      <xdr:rowOff>0</xdr:rowOff>
    </xdr:from>
    <xdr:to>
      <xdr:col>5</xdr:col>
      <xdr:colOff>822960</xdr:colOff>
      <xdr:row>43</xdr:row>
      <xdr:rowOff>152400</xdr:rowOff>
    </xdr:to>
    <xdr:graphicFrame macro="">
      <xdr:nvGraphicFramePr>
        <xdr:cNvPr id="409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6.xml"/><Relationship Id="rId13" Type="http://schemas.openxmlformats.org/officeDocument/2006/relationships/image" Target="../media/image8.emf"/><Relationship Id="rId18" Type="http://schemas.openxmlformats.org/officeDocument/2006/relationships/control" Target="../activeX/activeX12.xml"/><Relationship Id="rId26" Type="http://schemas.openxmlformats.org/officeDocument/2006/relationships/image" Target="../media/image12.emf"/><Relationship Id="rId3" Type="http://schemas.openxmlformats.org/officeDocument/2006/relationships/vmlDrawing" Target="../drawings/vmlDrawing2.vml"/><Relationship Id="rId21" Type="http://schemas.openxmlformats.org/officeDocument/2006/relationships/image" Target="../media/image10.emf"/><Relationship Id="rId7" Type="http://schemas.openxmlformats.org/officeDocument/2006/relationships/image" Target="../media/image5.emf"/><Relationship Id="rId12" Type="http://schemas.openxmlformats.org/officeDocument/2006/relationships/control" Target="../activeX/activeX8.xml"/><Relationship Id="rId17" Type="http://schemas.openxmlformats.org/officeDocument/2006/relationships/control" Target="../activeX/activeX11.xml"/><Relationship Id="rId25" Type="http://schemas.openxmlformats.org/officeDocument/2006/relationships/control" Target="../activeX/activeX17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10.xml"/><Relationship Id="rId20" Type="http://schemas.openxmlformats.org/officeDocument/2006/relationships/control" Target="../activeX/activeX14.xml"/><Relationship Id="rId29" Type="http://schemas.openxmlformats.org/officeDocument/2006/relationships/control" Target="../activeX/activeX19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5.xml"/><Relationship Id="rId11" Type="http://schemas.openxmlformats.org/officeDocument/2006/relationships/image" Target="../media/image7.emf"/><Relationship Id="rId24" Type="http://schemas.openxmlformats.org/officeDocument/2006/relationships/image" Target="../media/image11.emf"/><Relationship Id="rId5" Type="http://schemas.openxmlformats.org/officeDocument/2006/relationships/image" Target="../media/image4.emf"/><Relationship Id="rId15" Type="http://schemas.openxmlformats.org/officeDocument/2006/relationships/image" Target="../media/image9.emf"/><Relationship Id="rId23" Type="http://schemas.openxmlformats.org/officeDocument/2006/relationships/control" Target="../activeX/activeX16.xml"/><Relationship Id="rId28" Type="http://schemas.openxmlformats.org/officeDocument/2006/relationships/image" Target="../media/image13.emf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3.xml"/><Relationship Id="rId4" Type="http://schemas.openxmlformats.org/officeDocument/2006/relationships/control" Target="../activeX/activeX4.xml"/><Relationship Id="rId9" Type="http://schemas.openxmlformats.org/officeDocument/2006/relationships/image" Target="../media/image6.emf"/><Relationship Id="rId14" Type="http://schemas.openxmlformats.org/officeDocument/2006/relationships/control" Target="../activeX/activeX9.xml"/><Relationship Id="rId22" Type="http://schemas.openxmlformats.org/officeDocument/2006/relationships/control" Target="../activeX/activeX15.xml"/><Relationship Id="rId27" Type="http://schemas.openxmlformats.org/officeDocument/2006/relationships/control" Target="../activeX/activeX18.xml"/><Relationship Id="rId30" Type="http://schemas.openxmlformats.org/officeDocument/2006/relationships/image" Target="../media/image14.emf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>
    <pageSetUpPr fitToPage="1"/>
  </sheetPr>
  <dimension ref="A1:BD399"/>
  <sheetViews>
    <sheetView showGridLines="0" topLeftCell="A2" zoomScale="75" workbookViewId="0">
      <selection activeCell="D4" sqref="D4"/>
    </sheetView>
  </sheetViews>
  <sheetFormatPr defaultRowHeight="13.2" x14ac:dyDescent="0.25"/>
  <cols>
    <col min="1" max="1" width="2.44140625" customWidth="1"/>
    <col min="2" max="2" width="4" customWidth="1"/>
    <col min="3" max="3" width="41.88671875" customWidth="1"/>
    <col min="4" max="5" width="12.33203125" customWidth="1"/>
    <col min="6" max="6" width="7.109375" customWidth="1"/>
    <col min="7" max="7" width="4.5546875" customWidth="1"/>
    <col min="8" max="8" width="29.44140625" customWidth="1"/>
    <col min="9" max="9" width="10.5546875" customWidth="1"/>
    <col min="10" max="10" width="24.5546875" customWidth="1"/>
    <col min="11" max="11" width="4" customWidth="1"/>
    <col min="12" max="12" width="14.33203125" customWidth="1"/>
    <col min="13" max="13" width="7.88671875" customWidth="1"/>
    <col min="14" max="14" width="10.33203125" bestFit="1" customWidth="1"/>
    <col min="16" max="16" width="10.33203125" bestFit="1" customWidth="1"/>
    <col min="55" max="55" width="14.88671875" bestFit="1" customWidth="1"/>
  </cols>
  <sheetData>
    <row r="1" spans="2:56" ht="29.25" customHeight="1" x14ac:dyDescent="0.25">
      <c r="B1" s="120" t="s">
        <v>120</v>
      </c>
    </row>
    <row r="2" spans="2:56" ht="17.25" customHeight="1" thickBot="1" x14ac:dyDescent="0.3">
      <c r="D2" s="59"/>
      <c r="E2" s="59"/>
      <c r="F2" s="59"/>
      <c r="G2" s="59"/>
      <c r="H2" s="59"/>
      <c r="I2" s="59"/>
      <c r="J2" s="59"/>
      <c r="K2" s="59"/>
      <c r="L2" s="59"/>
    </row>
    <row r="3" spans="2:56" ht="17.25" customHeight="1" thickBot="1" x14ac:dyDescent="0.3">
      <c r="B3" s="99" t="s">
        <v>137</v>
      </c>
      <c r="C3" s="100"/>
      <c r="D3" s="101"/>
      <c r="E3" s="102"/>
      <c r="F3" s="59"/>
      <c r="G3" s="99" t="s">
        <v>128</v>
      </c>
      <c r="H3" s="100"/>
      <c r="I3" s="101"/>
      <c r="J3" s="102"/>
      <c r="K3" s="59"/>
      <c r="L3" s="59"/>
      <c r="AZ3" s="59"/>
    </row>
    <row r="4" spans="2:56" ht="17.25" customHeight="1" x14ac:dyDescent="0.25">
      <c r="C4" s="111" t="s">
        <v>121</v>
      </c>
      <c r="D4" s="126">
        <v>1200</v>
      </c>
      <c r="E4" s="103" t="s">
        <v>129</v>
      </c>
      <c r="F4" s="59"/>
      <c r="H4" s="111" t="s">
        <v>126</v>
      </c>
      <c r="I4" s="268">
        <v>50</v>
      </c>
      <c r="J4" s="103" t="s">
        <v>167</v>
      </c>
      <c r="K4" s="59"/>
      <c r="L4" s="258" t="s">
        <v>262</v>
      </c>
      <c r="AZ4" s="59"/>
    </row>
    <row r="5" spans="2:56" ht="17.25" customHeight="1" x14ac:dyDescent="0.25">
      <c r="C5" s="104" t="s">
        <v>122</v>
      </c>
      <c r="D5" s="315" t="str">
        <f>IF(PROJECTCONFIGURATION!A1,"ISO","95*")</f>
        <v>95*</v>
      </c>
      <c r="E5" s="105" t="s">
        <v>346</v>
      </c>
      <c r="F5" s="59"/>
      <c r="G5" s="76"/>
      <c r="H5" s="104" t="s">
        <v>342</v>
      </c>
      <c r="I5" s="291">
        <v>18</v>
      </c>
      <c r="J5" s="105" t="s">
        <v>167</v>
      </c>
      <c r="K5" s="59"/>
      <c r="L5" s="59"/>
    </row>
    <row r="6" spans="2:56" ht="17.25" customHeight="1" x14ac:dyDescent="0.25">
      <c r="B6" s="76"/>
      <c r="C6" s="104" t="s">
        <v>124</v>
      </c>
      <c r="D6" s="96">
        <f>+IF(PROJECTCONFIGURATION!A1,'OPERATIONAL CHARACTERISTICS'!$E$12,'OPERATIONAL CHARACTERISTICS'!$F$12)*PROJECTCONFIGURATION!$B$65</f>
        <v>273.50399999999996</v>
      </c>
      <c r="E6" s="105" t="s">
        <v>130</v>
      </c>
      <c r="F6" s="59"/>
      <c r="G6" s="76"/>
      <c r="H6" s="104" t="s">
        <v>125</v>
      </c>
      <c r="I6" s="291">
        <f>SOURCEDATA!$D$72</f>
        <v>0.53770212765957448</v>
      </c>
      <c r="J6" s="105" t="s">
        <v>127</v>
      </c>
      <c r="K6" s="59"/>
      <c r="L6" s="258" t="s">
        <v>262</v>
      </c>
    </row>
    <row r="7" spans="2:56" ht="17.25" customHeight="1" thickBot="1" x14ac:dyDescent="0.3">
      <c r="B7" s="76"/>
      <c r="C7" s="106" t="s">
        <v>123</v>
      </c>
      <c r="D7" s="107">
        <f>+IF(PROJECTCONFIGURATION!A1,'OPERATIONAL CHARACTERISTICS'!$E$14,'OPERATIONAL CHARACTERISTICS'!$F$14)</f>
        <v>9332.002457002458</v>
      </c>
      <c r="E7" s="108" t="s">
        <v>131</v>
      </c>
      <c r="F7" s="59"/>
      <c r="G7" s="76"/>
      <c r="H7" s="147" t="s">
        <v>168</v>
      </c>
      <c r="I7" s="146">
        <f>+I6+(I5/'OPERATIONAL CHARACTERISTICS'!$B$12)+(I4/'OPERATIONAL CHARACTERISTICS'!$B$12)</f>
        <v>2.0294536194110662</v>
      </c>
      <c r="J7" s="108" t="s">
        <v>127</v>
      </c>
      <c r="K7" s="59"/>
      <c r="L7" s="59"/>
      <c r="BD7" s="59"/>
    </row>
    <row r="8" spans="2:56" ht="17.25" customHeight="1" thickBot="1" x14ac:dyDescent="0.3">
      <c r="B8" s="76"/>
      <c r="C8" s="59"/>
      <c r="E8" s="97"/>
      <c r="F8" s="59"/>
      <c r="G8" s="59"/>
      <c r="H8" s="59"/>
      <c r="I8" s="59"/>
      <c r="J8" s="60"/>
      <c r="K8" s="59"/>
      <c r="L8" s="59"/>
    </row>
    <row r="9" spans="2:56" ht="17.25" customHeight="1" thickBot="1" x14ac:dyDescent="0.3">
      <c r="B9" s="109" t="s">
        <v>138</v>
      </c>
      <c r="C9" s="101"/>
      <c r="D9" s="2"/>
      <c r="E9" s="110"/>
      <c r="F9" s="59"/>
      <c r="G9" s="109" t="s">
        <v>112</v>
      </c>
      <c r="H9" s="101"/>
      <c r="I9" s="2"/>
      <c r="J9" s="110"/>
      <c r="K9" s="59"/>
      <c r="L9" s="59"/>
    </row>
    <row r="10" spans="2:56" ht="17.25" customHeight="1" x14ac:dyDescent="0.25">
      <c r="B10" s="72" t="b">
        <v>1</v>
      </c>
      <c r="C10" s="111" t="s">
        <v>96</v>
      </c>
      <c r="D10" s="112">
        <f ca="1">+PROJECTCONFIGURATION!I37</f>
        <v>142330.97297369593</v>
      </c>
      <c r="E10" s="113" t="s">
        <v>132</v>
      </c>
      <c r="F10" s="270" t="s">
        <v>224</v>
      </c>
      <c r="G10" s="72" t="b">
        <v>1</v>
      </c>
      <c r="H10" s="251" t="s">
        <v>248</v>
      </c>
      <c r="I10" s="249">
        <f>570*($M$10/1.23)</f>
        <v>793.25920314108282</v>
      </c>
      <c r="J10" s="255" t="s">
        <v>249</v>
      </c>
      <c r="K10" s="59"/>
      <c r="L10" s="258" t="s">
        <v>227</v>
      </c>
      <c r="M10" s="259">
        <f>PROJECTCONFIGURATION!$B$65^N10</f>
        <v>1.7117698594097051</v>
      </c>
      <c r="N10" s="248">
        <v>0.3</v>
      </c>
    </row>
    <row r="11" spans="2:56" ht="17.25" customHeight="1" x14ac:dyDescent="0.25">
      <c r="B11" s="72"/>
      <c r="C11" s="104" t="s">
        <v>100</v>
      </c>
      <c r="D11" s="127">
        <v>9</v>
      </c>
      <c r="E11" s="114" t="s">
        <v>133</v>
      </c>
      <c r="F11" s="59"/>
      <c r="G11" s="72"/>
      <c r="H11" s="252" t="s">
        <v>250</v>
      </c>
      <c r="I11" s="250">
        <f>(125+4+22+8+13+9+31)*($M$10/1.23)</f>
        <v>295.03675625598169</v>
      </c>
      <c r="J11" s="254" t="s">
        <v>249</v>
      </c>
      <c r="K11" s="59"/>
      <c r="L11" s="258" t="s">
        <v>224</v>
      </c>
      <c r="M11" s="259" t="s">
        <v>224</v>
      </c>
      <c r="Q11" s="73"/>
    </row>
    <row r="12" spans="2:56" ht="17.25" customHeight="1" x14ac:dyDescent="0.25">
      <c r="B12" s="72"/>
      <c r="C12" s="104" t="s">
        <v>103</v>
      </c>
      <c r="D12" s="269">
        <f ca="1">+D10*(D11/12)*D22*0.5*0.84*(1-D18)</f>
        <v>1793.3702594685685</v>
      </c>
      <c r="E12" s="115" t="s">
        <v>132</v>
      </c>
      <c r="F12" s="258" t="s">
        <v>224</v>
      </c>
      <c r="G12" s="72"/>
      <c r="H12" s="252" t="s">
        <v>251</v>
      </c>
      <c r="I12" s="250">
        <f>(14+120+30+23)/2*PROJECTCONFIGURATION!$B$65</f>
        <v>561</v>
      </c>
      <c r="J12" s="253" t="s">
        <v>249</v>
      </c>
      <c r="K12" s="59"/>
      <c r="L12" s="59"/>
      <c r="Q12" s="73"/>
    </row>
    <row r="13" spans="2:56" ht="17.25" customHeight="1" x14ac:dyDescent="0.25">
      <c r="B13" s="72"/>
      <c r="C13" s="104" t="s">
        <v>104</v>
      </c>
      <c r="D13" s="128">
        <v>0</v>
      </c>
      <c r="E13" s="115" t="s">
        <v>134</v>
      </c>
      <c r="F13" s="59"/>
      <c r="G13" s="72"/>
      <c r="H13" s="252" t="s">
        <v>252</v>
      </c>
      <c r="I13" s="250">
        <f>(40+10+14+4+7+4)*($M$10/1.23)</f>
        <v>109.94294218972902</v>
      </c>
      <c r="J13" s="253" t="s">
        <v>249</v>
      </c>
      <c r="K13" s="59"/>
      <c r="L13" s="59"/>
      <c r="Q13" s="73"/>
    </row>
    <row r="14" spans="2:56" ht="17.25" customHeight="1" x14ac:dyDescent="0.25">
      <c r="B14" s="72" t="b">
        <v>1</v>
      </c>
      <c r="C14" s="104" t="s">
        <v>105</v>
      </c>
      <c r="D14" s="95">
        <f ca="1">+D13*(D12+D10*(1-D18))</f>
        <v>0</v>
      </c>
      <c r="E14" s="115" t="s">
        <v>132</v>
      </c>
      <c r="F14" s="59"/>
      <c r="G14" s="72"/>
      <c r="H14" s="252" t="s">
        <v>77</v>
      </c>
      <c r="I14" s="250">
        <v>0</v>
      </c>
      <c r="J14" s="253" t="s">
        <v>249</v>
      </c>
      <c r="K14" s="59"/>
      <c r="L14" s="270" t="s">
        <v>297</v>
      </c>
      <c r="Q14" s="73"/>
    </row>
    <row r="15" spans="2:56" ht="17.25" customHeight="1" thickBot="1" x14ac:dyDescent="0.3">
      <c r="B15" s="62"/>
      <c r="C15" s="145" t="s">
        <v>166</v>
      </c>
      <c r="D15" s="116">
        <f ca="1">+D14+D12+D10</f>
        <v>144124.34323316449</v>
      </c>
      <c r="E15" s="117" t="s">
        <v>132</v>
      </c>
      <c r="F15" s="59"/>
      <c r="G15" s="72"/>
      <c r="H15" s="252" t="s">
        <v>274</v>
      </c>
      <c r="I15" s="250">
        <f>197*PROJECTCONFIGURATION!$B$65*0</f>
        <v>0</v>
      </c>
      <c r="J15" s="253" t="s">
        <v>249</v>
      </c>
      <c r="K15" s="59"/>
      <c r="L15" s="270" t="s">
        <v>224</v>
      </c>
      <c r="Q15" s="73"/>
    </row>
    <row r="16" spans="2:56" ht="17.25" customHeight="1" thickBot="1" x14ac:dyDescent="0.3">
      <c r="B16" s="62"/>
      <c r="D16" s="75"/>
      <c r="E16" s="98"/>
      <c r="F16" s="59"/>
      <c r="G16" s="72" t="b">
        <v>1</v>
      </c>
      <c r="H16" s="252" t="s">
        <v>253</v>
      </c>
      <c r="I16" s="250">
        <f>((24+112+6+30+4)*($M$10/1.23))</f>
        <v>244.93617500496592</v>
      </c>
      <c r="J16" s="253" t="s">
        <v>249</v>
      </c>
      <c r="K16" s="59"/>
      <c r="L16" s="270" t="s">
        <v>224</v>
      </c>
      <c r="Q16" s="73"/>
    </row>
    <row r="17" spans="1:17" ht="17.25" customHeight="1" thickBot="1" x14ac:dyDescent="0.3">
      <c r="B17" s="99" t="s">
        <v>142</v>
      </c>
      <c r="C17" s="2"/>
      <c r="D17" s="2"/>
      <c r="E17" s="110"/>
      <c r="F17" s="59"/>
      <c r="G17" s="62"/>
      <c r="H17" s="145" t="s">
        <v>172</v>
      </c>
      <c r="I17" s="257">
        <f>SUM(I10:I16)/(D6*12)</f>
        <v>0.61064770429675597</v>
      </c>
      <c r="J17" s="256" t="s">
        <v>254</v>
      </c>
      <c r="K17" s="59"/>
      <c r="L17" s="59"/>
      <c r="Q17" s="73"/>
    </row>
    <row r="18" spans="1:17" ht="17.25" customHeight="1" thickBot="1" x14ac:dyDescent="0.3">
      <c r="C18" s="111" t="s">
        <v>101</v>
      </c>
      <c r="D18" s="129">
        <v>0.5</v>
      </c>
      <c r="E18" s="113" t="s">
        <v>134</v>
      </c>
      <c r="F18" s="59"/>
      <c r="G18" s="59"/>
      <c r="H18" s="125"/>
      <c r="I18" s="311" t="s">
        <v>343</v>
      </c>
      <c r="J18" s="59"/>
      <c r="K18" s="59"/>
      <c r="L18" s="59"/>
      <c r="Q18" s="73"/>
    </row>
    <row r="19" spans="1:17" ht="17.25" customHeight="1" thickBot="1" x14ac:dyDescent="0.3">
      <c r="C19" s="104" t="s">
        <v>119</v>
      </c>
      <c r="D19" s="95">
        <f ca="1">+D15*D18</f>
        <v>72062.171616582244</v>
      </c>
      <c r="E19" s="115" t="s">
        <v>132</v>
      </c>
      <c r="F19" s="59"/>
      <c r="G19" s="109" t="s">
        <v>171</v>
      </c>
      <c r="H19" s="101"/>
      <c r="I19" s="2"/>
      <c r="J19" s="110"/>
      <c r="K19" s="59"/>
      <c r="L19" s="59"/>
      <c r="Q19" s="73"/>
    </row>
    <row r="20" spans="1:17" ht="17.25" customHeight="1" x14ac:dyDescent="0.25">
      <c r="C20" s="104" t="s">
        <v>102</v>
      </c>
      <c r="D20" s="61">
        <f ca="1">+D15-D19</f>
        <v>72062.171616582244</v>
      </c>
      <c r="E20" s="115" t="s">
        <v>132</v>
      </c>
      <c r="F20" s="59"/>
      <c r="G20" s="72" t="b">
        <v>1</v>
      </c>
      <c r="H20" s="111"/>
      <c r="I20" s="112"/>
      <c r="J20" s="113"/>
      <c r="K20" s="59"/>
      <c r="L20" s="59"/>
      <c r="Q20" s="73"/>
    </row>
    <row r="21" spans="1:17" ht="17.25" customHeight="1" x14ac:dyDescent="0.25">
      <c r="C21" s="104" t="s">
        <v>99</v>
      </c>
      <c r="D21" s="130">
        <v>20</v>
      </c>
      <c r="E21" s="114" t="s">
        <v>135</v>
      </c>
      <c r="F21" s="59"/>
      <c r="G21" s="72"/>
      <c r="H21" s="104"/>
      <c r="I21" s="127"/>
      <c r="J21" s="114"/>
      <c r="K21" s="59"/>
      <c r="L21" s="59"/>
      <c r="Q21" s="73"/>
    </row>
    <row r="22" spans="1:17" ht="17.25" customHeight="1" x14ac:dyDescent="0.25">
      <c r="C22" s="104" t="s">
        <v>110</v>
      </c>
      <c r="D22" s="131">
        <v>0.08</v>
      </c>
      <c r="E22" s="114" t="s">
        <v>129</v>
      </c>
      <c r="F22" s="59"/>
      <c r="G22" s="72"/>
      <c r="H22" s="104"/>
      <c r="I22" s="71"/>
      <c r="J22" s="115"/>
      <c r="K22" s="59"/>
      <c r="L22" s="59"/>
      <c r="Q22" s="73"/>
    </row>
    <row r="23" spans="1:17" ht="17.25" customHeight="1" x14ac:dyDescent="0.25">
      <c r="C23" s="104" t="s">
        <v>109</v>
      </c>
      <c r="D23" s="61">
        <f ca="1">-PMT($D$22/12,$D$21*12,$D$20)*12</f>
        <v>7233.082535855161</v>
      </c>
      <c r="E23" s="115" t="s">
        <v>132</v>
      </c>
      <c r="F23" s="59"/>
      <c r="G23" s="72"/>
      <c r="H23" s="104"/>
      <c r="I23" s="128"/>
      <c r="J23" s="115"/>
      <c r="K23" s="59"/>
      <c r="L23" s="59"/>
      <c r="Q23" s="73"/>
    </row>
    <row r="24" spans="1:17" ht="17.25" customHeight="1" thickBot="1" x14ac:dyDescent="0.3">
      <c r="C24" s="106" t="s">
        <v>109</v>
      </c>
      <c r="D24" s="123">
        <f ca="1">+D23/12/(IF(PROJECTCONFIGURATION!A1,'OPERATIONAL CHARACTERISTICS'!E12,'OPERATIONAL CHARACTERISTICS'!H12)*PROJECTCONFIGURATION!B65)</f>
        <v>2.9712948732521447</v>
      </c>
      <c r="E24" s="124" t="s">
        <v>136</v>
      </c>
      <c r="F24" s="59"/>
      <c r="G24" s="72" t="b">
        <v>1</v>
      </c>
      <c r="H24" s="104"/>
      <c r="I24" s="95"/>
      <c r="J24" s="115"/>
      <c r="K24" s="59"/>
      <c r="L24" s="59"/>
    </row>
    <row r="25" spans="1:17" ht="17.25" customHeight="1" thickBot="1" x14ac:dyDescent="0.3">
      <c r="F25" s="59"/>
      <c r="G25" s="62"/>
      <c r="H25" s="104"/>
      <c r="I25" s="95"/>
      <c r="J25" s="115"/>
      <c r="K25" s="59"/>
      <c r="L25" s="59"/>
    </row>
    <row r="26" spans="1:17" ht="17.25" customHeight="1" thickBot="1" x14ac:dyDescent="0.3">
      <c r="A26" s="7"/>
      <c r="B26" s="109" t="s">
        <v>199</v>
      </c>
      <c r="C26" s="101"/>
      <c r="D26" s="2"/>
      <c r="E26" s="110"/>
      <c r="F26" s="63"/>
      <c r="G26" s="59"/>
      <c r="H26" s="106"/>
      <c r="I26" s="107"/>
      <c r="J26" s="151"/>
      <c r="K26" s="59"/>
      <c r="L26" s="59"/>
    </row>
    <row r="27" spans="1:17" ht="17.25" customHeight="1" x14ac:dyDescent="0.25">
      <c r="A27" s="7"/>
      <c r="B27" s="72"/>
      <c r="C27" s="104" t="s">
        <v>206</v>
      </c>
      <c r="D27" s="203">
        <f ca="1">+D24+I17</f>
        <v>3.5819425775489009</v>
      </c>
      <c r="E27" s="202"/>
      <c r="F27" s="63"/>
      <c r="G27" s="59"/>
      <c r="H27" s="125"/>
      <c r="I27" s="59"/>
      <c r="J27" s="59"/>
      <c r="K27" s="59"/>
      <c r="L27" s="59"/>
    </row>
    <row r="28" spans="1:17" ht="17.25" customHeight="1" x14ac:dyDescent="0.25">
      <c r="A28" s="7"/>
      <c r="B28" s="72"/>
      <c r="C28" s="104" t="s">
        <v>198</v>
      </c>
      <c r="D28" s="192">
        <v>6.37</v>
      </c>
      <c r="E28" s="115"/>
      <c r="F28" s="63"/>
      <c r="G28" s="59"/>
      <c r="H28" s="125"/>
      <c r="I28" s="59"/>
      <c r="J28" s="59"/>
      <c r="K28" s="59"/>
      <c r="L28" s="59"/>
    </row>
    <row r="29" spans="1:17" ht="17.25" customHeight="1" x14ac:dyDescent="0.25">
      <c r="A29" s="7"/>
      <c r="B29" s="72"/>
      <c r="C29" s="104" t="s">
        <v>200</v>
      </c>
      <c r="D29" s="128">
        <v>0.25</v>
      </c>
      <c r="E29" s="114"/>
      <c r="F29" s="63"/>
      <c r="G29" s="59"/>
      <c r="H29" s="125"/>
      <c r="I29" s="59"/>
      <c r="J29" s="59"/>
      <c r="K29" s="59"/>
      <c r="L29" s="59"/>
    </row>
    <row r="30" spans="1:17" ht="17.25" customHeight="1" x14ac:dyDescent="0.25">
      <c r="A30" s="7"/>
      <c r="B30" s="72"/>
      <c r="C30" s="104" t="str">
        <f>REPLACE("XX YEAR IRR",1,2,D21)</f>
        <v>20 YEAR IRR</v>
      </c>
      <c r="D30" s="201">
        <f ca="1">+IRR(FINANCE!S8:S38)</f>
        <v>0.12004542415174704</v>
      </c>
      <c r="E30" s="115"/>
      <c r="F30" s="63"/>
      <c r="G30" s="59"/>
      <c r="H30" s="125"/>
      <c r="I30" s="59"/>
      <c r="J30" s="59"/>
      <c r="K30" s="59"/>
      <c r="L30" s="59"/>
    </row>
    <row r="31" spans="1:17" ht="17.25" customHeight="1" x14ac:dyDescent="0.25">
      <c r="A31" s="7"/>
      <c r="B31" s="72"/>
      <c r="C31" s="104"/>
      <c r="D31" s="95"/>
      <c r="E31" s="115"/>
      <c r="F31" s="63"/>
      <c r="G31" s="59"/>
      <c r="H31" s="125"/>
      <c r="I31" s="59"/>
      <c r="J31" s="59"/>
      <c r="K31" s="59"/>
      <c r="L31" s="59"/>
    </row>
    <row r="32" spans="1:17" ht="17.25" customHeight="1" thickBot="1" x14ac:dyDescent="0.3">
      <c r="B32" s="62"/>
      <c r="C32" s="145"/>
      <c r="D32" s="116"/>
      <c r="E32" s="117"/>
      <c r="F32" s="59"/>
      <c r="G32" s="59"/>
      <c r="H32" s="125"/>
      <c r="I32" s="59"/>
      <c r="J32" s="59"/>
      <c r="K32" s="59"/>
      <c r="L32" s="59"/>
    </row>
    <row r="33" spans="3:12" ht="17.25" customHeight="1" x14ac:dyDescent="0.25">
      <c r="C33" s="59"/>
      <c r="D33" s="59"/>
      <c r="E33" s="59"/>
      <c r="F33" s="59"/>
      <c r="G33" s="59"/>
      <c r="H33" s="125"/>
      <c r="I33" s="59"/>
      <c r="J33" s="59"/>
      <c r="K33" s="59"/>
      <c r="L33" s="59"/>
    </row>
    <row r="34" spans="3:12" ht="17.25" customHeight="1" x14ac:dyDescent="0.25">
      <c r="C34" s="59"/>
      <c r="D34" s="59"/>
      <c r="E34" s="59"/>
      <c r="F34" s="59"/>
      <c r="G34" s="59"/>
      <c r="H34" s="125"/>
      <c r="I34" s="59"/>
      <c r="J34" s="59"/>
      <c r="K34" s="59"/>
      <c r="L34" s="59"/>
    </row>
    <row r="35" spans="3:12" ht="17.25" customHeight="1" x14ac:dyDescent="0.25">
      <c r="C35" s="59"/>
      <c r="D35" s="59"/>
      <c r="E35" s="59"/>
      <c r="F35" s="59"/>
      <c r="G35" s="59"/>
      <c r="H35" s="125"/>
      <c r="I35" s="59"/>
      <c r="J35" s="59"/>
      <c r="K35" s="59"/>
      <c r="L35" s="59"/>
    </row>
    <row r="36" spans="3:12" ht="17.25" customHeight="1" x14ac:dyDescent="0.25">
      <c r="C36" s="59"/>
      <c r="D36" s="59"/>
      <c r="E36" s="59"/>
      <c r="F36" s="59"/>
      <c r="G36" s="59"/>
      <c r="H36" s="125"/>
      <c r="I36" s="59"/>
      <c r="J36" s="59"/>
      <c r="K36" s="59"/>
      <c r="L36" s="59"/>
    </row>
    <row r="37" spans="3:12" ht="17.25" customHeight="1" x14ac:dyDescent="0.25">
      <c r="C37" s="59"/>
      <c r="D37" s="59"/>
      <c r="E37" s="59"/>
      <c r="F37" s="59"/>
      <c r="G37" s="59"/>
      <c r="H37" s="125"/>
      <c r="I37" s="59"/>
      <c r="J37" s="59"/>
      <c r="K37" s="59"/>
      <c r="L37" s="59"/>
    </row>
    <row r="38" spans="3:12" ht="17.25" customHeight="1" x14ac:dyDescent="0.25">
      <c r="C38" s="59"/>
      <c r="D38" s="59"/>
      <c r="E38" s="59"/>
      <c r="F38" s="59"/>
      <c r="G38" s="59"/>
      <c r="H38" s="125"/>
      <c r="I38" s="59"/>
      <c r="J38" s="59"/>
      <c r="K38" s="59"/>
      <c r="L38" s="59"/>
    </row>
    <row r="39" spans="3:12" ht="17.25" customHeight="1" x14ac:dyDescent="0.25">
      <c r="C39" s="59"/>
      <c r="D39" s="59"/>
      <c r="E39" s="59"/>
      <c r="F39" s="59"/>
      <c r="G39" s="59"/>
      <c r="H39" s="125"/>
      <c r="I39" s="59"/>
      <c r="J39" s="59"/>
      <c r="K39" s="59"/>
      <c r="L39" s="59"/>
    </row>
    <row r="40" spans="3:12" ht="17.25" customHeight="1" x14ac:dyDescent="0.25">
      <c r="C40" s="59"/>
      <c r="D40" s="59"/>
      <c r="E40" s="59"/>
      <c r="F40" s="59"/>
      <c r="G40" s="59"/>
      <c r="H40" s="125"/>
      <c r="I40" s="59"/>
      <c r="J40" s="59"/>
      <c r="K40" s="59"/>
      <c r="L40" s="59"/>
    </row>
    <row r="41" spans="3:12" ht="17.25" customHeight="1" x14ac:dyDescent="0.25">
      <c r="C41" s="59"/>
      <c r="D41" s="59"/>
      <c r="E41" s="59"/>
      <c r="F41" s="59"/>
      <c r="G41" s="59"/>
      <c r="H41" s="125"/>
      <c r="I41" s="59"/>
      <c r="J41" s="59"/>
      <c r="K41" s="59"/>
      <c r="L41" s="59"/>
    </row>
    <row r="42" spans="3:12" ht="17.25" customHeight="1" x14ac:dyDescent="0.25">
      <c r="C42" s="59"/>
      <c r="D42" s="59"/>
      <c r="E42" s="59"/>
      <c r="F42" s="59"/>
      <c r="G42" s="59"/>
      <c r="H42" s="125"/>
      <c r="I42" s="59"/>
      <c r="J42" s="59"/>
      <c r="K42" s="59"/>
      <c r="L42" s="59"/>
    </row>
    <row r="43" spans="3:12" ht="17.25" customHeight="1" x14ac:dyDescent="0.25">
      <c r="G43" s="59"/>
      <c r="H43" s="125"/>
      <c r="I43" s="59"/>
      <c r="J43" s="59"/>
      <c r="K43" s="59"/>
      <c r="L43" s="59"/>
    </row>
    <row r="44" spans="3:12" ht="17.25" customHeight="1" x14ac:dyDescent="0.25">
      <c r="G44" s="59"/>
      <c r="H44" s="125"/>
      <c r="I44" s="59"/>
      <c r="J44" s="59"/>
    </row>
    <row r="45" spans="3:12" ht="17.25" customHeight="1" x14ac:dyDescent="0.25">
      <c r="G45" s="59"/>
      <c r="H45" s="125"/>
    </row>
    <row r="46" spans="3:12" ht="17.25" customHeight="1" x14ac:dyDescent="0.25">
      <c r="G46" s="59"/>
      <c r="H46" s="125"/>
    </row>
    <row r="47" spans="3:12" ht="17.25" customHeight="1" x14ac:dyDescent="0.25">
      <c r="G47" s="59"/>
      <c r="H47" s="125"/>
    </row>
    <row r="48" spans="3:12" x14ac:dyDescent="0.25">
      <c r="G48" s="59"/>
      <c r="H48" s="125"/>
    </row>
    <row r="49" spans="7:8" x14ac:dyDescent="0.25">
      <c r="G49" s="59"/>
      <c r="H49" s="125"/>
    </row>
    <row r="50" spans="7:8" x14ac:dyDescent="0.25">
      <c r="G50" s="59"/>
      <c r="H50" s="125"/>
    </row>
    <row r="51" spans="7:8" x14ac:dyDescent="0.25">
      <c r="G51" s="59"/>
      <c r="H51" s="125"/>
    </row>
    <row r="52" spans="7:8" x14ac:dyDescent="0.25">
      <c r="G52" s="59"/>
      <c r="H52" s="125"/>
    </row>
    <row r="53" spans="7:8" x14ac:dyDescent="0.25">
      <c r="G53" s="59"/>
      <c r="H53" s="125"/>
    </row>
    <row r="54" spans="7:8" x14ac:dyDescent="0.25">
      <c r="G54" s="59"/>
      <c r="H54" s="125"/>
    </row>
    <row r="55" spans="7:8" x14ac:dyDescent="0.25">
      <c r="G55" s="59"/>
      <c r="H55" s="125"/>
    </row>
    <row r="56" spans="7:8" x14ac:dyDescent="0.25">
      <c r="G56" s="59"/>
      <c r="H56" s="125"/>
    </row>
    <row r="57" spans="7:8" x14ac:dyDescent="0.25">
      <c r="G57" s="59"/>
      <c r="H57" s="125"/>
    </row>
    <row r="58" spans="7:8" x14ac:dyDescent="0.25">
      <c r="G58" s="59"/>
      <c r="H58" s="125"/>
    </row>
    <row r="59" spans="7:8" x14ac:dyDescent="0.25">
      <c r="G59" s="59"/>
      <c r="H59" s="125"/>
    </row>
    <row r="60" spans="7:8" x14ac:dyDescent="0.25">
      <c r="G60" s="59"/>
      <c r="H60" s="125"/>
    </row>
    <row r="61" spans="7:8" x14ac:dyDescent="0.25">
      <c r="G61" s="59"/>
      <c r="H61" s="125"/>
    </row>
    <row r="62" spans="7:8" x14ac:dyDescent="0.25">
      <c r="G62" s="59"/>
      <c r="H62" s="125"/>
    </row>
    <row r="63" spans="7:8" x14ac:dyDescent="0.25">
      <c r="G63" s="59"/>
      <c r="H63" s="125"/>
    </row>
    <row r="64" spans="7:8" x14ac:dyDescent="0.25">
      <c r="G64" s="59"/>
      <c r="H64" s="125"/>
    </row>
    <row r="65" spans="7:8" x14ac:dyDescent="0.25">
      <c r="G65" s="59"/>
      <c r="H65" s="125"/>
    </row>
    <row r="66" spans="7:8" x14ac:dyDescent="0.25">
      <c r="G66" s="59"/>
      <c r="H66" s="125"/>
    </row>
    <row r="67" spans="7:8" x14ac:dyDescent="0.25">
      <c r="G67" s="59"/>
      <c r="H67" s="125"/>
    </row>
    <row r="68" spans="7:8" x14ac:dyDescent="0.25">
      <c r="G68" s="59"/>
      <c r="H68" s="125"/>
    </row>
    <row r="69" spans="7:8" x14ac:dyDescent="0.25">
      <c r="G69" s="59"/>
      <c r="H69" s="125"/>
    </row>
    <row r="70" spans="7:8" x14ac:dyDescent="0.25">
      <c r="G70" s="59"/>
      <c r="H70" s="125"/>
    </row>
    <row r="71" spans="7:8" x14ac:dyDescent="0.25">
      <c r="G71" s="59"/>
      <c r="H71" s="125"/>
    </row>
    <row r="72" spans="7:8" x14ac:dyDescent="0.25">
      <c r="G72" s="59"/>
      <c r="H72" s="125"/>
    </row>
    <row r="73" spans="7:8" x14ac:dyDescent="0.25">
      <c r="G73" s="59"/>
      <c r="H73" s="125"/>
    </row>
    <row r="74" spans="7:8" x14ac:dyDescent="0.25">
      <c r="G74" s="59"/>
      <c r="H74" s="125"/>
    </row>
    <row r="75" spans="7:8" x14ac:dyDescent="0.25">
      <c r="G75" s="59"/>
      <c r="H75" s="125"/>
    </row>
    <row r="76" spans="7:8" x14ac:dyDescent="0.25">
      <c r="G76" s="59"/>
      <c r="H76" s="125"/>
    </row>
    <row r="77" spans="7:8" x14ac:dyDescent="0.25">
      <c r="G77" s="59"/>
      <c r="H77" s="125"/>
    </row>
    <row r="78" spans="7:8" x14ac:dyDescent="0.25">
      <c r="G78" s="59"/>
      <c r="H78" s="125"/>
    </row>
    <row r="79" spans="7:8" x14ac:dyDescent="0.25">
      <c r="G79" s="59"/>
      <c r="H79" s="125"/>
    </row>
    <row r="80" spans="7:8" x14ac:dyDescent="0.25">
      <c r="G80" s="59"/>
      <c r="H80" s="125"/>
    </row>
    <row r="81" spans="7:8" x14ac:dyDescent="0.25">
      <c r="G81" s="59"/>
      <c r="H81" s="125"/>
    </row>
    <row r="82" spans="7:8" x14ac:dyDescent="0.25">
      <c r="G82" s="59"/>
      <c r="H82" s="125"/>
    </row>
    <row r="83" spans="7:8" x14ac:dyDescent="0.25">
      <c r="G83" s="59"/>
      <c r="H83" s="125"/>
    </row>
    <row r="84" spans="7:8" x14ac:dyDescent="0.25">
      <c r="G84" s="59"/>
      <c r="H84" s="125"/>
    </row>
    <row r="85" spans="7:8" x14ac:dyDescent="0.25">
      <c r="G85" s="59"/>
      <c r="H85" s="125"/>
    </row>
    <row r="86" spans="7:8" x14ac:dyDescent="0.25">
      <c r="G86" s="59"/>
      <c r="H86" s="125"/>
    </row>
    <row r="87" spans="7:8" x14ac:dyDescent="0.25">
      <c r="G87" s="59"/>
      <c r="H87" s="125"/>
    </row>
    <row r="88" spans="7:8" x14ac:dyDescent="0.25">
      <c r="G88" s="59"/>
      <c r="H88" s="125"/>
    </row>
    <row r="89" spans="7:8" x14ac:dyDescent="0.25">
      <c r="G89" s="59"/>
      <c r="H89" s="125"/>
    </row>
    <row r="90" spans="7:8" x14ac:dyDescent="0.25">
      <c r="G90" s="59"/>
      <c r="H90" s="125"/>
    </row>
    <row r="91" spans="7:8" x14ac:dyDescent="0.25">
      <c r="G91" s="59"/>
      <c r="H91" s="125"/>
    </row>
    <row r="92" spans="7:8" x14ac:dyDescent="0.25">
      <c r="G92" s="59"/>
      <c r="H92" s="125"/>
    </row>
    <row r="93" spans="7:8" x14ac:dyDescent="0.25">
      <c r="G93" s="59"/>
      <c r="H93" s="125"/>
    </row>
    <row r="94" spans="7:8" x14ac:dyDescent="0.25">
      <c r="G94" s="59"/>
      <c r="H94" s="125"/>
    </row>
    <row r="95" spans="7:8" x14ac:dyDescent="0.25">
      <c r="G95" s="59"/>
      <c r="H95" s="125"/>
    </row>
    <row r="96" spans="7:8" x14ac:dyDescent="0.25">
      <c r="G96" s="59"/>
      <c r="H96" s="125"/>
    </row>
    <row r="97" spans="7:8" x14ac:dyDescent="0.25">
      <c r="G97" s="59"/>
      <c r="H97" s="125"/>
    </row>
    <row r="98" spans="7:8" x14ac:dyDescent="0.25">
      <c r="G98" s="59"/>
      <c r="H98" s="125"/>
    </row>
    <row r="99" spans="7:8" x14ac:dyDescent="0.25">
      <c r="G99" s="59"/>
      <c r="H99" s="125"/>
    </row>
    <row r="100" spans="7:8" x14ac:dyDescent="0.25">
      <c r="G100" s="59"/>
      <c r="H100" s="125"/>
    </row>
    <row r="101" spans="7:8" x14ac:dyDescent="0.25">
      <c r="G101" s="59"/>
      <c r="H101" s="125"/>
    </row>
    <row r="102" spans="7:8" x14ac:dyDescent="0.25">
      <c r="G102" s="59"/>
      <c r="H102" s="125"/>
    </row>
    <row r="103" spans="7:8" x14ac:dyDescent="0.25">
      <c r="G103" s="59"/>
      <c r="H103" s="125"/>
    </row>
    <row r="104" spans="7:8" x14ac:dyDescent="0.25">
      <c r="G104" s="59"/>
      <c r="H104" s="125"/>
    </row>
    <row r="105" spans="7:8" x14ac:dyDescent="0.25">
      <c r="G105" s="59"/>
      <c r="H105" s="125"/>
    </row>
    <row r="106" spans="7:8" x14ac:dyDescent="0.25">
      <c r="G106" s="59"/>
      <c r="H106" s="125"/>
    </row>
    <row r="107" spans="7:8" x14ac:dyDescent="0.25">
      <c r="G107" s="59"/>
      <c r="H107" s="125"/>
    </row>
    <row r="108" spans="7:8" x14ac:dyDescent="0.25">
      <c r="G108" s="59"/>
      <c r="H108" s="125"/>
    </row>
    <row r="109" spans="7:8" x14ac:dyDescent="0.25">
      <c r="G109" s="59"/>
      <c r="H109" s="125"/>
    </row>
    <row r="110" spans="7:8" x14ac:dyDescent="0.25">
      <c r="G110" s="59"/>
      <c r="H110" s="125"/>
    </row>
    <row r="111" spans="7:8" x14ac:dyDescent="0.25">
      <c r="G111" s="59"/>
      <c r="H111" s="125"/>
    </row>
    <row r="112" spans="7:8" x14ac:dyDescent="0.25">
      <c r="G112" s="59"/>
      <c r="H112" s="125"/>
    </row>
    <row r="113" spans="7:8" x14ac:dyDescent="0.25">
      <c r="G113" s="59"/>
      <c r="H113" s="125"/>
    </row>
    <row r="114" spans="7:8" x14ac:dyDescent="0.25">
      <c r="G114" s="59"/>
      <c r="H114" s="125"/>
    </row>
    <row r="115" spans="7:8" x14ac:dyDescent="0.25">
      <c r="G115" s="59"/>
      <c r="H115" s="125"/>
    </row>
    <row r="116" spans="7:8" x14ac:dyDescent="0.25">
      <c r="G116" s="59"/>
      <c r="H116" s="125"/>
    </row>
    <row r="117" spans="7:8" x14ac:dyDescent="0.25">
      <c r="G117" s="59"/>
      <c r="H117" s="125"/>
    </row>
    <row r="118" spans="7:8" x14ac:dyDescent="0.25">
      <c r="G118" s="59"/>
      <c r="H118" s="125"/>
    </row>
    <row r="119" spans="7:8" x14ac:dyDescent="0.25">
      <c r="G119" s="59"/>
      <c r="H119" s="125"/>
    </row>
    <row r="120" spans="7:8" x14ac:dyDescent="0.25">
      <c r="G120" s="59"/>
      <c r="H120" s="125"/>
    </row>
    <row r="121" spans="7:8" x14ac:dyDescent="0.25">
      <c r="G121" s="59"/>
      <c r="H121" s="125"/>
    </row>
    <row r="122" spans="7:8" x14ac:dyDescent="0.25">
      <c r="G122" s="59"/>
      <c r="H122" s="125"/>
    </row>
    <row r="123" spans="7:8" x14ac:dyDescent="0.25">
      <c r="G123" s="59"/>
      <c r="H123" s="125"/>
    </row>
    <row r="124" spans="7:8" x14ac:dyDescent="0.25">
      <c r="G124" s="59"/>
      <c r="H124" s="125"/>
    </row>
    <row r="125" spans="7:8" x14ac:dyDescent="0.25">
      <c r="G125" s="59"/>
      <c r="H125" s="125"/>
    </row>
    <row r="126" spans="7:8" x14ac:dyDescent="0.25">
      <c r="G126" s="59"/>
      <c r="H126" s="125"/>
    </row>
    <row r="127" spans="7:8" x14ac:dyDescent="0.25">
      <c r="G127" s="59"/>
      <c r="H127" s="125"/>
    </row>
    <row r="128" spans="7:8" x14ac:dyDescent="0.25">
      <c r="G128" s="59"/>
      <c r="H128" s="125"/>
    </row>
    <row r="129" spans="7:8" x14ac:dyDescent="0.25">
      <c r="G129" s="59"/>
      <c r="H129" s="125"/>
    </row>
    <row r="130" spans="7:8" x14ac:dyDescent="0.25">
      <c r="G130" s="59"/>
      <c r="H130" s="125"/>
    </row>
    <row r="131" spans="7:8" x14ac:dyDescent="0.25">
      <c r="G131" s="59"/>
      <c r="H131" s="125"/>
    </row>
    <row r="132" spans="7:8" x14ac:dyDescent="0.25">
      <c r="G132" s="59"/>
      <c r="H132" s="125"/>
    </row>
    <row r="133" spans="7:8" x14ac:dyDescent="0.25">
      <c r="G133" s="59"/>
      <c r="H133" s="125"/>
    </row>
    <row r="134" spans="7:8" x14ac:dyDescent="0.25">
      <c r="G134" s="59"/>
      <c r="H134" s="125"/>
    </row>
    <row r="135" spans="7:8" x14ac:dyDescent="0.25">
      <c r="G135" s="59"/>
      <c r="H135" s="125"/>
    </row>
    <row r="136" spans="7:8" x14ac:dyDescent="0.25">
      <c r="G136" s="59"/>
      <c r="H136" s="125"/>
    </row>
    <row r="137" spans="7:8" x14ac:dyDescent="0.25">
      <c r="G137" s="59"/>
      <c r="H137" s="125"/>
    </row>
    <row r="138" spans="7:8" x14ac:dyDescent="0.25">
      <c r="G138" s="59"/>
      <c r="H138" s="125"/>
    </row>
    <row r="139" spans="7:8" x14ac:dyDescent="0.25">
      <c r="G139" s="59"/>
      <c r="H139" s="125"/>
    </row>
    <row r="140" spans="7:8" x14ac:dyDescent="0.25">
      <c r="G140" s="59"/>
      <c r="H140" s="125"/>
    </row>
    <row r="141" spans="7:8" x14ac:dyDescent="0.25">
      <c r="G141" s="59"/>
      <c r="H141" s="125"/>
    </row>
    <row r="142" spans="7:8" x14ac:dyDescent="0.25">
      <c r="G142" s="59"/>
      <c r="H142" s="125"/>
    </row>
    <row r="143" spans="7:8" x14ac:dyDescent="0.25">
      <c r="G143" s="59"/>
      <c r="H143" s="125"/>
    </row>
    <row r="144" spans="7:8" x14ac:dyDescent="0.25">
      <c r="G144" s="59"/>
      <c r="H144" s="125"/>
    </row>
    <row r="226" spans="17:17" x14ac:dyDescent="0.25">
      <c r="Q226" s="73"/>
    </row>
    <row r="370" spans="53:55" x14ac:dyDescent="0.25">
      <c r="BA370" s="132"/>
      <c r="BB370" s="132"/>
      <c r="BC370" s="132"/>
    </row>
    <row r="371" spans="53:55" x14ac:dyDescent="0.25">
      <c r="BA371" s="132"/>
      <c r="BB371" s="132"/>
      <c r="BC371" s="132"/>
    </row>
    <row r="372" spans="53:55" x14ac:dyDescent="0.25">
      <c r="BA372" s="132"/>
      <c r="BB372" s="132"/>
      <c r="BC372" s="132"/>
    </row>
    <row r="373" spans="53:55" x14ac:dyDescent="0.25">
      <c r="BA373" s="132"/>
      <c r="BB373" s="132"/>
      <c r="BC373" s="132"/>
    </row>
    <row r="374" spans="53:55" x14ac:dyDescent="0.25">
      <c r="BA374" s="132"/>
      <c r="BB374" s="132"/>
      <c r="BC374" s="132"/>
    </row>
    <row r="375" spans="53:55" x14ac:dyDescent="0.25">
      <c r="BA375" s="132"/>
      <c r="BB375" s="132"/>
      <c r="BC375" s="132"/>
    </row>
    <row r="376" spans="53:55" x14ac:dyDescent="0.25">
      <c r="BA376" s="132"/>
      <c r="BB376" s="132"/>
      <c r="BC376" s="132"/>
    </row>
    <row r="377" spans="53:55" x14ac:dyDescent="0.25">
      <c r="BA377" s="132"/>
      <c r="BB377" s="132"/>
      <c r="BC377" s="132"/>
    </row>
    <row r="378" spans="53:55" x14ac:dyDescent="0.25">
      <c r="BA378" s="132"/>
      <c r="BB378" s="132"/>
      <c r="BC378" s="132"/>
    </row>
    <row r="379" spans="53:55" x14ac:dyDescent="0.25">
      <c r="BA379" s="132"/>
      <c r="BB379" s="132"/>
      <c r="BC379" s="132"/>
    </row>
    <row r="380" spans="53:55" x14ac:dyDescent="0.25">
      <c r="BA380" s="132"/>
      <c r="BB380" s="132"/>
      <c r="BC380" s="132"/>
    </row>
    <row r="381" spans="53:55" x14ac:dyDescent="0.25">
      <c r="BA381" s="132"/>
      <c r="BB381" s="132"/>
      <c r="BC381" s="132"/>
    </row>
    <row r="382" spans="53:55" x14ac:dyDescent="0.25">
      <c r="BA382" s="132"/>
      <c r="BB382" s="132"/>
      <c r="BC382" s="132"/>
    </row>
    <row r="383" spans="53:55" x14ac:dyDescent="0.25">
      <c r="BA383" s="132"/>
      <c r="BB383" s="132"/>
      <c r="BC383" s="132"/>
    </row>
    <row r="384" spans="53:55" x14ac:dyDescent="0.25">
      <c r="BA384" s="132"/>
      <c r="BB384" s="132"/>
      <c r="BC384" s="132"/>
    </row>
    <row r="385" spans="53:55" x14ac:dyDescent="0.25">
      <c r="BA385" s="132"/>
      <c r="BB385" s="132"/>
      <c r="BC385" s="132"/>
    </row>
    <row r="386" spans="53:55" x14ac:dyDescent="0.25">
      <c r="BA386" s="132"/>
      <c r="BB386" s="132"/>
      <c r="BC386" s="132"/>
    </row>
    <row r="387" spans="53:55" x14ac:dyDescent="0.25">
      <c r="BA387" s="132"/>
      <c r="BB387" s="132"/>
      <c r="BC387" s="132"/>
    </row>
    <row r="388" spans="53:55" x14ac:dyDescent="0.25">
      <c r="BA388" s="132"/>
      <c r="BB388" s="132"/>
      <c r="BC388" s="132"/>
    </row>
    <row r="389" spans="53:55" x14ac:dyDescent="0.25">
      <c r="BA389" s="132"/>
      <c r="BB389" s="132"/>
      <c r="BC389" s="132"/>
    </row>
    <row r="390" spans="53:55" x14ac:dyDescent="0.25">
      <c r="BA390" s="132"/>
      <c r="BB390" s="132"/>
      <c r="BC390" s="132"/>
    </row>
    <row r="391" spans="53:55" x14ac:dyDescent="0.25">
      <c r="BA391" s="132"/>
      <c r="BB391" s="132"/>
      <c r="BC391" s="132"/>
    </row>
    <row r="392" spans="53:55" x14ac:dyDescent="0.25">
      <c r="BA392" s="132"/>
      <c r="BB392" s="132"/>
      <c r="BC392" s="132"/>
    </row>
    <row r="393" spans="53:55" x14ac:dyDescent="0.25">
      <c r="BA393" s="132"/>
      <c r="BB393" s="132"/>
      <c r="BC393" s="132"/>
    </row>
    <row r="394" spans="53:55" x14ac:dyDescent="0.25">
      <c r="BA394" s="132"/>
      <c r="BB394" s="132"/>
      <c r="BC394" s="132"/>
    </row>
    <row r="395" spans="53:55" x14ac:dyDescent="0.25">
      <c r="BA395" s="132"/>
      <c r="BB395" s="132"/>
      <c r="BC395" s="132"/>
    </row>
    <row r="396" spans="53:55" x14ac:dyDescent="0.25">
      <c r="BA396" s="132"/>
      <c r="BB396" s="132"/>
      <c r="BC396" s="132"/>
    </row>
    <row r="397" spans="53:55" x14ac:dyDescent="0.25">
      <c r="BA397" s="132"/>
      <c r="BB397" s="132"/>
      <c r="BC397" s="132"/>
    </row>
    <row r="398" spans="53:55" x14ac:dyDescent="0.25">
      <c r="BA398" s="132"/>
      <c r="BB398" s="132"/>
      <c r="BC398" s="132"/>
    </row>
    <row r="399" spans="53:55" x14ac:dyDescent="0.25">
      <c r="BA399" s="132"/>
      <c r="BB399" s="132"/>
      <c r="BC399" s="132"/>
    </row>
  </sheetData>
  <pageMargins left="0.75" right="0.75" top="1" bottom="1" header="0.5" footer="0.5"/>
  <pageSetup scale="83" orientation="landscape" verticalDpi="30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2055" r:id="rId4" name="CommandButton3">
          <controlPr defaultSize="0" autoLine="0" r:id="rId5">
            <anchor moveWithCells="1">
              <from>
                <xdr:col>2</xdr:col>
                <xdr:colOff>2095500</xdr:colOff>
                <xdr:row>23</xdr:row>
                <xdr:rowOff>7620</xdr:rowOff>
              </from>
              <to>
                <xdr:col>2</xdr:col>
                <xdr:colOff>2720340</xdr:colOff>
                <xdr:row>23</xdr:row>
                <xdr:rowOff>198120</xdr:rowOff>
              </to>
            </anchor>
          </controlPr>
        </control>
      </mc:Choice>
      <mc:Fallback>
        <control shapeId="2055" r:id="rId4" name="CommandButton3"/>
      </mc:Fallback>
    </mc:AlternateContent>
    <mc:AlternateContent xmlns:mc="http://schemas.openxmlformats.org/markup-compatibility/2006">
      <mc:Choice Requires="x14">
        <control shapeId="2054" r:id="rId6" name="CommandButton2">
          <controlPr defaultSize="0" autoLine="0" r:id="rId7">
            <anchor moveWithCells="1">
              <from>
                <xdr:col>2</xdr:col>
                <xdr:colOff>2103120</xdr:colOff>
                <xdr:row>3</xdr:row>
                <xdr:rowOff>15240</xdr:rowOff>
              </from>
              <to>
                <xdr:col>2</xdr:col>
                <xdr:colOff>2735580</xdr:colOff>
                <xdr:row>6</xdr:row>
                <xdr:rowOff>198120</xdr:rowOff>
              </to>
            </anchor>
          </controlPr>
        </control>
      </mc:Choice>
      <mc:Fallback>
        <control shapeId="2054" r:id="rId6" name="CommandButton2"/>
      </mc:Fallback>
    </mc:AlternateContent>
    <mc:AlternateContent xmlns:mc="http://schemas.openxmlformats.org/markup-compatibility/2006">
      <mc:Choice Requires="x14">
        <control shapeId="2051" r:id="rId8" name="CommandButton1">
          <controlPr defaultSize="0" autoLine="0" r:id="rId9">
            <anchor moveWithCells="1">
              <from>
                <xdr:col>2</xdr:col>
                <xdr:colOff>2095500</xdr:colOff>
                <xdr:row>9</xdr:row>
                <xdr:rowOff>15240</xdr:rowOff>
              </from>
              <to>
                <xdr:col>2</xdr:col>
                <xdr:colOff>2720340</xdr:colOff>
                <xdr:row>9</xdr:row>
                <xdr:rowOff>205740</xdr:rowOff>
              </to>
            </anchor>
          </controlPr>
        </control>
      </mc:Choice>
      <mc:Fallback>
        <control shapeId="2051" r:id="rId8" name="CommandButton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M82"/>
  <sheetViews>
    <sheetView showGridLines="0" workbookViewId="0">
      <selection activeCell="E16" sqref="E16"/>
    </sheetView>
  </sheetViews>
  <sheetFormatPr defaultColWidth="9.109375" defaultRowHeight="13.2" x14ac:dyDescent="0.25"/>
  <cols>
    <col min="1" max="1" width="3.6640625" style="58" customWidth="1"/>
    <col min="2" max="2" width="35.44140625" style="58" customWidth="1"/>
    <col min="3" max="4" width="9.109375" style="58"/>
    <col min="5" max="5" width="10.33203125" style="58" bestFit="1" customWidth="1"/>
    <col min="6" max="6" width="9.109375" style="58"/>
    <col min="7" max="7" width="11.33203125" style="58" bestFit="1" customWidth="1"/>
    <col min="8" max="8" width="9.109375" style="58"/>
    <col min="9" max="9" width="11.33203125" style="58" bestFit="1" customWidth="1"/>
    <col min="10" max="16384" width="9.109375" style="58"/>
  </cols>
  <sheetData>
    <row r="1" spans="1:12" ht="36.75" customHeight="1" thickBot="1" x14ac:dyDescent="0.3">
      <c r="A1" s="76" t="b">
        <v>0</v>
      </c>
      <c r="B1" s="99" t="s">
        <v>345</v>
      </c>
      <c r="C1" s="318"/>
      <c r="D1" s="318"/>
      <c r="E1" s="318"/>
      <c r="F1" s="318"/>
      <c r="G1" s="318"/>
      <c r="H1" s="318"/>
      <c r="I1" s="318"/>
      <c r="J1" s="318"/>
      <c r="K1" s="319"/>
    </row>
    <row r="2" spans="1:12" ht="11.25" customHeight="1" x14ac:dyDescent="0.25">
      <c r="B2" s="320"/>
      <c r="C2" s="321"/>
      <c r="D2" s="321"/>
      <c r="E2" s="321"/>
      <c r="F2" s="321"/>
      <c r="G2" s="321"/>
      <c r="H2" s="321"/>
      <c r="I2" s="321"/>
      <c r="J2" s="321"/>
      <c r="K2" s="322"/>
    </row>
    <row r="3" spans="1:12" ht="17.25" customHeight="1" x14ac:dyDescent="0.25">
      <c r="B3" s="323"/>
      <c r="C3" s="64" t="s">
        <v>2</v>
      </c>
      <c r="D3" s="324"/>
      <c r="E3" s="64" t="s">
        <v>79</v>
      </c>
      <c r="F3" s="64"/>
      <c r="G3" s="64" t="s">
        <v>91</v>
      </c>
      <c r="H3" s="324"/>
      <c r="I3" s="64" t="s">
        <v>4</v>
      </c>
      <c r="J3" s="214"/>
      <c r="K3" s="121" t="s">
        <v>87</v>
      </c>
    </row>
    <row r="4" spans="1:12" ht="17.25" customHeight="1" x14ac:dyDescent="0.25">
      <c r="B4" s="325" t="s">
        <v>72</v>
      </c>
      <c r="C4" s="326"/>
      <c r="D4" s="326"/>
      <c r="E4" s="71">
        <f>IF(B65=0,0,HLOOKUP(B65,SOURCEDATA!B3:K4,2)/B65)</f>
        <v>14012</v>
      </c>
      <c r="F4" s="327"/>
      <c r="G4" s="69">
        <v>0</v>
      </c>
      <c r="H4" s="326"/>
      <c r="I4" s="71">
        <f>B65*E4+G4</f>
        <v>84072</v>
      </c>
      <c r="J4" s="328"/>
      <c r="K4" s="329">
        <f>+I4/($B$65*'OPERATIONAL CHARACTERISTICS'!$B$12)</f>
        <v>307.38855738855744</v>
      </c>
      <c r="L4" s="58" t="s">
        <v>224</v>
      </c>
    </row>
    <row r="5" spans="1:12" ht="17.25" customHeight="1" x14ac:dyDescent="0.25">
      <c r="B5" s="330"/>
      <c r="C5" s="331"/>
      <c r="D5" s="331"/>
      <c r="E5" s="332"/>
      <c r="F5" s="332"/>
      <c r="G5" s="332"/>
      <c r="H5" s="331"/>
      <c r="I5" s="332"/>
      <c r="J5" s="333"/>
      <c r="K5" s="334"/>
    </row>
    <row r="6" spans="1:12" ht="17.25" customHeight="1" x14ac:dyDescent="0.25">
      <c r="B6" s="323"/>
      <c r="C6" s="64" t="s">
        <v>92</v>
      </c>
      <c r="D6" s="335"/>
      <c r="E6" s="64" t="s">
        <v>79</v>
      </c>
      <c r="F6" s="214"/>
      <c r="G6" s="64" t="s">
        <v>91</v>
      </c>
      <c r="H6" s="335"/>
      <c r="I6" s="64" t="s">
        <v>4</v>
      </c>
      <c r="J6" s="214"/>
      <c r="K6" s="121" t="s">
        <v>87</v>
      </c>
    </row>
    <row r="7" spans="1:12" ht="17.25" customHeight="1" x14ac:dyDescent="0.25">
      <c r="B7" s="325" t="s">
        <v>73</v>
      </c>
      <c r="C7" s="66"/>
      <c r="D7" s="326"/>
      <c r="E7" s="71">
        <f>+I7/$B$65</f>
        <v>7840.116407699621</v>
      </c>
      <c r="F7" s="328"/>
      <c r="G7" s="70">
        <v>0</v>
      </c>
      <c r="H7" s="326"/>
      <c r="I7" s="71">
        <f>(1+IF(G65,SOURCEDATA!B36,0))*(IF(B65=0,0,HLOOKUP(B65,SOURCEDATA!B3:K6,4))+G7)</f>
        <v>47040.698446197726</v>
      </c>
      <c r="J7" s="328"/>
      <c r="K7" s="329">
        <f>+I7/($B$65*'OPERATIONAL CHARACTERISTICS'!$B$12)</f>
        <v>171.99272568663613</v>
      </c>
    </row>
    <row r="8" spans="1:12" ht="6.75" customHeight="1" x14ac:dyDescent="0.25">
      <c r="B8" s="330"/>
      <c r="C8" s="331"/>
      <c r="D8" s="331"/>
      <c r="E8" s="332"/>
      <c r="F8" s="332"/>
      <c r="G8" s="332"/>
      <c r="H8" s="331"/>
      <c r="I8" s="332"/>
      <c r="J8" s="333"/>
      <c r="K8" s="334"/>
    </row>
    <row r="9" spans="1:12" ht="17.25" customHeight="1" x14ac:dyDescent="0.25">
      <c r="B9" s="27"/>
      <c r="C9" s="64" t="s">
        <v>82</v>
      </c>
      <c r="D9" s="335"/>
      <c r="E9" s="65" t="s">
        <v>85</v>
      </c>
      <c r="F9" s="65"/>
      <c r="G9" s="64" t="s">
        <v>91</v>
      </c>
      <c r="H9" s="335"/>
      <c r="I9" s="64" t="s">
        <v>4</v>
      </c>
      <c r="J9" s="214"/>
      <c r="K9" s="121" t="s">
        <v>87</v>
      </c>
    </row>
    <row r="10" spans="1:12" ht="17.25" customHeight="1" x14ac:dyDescent="0.25">
      <c r="B10" s="325" t="s">
        <v>76</v>
      </c>
      <c r="C10" s="326"/>
      <c r="D10" s="326"/>
      <c r="E10" s="326"/>
      <c r="F10" s="326"/>
      <c r="G10" s="69">
        <v>0</v>
      </c>
      <c r="H10" s="326"/>
      <c r="I10" s="71">
        <f>IF(D65=0,0,PROJECTCONFIGURATION!$C$65*HLOOKUP(PROJECTCONFIGURATION!D65,SOURCEDATA!B8:E9,2))+G10</f>
        <v>0</v>
      </c>
      <c r="J10" s="328"/>
      <c r="K10" s="329">
        <f>+I10/($B$65*'OPERATIONAL CHARACTERISTICS'!$B$12)</f>
        <v>0</v>
      </c>
    </row>
    <row r="11" spans="1:12" ht="6" customHeight="1" x14ac:dyDescent="0.25">
      <c r="B11" s="336"/>
      <c r="C11" s="331"/>
      <c r="D11" s="331"/>
      <c r="E11" s="331"/>
      <c r="F11" s="331"/>
      <c r="G11" s="331"/>
      <c r="H11" s="331"/>
      <c r="I11" s="331"/>
      <c r="J11" s="333"/>
      <c r="K11" s="334"/>
    </row>
    <row r="12" spans="1:12" ht="17.25" customHeight="1" x14ac:dyDescent="0.25">
      <c r="B12" s="323"/>
      <c r="C12" s="64" t="s">
        <v>90</v>
      </c>
      <c r="D12" s="335"/>
      <c r="E12" s="64" t="s">
        <v>88</v>
      </c>
      <c r="F12" s="335"/>
      <c r="G12" s="64" t="s">
        <v>91</v>
      </c>
      <c r="H12" s="335"/>
      <c r="I12" s="64" t="s">
        <v>4</v>
      </c>
      <c r="J12" s="214"/>
      <c r="K12" s="121" t="s">
        <v>87</v>
      </c>
    </row>
    <row r="13" spans="1:12" ht="17.25" customHeight="1" x14ac:dyDescent="0.25">
      <c r="B13" s="325" t="s">
        <v>78</v>
      </c>
      <c r="C13" s="326"/>
      <c r="D13" s="326"/>
      <c r="E13" s="326"/>
      <c r="F13" s="326"/>
      <c r="G13" s="69">
        <v>0</v>
      </c>
      <c r="H13" s="326"/>
      <c r="I13" s="71">
        <f>IF(E67,VLOOKUP(B65,SOURCEDATA!B12:H25,RANK(E66,E68:E74,1)),0)+G13</f>
        <v>0</v>
      </c>
      <c r="J13" s="328"/>
      <c r="K13" s="329">
        <f>+I13/($B$65*'OPERATIONAL CHARACTERISTICS'!$B$12)</f>
        <v>0</v>
      </c>
    </row>
    <row r="14" spans="1:12" ht="5.25" customHeight="1" x14ac:dyDescent="0.25">
      <c r="B14" s="336"/>
      <c r="C14" s="331"/>
      <c r="D14" s="331"/>
      <c r="E14" s="331"/>
      <c r="F14" s="331"/>
      <c r="G14" s="331"/>
      <c r="H14" s="331"/>
      <c r="I14" s="331"/>
      <c r="J14" s="333"/>
      <c r="K14" s="334"/>
    </row>
    <row r="15" spans="1:12" ht="17.25" customHeight="1" x14ac:dyDescent="0.25">
      <c r="B15" s="27"/>
      <c r="C15" s="64" t="s">
        <v>90</v>
      </c>
      <c r="D15" s="335"/>
      <c r="E15" s="64" t="s">
        <v>79</v>
      </c>
      <c r="F15" s="335"/>
      <c r="G15" s="64" t="s">
        <v>91</v>
      </c>
      <c r="H15" s="335"/>
      <c r="I15" s="64" t="s">
        <v>4</v>
      </c>
      <c r="J15" s="214"/>
      <c r="K15" s="121" t="s">
        <v>87</v>
      </c>
    </row>
    <row r="16" spans="1:12" ht="17.25" customHeight="1" x14ac:dyDescent="0.25">
      <c r="B16" s="325" t="s">
        <v>77</v>
      </c>
      <c r="C16" s="66"/>
      <c r="D16" s="326"/>
      <c r="E16" s="71">
        <f>+I16/$B$65</f>
        <v>914.30782676182787</v>
      </c>
      <c r="F16" s="67"/>
      <c r="G16" s="74">
        <v>0</v>
      </c>
      <c r="H16" s="326"/>
      <c r="I16" s="71">
        <f>+IF(F65,HLOOKUP(B65,SOURCEDATA!B30:K31,2),0)+G16</f>
        <v>5485.846960570967</v>
      </c>
      <c r="J16" s="328"/>
      <c r="K16" s="329">
        <f>+I16/($B$65*'OPERATIONAL CHARACTERISTICS'!$B$12)</f>
        <v>20.05764800723561</v>
      </c>
    </row>
    <row r="17" spans="2:13" ht="6" customHeight="1" x14ac:dyDescent="0.25">
      <c r="B17" s="336"/>
      <c r="C17" s="331"/>
      <c r="D17" s="331"/>
      <c r="E17" s="331"/>
      <c r="F17" s="331"/>
      <c r="G17" s="331"/>
      <c r="H17" s="331"/>
      <c r="I17" s="331"/>
      <c r="J17" s="333"/>
      <c r="K17" s="334"/>
    </row>
    <row r="18" spans="2:13" ht="17.25" customHeight="1" x14ac:dyDescent="0.25">
      <c r="B18" s="323"/>
      <c r="C18" s="64" t="s">
        <v>90</v>
      </c>
      <c r="D18" s="335"/>
      <c r="E18" s="64" t="s">
        <v>79</v>
      </c>
      <c r="F18" s="64"/>
      <c r="G18" s="64" t="s">
        <v>91</v>
      </c>
      <c r="H18" s="335"/>
      <c r="I18" s="64" t="s">
        <v>4</v>
      </c>
      <c r="J18" s="214"/>
      <c r="K18" s="121" t="s">
        <v>87</v>
      </c>
    </row>
    <row r="19" spans="2:13" ht="17.25" customHeight="1" x14ac:dyDescent="0.25">
      <c r="B19" s="325" t="s">
        <v>75</v>
      </c>
      <c r="C19" s="326"/>
      <c r="D19" s="326"/>
      <c r="E19" s="71">
        <f>IF(H65=0,0,+I19/H66)</f>
        <v>0</v>
      </c>
      <c r="F19" s="327"/>
      <c r="G19" s="69">
        <v>0</v>
      </c>
      <c r="H19" s="326"/>
      <c r="I19" s="71">
        <f>IF(H65=0,0,HLOOKUP(H65,SOURCEDATA!B3:K34,32)+G19)</f>
        <v>0</v>
      </c>
      <c r="J19" s="328"/>
      <c r="K19" s="329">
        <f>+I19/($B$65*'OPERATIONAL CHARACTERISTICS'!$B$12)</f>
        <v>0</v>
      </c>
      <c r="M19" s="219"/>
    </row>
    <row r="20" spans="2:13" ht="9.75" customHeight="1" x14ac:dyDescent="0.25">
      <c r="B20" s="330"/>
      <c r="C20" s="331"/>
      <c r="D20" s="331"/>
      <c r="E20" s="331"/>
      <c r="F20" s="331"/>
      <c r="G20" s="331"/>
      <c r="H20" s="331"/>
      <c r="I20" s="331"/>
      <c r="J20" s="333"/>
      <c r="K20" s="334"/>
    </row>
    <row r="21" spans="2:13" ht="17.25" customHeight="1" x14ac:dyDescent="0.25">
      <c r="B21" s="323"/>
      <c r="C21" s="64" t="s">
        <v>90</v>
      </c>
      <c r="D21" s="335"/>
      <c r="E21" s="335"/>
      <c r="F21" s="335"/>
      <c r="G21" s="64" t="s">
        <v>91</v>
      </c>
      <c r="H21" s="335"/>
      <c r="I21" s="64" t="s">
        <v>4</v>
      </c>
      <c r="J21" s="214"/>
      <c r="K21" s="121" t="s">
        <v>87</v>
      </c>
    </row>
    <row r="22" spans="2:13" ht="17.25" customHeight="1" x14ac:dyDescent="0.25">
      <c r="B22" s="325" t="s">
        <v>74</v>
      </c>
      <c r="C22" s="326"/>
      <c r="D22" s="326"/>
      <c r="E22" s="68" t="s">
        <v>94</v>
      </c>
      <c r="F22" s="326"/>
      <c r="G22" s="69">
        <v>0</v>
      </c>
      <c r="H22" s="326"/>
      <c r="I22" s="71">
        <f>G22+IF(I65,(SOURCEDATA!B38),0)</f>
        <v>0</v>
      </c>
      <c r="J22" s="328"/>
      <c r="K22" s="329">
        <f>+I22/($B$65*'OPERATIONAL CHARACTERISTICS'!$B$12)</f>
        <v>0</v>
      </c>
    </row>
    <row r="23" spans="2:13" ht="9" customHeight="1" x14ac:dyDescent="0.25">
      <c r="B23" s="330"/>
      <c r="C23" s="331"/>
      <c r="D23" s="331"/>
      <c r="E23" s="331"/>
      <c r="F23" s="331"/>
      <c r="G23" s="331"/>
      <c r="H23" s="331"/>
      <c r="I23" s="331"/>
      <c r="J23" s="333"/>
      <c r="K23" s="334"/>
    </row>
    <row r="24" spans="2:13" ht="17.25" customHeight="1" x14ac:dyDescent="0.25">
      <c r="B24" s="323"/>
      <c r="C24" s="64" t="s">
        <v>90</v>
      </c>
      <c r="D24" s="335"/>
      <c r="E24" s="216" t="s">
        <v>212</v>
      </c>
      <c r="F24" s="335"/>
      <c r="G24" s="64" t="s">
        <v>91</v>
      </c>
      <c r="H24" s="335"/>
      <c r="I24" s="64" t="s">
        <v>4</v>
      </c>
      <c r="J24" s="214"/>
      <c r="K24" s="121" t="s">
        <v>87</v>
      </c>
    </row>
    <row r="25" spans="2:13" ht="17.25" customHeight="1" x14ac:dyDescent="0.25">
      <c r="B25" s="325" t="s">
        <v>197</v>
      </c>
      <c r="C25" s="214"/>
      <c r="D25" s="326"/>
      <c r="E25" s="148">
        <v>600</v>
      </c>
      <c r="F25" s="326"/>
      <c r="G25" s="69"/>
      <c r="H25" s="326"/>
      <c r="I25" s="71">
        <f ca="1">G25+IF(J65,OFFSET(SOURCEDATA!B40,(700-PROJECTCONFIGURATION!E25)/100,B65),0)</f>
        <v>0</v>
      </c>
      <c r="J25" s="328"/>
      <c r="K25" s="329">
        <f ca="1">+I25/($B$65*'OPERATIONAL CHARACTERISTICS'!$B$12)</f>
        <v>0</v>
      </c>
    </row>
    <row r="26" spans="2:13" ht="6.75" customHeight="1" x14ac:dyDescent="0.25">
      <c r="B26" s="330"/>
      <c r="C26" s="331"/>
      <c r="D26" s="331"/>
      <c r="E26" s="331"/>
      <c r="F26" s="331"/>
      <c r="G26" s="331"/>
      <c r="H26" s="331"/>
      <c r="I26" s="331"/>
      <c r="J26" s="333"/>
      <c r="K26" s="334"/>
    </row>
    <row r="27" spans="2:13" ht="17.25" customHeight="1" x14ac:dyDescent="0.25">
      <c r="B27" s="323"/>
      <c r="C27" s="214"/>
      <c r="D27" s="335"/>
      <c r="E27" s="64" t="s">
        <v>90</v>
      </c>
      <c r="F27" s="335"/>
      <c r="G27" s="64" t="s">
        <v>91</v>
      </c>
      <c r="H27" s="335"/>
      <c r="I27" s="64" t="s">
        <v>4</v>
      </c>
      <c r="J27" s="214"/>
      <c r="K27" s="121" t="s">
        <v>87</v>
      </c>
    </row>
    <row r="28" spans="2:13" ht="17.25" customHeight="1" x14ac:dyDescent="0.25">
      <c r="B28" s="325" t="s">
        <v>353</v>
      </c>
      <c r="C28" s="326"/>
      <c r="D28" s="326"/>
      <c r="E28" s="326"/>
      <c r="F28" s="326"/>
      <c r="G28" s="69">
        <v>0</v>
      </c>
      <c r="H28" s="326"/>
      <c r="I28" s="71">
        <f>+G28+IF(K65,HLOOKUP(B65,SOURCEDATA!B53:K54,2),0)</f>
        <v>0</v>
      </c>
      <c r="J28" s="328"/>
      <c r="K28" s="329">
        <f>+I28/($B$65*'OPERATIONAL CHARACTERISTICS'!$B$12)</f>
        <v>0</v>
      </c>
    </row>
    <row r="29" spans="2:13" ht="6" customHeight="1" x14ac:dyDescent="0.25">
      <c r="B29" s="330"/>
      <c r="C29" s="331"/>
      <c r="D29" s="331"/>
      <c r="E29" s="331"/>
      <c r="F29" s="331"/>
      <c r="G29" s="331"/>
      <c r="H29" s="331"/>
      <c r="I29" s="331"/>
      <c r="J29" s="333"/>
      <c r="K29" s="334"/>
    </row>
    <row r="30" spans="2:13" ht="17.25" customHeight="1" x14ac:dyDescent="0.25">
      <c r="B30" s="323"/>
      <c r="C30" s="214"/>
      <c r="D30" s="335"/>
      <c r="E30" s="64" t="s">
        <v>90</v>
      </c>
      <c r="F30" s="335"/>
      <c r="G30" s="64"/>
      <c r="H30" s="335"/>
      <c r="I30" s="64" t="s">
        <v>4</v>
      </c>
      <c r="J30" s="214"/>
      <c r="K30" s="121" t="s">
        <v>87</v>
      </c>
    </row>
    <row r="31" spans="2:13" ht="17.25" customHeight="1" x14ac:dyDescent="0.25">
      <c r="B31" s="325" t="s">
        <v>13</v>
      </c>
      <c r="C31" s="326"/>
      <c r="D31" s="326"/>
      <c r="E31" s="326"/>
      <c r="F31" s="326"/>
      <c r="G31" s="69">
        <v>0</v>
      </c>
      <c r="H31" s="326"/>
      <c r="I31" s="71">
        <f>+G31+IF(M66,HLOOKUP(PROJECTCONFIGURATION!B65,SOURCEDATA!B58:K59,2))</f>
        <v>5732.4275669272465</v>
      </c>
      <c r="J31" s="328"/>
      <c r="K31" s="329">
        <f>+I31/($B$65*'OPERATIONAL CHARACTERISTICS'!$B$12)</f>
        <v>20.959209250786998</v>
      </c>
    </row>
    <row r="32" spans="2:13" ht="8.25" customHeight="1" x14ac:dyDescent="0.25">
      <c r="B32" s="330"/>
      <c r="C32" s="333"/>
      <c r="D32" s="333"/>
      <c r="E32" s="333"/>
      <c r="F32" s="333"/>
      <c r="G32" s="333"/>
      <c r="H32" s="333"/>
      <c r="I32" s="333"/>
      <c r="J32" s="333"/>
      <c r="K32" s="337"/>
    </row>
    <row r="33" spans="2:13" ht="17.25" customHeight="1" x14ac:dyDescent="0.25">
      <c r="B33" s="27"/>
      <c r="C33" s="214"/>
      <c r="D33" s="214"/>
      <c r="E33" s="64" t="s">
        <v>90</v>
      </c>
      <c r="F33" s="214"/>
      <c r="G33" s="64" t="s">
        <v>91</v>
      </c>
      <c r="H33" s="335"/>
      <c r="I33" s="64" t="s">
        <v>4</v>
      </c>
      <c r="J33" s="214"/>
      <c r="K33" s="121" t="s">
        <v>87</v>
      </c>
    </row>
    <row r="34" spans="2:13" ht="17.25" customHeight="1" thickBot="1" x14ac:dyDescent="0.3">
      <c r="B34" s="236" t="s">
        <v>116</v>
      </c>
      <c r="C34" s="86"/>
      <c r="D34" s="86"/>
      <c r="E34" s="86"/>
      <c r="F34" s="86"/>
      <c r="G34" s="314">
        <v>0</v>
      </c>
      <c r="H34" s="338"/>
      <c r="I34" s="339">
        <f>G34+IF(L65,HLOOKUP(B65,SOURCEDATA!B56:K57,2),0)</f>
        <v>0</v>
      </c>
      <c r="J34" s="86"/>
      <c r="K34" s="340">
        <f>+I34/($B$65*'OPERATIONAL CHARACTERISTICS'!$B$12)</f>
        <v>0</v>
      </c>
      <c r="M34" s="58">
        <f>25/20</f>
        <v>1.25</v>
      </c>
    </row>
    <row r="35" spans="2:13" ht="17.25" customHeight="1" thickBot="1" x14ac:dyDescent="0.3">
      <c r="B35" s="57"/>
      <c r="M35" s="58">
        <f>25/4</f>
        <v>6.25</v>
      </c>
    </row>
    <row r="36" spans="2:13" ht="17.25" customHeight="1" x14ac:dyDescent="0.25">
      <c r="B36" s="357" t="s">
        <v>97</v>
      </c>
      <c r="C36" s="358"/>
      <c r="D36" s="358"/>
      <c r="E36" s="358"/>
      <c r="F36" s="358"/>
      <c r="G36" s="358"/>
      <c r="H36" s="359"/>
      <c r="I36" s="341" t="s">
        <v>98</v>
      </c>
      <c r="J36" s="342"/>
      <c r="K36" s="343" t="s">
        <v>87</v>
      </c>
    </row>
    <row r="37" spans="2:13" ht="17.25" customHeight="1" thickBot="1" x14ac:dyDescent="0.3">
      <c r="B37" s="360"/>
      <c r="C37" s="361"/>
      <c r="D37" s="361"/>
      <c r="E37" s="361"/>
      <c r="F37" s="361"/>
      <c r="G37" s="361"/>
      <c r="H37" s="362"/>
      <c r="I37" s="344">
        <f ca="1">I34+I28+I25+I22+I19+I16+I13+I10+I7+I4+I31</f>
        <v>142330.97297369593</v>
      </c>
      <c r="J37" s="86"/>
      <c r="K37" s="345">
        <f ca="1">K34+K28+K25+K22+K19+K16+K13+K10+K7+K4+K31</f>
        <v>520.39814033321613</v>
      </c>
    </row>
    <row r="38" spans="2:13" ht="17.25" customHeight="1" x14ac:dyDescent="0.25">
      <c r="B38" s="57"/>
    </row>
    <row r="39" spans="2:13" ht="17.25" customHeight="1" x14ac:dyDescent="0.25">
      <c r="B39" s="57"/>
      <c r="I39" s="58">
        <f ca="1">+I37/5</f>
        <v>28466.194594739187</v>
      </c>
    </row>
    <row r="40" spans="2:13" ht="17.25" customHeight="1" x14ac:dyDescent="0.25">
      <c r="B40" s="57"/>
    </row>
    <row r="41" spans="2:13" ht="17.25" customHeight="1" x14ac:dyDescent="0.25"/>
    <row r="42" spans="2:13" ht="17.25" customHeight="1" x14ac:dyDescent="0.25"/>
    <row r="43" spans="2:13" ht="17.25" customHeight="1" x14ac:dyDescent="0.25"/>
    <row r="44" spans="2:13" ht="17.25" customHeight="1" x14ac:dyDescent="0.25"/>
    <row r="45" spans="2:13" ht="17.25" customHeight="1" x14ac:dyDescent="0.25"/>
    <row r="46" spans="2:13" ht="17.25" customHeight="1" x14ac:dyDescent="0.25"/>
    <row r="47" spans="2:13" ht="17.25" customHeight="1" x14ac:dyDescent="0.25"/>
    <row r="48" spans="2:13" ht="17.25" customHeight="1" x14ac:dyDescent="0.25"/>
    <row r="49" spans="2:13" ht="17.25" customHeight="1" x14ac:dyDescent="0.25"/>
    <row r="50" spans="2:13" ht="17.25" customHeight="1" x14ac:dyDescent="0.25"/>
    <row r="51" spans="2:13" ht="17.25" customHeight="1" x14ac:dyDescent="0.25"/>
    <row r="52" spans="2:13" ht="17.25" customHeight="1" x14ac:dyDescent="0.25"/>
    <row r="53" spans="2:13" ht="17.25" customHeight="1" x14ac:dyDescent="0.25"/>
    <row r="54" spans="2:13" ht="17.25" customHeight="1" x14ac:dyDescent="0.25"/>
    <row r="62" spans="2:13" ht="408.75" customHeight="1" x14ac:dyDescent="0.25"/>
    <row r="63" spans="2:13" x14ac:dyDescent="0.25">
      <c r="B63" s="346"/>
      <c r="C63" s="346" t="s">
        <v>76</v>
      </c>
      <c r="D63" s="346"/>
      <c r="E63" s="346" t="s">
        <v>88</v>
      </c>
      <c r="F63" s="346"/>
      <c r="G63" s="346" t="s">
        <v>92</v>
      </c>
      <c r="H63" s="346" t="s">
        <v>75</v>
      </c>
      <c r="I63" s="346" t="s">
        <v>74</v>
      </c>
      <c r="J63" s="346" t="s">
        <v>81</v>
      </c>
      <c r="K63" s="346" t="s">
        <v>95</v>
      </c>
      <c r="L63" s="346" t="s">
        <v>117</v>
      </c>
      <c r="M63" s="346" t="s">
        <v>13</v>
      </c>
    </row>
    <row r="64" spans="2:13" x14ac:dyDescent="0.25">
      <c r="B64" s="347" t="s">
        <v>83</v>
      </c>
      <c r="C64" s="347" t="s">
        <v>82</v>
      </c>
      <c r="D64" s="348" t="s">
        <v>84</v>
      </c>
      <c r="E64" s="347" t="s">
        <v>89</v>
      </c>
      <c r="F64" s="347" t="s">
        <v>77</v>
      </c>
      <c r="G64" s="347"/>
      <c r="H64" s="347"/>
      <c r="I64" s="347"/>
      <c r="J64" s="347"/>
      <c r="K64" s="347"/>
      <c r="L64" s="347" t="s">
        <v>118</v>
      </c>
      <c r="M64" s="347"/>
    </row>
    <row r="65" spans="2:13" x14ac:dyDescent="0.25">
      <c r="B65" s="348">
        <f>+VALUE(B66)</f>
        <v>6</v>
      </c>
      <c r="C65" s="348">
        <f>+VALUE(C66)</f>
        <v>0</v>
      </c>
      <c r="D65" s="348">
        <f>+VALUE(D66)</f>
        <v>16</v>
      </c>
      <c r="E65" s="348">
        <f>+VALUE(E66)</f>
        <v>230</v>
      </c>
      <c r="F65" s="349" t="b">
        <f>+F66</f>
        <v>1</v>
      </c>
      <c r="G65" s="347" t="b">
        <f>+G66</f>
        <v>0</v>
      </c>
      <c r="H65" s="348">
        <f>+IF(H66,B65,0)</f>
        <v>0</v>
      </c>
      <c r="I65" s="348" t="b">
        <f>+I66</f>
        <v>0</v>
      </c>
      <c r="J65" s="347" t="b">
        <f>+J66</f>
        <v>0</v>
      </c>
      <c r="K65" s="347" t="b">
        <f>+K66</f>
        <v>0</v>
      </c>
      <c r="L65" s="347" t="b">
        <f>+L66</f>
        <v>0</v>
      </c>
      <c r="M65" s="347" t="b">
        <f>+M66</f>
        <v>1</v>
      </c>
    </row>
    <row r="66" spans="2:13" x14ac:dyDescent="0.25">
      <c r="B66" s="350" t="s">
        <v>356</v>
      </c>
      <c r="C66" s="348" t="s">
        <v>355</v>
      </c>
      <c r="D66" s="348" t="s">
        <v>354</v>
      </c>
      <c r="E66" s="348" t="s">
        <v>344</v>
      </c>
      <c r="F66" s="351" t="b">
        <v>1</v>
      </c>
      <c r="G66" s="347" t="b">
        <v>0</v>
      </c>
      <c r="H66" s="349" t="b">
        <v>0</v>
      </c>
      <c r="I66" s="347" t="b">
        <v>0</v>
      </c>
      <c r="J66" s="347" t="b">
        <v>0</v>
      </c>
      <c r="K66" s="347" t="b">
        <v>0</v>
      </c>
      <c r="L66" s="347" t="b">
        <v>0</v>
      </c>
      <c r="M66" s="347" t="b">
        <v>1</v>
      </c>
    </row>
    <row r="67" spans="2:13" x14ac:dyDescent="0.25">
      <c r="B67" s="352"/>
      <c r="C67" s="347"/>
      <c r="D67" s="347"/>
      <c r="E67" s="347" t="b">
        <v>0</v>
      </c>
      <c r="F67" s="347" t="b">
        <v>1</v>
      </c>
      <c r="G67" s="347"/>
      <c r="H67" s="347"/>
      <c r="I67" s="347"/>
      <c r="J67" s="347"/>
      <c r="K67" s="347"/>
      <c r="L67" s="347"/>
      <c r="M67" s="347"/>
    </row>
    <row r="68" spans="2:13" x14ac:dyDescent="0.25">
      <c r="B68" s="353">
        <v>0</v>
      </c>
      <c r="C68" s="347">
        <v>0</v>
      </c>
      <c r="D68" s="347">
        <v>0</v>
      </c>
      <c r="E68" s="347">
        <v>0</v>
      </c>
      <c r="F68" s="347"/>
      <c r="G68" s="347"/>
      <c r="H68" s="347"/>
      <c r="I68" s="347"/>
      <c r="J68" s="347"/>
      <c r="K68" s="347"/>
      <c r="L68" s="347"/>
      <c r="M68" s="347"/>
    </row>
    <row r="69" spans="2:13" x14ac:dyDescent="0.25">
      <c r="B69" s="353">
        <v>1</v>
      </c>
      <c r="C69" s="347">
        <v>1</v>
      </c>
      <c r="D69" s="347">
        <v>4</v>
      </c>
      <c r="E69" s="347">
        <v>69</v>
      </c>
      <c r="F69" s="347"/>
      <c r="G69" s="347"/>
      <c r="H69" s="347"/>
      <c r="I69" s="347"/>
      <c r="J69" s="347"/>
      <c r="K69" s="347"/>
      <c r="L69" s="347"/>
      <c r="M69" s="347"/>
    </row>
    <row r="70" spans="2:13" x14ac:dyDescent="0.25">
      <c r="B70" s="353">
        <v>2</v>
      </c>
      <c r="C70" s="347">
        <v>2</v>
      </c>
      <c r="D70" s="347">
        <v>10</v>
      </c>
      <c r="E70" s="347">
        <v>138</v>
      </c>
      <c r="F70" s="347"/>
      <c r="G70" s="347"/>
      <c r="H70" s="347"/>
      <c r="I70" s="347"/>
      <c r="J70" s="347"/>
      <c r="K70" s="347"/>
      <c r="L70" s="347"/>
      <c r="M70" s="347"/>
    </row>
    <row r="71" spans="2:13" x14ac:dyDescent="0.25">
      <c r="B71" s="353">
        <v>3</v>
      </c>
      <c r="C71" s="347">
        <v>3</v>
      </c>
      <c r="D71" s="347">
        <v>16</v>
      </c>
      <c r="E71" s="347">
        <v>230</v>
      </c>
      <c r="F71" s="347"/>
      <c r="G71" s="347"/>
      <c r="H71" s="347"/>
      <c r="I71" s="347"/>
      <c r="J71" s="347"/>
      <c r="K71" s="347"/>
      <c r="L71" s="347"/>
      <c r="M71" s="347"/>
    </row>
    <row r="72" spans="2:13" x14ac:dyDescent="0.25">
      <c r="B72" s="353">
        <v>4</v>
      </c>
      <c r="C72" s="347">
        <v>4</v>
      </c>
      <c r="D72" s="347">
        <v>24</v>
      </c>
      <c r="E72" s="347">
        <v>345</v>
      </c>
      <c r="F72" s="347"/>
      <c r="G72" s="347"/>
      <c r="H72" s="347"/>
      <c r="I72" s="347"/>
      <c r="J72" s="347"/>
      <c r="K72" s="347"/>
      <c r="L72" s="347"/>
      <c r="M72" s="347"/>
    </row>
    <row r="73" spans="2:13" x14ac:dyDescent="0.25">
      <c r="B73" s="353">
        <v>5</v>
      </c>
      <c r="C73" s="347">
        <v>5</v>
      </c>
      <c r="D73" s="347"/>
      <c r="E73" s="347">
        <v>500</v>
      </c>
      <c r="F73" s="347"/>
      <c r="G73" s="347"/>
      <c r="H73" s="347"/>
      <c r="I73" s="347"/>
      <c r="J73" s="347"/>
      <c r="K73" s="347"/>
      <c r="L73" s="347"/>
      <c r="M73" s="347"/>
    </row>
    <row r="74" spans="2:13" x14ac:dyDescent="0.25">
      <c r="B74" s="353">
        <v>6</v>
      </c>
      <c r="C74" s="347">
        <v>6</v>
      </c>
      <c r="D74" s="347"/>
      <c r="E74" s="347">
        <v>745</v>
      </c>
      <c r="F74" s="347"/>
      <c r="G74" s="347"/>
      <c r="H74" s="347"/>
      <c r="I74" s="347"/>
      <c r="J74" s="347"/>
      <c r="K74" s="347"/>
      <c r="L74" s="347"/>
      <c r="M74" s="347"/>
    </row>
    <row r="75" spans="2:13" x14ac:dyDescent="0.25">
      <c r="B75" s="353">
        <v>7</v>
      </c>
      <c r="C75" s="347">
        <v>7</v>
      </c>
      <c r="D75" s="347"/>
      <c r="E75" s="347"/>
      <c r="F75" s="347"/>
      <c r="G75" s="347"/>
      <c r="H75" s="347"/>
      <c r="I75" s="347"/>
      <c r="J75" s="347"/>
      <c r="K75" s="347"/>
      <c r="L75" s="347"/>
      <c r="M75" s="347"/>
    </row>
    <row r="76" spans="2:13" x14ac:dyDescent="0.25">
      <c r="B76" s="353">
        <v>8</v>
      </c>
      <c r="C76" s="347">
        <v>8</v>
      </c>
      <c r="D76" s="347"/>
      <c r="E76" s="347"/>
      <c r="F76" s="347"/>
      <c r="G76" s="347"/>
      <c r="H76" s="347"/>
      <c r="I76" s="347"/>
      <c r="J76" s="347"/>
      <c r="K76" s="347"/>
      <c r="L76" s="347"/>
      <c r="M76" s="347"/>
    </row>
    <row r="77" spans="2:13" x14ac:dyDescent="0.25">
      <c r="B77" s="353">
        <v>9</v>
      </c>
      <c r="C77" s="347">
        <v>9</v>
      </c>
      <c r="D77" s="347"/>
      <c r="E77" s="347"/>
      <c r="F77" s="347"/>
      <c r="G77" s="347"/>
      <c r="H77" s="347"/>
      <c r="I77" s="347"/>
      <c r="J77" s="347"/>
      <c r="K77" s="347"/>
      <c r="L77" s="347"/>
      <c r="M77" s="347"/>
    </row>
    <row r="78" spans="2:13" x14ac:dyDescent="0.25">
      <c r="B78" s="354">
        <v>10</v>
      </c>
      <c r="C78" s="355">
        <v>10</v>
      </c>
      <c r="D78" s="355"/>
      <c r="E78" s="355"/>
      <c r="F78" s="355"/>
      <c r="G78" s="355"/>
      <c r="H78" s="355"/>
      <c r="I78" s="355"/>
      <c r="J78" s="355"/>
      <c r="K78" s="355"/>
      <c r="L78" s="355"/>
      <c r="M78" s="355"/>
    </row>
    <row r="82" spans="9:9" x14ac:dyDescent="0.25">
      <c r="I82" s="356"/>
    </row>
  </sheetData>
  <mergeCells count="1">
    <mergeCell ref="B36:H37"/>
  </mergeCells>
  <pageMargins left="0.75" right="0.75" top="1" bottom="1" header="0.5" footer="0.5"/>
  <pageSetup scale="71" orientation="portrait" verticalDpi="30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278" r:id="rId4" name="OptionButton2">
          <controlPr defaultSize="0" autoLine="0" linkedCell="A1" r:id="rId5">
            <anchor moveWithCells="1">
              <from>
                <xdr:col>4</xdr:col>
                <xdr:colOff>510540</xdr:colOff>
                <xdr:row>0</xdr:row>
                <xdr:rowOff>160020</xdr:rowOff>
              </from>
              <to>
                <xdr:col>5</xdr:col>
                <xdr:colOff>266700</xdr:colOff>
                <xdr:row>0</xdr:row>
                <xdr:rowOff>434340</xdr:rowOff>
              </to>
            </anchor>
          </controlPr>
        </control>
      </mc:Choice>
      <mc:Fallback>
        <control shapeId="1278" r:id="rId4" name="OptionButton2"/>
      </mc:Fallback>
    </mc:AlternateContent>
    <mc:AlternateContent xmlns:mc="http://schemas.openxmlformats.org/markup-compatibility/2006">
      <mc:Choice Requires="x14">
        <control shapeId="1277" r:id="rId6" name="OptionButton1">
          <controlPr defaultSize="0" autoLine="0" linkedCell="A1" r:id="rId7">
            <anchor moveWithCells="1">
              <from>
                <xdr:col>3</xdr:col>
                <xdr:colOff>358140</xdr:colOff>
                <xdr:row>0</xdr:row>
                <xdr:rowOff>152400</xdr:rowOff>
              </from>
              <to>
                <xdr:col>4</xdr:col>
                <xdr:colOff>495300</xdr:colOff>
                <xdr:row>0</xdr:row>
                <xdr:rowOff>457200</xdr:rowOff>
              </to>
            </anchor>
          </controlPr>
        </control>
      </mc:Choice>
      <mc:Fallback>
        <control shapeId="1277" r:id="rId6" name="OptionButton1"/>
      </mc:Fallback>
    </mc:AlternateContent>
    <mc:AlternateContent xmlns:mc="http://schemas.openxmlformats.org/markup-compatibility/2006">
      <mc:Choice Requires="x14">
        <control shapeId="1261" r:id="rId8" name="CheckBox9">
          <controlPr defaultSize="0" autoLine="0" linkedCell="H66" r:id="rId9">
            <anchor moveWithCells="1">
              <from>
                <xdr:col>2</xdr:col>
                <xdr:colOff>236220</xdr:colOff>
                <xdr:row>17</xdr:row>
                <xdr:rowOff>190500</xdr:rowOff>
              </from>
              <to>
                <xdr:col>2</xdr:col>
                <xdr:colOff>556260</xdr:colOff>
                <xdr:row>18</xdr:row>
                <xdr:rowOff>213360</xdr:rowOff>
              </to>
            </anchor>
          </controlPr>
        </control>
      </mc:Choice>
      <mc:Fallback>
        <control shapeId="1261" r:id="rId8" name="CheckBox9"/>
      </mc:Fallback>
    </mc:AlternateContent>
    <mc:AlternateContent xmlns:mc="http://schemas.openxmlformats.org/markup-compatibility/2006">
      <mc:Choice Requires="x14">
        <control shapeId="1182" r:id="rId10" name="CheckBox8">
          <controlPr defaultSize="0" autoLine="0" linkedCell="M66" r:id="rId11">
            <anchor moveWithCells="1">
              <from>
                <xdr:col>4</xdr:col>
                <xdr:colOff>281940</xdr:colOff>
                <xdr:row>29</xdr:row>
                <xdr:rowOff>182880</xdr:rowOff>
              </from>
              <to>
                <xdr:col>4</xdr:col>
                <xdr:colOff>609600</xdr:colOff>
                <xdr:row>30</xdr:row>
                <xdr:rowOff>198120</xdr:rowOff>
              </to>
            </anchor>
          </controlPr>
        </control>
      </mc:Choice>
      <mc:Fallback>
        <control shapeId="1182" r:id="rId10" name="CheckBox8"/>
      </mc:Fallback>
    </mc:AlternateContent>
    <mc:AlternateContent xmlns:mc="http://schemas.openxmlformats.org/markup-compatibility/2006">
      <mc:Choice Requires="x14">
        <control shapeId="1159" r:id="rId12" name="CommandButton1">
          <controlPr defaultSize="0" autoLine="0" autoPict="0" r:id="rId13">
            <anchor moveWithCells="1">
              <from>
                <xdr:col>1</xdr:col>
                <xdr:colOff>998220</xdr:colOff>
                <xdr:row>4</xdr:row>
                <xdr:rowOff>15240</xdr:rowOff>
              </from>
              <to>
                <xdr:col>1</xdr:col>
                <xdr:colOff>1714500</xdr:colOff>
                <xdr:row>6</xdr:row>
                <xdr:rowOff>213360</xdr:rowOff>
              </to>
            </anchor>
          </controlPr>
        </control>
      </mc:Choice>
      <mc:Fallback>
        <control shapeId="1159" r:id="rId12" name="CommandButton1"/>
      </mc:Fallback>
    </mc:AlternateContent>
    <mc:AlternateContent xmlns:mc="http://schemas.openxmlformats.org/markup-compatibility/2006">
      <mc:Choice Requires="x14">
        <control shapeId="1124" r:id="rId14" name="CheckBox7">
          <controlPr defaultSize="0" autoLine="0" linkedCell="E67" r:id="rId15">
            <anchor moveWithCells="1">
              <from>
                <xdr:col>2</xdr:col>
                <xdr:colOff>251460</xdr:colOff>
                <xdr:row>11</xdr:row>
                <xdr:rowOff>198120</xdr:rowOff>
              </from>
              <to>
                <xdr:col>2</xdr:col>
                <xdr:colOff>579120</xdr:colOff>
                <xdr:row>13</xdr:row>
                <xdr:rowOff>0</xdr:rowOff>
              </to>
            </anchor>
          </controlPr>
        </control>
      </mc:Choice>
      <mc:Fallback>
        <control shapeId="1124" r:id="rId14" name="CheckBox7"/>
      </mc:Fallback>
    </mc:AlternateContent>
    <mc:AlternateContent xmlns:mc="http://schemas.openxmlformats.org/markup-compatibility/2006">
      <mc:Choice Requires="x14">
        <control shapeId="1118" r:id="rId16" name="CheckBox6">
          <controlPr defaultSize="0" autoLine="0" linkedCell="L66" r:id="rId15">
            <anchor moveWithCells="1">
              <from>
                <xdr:col>4</xdr:col>
                <xdr:colOff>281940</xdr:colOff>
                <xdr:row>32</xdr:row>
                <xdr:rowOff>190500</xdr:rowOff>
              </from>
              <to>
                <xdr:col>4</xdr:col>
                <xdr:colOff>609600</xdr:colOff>
                <xdr:row>33</xdr:row>
                <xdr:rowOff>213360</xdr:rowOff>
              </to>
            </anchor>
          </controlPr>
        </control>
      </mc:Choice>
      <mc:Fallback>
        <control shapeId="1118" r:id="rId16" name="CheckBox6"/>
      </mc:Fallback>
    </mc:AlternateContent>
    <mc:AlternateContent xmlns:mc="http://schemas.openxmlformats.org/markup-compatibility/2006">
      <mc:Choice Requires="x14">
        <control shapeId="1071" r:id="rId17" name="CheckBox5">
          <controlPr defaultSize="0" autoLine="0" linkedCell="K66" r:id="rId9">
            <anchor moveWithCells="1">
              <from>
                <xdr:col>4</xdr:col>
                <xdr:colOff>281940</xdr:colOff>
                <xdr:row>26</xdr:row>
                <xdr:rowOff>198120</xdr:rowOff>
              </from>
              <to>
                <xdr:col>4</xdr:col>
                <xdr:colOff>609600</xdr:colOff>
                <xdr:row>28</xdr:row>
                <xdr:rowOff>0</xdr:rowOff>
              </to>
            </anchor>
          </controlPr>
        </control>
      </mc:Choice>
      <mc:Fallback>
        <control shapeId="1071" r:id="rId17" name="CheckBox5"/>
      </mc:Fallback>
    </mc:AlternateContent>
    <mc:AlternateContent xmlns:mc="http://schemas.openxmlformats.org/markup-compatibility/2006">
      <mc:Choice Requires="x14">
        <control shapeId="1070" r:id="rId18" name="CheckBox4">
          <controlPr defaultSize="0" autoLine="0" linkedCell="J66" r:id="rId15">
            <anchor moveWithCells="1">
              <from>
                <xdr:col>2</xdr:col>
                <xdr:colOff>251460</xdr:colOff>
                <xdr:row>23</xdr:row>
                <xdr:rowOff>198120</xdr:rowOff>
              </from>
              <to>
                <xdr:col>2</xdr:col>
                <xdr:colOff>579120</xdr:colOff>
                <xdr:row>25</xdr:row>
                <xdr:rowOff>0</xdr:rowOff>
              </to>
            </anchor>
          </controlPr>
        </control>
      </mc:Choice>
      <mc:Fallback>
        <control shapeId="1070" r:id="rId18" name="CheckBox4"/>
      </mc:Fallback>
    </mc:AlternateContent>
    <mc:AlternateContent xmlns:mc="http://schemas.openxmlformats.org/markup-compatibility/2006">
      <mc:Choice Requires="x14">
        <control shapeId="1064" r:id="rId19" name="CheckBox3">
          <controlPr defaultSize="0" autoLine="0" linkedCell="I66" r:id="rId9">
            <anchor moveWithCells="1">
              <from>
                <xdr:col>2</xdr:col>
                <xdr:colOff>243840</xdr:colOff>
                <xdr:row>20</xdr:row>
                <xdr:rowOff>198120</xdr:rowOff>
              </from>
              <to>
                <xdr:col>2</xdr:col>
                <xdr:colOff>563880</xdr:colOff>
                <xdr:row>22</xdr:row>
                <xdr:rowOff>0</xdr:rowOff>
              </to>
            </anchor>
          </controlPr>
        </control>
      </mc:Choice>
      <mc:Fallback>
        <control shapeId="1064" r:id="rId19" name="CheckBox3"/>
      </mc:Fallback>
    </mc:AlternateContent>
    <mc:AlternateContent xmlns:mc="http://schemas.openxmlformats.org/markup-compatibility/2006">
      <mc:Choice Requires="x14">
        <control shapeId="1053" r:id="rId20" name="CheckBox2">
          <controlPr defaultSize="0" autoLine="0" linkedCell="G66" r:id="rId21">
            <anchor moveWithCells="1">
              <from>
                <xdr:col>2</xdr:col>
                <xdr:colOff>198120</xdr:colOff>
                <xdr:row>6</xdr:row>
                <xdr:rowOff>0</xdr:rowOff>
              </from>
              <to>
                <xdr:col>2</xdr:col>
                <xdr:colOff>579120</xdr:colOff>
                <xdr:row>7</xdr:row>
                <xdr:rowOff>0</xdr:rowOff>
              </to>
            </anchor>
          </controlPr>
        </control>
      </mc:Choice>
      <mc:Fallback>
        <control shapeId="1053" r:id="rId20" name="CheckBox2"/>
      </mc:Fallback>
    </mc:AlternateContent>
    <mc:AlternateContent xmlns:mc="http://schemas.openxmlformats.org/markup-compatibility/2006">
      <mc:Choice Requires="x14">
        <control shapeId="1033" r:id="rId22" name="CheckBox1">
          <controlPr defaultSize="0" autoLine="0" linkedCell="F66" r:id="rId11">
            <anchor moveWithCells="1">
              <from>
                <xdr:col>2</xdr:col>
                <xdr:colOff>266700</xdr:colOff>
                <xdr:row>14</xdr:row>
                <xdr:rowOff>198120</xdr:rowOff>
              </from>
              <to>
                <xdr:col>2</xdr:col>
                <xdr:colOff>586740</xdr:colOff>
                <xdr:row>16</xdr:row>
                <xdr:rowOff>0</xdr:rowOff>
              </to>
            </anchor>
          </controlPr>
        </control>
      </mc:Choice>
      <mc:Fallback>
        <control shapeId="1033" r:id="rId22" name="CheckBox1"/>
      </mc:Fallback>
    </mc:AlternateContent>
    <mc:AlternateContent xmlns:mc="http://schemas.openxmlformats.org/markup-compatibility/2006">
      <mc:Choice Requires="x14">
        <control shapeId="1030" r:id="rId23" name="ComboBox4">
          <controlPr defaultSize="0" autoLine="0" linkedCell="E66" listFillRange="E69:E74" r:id="rId24">
            <anchor moveWithCells="1">
              <from>
                <xdr:col>4</xdr:col>
                <xdr:colOff>0</xdr:colOff>
                <xdr:row>12</xdr:row>
                <xdr:rowOff>0</xdr:rowOff>
              </from>
              <to>
                <xdr:col>5</xdr:col>
                <xdr:colOff>0</xdr:colOff>
                <xdr:row>12</xdr:row>
                <xdr:rowOff>213360</xdr:rowOff>
              </to>
            </anchor>
          </controlPr>
        </control>
      </mc:Choice>
      <mc:Fallback>
        <control shapeId="1030" r:id="rId23" name="ComboBox4"/>
      </mc:Fallback>
    </mc:AlternateContent>
    <mc:AlternateContent xmlns:mc="http://schemas.openxmlformats.org/markup-compatibility/2006">
      <mc:Choice Requires="x14">
        <control shapeId="1029" r:id="rId25" name="ComboBox3">
          <controlPr defaultSize="0" autoLine="0" autoPict="0" linkedCell="D66" listFillRange="D68:D72" r:id="rId26">
            <anchor moveWithCells="1">
              <from>
                <xdr:col>4</xdr:col>
                <xdr:colOff>22860</xdr:colOff>
                <xdr:row>9</xdr:row>
                <xdr:rowOff>0</xdr:rowOff>
              </from>
              <to>
                <xdr:col>5</xdr:col>
                <xdr:colOff>38100</xdr:colOff>
                <xdr:row>10</xdr:row>
                <xdr:rowOff>0</xdr:rowOff>
              </to>
            </anchor>
          </controlPr>
        </control>
      </mc:Choice>
      <mc:Fallback>
        <control shapeId="1029" r:id="rId25" name="ComboBox3"/>
      </mc:Fallback>
    </mc:AlternateContent>
    <mc:AlternateContent xmlns:mc="http://schemas.openxmlformats.org/markup-compatibility/2006">
      <mc:Choice Requires="x14">
        <control shapeId="1028" r:id="rId27" name="ComboBox2">
          <controlPr defaultSize="0" autoLine="0" linkedCell="C66" listFillRange="C68:C78" r:id="rId28">
            <anchor moveWithCells="1">
              <from>
                <xdr:col>2</xdr:col>
                <xdr:colOff>7620</xdr:colOff>
                <xdr:row>8</xdr:row>
                <xdr:rowOff>198120</xdr:rowOff>
              </from>
              <to>
                <xdr:col>3</xdr:col>
                <xdr:colOff>68580</xdr:colOff>
                <xdr:row>10</xdr:row>
                <xdr:rowOff>0</xdr:rowOff>
              </to>
            </anchor>
          </controlPr>
        </control>
      </mc:Choice>
      <mc:Fallback>
        <control shapeId="1028" r:id="rId27" name="ComboBox2"/>
      </mc:Fallback>
    </mc:AlternateContent>
    <mc:AlternateContent xmlns:mc="http://schemas.openxmlformats.org/markup-compatibility/2006">
      <mc:Choice Requires="x14">
        <control shapeId="1025" r:id="rId29" name="ComboBox1">
          <controlPr defaultSize="0" autoLine="0" autoPict="0" linkedCell="B66" listFillRange="B68:B78" r:id="rId30">
            <anchor moveWithCells="1">
              <from>
                <xdr:col>2</xdr:col>
                <xdr:colOff>0</xdr:colOff>
                <xdr:row>2</xdr:row>
                <xdr:rowOff>198120</xdr:rowOff>
              </from>
              <to>
                <xdr:col>3</xdr:col>
                <xdr:colOff>68580</xdr:colOff>
                <xdr:row>3</xdr:row>
                <xdr:rowOff>213360</xdr:rowOff>
              </to>
            </anchor>
          </controlPr>
        </control>
      </mc:Choice>
      <mc:Fallback>
        <control shapeId="1025" r:id="rId29" name="ComboBox1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B2:L45"/>
  <sheetViews>
    <sheetView showGridLines="0" workbookViewId="0">
      <selection activeCell="B20" sqref="B20"/>
    </sheetView>
  </sheetViews>
  <sheetFormatPr defaultRowHeight="13.2" x14ac:dyDescent="0.25"/>
  <cols>
    <col min="1" max="1" width="3.44140625" customWidth="1"/>
    <col min="2" max="2" width="8.5546875" customWidth="1"/>
    <col min="3" max="3" width="45.44140625" customWidth="1"/>
    <col min="4" max="4" width="5.88671875" customWidth="1"/>
    <col min="5" max="5" width="14" customWidth="1"/>
    <col min="6" max="6" width="12.44140625" customWidth="1"/>
    <col min="7" max="7" width="9.5546875" customWidth="1"/>
    <col min="8" max="8" width="13.33203125" customWidth="1"/>
    <col min="11" max="11" width="3.109375" customWidth="1"/>
  </cols>
  <sheetData>
    <row r="2" spans="2:12" ht="21" x14ac:dyDescent="0.25">
      <c r="B2" s="120" t="s">
        <v>163</v>
      </c>
    </row>
    <row r="3" spans="2:12" ht="13.8" thickBot="1" x14ac:dyDescent="0.3"/>
    <row r="4" spans="2:12" ht="13.8" thickBot="1" x14ac:dyDescent="0.3">
      <c r="B4" s="20" t="s">
        <v>111</v>
      </c>
      <c r="C4" s="2"/>
      <c r="D4" s="2"/>
      <c r="E4" s="122" t="s">
        <v>140</v>
      </c>
      <c r="F4" s="122" t="s">
        <v>141</v>
      </c>
      <c r="G4" s="122" t="s">
        <v>140</v>
      </c>
      <c r="H4" s="122" t="s">
        <v>141</v>
      </c>
      <c r="I4" s="2"/>
      <c r="J4" s="87"/>
    </row>
    <row r="5" spans="2:12" x14ac:dyDescent="0.25">
      <c r="C5" s="149"/>
      <c r="D5" s="78"/>
      <c r="E5" s="150"/>
      <c r="F5" s="150"/>
      <c r="G5" s="150"/>
      <c r="H5" s="150"/>
      <c r="I5" s="77"/>
      <c r="J5" s="79"/>
    </row>
    <row r="6" spans="2:12" x14ac:dyDescent="0.25">
      <c r="C6" s="27"/>
      <c r="D6" s="241"/>
      <c r="E6" s="242" t="s">
        <v>242</v>
      </c>
      <c r="F6" s="242" t="s">
        <v>242</v>
      </c>
      <c r="G6" s="243" t="s">
        <v>243</v>
      </c>
      <c r="H6" s="243" t="s">
        <v>243</v>
      </c>
      <c r="I6" s="7"/>
      <c r="J6" s="81"/>
    </row>
    <row r="7" spans="2:12" x14ac:dyDescent="0.25">
      <c r="C7" s="6" t="s">
        <v>237</v>
      </c>
      <c r="D7" s="224"/>
      <c r="E7" s="244">
        <v>48.3</v>
      </c>
      <c r="F7" s="244">
        <v>48.3</v>
      </c>
      <c r="G7" s="244">
        <v>45.5</v>
      </c>
      <c r="H7" s="244">
        <v>34.5</v>
      </c>
      <c r="I7" s="7"/>
      <c r="J7" s="81"/>
    </row>
    <row r="8" spans="2:12" x14ac:dyDescent="0.25">
      <c r="C8" s="6" t="s">
        <v>240</v>
      </c>
      <c r="D8" s="245">
        <v>1.4999999999999999E-2</v>
      </c>
      <c r="E8" s="244">
        <f>-$E7*D8</f>
        <v>-0.72449999999999992</v>
      </c>
      <c r="F8" s="244">
        <f t="shared" ref="F8:H9" si="0">-F$7*$D8</f>
        <v>-0.72449999999999992</v>
      </c>
      <c r="G8" s="244">
        <f t="shared" si="0"/>
        <v>-0.6825</v>
      </c>
      <c r="H8" s="244">
        <f t="shared" si="0"/>
        <v>-0.51749999999999996</v>
      </c>
      <c r="I8" s="7"/>
      <c r="J8" s="81"/>
    </row>
    <row r="9" spans="2:12" x14ac:dyDescent="0.25">
      <c r="C9" s="6" t="s">
        <v>239</v>
      </c>
      <c r="D9" s="245">
        <v>5.0000000000000001E-3</v>
      </c>
      <c r="E9" s="244">
        <f>-$E7*D9</f>
        <v>-0.24149999999999999</v>
      </c>
      <c r="F9" s="244">
        <f t="shared" si="0"/>
        <v>-0.24149999999999999</v>
      </c>
      <c r="G9" s="244">
        <f t="shared" si="0"/>
        <v>-0.22750000000000001</v>
      </c>
      <c r="H9" s="244">
        <f t="shared" si="0"/>
        <v>-0.17250000000000001</v>
      </c>
      <c r="I9" s="7"/>
      <c r="J9" s="81"/>
    </row>
    <row r="10" spans="2:12" x14ac:dyDescent="0.25">
      <c r="C10" s="6" t="s">
        <v>238</v>
      </c>
      <c r="D10" s="224"/>
      <c r="E10" s="244">
        <f>IF(PROJECTCONFIGURATION!$J$65,-SOURCEDATA!$P$48/1000,0)</f>
        <v>0</v>
      </c>
      <c r="F10" s="244">
        <f>IF(PROJECTCONFIGURATION!$J$65,-SOURCEDATA!$P$48/1000,0)</f>
        <v>0</v>
      </c>
      <c r="G10" s="244">
        <f>IF(PROJECTCONFIGURATION!$J$65,-SOURCEDATA!$P$48/1000,0)</f>
        <v>0</v>
      </c>
      <c r="H10" s="244">
        <f>IF(PROJECTCONFIGURATION!$J$65,-SOURCEDATA!$P$48/1000,0)</f>
        <v>0</v>
      </c>
      <c r="I10" s="7"/>
      <c r="J10" s="81"/>
      <c r="L10" s="219" t="s">
        <v>298</v>
      </c>
    </row>
    <row r="11" spans="2:12" x14ac:dyDescent="0.25">
      <c r="B11" s="301"/>
      <c r="C11" s="7" t="s">
        <v>241</v>
      </c>
      <c r="D11" s="224"/>
      <c r="E11" s="246">
        <v>-0.2</v>
      </c>
      <c r="F11" s="246">
        <v>-1.75</v>
      </c>
      <c r="G11" s="246">
        <v>0</v>
      </c>
      <c r="H11" s="246">
        <v>0</v>
      </c>
      <c r="I11" s="7"/>
      <c r="J11" s="81"/>
    </row>
    <row r="12" spans="2:12" x14ac:dyDescent="0.25">
      <c r="B12" s="312">
        <f>+IF(AND(chillers,iso),E12,IF(iso,G12,IF(chillers,F12,H12)))</f>
        <v>45.583999999999996</v>
      </c>
      <c r="C12" s="7" t="s">
        <v>124</v>
      </c>
      <c r="D12" s="224"/>
      <c r="E12" s="244">
        <f>SUM(E7:E11)</f>
        <v>47.133999999999993</v>
      </c>
      <c r="F12" s="244">
        <f>SUM(F7:F11)</f>
        <v>45.583999999999996</v>
      </c>
      <c r="G12" s="244">
        <f>SUM(G7:G11)</f>
        <v>44.59</v>
      </c>
      <c r="H12" s="244">
        <f>SUM(H7:H11)</f>
        <v>33.81</v>
      </c>
      <c r="I12" s="7"/>
      <c r="J12" s="81"/>
    </row>
    <row r="13" spans="2:12" x14ac:dyDescent="0.25">
      <c r="B13" s="301"/>
      <c r="C13" s="6" t="s">
        <v>244</v>
      </c>
      <c r="D13" s="224"/>
      <c r="E13" s="224"/>
      <c r="F13" s="224"/>
      <c r="G13" s="224"/>
      <c r="H13" s="224"/>
      <c r="I13" s="7"/>
      <c r="J13" s="81"/>
    </row>
    <row r="14" spans="2:12" x14ac:dyDescent="0.25">
      <c r="B14" s="313">
        <f>+IF(AND(chillers,iso),E14,IF(iso,G14,IF(chillers,F14,H14)))</f>
        <v>9332.002457002458</v>
      </c>
      <c r="C14" s="6" t="s">
        <v>352</v>
      </c>
      <c r="D14" s="224"/>
      <c r="E14" s="235">
        <f>(413000*1.03)/E12</f>
        <v>9025.1198710060689</v>
      </c>
      <c r="F14" s="235">
        <f>(413000*1.03)/F12</f>
        <v>9332.002457002458</v>
      </c>
      <c r="G14" s="235">
        <f>(392000*1.03)/G12</f>
        <v>9054.9450549450539</v>
      </c>
      <c r="H14" s="235">
        <f>(317000*1.03)/H12</f>
        <v>9657.2020112392784</v>
      </c>
      <c r="I14" s="7"/>
      <c r="J14" s="81"/>
    </row>
    <row r="15" spans="2:12" ht="13.8" thickBot="1" x14ac:dyDescent="0.3">
      <c r="B15" s="301"/>
      <c r="C15" s="228" t="str">
        <f>C13</f>
        <v xml:space="preserve">          NOTE: These are New and Clean data</v>
      </c>
      <c r="D15" s="218" t="s">
        <v>247</v>
      </c>
      <c r="E15" s="84"/>
      <c r="F15" s="84"/>
      <c r="G15" s="84"/>
      <c r="H15" s="84"/>
      <c r="I15" s="84"/>
      <c r="J15" s="85"/>
    </row>
    <row r="16" spans="2:12" ht="13.8" thickBot="1" x14ac:dyDescent="0.3"/>
    <row r="17" spans="2:10" ht="13.8" thickBot="1" x14ac:dyDescent="0.3">
      <c r="B17" s="20" t="s">
        <v>187</v>
      </c>
      <c r="C17" s="2"/>
      <c r="D17" s="2"/>
      <c r="E17" s="122"/>
      <c r="F17" s="122"/>
      <c r="G17" s="2"/>
      <c r="H17" s="87"/>
    </row>
    <row r="18" spans="2:10" x14ac:dyDescent="0.25">
      <c r="C18" s="149"/>
      <c r="D18" s="78"/>
      <c r="E18" s="150"/>
      <c r="F18" s="150"/>
      <c r="G18" s="77"/>
      <c r="H18" s="79"/>
    </row>
    <row r="19" spans="2:10" x14ac:dyDescent="0.25">
      <c r="C19" s="6" t="s">
        <v>113</v>
      </c>
      <c r="D19" s="7"/>
      <c r="E19" s="184">
        <v>10</v>
      </c>
      <c r="F19" s="184" t="s">
        <v>207</v>
      </c>
      <c r="G19" s="7"/>
      <c r="H19" s="81"/>
      <c r="J19" s="219" t="s">
        <v>275</v>
      </c>
    </row>
    <row r="20" spans="2:10" x14ac:dyDescent="0.25">
      <c r="C20" s="6" t="s">
        <v>114</v>
      </c>
      <c r="D20" s="7"/>
      <c r="E20" s="184">
        <v>5</v>
      </c>
      <c r="F20" s="184" t="s">
        <v>207</v>
      </c>
      <c r="G20" s="7"/>
      <c r="H20" s="81"/>
    </row>
    <row r="21" spans="2:10" x14ac:dyDescent="0.25">
      <c r="C21" s="6" t="s">
        <v>115</v>
      </c>
      <c r="D21" s="7"/>
      <c r="E21" s="32">
        <v>30</v>
      </c>
      <c r="F21" s="184" t="s">
        <v>207</v>
      </c>
      <c r="G21" s="7"/>
      <c r="H21" s="81"/>
    </row>
    <row r="22" spans="2:10" ht="13.8" thickBot="1" x14ac:dyDescent="0.3">
      <c r="C22" s="8"/>
      <c r="D22" s="84"/>
      <c r="E22" s="84"/>
      <c r="F22" s="84"/>
      <c r="G22" s="84"/>
      <c r="H22" s="85"/>
    </row>
    <row r="23" spans="2:10" ht="13.8" thickBot="1" x14ac:dyDescent="0.3"/>
    <row r="24" spans="2:10" ht="13.8" thickBot="1" x14ac:dyDescent="0.3">
      <c r="B24" s="20" t="s">
        <v>181</v>
      </c>
      <c r="C24" s="2"/>
      <c r="D24" s="2"/>
      <c r="E24" s="122"/>
      <c r="F24" s="122"/>
      <c r="G24" s="2"/>
      <c r="H24" s="87"/>
    </row>
    <row r="25" spans="2:10" x14ac:dyDescent="0.25">
      <c r="C25" s="149"/>
      <c r="D25" s="78"/>
      <c r="E25" s="150"/>
      <c r="F25" s="150"/>
      <c r="G25" s="77"/>
      <c r="H25" s="79"/>
    </row>
    <row r="26" spans="2:10" x14ac:dyDescent="0.25">
      <c r="C26" s="6" t="s">
        <v>169</v>
      </c>
      <c r="D26" s="7"/>
      <c r="E26" s="185">
        <v>0.95</v>
      </c>
      <c r="F26" s="184" t="s">
        <v>183</v>
      </c>
      <c r="G26" s="7"/>
      <c r="H26" s="81"/>
    </row>
    <row r="27" spans="2:10" x14ac:dyDescent="0.25">
      <c r="C27" s="6" t="s">
        <v>184</v>
      </c>
      <c r="D27" s="7"/>
      <c r="E27" s="186">
        <v>800</v>
      </c>
      <c r="F27" s="184" t="s">
        <v>185</v>
      </c>
      <c r="G27" s="7"/>
      <c r="H27" s="81"/>
    </row>
    <row r="28" spans="2:10" x14ac:dyDescent="0.25">
      <c r="C28" s="6"/>
      <c r="D28" s="7"/>
      <c r="E28" s="32"/>
      <c r="F28" s="184"/>
      <c r="G28" s="7"/>
      <c r="H28" s="81"/>
    </row>
    <row r="29" spans="2:10" x14ac:dyDescent="0.25">
      <c r="C29" s="6" t="s">
        <v>182</v>
      </c>
      <c r="D29" s="7"/>
      <c r="E29" s="190" t="s">
        <v>173</v>
      </c>
      <c r="F29" s="191" t="s">
        <v>193</v>
      </c>
      <c r="G29" s="7"/>
      <c r="H29" s="81"/>
    </row>
    <row r="30" spans="2:10" x14ac:dyDescent="0.25">
      <c r="C30" s="6" t="s">
        <v>192</v>
      </c>
      <c r="D30" s="7"/>
      <c r="E30" s="189">
        <v>250000</v>
      </c>
      <c r="F30" s="184" t="s">
        <v>195</v>
      </c>
      <c r="G30" s="7"/>
      <c r="H30" s="81"/>
    </row>
    <row r="31" spans="2:10" x14ac:dyDescent="0.25">
      <c r="C31" s="6" t="s">
        <v>188</v>
      </c>
      <c r="D31" s="7"/>
      <c r="E31" s="189">
        <v>500000</v>
      </c>
      <c r="F31" s="184" t="s">
        <v>196</v>
      </c>
      <c r="G31" s="7"/>
      <c r="H31" s="81"/>
    </row>
    <row r="32" spans="2:10" x14ac:dyDescent="0.25">
      <c r="C32" s="6" t="s">
        <v>189</v>
      </c>
      <c r="D32" s="7"/>
      <c r="E32" s="189">
        <v>250000</v>
      </c>
      <c r="F32" s="184" t="s">
        <v>195</v>
      </c>
      <c r="G32" s="7"/>
      <c r="H32" s="81"/>
    </row>
    <row r="33" spans="2:8" x14ac:dyDescent="0.25">
      <c r="C33" s="6" t="s">
        <v>190</v>
      </c>
      <c r="D33" s="7"/>
      <c r="E33" s="189">
        <v>500000</v>
      </c>
      <c r="F33" s="184" t="s">
        <v>196</v>
      </c>
      <c r="G33" s="7"/>
      <c r="H33" s="81"/>
    </row>
    <row r="34" spans="2:8" x14ac:dyDescent="0.25">
      <c r="C34" s="6" t="s">
        <v>191</v>
      </c>
      <c r="D34" s="7"/>
      <c r="E34" s="189">
        <v>1200000</v>
      </c>
      <c r="F34" s="184" t="s">
        <v>194</v>
      </c>
      <c r="G34" s="7"/>
      <c r="H34" s="81"/>
    </row>
    <row r="35" spans="2:8" ht="13.8" thickBot="1" x14ac:dyDescent="0.3">
      <c r="C35" s="8"/>
      <c r="D35" s="84"/>
      <c r="E35" s="187"/>
      <c r="F35" s="188"/>
      <c r="G35" s="84"/>
      <c r="H35" s="85"/>
    </row>
    <row r="36" spans="2:8" ht="13.8" thickBot="1" x14ac:dyDescent="0.3"/>
    <row r="37" spans="2:8" ht="13.8" thickBot="1" x14ac:dyDescent="0.3">
      <c r="B37" s="20" t="s">
        <v>347</v>
      </c>
      <c r="C37" s="2"/>
      <c r="D37" s="2"/>
      <c r="E37" s="122"/>
      <c r="F37" s="122"/>
      <c r="G37" s="2"/>
      <c r="H37" s="87"/>
    </row>
    <row r="38" spans="2:8" x14ac:dyDescent="0.25">
      <c r="C38" s="149"/>
      <c r="D38" s="78"/>
      <c r="E38" s="150"/>
      <c r="F38" s="150"/>
      <c r="G38" s="77"/>
      <c r="H38" s="79"/>
    </row>
    <row r="39" spans="2:8" x14ac:dyDescent="0.25">
      <c r="C39" s="6" t="s">
        <v>338</v>
      </c>
      <c r="D39" s="7"/>
      <c r="E39" s="186">
        <v>14000000</v>
      </c>
      <c r="F39" s="184"/>
      <c r="G39" s="7"/>
      <c r="H39" s="81"/>
    </row>
    <row r="40" spans="2:8" x14ac:dyDescent="0.25">
      <c r="C40" s="6" t="s">
        <v>348</v>
      </c>
      <c r="D40" s="7"/>
      <c r="E40" s="186">
        <v>500000</v>
      </c>
      <c r="F40" s="184"/>
      <c r="G40" s="7"/>
      <c r="H40" s="81"/>
    </row>
    <row r="41" spans="2:8" ht="13.8" thickBot="1" x14ac:dyDescent="0.3">
      <c r="C41" s="8" t="s">
        <v>349</v>
      </c>
      <c r="D41" s="7"/>
      <c r="E41" s="83">
        <v>65000</v>
      </c>
      <c r="F41" s="184"/>
      <c r="G41" s="7"/>
      <c r="H41" s="81"/>
    </row>
    <row r="42" spans="2:8" x14ac:dyDescent="0.25">
      <c r="C42" s="27" t="s">
        <v>351</v>
      </c>
      <c r="D42" s="7"/>
      <c r="E42" s="316">
        <f>SUM(E39:E41)</f>
        <v>14565000</v>
      </c>
      <c r="F42" s="7"/>
      <c r="G42" s="7"/>
      <c r="H42" s="81"/>
    </row>
    <row r="43" spans="2:8" x14ac:dyDescent="0.25">
      <c r="C43" s="6"/>
      <c r="D43" s="7"/>
      <c r="E43" s="7"/>
      <c r="F43" s="7"/>
      <c r="G43" s="7"/>
      <c r="H43" s="81"/>
    </row>
    <row r="44" spans="2:8" x14ac:dyDescent="0.25">
      <c r="C44" s="27" t="s">
        <v>160</v>
      </c>
      <c r="D44" s="7"/>
      <c r="E44" s="317" t="s">
        <v>350</v>
      </c>
      <c r="F44" s="7"/>
      <c r="G44" s="7"/>
      <c r="H44" s="81"/>
    </row>
    <row r="45" spans="2:8" ht="13.8" thickBot="1" x14ac:dyDescent="0.3">
      <c r="C45" s="8"/>
      <c r="D45" s="84"/>
      <c r="E45" s="84"/>
      <c r="F45" s="84"/>
      <c r="G45" s="84"/>
      <c r="H45" s="85"/>
    </row>
  </sheetData>
  <pageMargins left="0.75" right="0.75" top="1" bottom="1" header="0.5" footer="0.5"/>
  <pageSetup scale="83" orientation="landscape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B2:IS454"/>
  <sheetViews>
    <sheetView showGridLines="0" zoomScale="75" workbookViewId="0">
      <selection activeCell="B2" sqref="B2:K104"/>
    </sheetView>
  </sheetViews>
  <sheetFormatPr defaultRowHeight="13.2" x14ac:dyDescent="0.25"/>
  <cols>
    <col min="1" max="1" width="2.6640625" customWidth="1"/>
    <col min="2" max="2" width="25.33203125" customWidth="1"/>
    <col min="3" max="3" width="38" customWidth="1"/>
    <col min="4" max="4" width="21.88671875" customWidth="1"/>
    <col min="5" max="5" width="3.33203125" hidden="1" customWidth="1"/>
    <col min="6" max="6" width="21.88671875" customWidth="1"/>
    <col min="7" max="7" width="3.44140625" hidden="1" customWidth="1"/>
    <col min="8" max="8" width="4.88671875" hidden="1" customWidth="1"/>
    <col min="9" max="9" width="16.88671875" customWidth="1"/>
    <col min="10" max="10" width="3.109375" hidden="1" customWidth="1"/>
    <col min="11" max="11" width="19.44140625" customWidth="1"/>
    <col min="12" max="13" width="18.109375" customWidth="1"/>
  </cols>
  <sheetData>
    <row r="2" spans="2:11" ht="21" x14ac:dyDescent="0.25">
      <c r="B2" s="120" t="s">
        <v>162</v>
      </c>
    </row>
    <row r="3" spans="2:11" x14ac:dyDescent="0.25">
      <c r="E3" s="271"/>
    </row>
    <row r="4" spans="2:11" ht="13.8" thickBot="1" x14ac:dyDescent="0.3">
      <c r="E4" s="271"/>
    </row>
    <row r="5" spans="2:11" x14ac:dyDescent="0.25">
      <c r="B5" s="9"/>
      <c r="C5" s="10"/>
      <c r="D5" s="43"/>
      <c r="E5" s="292"/>
      <c r="F5" s="43"/>
      <c r="G5" s="292"/>
      <c r="H5" s="293"/>
      <c r="I5" s="43"/>
      <c r="J5" s="77"/>
      <c r="K5" s="43"/>
    </row>
    <row r="6" spans="2:11" x14ac:dyDescent="0.25">
      <c r="B6" s="40" t="s">
        <v>70</v>
      </c>
      <c r="C6" s="39" t="s">
        <v>208</v>
      </c>
      <c r="D6" s="53" t="s">
        <v>209</v>
      </c>
      <c r="E6" s="273"/>
      <c r="F6" s="53" t="s">
        <v>209</v>
      </c>
      <c r="G6" s="273"/>
      <c r="H6" s="294"/>
      <c r="I6" s="53" t="s">
        <v>211</v>
      </c>
      <c r="J6" s="7"/>
      <c r="K6" s="53" t="s">
        <v>211</v>
      </c>
    </row>
    <row r="7" spans="2:11" x14ac:dyDescent="0.25">
      <c r="B7" s="40" t="s">
        <v>69</v>
      </c>
      <c r="C7" s="39" t="s">
        <v>68</v>
      </c>
      <c r="D7" s="53" t="s">
        <v>210</v>
      </c>
      <c r="E7" s="273"/>
      <c r="F7" s="53" t="s">
        <v>210</v>
      </c>
      <c r="G7" s="273"/>
      <c r="H7" s="294"/>
      <c r="I7" s="53" t="s">
        <v>210</v>
      </c>
      <c r="J7" s="7"/>
      <c r="K7" s="53" t="s">
        <v>210</v>
      </c>
    </row>
    <row r="8" spans="2:11" x14ac:dyDescent="0.25">
      <c r="B8" s="40"/>
      <c r="C8" s="39"/>
      <c r="D8" s="53"/>
      <c r="E8" s="273"/>
      <c r="F8" s="53" t="s">
        <v>331</v>
      </c>
      <c r="G8" s="273"/>
      <c r="H8" s="294"/>
      <c r="I8" s="53"/>
      <c r="J8" s="7"/>
      <c r="K8" s="53" t="str">
        <f>F8</f>
        <v>base configuration</v>
      </c>
    </row>
    <row r="9" spans="2:11" x14ac:dyDescent="0.25">
      <c r="B9" s="41"/>
      <c r="C9" s="11"/>
      <c r="D9" s="44"/>
      <c r="E9" s="272"/>
      <c r="F9" s="44"/>
      <c r="G9" s="272"/>
      <c r="H9" s="294"/>
      <c r="I9" s="44"/>
      <c r="J9" s="7"/>
      <c r="K9" s="44"/>
    </row>
    <row r="10" spans="2:11" ht="13.8" thickBot="1" x14ac:dyDescent="0.3">
      <c r="B10" s="12"/>
      <c r="C10" s="13"/>
      <c r="D10" s="45"/>
      <c r="E10" s="272"/>
      <c r="F10" s="45"/>
      <c r="G10" s="272"/>
      <c r="H10" s="294"/>
      <c r="I10" s="45"/>
      <c r="J10" s="7"/>
      <c r="K10" s="45"/>
    </row>
    <row r="11" spans="2:11" x14ac:dyDescent="0.25">
      <c r="B11" s="27" t="s">
        <v>0</v>
      </c>
      <c r="C11" s="28"/>
      <c r="D11" s="46" t="s">
        <v>4</v>
      </c>
      <c r="E11" s="273"/>
      <c r="F11" s="46" t="s">
        <v>4</v>
      </c>
      <c r="G11" s="273"/>
      <c r="H11" s="295"/>
      <c r="I11" s="46" t="s">
        <v>4</v>
      </c>
      <c r="J11" s="7"/>
      <c r="K11" s="46" t="s">
        <v>4</v>
      </c>
    </row>
    <row r="12" spans="2:11" x14ac:dyDescent="0.25">
      <c r="B12" s="27"/>
      <c r="C12" s="28"/>
      <c r="D12" s="46"/>
      <c r="E12" s="273"/>
      <c r="F12" s="46"/>
      <c r="G12" s="273"/>
      <c r="H12" s="295"/>
      <c r="I12" s="46"/>
      <c r="J12" s="7"/>
      <c r="K12" s="46"/>
    </row>
    <row r="13" spans="2:11" ht="13.8" thickBot="1" x14ac:dyDescent="0.3">
      <c r="B13" s="27" t="s">
        <v>236</v>
      </c>
      <c r="C13" s="28"/>
      <c r="D13" s="46">
        <v>2</v>
      </c>
      <c r="E13" s="273"/>
      <c r="F13" s="46">
        <v>2</v>
      </c>
      <c r="G13" s="273"/>
      <c r="H13" s="295"/>
      <c r="I13" s="46">
        <v>4</v>
      </c>
      <c r="J13" s="7"/>
      <c r="K13" s="46">
        <v>4</v>
      </c>
    </row>
    <row r="14" spans="2:11" ht="16.2" thickBot="1" x14ac:dyDescent="0.35">
      <c r="B14" s="42" t="s">
        <v>5</v>
      </c>
      <c r="C14" s="26"/>
      <c r="D14" s="47"/>
      <c r="E14" s="274"/>
      <c r="F14" s="47"/>
      <c r="G14" s="274"/>
      <c r="H14" s="295"/>
      <c r="I14" s="47"/>
      <c r="J14" s="7"/>
      <c r="K14" s="47"/>
    </row>
    <row r="15" spans="2:11" ht="13.8" thickBot="1" x14ac:dyDescent="0.3">
      <c r="B15" s="6" t="s">
        <v>6</v>
      </c>
      <c r="C15" s="30"/>
      <c r="D15" s="48">
        <v>601000</v>
      </c>
      <c r="E15" s="275"/>
      <c r="F15" s="48">
        <v>601000</v>
      </c>
      <c r="G15" s="275"/>
      <c r="H15" s="295">
        <v>1.1000000000000001</v>
      </c>
      <c r="I15" s="207">
        <f>+H15*D15</f>
        <v>661100</v>
      </c>
      <c r="J15" s="7"/>
      <c r="K15" s="207">
        <f>F15*H15</f>
        <v>661100</v>
      </c>
    </row>
    <row r="16" spans="2:11" ht="16.2" thickBot="1" x14ac:dyDescent="0.35">
      <c r="B16" s="42" t="s">
        <v>7</v>
      </c>
      <c r="C16" s="26"/>
      <c r="D16" s="47"/>
      <c r="E16" s="274"/>
      <c r="F16" s="47"/>
      <c r="G16" s="274"/>
      <c r="H16" s="295"/>
      <c r="I16" s="47"/>
      <c r="J16" s="7"/>
      <c r="K16" s="47"/>
    </row>
    <row r="17" spans="2:14" x14ac:dyDescent="0.25">
      <c r="B17" s="6" t="s">
        <v>8</v>
      </c>
      <c r="C17" s="7"/>
      <c r="D17" s="54">
        <v>2985080</v>
      </c>
      <c r="E17" s="275"/>
      <c r="F17" s="289">
        <f>2985080-(685000)</f>
        <v>2300080</v>
      </c>
      <c r="G17" s="275"/>
      <c r="H17" s="295">
        <v>2</v>
      </c>
      <c r="I17" s="204">
        <f t="shared" ref="I17:I34" si="0">+H17*D17</f>
        <v>5970160</v>
      </c>
      <c r="J17" s="7"/>
      <c r="K17" s="207">
        <f t="shared" ref="K17:K34" si="1">F17*H17</f>
        <v>4600160</v>
      </c>
    </row>
    <row r="18" spans="2:14" x14ac:dyDescent="0.25">
      <c r="B18" s="33" t="s">
        <v>9</v>
      </c>
      <c r="C18" s="4"/>
      <c r="D18" s="49">
        <v>476740</v>
      </c>
      <c r="E18" s="275"/>
      <c r="F18" s="49">
        <v>476740</v>
      </c>
      <c r="G18" s="275"/>
      <c r="H18" s="295">
        <v>2</v>
      </c>
      <c r="I18" s="205">
        <f t="shared" si="0"/>
        <v>953480</v>
      </c>
      <c r="J18" s="7"/>
      <c r="K18" s="207">
        <f t="shared" si="1"/>
        <v>953480</v>
      </c>
    </row>
    <row r="19" spans="2:14" x14ac:dyDescent="0.25">
      <c r="B19" s="33" t="s">
        <v>10</v>
      </c>
      <c r="C19" s="4"/>
      <c r="D19" s="49">
        <v>0</v>
      </c>
      <c r="E19" s="275"/>
      <c r="F19" s="49">
        <v>0</v>
      </c>
      <c r="G19" s="275"/>
      <c r="H19" s="295">
        <v>2</v>
      </c>
      <c r="I19" s="205">
        <f t="shared" si="0"/>
        <v>0</v>
      </c>
      <c r="J19" s="7"/>
      <c r="K19" s="207">
        <f t="shared" si="1"/>
        <v>0</v>
      </c>
    </row>
    <row r="20" spans="2:14" x14ac:dyDescent="0.25">
      <c r="B20" s="33" t="s">
        <v>11</v>
      </c>
      <c r="C20" s="4"/>
      <c r="D20" s="49">
        <v>0</v>
      </c>
      <c r="E20" s="275"/>
      <c r="F20" s="49">
        <v>0</v>
      </c>
      <c r="G20" s="275"/>
      <c r="H20" s="295">
        <v>2</v>
      </c>
      <c r="I20" s="205">
        <f t="shared" si="0"/>
        <v>0</v>
      </c>
      <c r="J20" s="7"/>
      <c r="K20" s="207">
        <f t="shared" si="1"/>
        <v>0</v>
      </c>
    </row>
    <row r="21" spans="2:14" x14ac:dyDescent="0.25">
      <c r="B21" s="33" t="s">
        <v>12</v>
      </c>
      <c r="C21" s="4"/>
      <c r="D21" s="49">
        <v>0</v>
      </c>
      <c r="E21" s="275"/>
      <c r="F21" s="49">
        <v>0</v>
      </c>
      <c r="G21" s="275"/>
      <c r="H21" s="295">
        <v>2</v>
      </c>
      <c r="I21" s="205">
        <f t="shared" si="0"/>
        <v>0</v>
      </c>
      <c r="J21" s="7"/>
      <c r="K21" s="207">
        <f t="shared" si="1"/>
        <v>0</v>
      </c>
    </row>
    <row r="22" spans="2:14" x14ac:dyDescent="0.25">
      <c r="B22" s="33" t="s">
        <v>13</v>
      </c>
      <c r="C22" s="4"/>
      <c r="D22" s="49">
        <v>0</v>
      </c>
      <c r="E22" s="275"/>
      <c r="F22" s="49">
        <v>0</v>
      </c>
      <c r="G22" s="275"/>
      <c r="H22" s="295">
        <v>2</v>
      </c>
      <c r="I22" s="205">
        <f t="shared" si="0"/>
        <v>0</v>
      </c>
      <c r="J22" s="7"/>
      <c r="K22" s="207">
        <f t="shared" si="1"/>
        <v>0</v>
      </c>
    </row>
    <row r="23" spans="2:14" x14ac:dyDescent="0.25">
      <c r="B23" s="33" t="s">
        <v>14</v>
      </c>
      <c r="C23" s="4"/>
      <c r="D23" s="49">
        <v>0</v>
      </c>
      <c r="E23" s="275"/>
      <c r="F23" s="49">
        <v>0</v>
      </c>
      <c r="G23" s="275"/>
      <c r="H23" s="295">
        <v>2</v>
      </c>
      <c r="I23" s="205">
        <f t="shared" si="0"/>
        <v>0</v>
      </c>
      <c r="J23" s="7"/>
      <c r="K23" s="207">
        <f t="shared" si="1"/>
        <v>0</v>
      </c>
    </row>
    <row r="24" spans="2:14" x14ac:dyDescent="0.25">
      <c r="B24" s="33" t="s">
        <v>15</v>
      </c>
      <c r="C24" s="4"/>
      <c r="D24" s="49">
        <v>0</v>
      </c>
      <c r="E24" s="275"/>
      <c r="F24" s="49">
        <v>0</v>
      </c>
      <c r="G24" s="275"/>
      <c r="H24" s="295">
        <v>2</v>
      </c>
      <c r="I24" s="205">
        <f t="shared" si="0"/>
        <v>0</v>
      </c>
      <c r="J24" s="7"/>
      <c r="K24" s="207">
        <f t="shared" si="1"/>
        <v>0</v>
      </c>
    </row>
    <row r="25" spans="2:14" x14ac:dyDescent="0.25">
      <c r="B25" s="33" t="s">
        <v>16</v>
      </c>
      <c r="C25" s="4"/>
      <c r="D25" s="49">
        <v>40000</v>
      </c>
      <c r="E25" s="275"/>
      <c r="F25" s="49">
        <v>40000</v>
      </c>
      <c r="G25" s="275"/>
      <c r="H25" s="295">
        <v>2</v>
      </c>
      <c r="I25" s="205">
        <f t="shared" si="0"/>
        <v>80000</v>
      </c>
      <c r="J25" s="7"/>
      <c r="K25" s="207">
        <f t="shared" si="1"/>
        <v>80000</v>
      </c>
    </row>
    <row r="26" spans="2:14" x14ac:dyDescent="0.25">
      <c r="B26" s="33" t="s">
        <v>17</v>
      </c>
      <c r="C26" s="4"/>
      <c r="D26" s="49">
        <v>0</v>
      </c>
      <c r="E26" s="275"/>
      <c r="F26" s="49">
        <v>0</v>
      </c>
      <c r="G26" s="275"/>
      <c r="H26" s="295">
        <v>2</v>
      </c>
      <c r="I26" s="205">
        <f t="shared" si="0"/>
        <v>0</v>
      </c>
      <c r="J26" s="7"/>
      <c r="K26" s="207">
        <f t="shared" si="1"/>
        <v>0</v>
      </c>
    </row>
    <row r="27" spans="2:14" x14ac:dyDescent="0.25">
      <c r="B27" s="33" t="s">
        <v>18</v>
      </c>
      <c r="C27" s="4"/>
      <c r="D27" s="49">
        <v>34350</v>
      </c>
      <c r="E27" s="275"/>
      <c r="F27" s="49">
        <v>34350</v>
      </c>
      <c r="G27" s="275"/>
      <c r="H27" s="296">
        <v>2</v>
      </c>
      <c r="I27" s="205">
        <f t="shared" si="0"/>
        <v>68700</v>
      </c>
      <c r="J27" s="7"/>
      <c r="K27" s="207">
        <f t="shared" si="1"/>
        <v>68700</v>
      </c>
    </row>
    <row r="28" spans="2:14" x14ac:dyDescent="0.25">
      <c r="B28" s="33" t="s">
        <v>19</v>
      </c>
      <c r="C28" s="4"/>
      <c r="D28" s="49">
        <v>226500</v>
      </c>
      <c r="E28" s="275"/>
      <c r="F28" s="239">
        <v>120000</v>
      </c>
      <c r="G28" s="275"/>
      <c r="H28" s="297">
        <v>1.75</v>
      </c>
      <c r="I28" s="205">
        <f t="shared" si="0"/>
        <v>396375</v>
      </c>
      <c r="J28" s="7"/>
      <c r="K28" s="207">
        <f t="shared" si="1"/>
        <v>210000</v>
      </c>
    </row>
    <row r="29" spans="2:14" x14ac:dyDescent="0.25">
      <c r="B29" s="33" t="s">
        <v>20</v>
      </c>
      <c r="C29" s="4"/>
      <c r="D29" s="49">
        <v>25000</v>
      </c>
      <c r="E29" s="275"/>
      <c r="F29" s="239">
        <v>0</v>
      </c>
      <c r="G29" s="275"/>
      <c r="H29" s="297">
        <v>1.5</v>
      </c>
      <c r="I29" s="205">
        <f t="shared" si="0"/>
        <v>37500</v>
      </c>
      <c r="J29" s="7"/>
      <c r="K29" s="207">
        <f t="shared" si="1"/>
        <v>0</v>
      </c>
    </row>
    <row r="30" spans="2:14" x14ac:dyDescent="0.25">
      <c r="B30" s="33" t="s">
        <v>21</v>
      </c>
      <c r="C30" s="4"/>
      <c r="D30" s="49">
        <v>21800</v>
      </c>
      <c r="E30" s="275"/>
      <c r="F30" s="49">
        <v>21800</v>
      </c>
      <c r="G30" s="275"/>
      <c r="H30" s="297">
        <v>1.5</v>
      </c>
      <c r="I30" s="205">
        <f t="shared" si="0"/>
        <v>32700</v>
      </c>
      <c r="J30" s="7"/>
      <c r="K30" s="207">
        <f t="shared" si="1"/>
        <v>32700</v>
      </c>
    </row>
    <row r="31" spans="2:14" x14ac:dyDescent="0.25">
      <c r="B31" s="33" t="s">
        <v>22</v>
      </c>
      <c r="C31" s="4"/>
      <c r="D31" s="49">
        <v>600000</v>
      </c>
      <c r="E31" s="275"/>
      <c r="F31" s="49">
        <v>600000</v>
      </c>
      <c r="G31" s="275"/>
      <c r="H31" s="295">
        <v>2</v>
      </c>
      <c r="I31" s="205">
        <f t="shared" si="0"/>
        <v>1200000</v>
      </c>
      <c r="J31" s="7"/>
      <c r="K31" s="207">
        <f t="shared" si="1"/>
        <v>1200000</v>
      </c>
    </row>
    <row r="32" spans="2:14" x14ac:dyDescent="0.25">
      <c r="B32" s="33" t="s">
        <v>23</v>
      </c>
      <c r="C32" s="4"/>
      <c r="D32" s="239">
        <v>0</v>
      </c>
      <c r="E32" s="276"/>
      <c r="F32" s="239">
        <v>0</v>
      </c>
      <c r="G32" s="276"/>
      <c r="H32" s="297">
        <v>0</v>
      </c>
      <c r="I32" s="205">
        <f t="shared" si="0"/>
        <v>0</v>
      </c>
      <c r="J32" s="7"/>
      <c r="K32" s="207">
        <f t="shared" si="1"/>
        <v>0</v>
      </c>
      <c r="N32" s="219" t="s">
        <v>235</v>
      </c>
    </row>
    <row r="33" spans="2:14" x14ac:dyDescent="0.25">
      <c r="B33" s="6" t="s">
        <v>279</v>
      </c>
      <c r="C33" s="7"/>
      <c r="D33" s="48">
        <v>96000</v>
      </c>
      <c r="E33" s="276"/>
      <c r="F33" s="48">
        <v>96000</v>
      </c>
      <c r="G33" s="276"/>
      <c r="H33" s="295">
        <v>1.5</v>
      </c>
      <c r="I33" s="205">
        <f>+H33*D33</f>
        <v>144000</v>
      </c>
      <c r="J33" s="7"/>
      <c r="K33" s="207">
        <f t="shared" si="1"/>
        <v>144000</v>
      </c>
      <c r="N33" s="219"/>
    </row>
    <row r="34" spans="2:14" x14ac:dyDescent="0.25">
      <c r="B34" s="34" t="s">
        <v>24</v>
      </c>
      <c r="C34" s="3"/>
      <c r="D34" s="55">
        <v>791990</v>
      </c>
      <c r="E34" s="275"/>
      <c r="F34" s="55">
        <v>791990</v>
      </c>
      <c r="G34" s="275"/>
      <c r="H34" s="295">
        <v>2</v>
      </c>
      <c r="I34" s="206">
        <f t="shared" si="0"/>
        <v>1583980</v>
      </c>
      <c r="J34" s="7"/>
      <c r="K34" s="207">
        <f t="shared" si="1"/>
        <v>1583980</v>
      </c>
    </row>
    <row r="35" spans="2:14" ht="13.8" thickBot="1" x14ac:dyDescent="0.3">
      <c r="B35" s="27" t="s">
        <v>25</v>
      </c>
      <c r="C35" s="7"/>
      <c r="D35" s="207">
        <f>SUM(D17:D34)</f>
        <v>5297460</v>
      </c>
      <c r="E35" s="277"/>
      <c r="F35" s="207">
        <f>SUM(F17:F34)</f>
        <v>4480960</v>
      </c>
      <c r="G35" s="277"/>
      <c r="H35" s="295"/>
      <c r="I35" s="207">
        <f>SUM(I17:I34)</f>
        <v>10466895</v>
      </c>
      <c r="J35" s="7"/>
      <c r="K35" s="207">
        <f>SUM(K17:K34)</f>
        <v>8873020</v>
      </c>
    </row>
    <row r="36" spans="2:14" ht="16.2" thickBot="1" x14ac:dyDescent="0.35">
      <c r="B36" s="42" t="s">
        <v>26</v>
      </c>
      <c r="C36" s="26"/>
      <c r="D36" s="47"/>
      <c r="E36" s="274"/>
      <c r="F36" s="47"/>
      <c r="G36" s="274"/>
      <c r="H36" s="295"/>
      <c r="I36" s="47"/>
      <c r="J36" s="7"/>
      <c r="K36" s="47"/>
    </row>
    <row r="37" spans="2:14" ht="16.2" thickBot="1" x14ac:dyDescent="0.35">
      <c r="B37" s="42" t="s">
        <v>27</v>
      </c>
      <c r="C37" s="26"/>
      <c r="D37" s="47"/>
      <c r="E37" s="274"/>
      <c r="F37" s="47"/>
      <c r="G37" s="274"/>
      <c r="H37" s="295"/>
      <c r="I37" s="47"/>
      <c r="J37" s="7"/>
      <c r="K37" s="47"/>
    </row>
    <row r="38" spans="2:14" x14ac:dyDescent="0.25">
      <c r="B38" s="33" t="s">
        <v>28</v>
      </c>
      <c r="C38" s="4"/>
      <c r="D38" s="49">
        <v>737360</v>
      </c>
      <c r="E38" s="275"/>
      <c r="F38" s="239">
        <v>650000</v>
      </c>
      <c r="G38" s="275"/>
      <c r="H38" s="295">
        <v>1.5</v>
      </c>
      <c r="I38" s="205">
        <f t="shared" ref="I38:I60" si="2">+H38*D38</f>
        <v>1106040</v>
      </c>
      <c r="J38" s="7"/>
      <c r="K38" s="207">
        <f t="shared" ref="K38:K60" si="3">F38*H38</f>
        <v>975000</v>
      </c>
    </row>
    <row r="39" spans="2:14" x14ac:dyDescent="0.25">
      <c r="B39" s="33" t="s">
        <v>29</v>
      </c>
      <c r="C39" s="4"/>
      <c r="D39" s="49">
        <v>269335</v>
      </c>
      <c r="E39" s="275"/>
      <c r="F39" s="239">
        <v>200000</v>
      </c>
      <c r="G39" s="275"/>
      <c r="H39" s="297">
        <v>1.75</v>
      </c>
      <c r="I39" s="205">
        <f t="shared" si="2"/>
        <v>471336.25</v>
      </c>
      <c r="J39" s="7"/>
      <c r="K39" s="207">
        <f t="shared" si="3"/>
        <v>350000</v>
      </c>
    </row>
    <row r="40" spans="2:14" x14ac:dyDescent="0.25">
      <c r="B40" s="33" t="s">
        <v>30</v>
      </c>
      <c r="C40" s="4"/>
      <c r="D40" s="49">
        <v>469601</v>
      </c>
      <c r="E40" s="275"/>
      <c r="F40" s="239">
        <v>375000</v>
      </c>
      <c r="G40" s="275"/>
      <c r="H40" s="297">
        <v>1.75</v>
      </c>
      <c r="I40" s="205">
        <f t="shared" si="2"/>
        <v>821801.75</v>
      </c>
      <c r="J40" s="7"/>
      <c r="K40" s="207">
        <f t="shared" si="3"/>
        <v>656250</v>
      </c>
    </row>
    <row r="41" spans="2:14" x14ac:dyDescent="0.25">
      <c r="B41" s="33" t="s">
        <v>31</v>
      </c>
      <c r="C41" s="4"/>
      <c r="D41" s="49">
        <v>781695</v>
      </c>
      <c r="E41" s="275"/>
      <c r="F41" s="239">
        <v>600000</v>
      </c>
      <c r="G41" s="275"/>
      <c r="H41" s="297">
        <v>1.75</v>
      </c>
      <c r="I41" s="205">
        <f t="shared" si="2"/>
        <v>1367966.25</v>
      </c>
      <c r="J41" s="7"/>
      <c r="K41" s="207">
        <f t="shared" si="3"/>
        <v>1050000</v>
      </c>
    </row>
    <row r="42" spans="2:14" x14ac:dyDescent="0.25">
      <c r="B42" s="33" t="s">
        <v>32</v>
      </c>
      <c r="C42" s="4"/>
      <c r="D42" s="49">
        <v>190710</v>
      </c>
      <c r="E42" s="275"/>
      <c r="F42" s="239">
        <v>175000</v>
      </c>
      <c r="G42" s="275"/>
      <c r="H42" s="297">
        <v>1.75</v>
      </c>
      <c r="I42" s="205">
        <f t="shared" si="2"/>
        <v>333742.5</v>
      </c>
      <c r="J42" s="7"/>
      <c r="K42" s="207">
        <f t="shared" si="3"/>
        <v>306250</v>
      </c>
    </row>
    <row r="43" spans="2:14" x14ac:dyDescent="0.25">
      <c r="B43" s="33" t="s">
        <v>33</v>
      </c>
      <c r="C43" s="4"/>
      <c r="D43" s="49">
        <v>16500</v>
      </c>
      <c r="E43" s="275"/>
      <c r="F43" s="49">
        <v>16500</v>
      </c>
      <c r="G43" s="275"/>
      <c r="H43" s="295">
        <v>1.5</v>
      </c>
      <c r="I43" s="205">
        <f t="shared" si="2"/>
        <v>24750</v>
      </c>
      <c r="J43" s="7"/>
      <c r="K43" s="207">
        <f t="shared" si="3"/>
        <v>24750</v>
      </c>
    </row>
    <row r="44" spans="2:14" x14ac:dyDescent="0.25">
      <c r="B44" s="33" t="s">
        <v>34</v>
      </c>
      <c r="C44" s="4"/>
      <c r="D44" s="49">
        <v>187500</v>
      </c>
      <c r="E44" s="275"/>
      <c r="F44" s="49">
        <v>187500</v>
      </c>
      <c r="G44" s="275"/>
      <c r="H44" s="295">
        <v>1.5</v>
      </c>
      <c r="I44" s="205">
        <f t="shared" si="2"/>
        <v>281250</v>
      </c>
      <c r="J44" s="7"/>
      <c r="K44" s="207">
        <f t="shared" si="3"/>
        <v>281250</v>
      </c>
    </row>
    <row r="45" spans="2:14" x14ac:dyDescent="0.25">
      <c r="B45" s="33" t="s">
        <v>35</v>
      </c>
      <c r="C45" s="4"/>
      <c r="D45" s="49">
        <v>653657</v>
      </c>
      <c r="E45" s="275"/>
      <c r="F45" s="239">
        <v>550000</v>
      </c>
      <c r="G45" s="275"/>
      <c r="H45" s="295">
        <v>1.5</v>
      </c>
      <c r="I45" s="205">
        <f t="shared" si="2"/>
        <v>980485.5</v>
      </c>
      <c r="J45" s="7"/>
      <c r="K45" s="207">
        <f t="shared" si="3"/>
        <v>825000</v>
      </c>
    </row>
    <row r="46" spans="2:14" x14ac:dyDescent="0.25">
      <c r="B46" s="33" t="s">
        <v>36</v>
      </c>
      <c r="C46" s="4"/>
      <c r="D46" s="49">
        <v>754334</v>
      </c>
      <c r="E46" s="275"/>
      <c r="F46" s="239">
        <v>700000</v>
      </c>
      <c r="G46" s="275"/>
      <c r="H46" s="295">
        <v>1.5</v>
      </c>
      <c r="I46" s="205">
        <f t="shared" si="2"/>
        <v>1131501</v>
      </c>
      <c r="J46" s="7"/>
      <c r="K46" s="207">
        <f t="shared" si="3"/>
        <v>1050000</v>
      </c>
    </row>
    <row r="47" spans="2:14" x14ac:dyDescent="0.25">
      <c r="B47" s="33" t="s">
        <v>37</v>
      </c>
      <c r="C47" s="4"/>
      <c r="D47" s="49">
        <v>129650</v>
      </c>
      <c r="E47" s="275"/>
      <c r="F47" s="239">
        <v>100000</v>
      </c>
      <c r="G47" s="275"/>
      <c r="H47" s="295">
        <v>1.5</v>
      </c>
      <c r="I47" s="205">
        <f t="shared" si="2"/>
        <v>194475</v>
      </c>
      <c r="J47" s="7"/>
      <c r="K47" s="207">
        <f t="shared" si="3"/>
        <v>150000</v>
      </c>
    </row>
    <row r="48" spans="2:14" x14ac:dyDescent="0.25">
      <c r="B48" s="33" t="s">
        <v>38</v>
      </c>
      <c r="C48" s="4"/>
      <c r="D48" s="49">
        <v>23919</v>
      </c>
      <c r="E48" s="275"/>
      <c r="F48" s="49">
        <v>23919</v>
      </c>
      <c r="G48" s="275"/>
      <c r="H48" s="295">
        <v>1.5</v>
      </c>
      <c r="I48" s="205">
        <f t="shared" si="2"/>
        <v>35878.5</v>
      </c>
      <c r="J48" s="7"/>
      <c r="K48" s="207">
        <f t="shared" si="3"/>
        <v>35878.5</v>
      </c>
    </row>
    <row r="49" spans="2:11" x14ac:dyDescent="0.25">
      <c r="B49" s="33" t="s">
        <v>39</v>
      </c>
      <c r="C49" s="4"/>
      <c r="D49" s="49">
        <v>56274</v>
      </c>
      <c r="E49" s="275"/>
      <c r="F49" s="49">
        <v>56274</v>
      </c>
      <c r="G49" s="275"/>
      <c r="H49" s="295">
        <v>1.5</v>
      </c>
      <c r="I49" s="205">
        <f t="shared" si="2"/>
        <v>84411</v>
      </c>
      <c r="J49" s="7"/>
      <c r="K49" s="207">
        <f t="shared" si="3"/>
        <v>84411</v>
      </c>
    </row>
    <row r="50" spans="2:11" x14ac:dyDescent="0.25">
      <c r="B50" s="33" t="s">
        <v>10</v>
      </c>
      <c r="C50" s="4"/>
      <c r="D50" s="49">
        <v>0</v>
      </c>
      <c r="E50" s="275"/>
      <c r="F50" s="49">
        <v>0</v>
      </c>
      <c r="G50" s="275"/>
      <c r="H50" s="295">
        <v>1.5</v>
      </c>
      <c r="I50" s="205">
        <f t="shared" si="2"/>
        <v>0</v>
      </c>
      <c r="J50" s="7"/>
      <c r="K50" s="207">
        <f t="shared" si="3"/>
        <v>0</v>
      </c>
    </row>
    <row r="51" spans="2:11" x14ac:dyDescent="0.25">
      <c r="B51" s="33" t="s">
        <v>40</v>
      </c>
      <c r="C51" s="4"/>
      <c r="D51" s="49">
        <v>212000</v>
      </c>
      <c r="E51" s="275"/>
      <c r="F51" s="49">
        <v>212000</v>
      </c>
      <c r="G51" s="275"/>
      <c r="H51" s="297">
        <v>2</v>
      </c>
      <c r="I51" s="205">
        <f t="shared" si="2"/>
        <v>424000</v>
      </c>
      <c r="J51" s="7"/>
      <c r="K51" s="207">
        <f t="shared" si="3"/>
        <v>424000</v>
      </c>
    </row>
    <row r="52" spans="2:11" x14ac:dyDescent="0.25">
      <c r="B52" s="33" t="s">
        <v>12</v>
      </c>
      <c r="C52" s="4"/>
      <c r="D52" s="49">
        <v>0</v>
      </c>
      <c r="E52" s="275"/>
      <c r="F52" s="49">
        <v>0</v>
      </c>
      <c r="G52" s="275"/>
      <c r="H52" s="295">
        <v>1.5</v>
      </c>
      <c r="I52" s="205">
        <f t="shared" si="2"/>
        <v>0</v>
      </c>
      <c r="J52" s="7"/>
      <c r="K52" s="207">
        <f t="shared" si="3"/>
        <v>0</v>
      </c>
    </row>
    <row r="53" spans="2:11" x14ac:dyDescent="0.25">
      <c r="B53" s="33" t="s">
        <v>13</v>
      </c>
      <c r="C53" s="4"/>
      <c r="D53" s="49">
        <v>19800</v>
      </c>
      <c r="E53" s="275"/>
      <c r="F53" s="239">
        <v>0</v>
      </c>
      <c r="G53" s="275"/>
      <c r="H53" s="297">
        <v>2</v>
      </c>
      <c r="I53" s="205">
        <f t="shared" si="2"/>
        <v>39600</v>
      </c>
      <c r="J53" s="7"/>
      <c r="K53" s="207">
        <f t="shared" si="3"/>
        <v>0</v>
      </c>
    </row>
    <row r="54" spans="2:11" x14ac:dyDescent="0.25">
      <c r="B54" s="33" t="s">
        <v>14</v>
      </c>
      <c r="C54" s="4"/>
      <c r="D54" s="49">
        <v>0</v>
      </c>
      <c r="E54" s="275"/>
      <c r="F54" s="49">
        <v>0</v>
      </c>
      <c r="G54" s="275"/>
      <c r="H54" s="295">
        <v>1.5</v>
      </c>
      <c r="I54" s="205">
        <f t="shared" si="2"/>
        <v>0</v>
      </c>
      <c r="J54" s="7"/>
      <c r="K54" s="207">
        <f t="shared" si="3"/>
        <v>0</v>
      </c>
    </row>
    <row r="55" spans="2:11" x14ac:dyDescent="0.25">
      <c r="B55" s="33" t="s">
        <v>18</v>
      </c>
      <c r="C55" s="4"/>
      <c r="D55" s="49">
        <v>3700</v>
      </c>
      <c r="E55" s="275"/>
      <c r="F55" s="49">
        <v>3700</v>
      </c>
      <c r="G55" s="275"/>
      <c r="H55" s="295">
        <v>1.5</v>
      </c>
      <c r="I55" s="205">
        <f t="shared" si="2"/>
        <v>5550</v>
      </c>
      <c r="J55" s="7"/>
      <c r="K55" s="207">
        <f t="shared" si="3"/>
        <v>5550</v>
      </c>
    </row>
    <row r="56" spans="2:11" x14ac:dyDescent="0.25">
      <c r="B56" s="33" t="s">
        <v>19</v>
      </c>
      <c r="C56" s="4"/>
      <c r="D56" s="49">
        <v>700</v>
      </c>
      <c r="E56" s="275"/>
      <c r="F56" s="49">
        <v>700</v>
      </c>
      <c r="G56" s="275"/>
      <c r="H56" s="295">
        <v>1.5</v>
      </c>
      <c r="I56" s="205">
        <f t="shared" si="2"/>
        <v>1050</v>
      </c>
      <c r="J56" s="7"/>
      <c r="K56" s="207">
        <f t="shared" si="3"/>
        <v>1050</v>
      </c>
    </row>
    <row r="57" spans="2:11" x14ac:dyDescent="0.25">
      <c r="B57" s="33" t="s">
        <v>41</v>
      </c>
      <c r="C57" s="4"/>
      <c r="D57" s="49">
        <v>9750</v>
      </c>
      <c r="E57" s="275"/>
      <c r="F57" s="49">
        <v>9750</v>
      </c>
      <c r="G57" s="275"/>
      <c r="H57" s="295">
        <v>1.5</v>
      </c>
      <c r="I57" s="205">
        <f t="shared" si="2"/>
        <v>14625</v>
      </c>
      <c r="J57" s="7"/>
      <c r="K57" s="207">
        <f t="shared" si="3"/>
        <v>14625</v>
      </c>
    </row>
    <row r="58" spans="2:11" x14ac:dyDescent="0.25">
      <c r="B58" s="33" t="s">
        <v>42</v>
      </c>
      <c r="C58" s="4"/>
      <c r="D58" s="49">
        <v>0</v>
      </c>
      <c r="E58" s="275"/>
      <c r="F58" s="49">
        <v>0</v>
      </c>
      <c r="G58" s="275"/>
      <c r="H58" s="295">
        <v>1.5</v>
      </c>
      <c r="I58" s="205">
        <f t="shared" si="2"/>
        <v>0</v>
      </c>
      <c r="J58" s="7"/>
      <c r="K58" s="207">
        <f t="shared" si="3"/>
        <v>0</v>
      </c>
    </row>
    <row r="59" spans="2:11" x14ac:dyDescent="0.25">
      <c r="B59" s="33" t="s">
        <v>43</v>
      </c>
      <c r="C59" s="4"/>
      <c r="D59" s="49">
        <v>226812</v>
      </c>
      <c r="E59" s="275"/>
      <c r="F59" s="49">
        <v>226812</v>
      </c>
      <c r="G59" s="275"/>
      <c r="H59" s="295">
        <v>1.5</v>
      </c>
      <c r="I59" s="205">
        <f t="shared" si="2"/>
        <v>340218</v>
      </c>
      <c r="J59" s="7"/>
      <c r="K59" s="207">
        <f t="shared" si="3"/>
        <v>340218</v>
      </c>
    </row>
    <row r="60" spans="2:11" x14ac:dyDescent="0.25">
      <c r="B60" s="35" t="s">
        <v>44</v>
      </c>
      <c r="C60" s="17"/>
      <c r="D60" s="50">
        <v>511273</v>
      </c>
      <c r="E60" s="275"/>
      <c r="F60" s="285">
        <v>425000</v>
      </c>
      <c r="G60" s="275"/>
      <c r="H60" s="295">
        <v>1.5</v>
      </c>
      <c r="I60" s="208">
        <f t="shared" si="2"/>
        <v>766909.5</v>
      </c>
      <c r="J60" s="7"/>
      <c r="K60" s="207">
        <f t="shared" si="3"/>
        <v>637500</v>
      </c>
    </row>
    <row r="61" spans="2:11" ht="13.8" thickBot="1" x14ac:dyDescent="0.3">
      <c r="B61" s="36" t="s">
        <v>45</v>
      </c>
      <c r="C61" s="15"/>
      <c r="D61" s="209">
        <f>SUM(D38:D60)</f>
        <v>5254570</v>
      </c>
      <c r="E61" s="278"/>
      <c r="F61" s="209">
        <f>SUM(F38:F60)</f>
        <v>4512155</v>
      </c>
      <c r="G61" s="278"/>
      <c r="H61" s="295"/>
      <c r="I61" s="209">
        <f>SUM(I38:I60)</f>
        <v>8425590.25</v>
      </c>
      <c r="J61" s="7"/>
      <c r="K61" s="209">
        <f>SUM(K38:K60)</f>
        <v>7211732.5</v>
      </c>
    </row>
    <row r="62" spans="2:11" ht="16.2" thickBot="1" x14ac:dyDescent="0.35">
      <c r="B62" s="42" t="s">
        <v>46</v>
      </c>
      <c r="C62" s="26"/>
      <c r="D62" s="47"/>
      <c r="E62" s="274"/>
      <c r="F62" s="286"/>
      <c r="G62" s="274"/>
      <c r="H62" s="295"/>
      <c r="I62" s="47"/>
      <c r="J62" s="7"/>
      <c r="K62" s="47"/>
    </row>
    <row r="63" spans="2:11" x14ac:dyDescent="0.25">
      <c r="B63" s="33" t="s">
        <v>47</v>
      </c>
      <c r="C63" s="22">
        <v>0.26</v>
      </c>
      <c r="D63" s="49">
        <v>737100</v>
      </c>
      <c r="E63" s="275"/>
      <c r="F63" s="239">
        <v>700000</v>
      </c>
      <c r="G63" s="275"/>
      <c r="H63" s="295">
        <v>1.25</v>
      </c>
      <c r="I63" s="205">
        <f>+H63*D63</f>
        <v>921375</v>
      </c>
      <c r="J63" s="7"/>
      <c r="K63" s="207">
        <f>F63*H63</f>
        <v>875000</v>
      </c>
    </row>
    <row r="64" spans="2:11" x14ac:dyDescent="0.25">
      <c r="B64" s="33" t="s">
        <v>48</v>
      </c>
      <c r="C64" s="18">
        <v>3.5</v>
      </c>
      <c r="D64" s="49">
        <v>305324</v>
      </c>
      <c r="E64" s="275"/>
      <c r="F64" s="49">
        <v>305324</v>
      </c>
      <c r="G64" s="275"/>
      <c r="H64" s="295">
        <v>1.25</v>
      </c>
      <c r="I64" s="205">
        <f>+H64*D64</f>
        <v>381655</v>
      </c>
      <c r="J64" s="7"/>
      <c r="K64" s="207">
        <f>F64*H64</f>
        <v>381655</v>
      </c>
    </row>
    <row r="65" spans="2:253" x14ac:dyDescent="0.25">
      <c r="B65" s="33" t="s">
        <v>49</v>
      </c>
      <c r="C65" s="18">
        <v>2</v>
      </c>
      <c r="D65" s="49">
        <v>174471</v>
      </c>
      <c r="E65" s="275"/>
      <c r="F65" s="49">
        <v>174471</v>
      </c>
      <c r="G65" s="275"/>
      <c r="H65" s="297">
        <v>1.33</v>
      </c>
      <c r="I65" s="205">
        <f>+H65*D65</f>
        <v>232046.43000000002</v>
      </c>
      <c r="J65" s="7"/>
      <c r="K65" s="207">
        <f>F65*H65</f>
        <v>232046.43000000002</v>
      </c>
    </row>
    <row r="66" spans="2:253" x14ac:dyDescent="0.25">
      <c r="B66" s="33" t="s">
        <v>50</v>
      </c>
      <c r="C66" s="18">
        <v>4.5</v>
      </c>
      <c r="D66" s="49">
        <f>392560+155000</f>
        <v>547560</v>
      </c>
      <c r="E66" s="275"/>
      <c r="F66" s="239">
        <v>520000</v>
      </c>
      <c r="G66" s="275"/>
      <c r="H66" s="297">
        <v>1.33</v>
      </c>
      <c r="I66" s="205">
        <f>+H66*D66</f>
        <v>728254.8</v>
      </c>
      <c r="J66" s="7"/>
      <c r="K66" s="207">
        <f>F66*H66</f>
        <v>691600</v>
      </c>
    </row>
    <row r="67" spans="2:253" x14ac:dyDescent="0.25">
      <c r="B67" s="35" t="s">
        <v>51</v>
      </c>
      <c r="C67" s="23">
        <v>0.13</v>
      </c>
      <c r="D67" s="50">
        <v>187100</v>
      </c>
      <c r="E67" s="275"/>
      <c r="F67" s="50">
        <v>187100</v>
      </c>
      <c r="G67" s="275"/>
      <c r="H67" s="297">
        <v>1.5</v>
      </c>
      <c r="I67" s="208">
        <f>+H67*D67</f>
        <v>280650</v>
      </c>
      <c r="J67" s="7"/>
      <c r="K67" s="207">
        <f>F67*H67</f>
        <v>280650</v>
      </c>
    </row>
    <row r="68" spans="2:253" x14ac:dyDescent="0.25">
      <c r="B68" s="36" t="s">
        <v>52</v>
      </c>
      <c r="C68" s="15"/>
      <c r="D68" s="209">
        <f>SUM(D63:D67)</f>
        <v>1951555</v>
      </c>
      <c r="E68" s="278"/>
      <c r="F68" s="209">
        <f>SUM(F63:F67)</f>
        <v>1886895</v>
      </c>
      <c r="G68" s="278"/>
      <c r="H68" s="295"/>
      <c r="I68" s="209">
        <f>SUM(I63:I67)</f>
        <v>2543981.23</v>
      </c>
      <c r="J68" s="7"/>
      <c r="K68" s="209">
        <f>SUM(K63:K67)</f>
        <v>2460951.4299999997</v>
      </c>
      <c r="IS68" s="16"/>
    </row>
    <row r="69" spans="2:253" ht="4.5" customHeight="1" thickBot="1" x14ac:dyDescent="0.3">
      <c r="B69" s="37"/>
      <c r="C69" s="19"/>
      <c r="D69" s="51"/>
      <c r="E69" s="279"/>
      <c r="F69" s="51"/>
      <c r="G69" s="279"/>
      <c r="H69" s="295"/>
      <c r="I69" s="210"/>
      <c r="J69" s="7"/>
      <c r="K69" s="210"/>
    </row>
    <row r="70" spans="2:253" ht="13.8" thickBot="1" x14ac:dyDescent="0.3">
      <c r="B70" s="20" t="s">
        <v>53</v>
      </c>
      <c r="C70" s="2"/>
      <c r="D70" s="211">
        <f>+D68+D61</f>
        <v>7206125</v>
      </c>
      <c r="E70" s="278"/>
      <c r="F70" s="211">
        <f>+F68+F61</f>
        <v>6399050</v>
      </c>
      <c r="G70" s="278"/>
      <c r="H70" s="295"/>
      <c r="I70" s="211">
        <f>+I68+I61</f>
        <v>10969571.48</v>
      </c>
      <c r="J70" s="7"/>
      <c r="K70" s="211">
        <f>+K68+K61</f>
        <v>9672683.9299999997</v>
      </c>
    </row>
    <row r="71" spans="2:253" ht="16.2" thickBot="1" x14ac:dyDescent="0.35">
      <c r="B71" s="42" t="s">
        <v>54</v>
      </c>
      <c r="C71" s="26"/>
      <c r="D71" s="47"/>
      <c r="E71" s="274"/>
      <c r="F71" s="47"/>
      <c r="G71" s="274"/>
      <c r="H71" s="295"/>
      <c r="I71" s="47"/>
      <c r="J71" s="7"/>
      <c r="K71" s="47"/>
    </row>
    <row r="72" spans="2:253" x14ac:dyDescent="0.25">
      <c r="B72" s="33" t="s">
        <v>54</v>
      </c>
      <c r="C72" s="18">
        <v>4.5</v>
      </c>
      <c r="D72" s="49">
        <v>464256</v>
      </c>
      <c r="E72" s="275"/>
      <c r="F72" s="49">
        <v>464256</v>
      </c>
      <c r="G72" s="275"/>
      <c r="H72" s="295">
        <v>1.25</v>
      </c>
      <c r="I72" s="205">
        <f>+H72*D72</f>
        <v>580320</v>
      </c>
      <c r="J72" s="7"/>
      <c r="K72" s="207">
        <f>F72*H72</f>
        <v>580320</v>
      </c>
    </row>
    <row r="73" spans="2:253" x14ac:dyDescent="0.25">
      <c r="B73" s="35" t="s">
        <v>55</v>
      </c>
      <c r="C73" s="17"/>
      <c r="D73" s="50">
        <v>35000</v>
      </c>
      <c r="E73" s="275"/>
      <c r="F73" s="50">
        <v>35000</v>
      </c>
      <c r="G73" s="275"/>
      <c r="H73" s="297">
        <v>1</v>
      </c>
      <c r="I73" s="208">
        <f>+H73*D73</f>
        <v>35000</v>
      </c>
      <c r="J73" s="7"/>
      <c r="K73" s="207">
        <f>F73*H73</f>
        <v>35000</v>
      </c>
    </row>
    <row r="74" spans="2:253" ht="13.8" thickBot="1" x14ac:dyDescent="0.3">
      <c r="B74" s="36" t="s">
        <v>56</v>
      </c>
      <c r="C74" s="14"/>
      <c r="D74" s="209">
        <f>+D73+D72</f>
        <v>499256</v>
      </c>
      <c r="E74" s="278"/>
      <c r="F74" s="209">
        <f>+F73+F72</f>
        <v>499256</v>
      </c>
      <c r="G74" s="278"/>
      <c r="H74" s="298"/>
      <c r="I74" s="209">
        <f>+I73+I72</f>
        <v>615320</v>
      </c>
      <c r="J74" s="299"/>
      <c r="K74" s="209">
        <f>+K73+K72</f>
        <v>615320</v>
      </c>
      <c r="L74" s="21"/>
      <c r="M74" s="21"/>
    </row>
    <row r="75" spans="2:253" ht="16.2" thickBot="1" x14ac:dyDescent="0.35">
      <c r="B75" s="42" t="s">
        <v>57</v>
      </c>
      <c r="C75" s="26"/>
      <c r="D75" s="47"/>
      <c r="E75" s="274"/>
      <c r="F75" s="47"/>
      <c r="G75" s="274"/>
      <c r="H75" s="295"/>
      <c r="I75" s="47"/>
      <c r="J75" s="7"/>
      <c r="K75" s="47"/>
    </row>
    <row r="76" spans="2:253" x14ac:dyDescent="0.25">
      <c r="B76" s="33" t="s">
        <v>58</v>
      </c>
      <c r="C76" s="22">
        <v>0.04</v>
      </c>
      <c r="D76" s="49">
        <v>282045</v>
      </c>
      <c r="E76" s="275"/>
      <c r="F76" s="49">
        <v>282045</v>
      </c>
      <c r="G76" s="275"/>
      <c r="H76" s="297">
        <v>1.25</v>
      </c>
      <c r="I76" s="205">
        <f>+H76*D76</f>
        <v>352556.25</v>
      </c>
      <c r="J76" s="7"/>
      <c r="K76" s="207">
        <f>F76*H76</f>
        <v>352556.25</v>
      </c>
    </row>
    <row r="77" spans="2:253" x14ac:dyDescent="0.25">
      <c r="B77" s="33" t="s">
        <v>59</v>
      </c>
      <c r="C77" s="4"/>
      <c r="D77" s="49">
        <v>100000</v>
      </c>
      <c r="E77" s="275"/>
      <c r="F77" s="49">
        <v>100000</v>
      </c>
      <c r="G77" s="275"/>
      <c r="H77" s="295">
        <v>1</v>
      </c>
      <c r="I77" s="205">
        <f>+H77*D77</f>
        <v>100000</v>
      </c>
      <c r="J77" s="7"/>
      <c r="K77" s="207">
        <f>F77*H77</f>
        <v>100000</v>
      </c>
    </row>
    <row r="78" spans="2:253" x14ac:dyDescent="0.25">
      <c r="B78" s="35" t="s">
        <v>60</v>
      </c>
      <c r="C78" s="17"/>
      <c r="D78" s="50">
        <v>1080930</v>
      </c>
      <c r="E78" s="275"/>
      <c r="F78" s="50">
        <v>1080930</v>
      </c>
      <c r="G78" s="275"/>
      <c r="H78" s="297">
        <v>1.5</v>
      </c>
      <c r="I78" s="208">
        <f>+H78*D78</f>
        <v>1621395</v>
      </c>
      <c r="J78" s="7"/>
      <c r="K78" s="207">
        <f>F78*H78</f>
        <v>1621395</v>
      </c>
    </row>
    <row r="79" spans="2:253" ht="13.8" thickBot="1" x14ac:dyDescent="0.3">
      <c r="B79" s="36" t="s">
        <v>61</v>
      </c>
      <c r="C79" s="14"/>
      <c r="D79" s="209">
        <f>+SUM(D76:D78)</f>
        <v>1462975</v>
      </c>
      <c r="E79" s="278"/>
      <c r="F79" s="209">
        <f>+SUM(F76:F78)</f>
        <v>1462975</v>
      </c>
      <c r="G79" s="278"/>
      <c r="H79" s="295"/>
      <c r="I79" s="209">
        <f>+SUM(I76:I78)</f>
        <v>2073951.25</v>
      </c>
      <c r="J79" s="7"/>
      <c r="K79" s="209">
        <f>+SUM(K76:K78)</f>
        <v>2073951.25</v>
      </c>
    </row>
    <row r="80" spans="2:253" ht="16.2" thickBot="1" x14ac:dyDescent="0.35">
      <c r="B80" s="42" t="s">
        <v>57</v>
      </c>
      <c r="C80" s="26"/>
      <c r="D80" s="47"/>
      <c r="E80" s="274"/>
      <c r="F80" s="47"/>
      <c r="G80" s="274"/>
      <c r="H80" s="295"/>
      <c r="I80" s="47"/>
      <c r="J80" s="7"/>
      <c r="K80" s="47"/>
    </row>
    <row r="81" spans="2:13" ht="13.8" thickBot="1" x14ac:dyDescent="0.3">
      <c r="B81" s="38" t="s">
        <v>62</v>
      </c>
      <c r="C81" s="4"/>
      <c r="D81" s="205">
        <f>+D79+D74+D70+D35+D15</f>
        <v>15066816</v>
      </c>
      <c r="E81" s="277"/>
      <c r="F81" s="205">
        <f>+F79+F74+F70+F35+F15</f>
        <v>13443241</v>
      </c>
      <c r="G81" s="277"/>
      <c r="H81" s="295"/>
      <c r="I81" s="205">
        <f>+I79+I74+I70+I35+I15</f>
        <v>24786837.73</v>
      </c>
      <c r="J81" s="7"/>
      <c r="K81" s="205">
        <f>+K79+K74+K70+K35+K15</f>
        <v>21896075.18</v>
      </c>
    </row>
    <row r="82" spans="2:13" ht="16.2" thickBot="1" x14ac:dyDescent="0.35">
      <c r="B82" s="42" t="s">
        <v>63</v>
      </c>
      <c r="C82" s="26"/>
      <c r="D82" s="47"/>
      <c r="E82" s="274"/>
      <c r="F82" s="47"/>
      <c r="G82" s="274"/>
      <c r="H82" s="295"/>
      <c r="I82" s="47"/>
      <c r="J82" s="7"/>
      <c r="K82" s="47"/>
    </row>
    <row r="83" spans="2:13" x14ac:dyDescent="0.25">
      <c r="B83" s="33" t="s">
        <v>64</v>
      </c>
      <c r="C83" s="4"/>
      <c r="D83" s="49">
        <v>450000</v>
      </c>
      <c r="E83" s="275"/>
      <c r="F83" s="49">
        <v>450000</v>
      </c>
      <c r="G83" s="275"/>
      <c r="H83" s="297">
        <v>1.75</v>
      </c>
      <c r="I83" s="205">
        <f>+H83*D83</f>
        <v>787500</v>
      </c>
      <c r="J83" s="7"/>
      <c r="K83" s="207">
        <f>F83*H83</f>
        <v>787500</v>
      </c>
    </row>
    <row r="84" spans="2:13" x14ac:dyDescent="0.25">
      <c r="B84" s="33" t="s">
        <v>65</v>
      </c>
      <c r="C84" s="24">
        <v>0.02</v>
      </c>
      <c r="D84" s="49">
        <v>923000</v>
      </c>
      <c r="E84" s="275"/>
      <c r="F84" s="49">
        <v>923000</v>
      </c>
      <c r="G84" s="275"/>
      <c r="H84" s="297">
        <v>1.75</v>
      </c>
      <c r="I84" s="205">
        <f>+H84*D84</f>
        <v>1615250</v>
      </c>
      <c r="J84" s="7"/>
      <c r="K84" s="207">
        <f>F84*H84</f>
        <v>1615250</v>
      </c>
    </row>
    <row r="85" spans="2:13" x14ac:dyDescent="0.25">
      <c r="B85" s="35" t="s">
        <v>66</v>
      </c>
      <c r="C85" s="17"/>
      <c r="D85" s="50">
        <v>2000000</v>
      </c>
      <c r="E85" s="275"/>
      <c r="F85" s="50">
        <v>2000000</v>
      </c>
      <c r="G85" s="275"/>
      <c r="H85" s="297">
        <v>1.5</v>
      </c>
      <c r="I85" s="208">
        <f>+H85*D85</f>
        <v>3000000</v>
      </c>
      <c r="J85" s="7"/>
      <c r="K85" s="207">
        <f>F85*H85</f>
        <v>3000000</v>
      </c>
      <c r="M85" s="57" t="s">
        <v>280</v>
      </c>
    </row>
    <row r="86" spans="2:13" ht="13.8" thickBot="1" x14ac:dyDescent="0.3">
      <c r="B86" s="36" t="s">
        <v>67</v>
      </c>
      <c r="C86" s="14"/>
      <c r="D86" s="212">
        <f>+SUM(D83:D85)</f>
        <v>3373000</v>
      </c>
      <c r="E86" s="277" t="s">
        <v>276</v>
      </c>
      <c r="F86" s="212">
        <f>+SUM(F83:F85)</f>
        <v>3373000</v>
      </c>
      <c r="G86" s="277" t="s">
        <v>276</v>
      </c>
      <c r="H86" s="295"/>
      <c r="I86" s="212">
        <f>+SUM(I83:I85)</f>
        <v>5402750</v>
      </c>
      <c r="J86" s="277" t="s">
        <v>276</v>
      </c>
      <c r="K86" s="212">
        <f>+SUM(K83:K85)</f>
        <v>5402750</v>
      </c>
      <c r="L86" s="277" t="s">
        <v>276</v>
      </c>
      <c r="M86" s="277" t="s">
        <v>276</v>
      </c>
    </row>
    <row r="87" spans="2:13" ht="16.2" thickBot="1" x14ac:dyDescent="0.35">
      <c r="B87" s="42"/>
      <c r="C87" s="26"/>
      <c r="D87" s="47"/>
      <c r="E87" s="281">
        <v>28624000</v>
      </c>
      <c r="F87" s="47"/>
      <c r="G87" s="281">
        <v>28624000</v>
      </c>
      <c r="H87" s="295"/>
      <c r="I87" s="47"/>
      <c r="J87" s="281">
        <f>4*14312000</f>
        <v>57248000</v>
      </c>
      <c r="K87" s="47"/>
      <c r="L87" s="281">
        <f>4*14312000</f>
        <v>57248000</v>
      </c>
      <c r="M87" s="281">
        <f>4*14312000</f>
        <v>57248000</v>
      </c>
    </row>
    <row r="88" spans="2:13" ht="16.2" thickBot="1" x14ac:dyDescent="0.35">
      <c r="B88" s="42"/>
      <c r="C88" s="283" t="s">
        <v>277</v>
      </c>
      <c r="D88" s="47"/>
      <c r="E88" s="281">
        <f>2*950000</f>
        <v>1900000</v>
      </c>
      <c r="F88" s="47"/>
      <c r="G88" s="281">
        <v>0</v>
      </c>
      <c r="H88" s="295"/>
      <c r="I88" s="47"/>
      <c r="J88" s="281">
        <f>4*950000</f>
        <v>3800000</v>
      </c>
      <c r="K88" s="47"/>
      <c r="L88" s="281">
        <v>0</v>
      </c>
      <c r="M88" s="281">
        <v>0</v>
      </c>
    </row>
    <row r="89" spans="2:13" ht="16.2" thickBot="1" x14ac:dyDescent="0.35">
      <c r="B89" s="42"/>
      <c r="C89" s="283" t="s">
        <v>278</v>
      </c>
      <c r="D89" s="47"/>
      <c r="E89" s="281">
        <f>2*280000</f>
        <v>560000</v>
      </c>
      <c r="F89" s="47"/>
      <c r="G89" s="281">
        <v>0</v>
      </c>
      <c r="H89" s="295"/>
      <c r="I89" s="47"/>
      <c r="J89" s="281">
        <f>4*280000</f>
        <v>1120000</v>
      </c>
      <c r="K89" s="47"/>
      <c r="L89" s="281">
        <v>0</v>
      </c>
      <c r="M89" s="281">
        <v>0</v>
      </c>
    </row>
    <row r="90" spans="2:13" ht="16.2" thickBot="1" x14ac:dyDescent="0.35">
      <c r="B90" s="42"/>
      <c r="C90" s="283" t="s">
        <v>224</v>
      </c>
      <c r="D90" s="47"/>
      <c r="E90" s="281" t="s">
        <v>224</v>
      </c>
      <c r="F90" s="47"/>
      <c r="G90" s="281" t="s">
        <v>224</v>
      </c>
      <c r="H90" s="295"/>
      <c r="I90" s="47"/>
      <c r="J90" s="281" t="s">
        <v>224</v>
      </c>
      <c r="K90" s="47"/>
      <c r="L90" s="281" t="s">
        <v>224</v>
      </c>
      <c r="M90" s="281" t="s">
        <v>224</v>
      </c>
    </row>
    <row r="91" spans="2:13" ht="16.2" thickBot="1" x14ac:dyDescent="0.35">
      <c r="B91" s="42"/>
      <c r="C91" s="283" t="s">
        <v>224</v>
      </c>
      <c r="D91" s="47"/>
      <c r="E91" s="281" t="s">
        <v>224</v>
      </c>
      <c r="F91" s="47"/>
      <c r="G91" s="281" t="s">
        <v>224</v>
      </c>
      <c r="H91" s="295"/>
      <c r="I91" s="47"/>
      <c r="J91" s="281" t="s">
        <v>224</v>
      </c>
      <c r="K91" s="47"/>
      <c r="L91" s="281" t="s">
        <v>224</v>
      </c>
      <c r="M91" s="281" t="s">
        <v>224</v>
      </c>
    </row>
    <row r="92" spans="2:13" ht="16.2" thickBot="1" x14ac:dyDescent="0.35">
      <c r="B92" s="25" t="s">
        <v>71</v>
      </c>
      <c r="C92" s="26"/>
      <c r="D92" s="213">
        <f>+D81+D86</f>
        <v>18439816</v>
      </c>
      <c r="E92" s="281">
        <f>SUM(E87:E91)+D92</f>
        <v>49523816</v>
      </c>
      <c r="F92" s="213">
        <f>+F81+F86</f>
        <v>16816241</v>
      </c>
      <c r="G92" s="281">
        <f>SUM(G87:G91)+F92</f>
        <v>45440241</v>
      </c>
      <c r="H92" s="295"/>
      <c r="I92" s="213">
        <f>+I81+I86</f>
        <v>30189587.73</v>
      </c>
      <c r="J92" s="281">
        <f>SUM(J87:J91)+I92</f>
        <v>92357587.730000004</v>
      </c>
      <c r="K92" s="213">
        <f>+K81+K86</f>
        <v>27298825.18</v>
      </c>
      <c r="L92" s="281">
        <f>SUM(L87:L91)+K92</f>
        <v>84546825.180000007</v>
      </c>
      <c r="M92" s="281">
        <f>SUM(M87:M91)+K92-K86</f>
        <v>79144075.180000007</v>
      </c>
    </row>
    <row r="93" spans="2:13" ht="16.2" thickBot="1" x14ac:dyDescent="0.35">
      <c r="B93" s="42"/>
      <c r="C93" s="26"/>
      <c r="D93" s="240">
        <f>D92/D13</f>
        <v>9219908</v>
      </c>
      <c r="E93" s="290" t="s">
        <v>334</v>
      </c>
      <c r="F93" s="240">
        <f>F92/F13</f>
        <v>8408120.5</v>
      </c>
      <c r="G93" s="290" t="s">
        <v>335</v>
      </c>
      <c r="H93" s="295"/>
      <c r="I93" s="240">
        <f>I92/I13</f>
        <v>7547396.9325000001</v>
      </c>
      <c r="J93" s="290" t="s">
        <v>334</v>
      </c>
      <c r="K93" s="240">
        <f>K92/K13</f>
        <v>6824706.2949999999</v>
      </c>
      <c r="L93" s="290" t="s">
        <v>335</v>
      </c>
      <c r="M93" s="290" t="s">
        <v>335</v>
      </c>
    </row>
    <row r="94" spans="2:13" x14ac:dyDescent="0.25">
      <c r="B94" s="7"/>
      <c r="C94" s="7"/>
      <c r="D94" s="300" t="s">
        <v>333</v>
      </c>
      <c r="E94" s="284">
        <f>E92/(2*46.9*1000)</f>
        <v>527.97245202558634</v>
      </c>
      <c r="F94" s="52"/>
      <c r="G94" s="284">
        <f>G92/(2*45.3*1000)</f>
        <v>501.54791390728479</v>
      </c>
      <c r="H94" s="32"/>
      <c r="I94" s="214"/>
      <c r="J94" s="284">
        <f>J92/(4*46.9*1000)</f>
        <v>492.31123523454158</v>
      </c>
      <c r="K94" s="301"/>
      <c r="L94" s="284">
        <f>L92/(4*45.3*1000)</f>
        <v>466.59395794701993</v>
      </c>
      <c r="M94" s="284">
        <f>M92/(4*45.3*1000)</f>
        <v>436.77745684326715</v>
      </c>
    </row>
    <row r="95" spans="2:13" x14ac:dyDescent="0.25">
      <c r="B95" s="7"/>
      <c r="C95" s="7"/>
      <c r="D95" s="300" t="s">
        <v>332</v>
      </c>
      <c r="E95" s="284">
        <f>E87/(2*46.9*1000)</f>
        <v>305.15991471215352</v>
      </c>
      <c r="F95" s="52"/>
      <c r="G95" s="284">
        <f>G87/(2*45.3*1000)</f>
        <v>315.9381898454746</v>
      </c>
      <c r="H95" s="32"/>
      <c r="I95" s="214"/>
      <c r="J95" s="284">
        <f>J87/(4*46.9*1000)</f>
        <v>305.15991471215352</v>
      </c>
      <c r="K95" s="301"/>
      <c r="L95" s="284">
        <f>L87/(4*45.3*1000)</f>
        <v>315.9381898454746</v>
      </c>
      <c r="M95" s="284">
        <f>M87/(4*45.3*1000)</f>
        <v>315.9381898454746</v>
      </c>
    </row>
    <row r="96" spans="2:13" x14ac:dyDescent="0.25">
      <c r="B96" s="7"/>
      <c r="C96" s="7"/>
      <c r="D96" s="302">
        <v>95</v>
      </c>
      <c r="E96" s="284">
        <f>E92/(2*45.3*1000)</f>
        <v>546.62048565121415</v>
      </c>
      <c r="F96" s="52"/>
      <c r="G96" s="284">
        <f>G92/(2*33.6*1000)</f>
        <v>676.19406249999997</v>
      </c>
      <c r="H96" s="32"/>
      <c r="I96" s="214"/>
      <c r="J96" s="284">
        <f>J92/(4*45.3*1000)</f>
        <v>509.69971153421636</v>
      </c>
      <c r="K96" s="301"/>
      <c r="L96" s="284">
        <f>L92/(4*33.6*1000)</f>
        <v>629.06863973214286</v>
      </c>
      <c r="M96" s="284">
        <f>M92/(4*33.6*1000)</f>
        <v>588.86960699404767</v>
      </c>
    </row>
    <row r="97" spans="2:13" ht="13.8" thickBot="1" x14ac:dyDescent="0.3">
      <c r="B97" s="7"/>
      <c r="C97" s="7"/>
      <c r="D97" s="300" t="s">
        <v>281</v>
      </c>
      <c r="E97" s="284">
        <f>E87/(2*45.3*1000)</f>
        <v>315.9381898454746</v>
      </c>
      <c r="F97" s="52"/>
      <c r="G97" s="284">
        <f>G87/(2*33.6*1000)</f>
        <v>425.95238095238096</v>
      </c>
      <c r="H97" s="32"/>
      <c r="I97" s="214"/>
      <c r="J97" s="284">
        <f>J87/(4*45.3*1000)</f>
        <v>315.9381898454746</v>
      </c>
      <c r="K97" s="301"/>
      <c r="L97" s="284">
        <f>L87/(4*33.6*1000)</f>
        <v>425.95238095238096</v>
      </c>
      <c r="M97" s="284">
        <f>M87/(4*33.6*1000)</f>
        <v>425.95238095238096</v>
      </c>
    </row>
    <row r="98" spans="2:13" x14ac:dyDescent="0.25">
      <c r="B98" s="260" t="s">
        <v>263</v>
      </c>
      <c r="C98" s="261"/>
      <c r="D98" s="262">
        <f>1430000-850000</f>
        <v>580000</v>
      </c>
      <c r="E98" s="275"/>
      <c r="F98" s="262">
        <f>1430000-850000</f>
        <v>580000</v>
      </c>
      <c r="G98" s="275"/>
      <c r="H98" s="297">
        <v>1.25</v>
      </c>
      <c r="I98" s="263">
        <f>+H98*D98</f>
        <v>725000</v>
      </c>
      <c r="J98" s="7"/>
      <c r="K98" s="204">
        <f>F98*H98</f>
        <v>725000</v>
      </c>
    </row>
    <row r="99" spans="2:13" x14ac:dyDescent="0.25">
      <c r="B99" s="33" t="s">
        <v>266</v>
      </c>
      <c r="C99" s="24" t="s">
        <v>224</v>
      </c>
      <c r="D99" s="49">
        <v>0</v>
      </c>
      <c r="E99" s="275"/>
      <c r="F99" s="49">
        <v>0</v>
      </c>
      <c r="G99" s="275"/>
      <c r="H99" s="297">
        <v>1.25</v>
      </c>
      <c r="I99" s="205">
        <f>+H99*D99</f>
        <v>0</v>
      </c>
      <c r="J99" s="7"/>
      <c r="K99" s="207">
        <f>F99*H99</f>
        <v>0</v>
      </c>
    </row>
    <row r="100" spans="2:13" x14ac:dyDescent="0.25">
      <c r="B100" s="35" t="s">
        <v>267</v>
      </c>
      <c r="C100" s="17"/>
      <c r="D100" s="50">
        <v>0</v>
      </c>
      <c r="E100" s="275"/>
      <c r="F100" s="50">
        <v>0</v>
      </c>
      <c r="G100" s="275"/>
      <c r="H100" s="297">
        <v>1.75</v>
      </c>
      <c r="I100" s="208">
        <f>+H100*D100</f>
        <v>0</v>
      </c>
      <c r="J100" s="7"/>
      <c r="K100" s="207">
        <f>F100*H100</f>
        <v>0</v>
      </c>
    </row>
    <row r="101" spans="2:13" ht="13.8" thickBot="1" x14ac:dyDescent="0.3">
      <c r="B101" s="36" t="s">
        <v>265</v>
      </c>
      <c r="C101" s="14"/>
      <c r="D101" s="212">
        <f>+SUM(D98:D100)</f>
        <v>580000</v>
      </c>
      <c r="E101" s="277"/>
      <c r="F101" s="212">
        <f>+SUM(F98:F100)</f>
        <v>580000</v>
      </c>
      <c r="G101" s="277"/>
      <c r="H101" s="295"/>
      <c r="I101" s="212">
        <f>+SUM(I98:I100)</f>
        <v>725000</v>
      </c>
      <c r="J101" s="7"/>
      <c r="K101" s="212">
        <f>+SUM(K98:K100)</f>
        <v>725000</v>
      </c>
    </row>
    <row r="102" spans="2:13" ht="16.2" thickBot="1" x14ac:dyDescent="0.35">
      <c r="B102" s="42"/>
      <c r="C102" s="26"/>
      <c r="D102" s="47"/>
      <c r="E102" s="274"/>
      <c r="F102" s="47"/>
      <c r="G102" s="274"/>
      <c r="H102" s="295"/>
      <c r="I102" s="47"/>
      <c r="J102" s="7"/>
      <c r="K102" s="47"/>
    </row>
    <row r="103" spans="2:13" ht="16.2" thickBot="1" x14ac:dyDescent="0.35">
      <c r="B103" s="25" t="s">
        <v>264</v>
      </c>
      <c r="C103" s="26"/>
      <c r="D103" s="213">
        <f>D92+D101</f>
        <v>19019816</v>
      </c>
      <c r="E103" s="280"/>
      <c r="F103" s="213">
        <f>F92+F101</f>
        <v>17396241</v>
      </c>
      <c r="G103" s="280"/>
      <c r="H103" s="295"/>
      <c r="I103" s="213">
        <f>I92+I101</f>
        <v>30914587.73</v>
      </c>
      <c r="J103" s="7"/>
      <c r="K103" s="213">
        <f>K92+K101</f>
        <v>28023825.18</v>
      </c>
    </row>
    <row r="104" spans="2:13" ht="16.2" thickBot="1" x14ac:dyDescent="0.35">
      <c r="B104" s="42"/>
      <c r="C104" s="26"/>
      <c r="D104" s="240">
        <f>D103/D13</f>
        <v>9509908</v>
      </c>
      <c r="E104" s="303"/>
      <c r="F104" s="240">
        <f>F103/F13</f>
        <v>8698120.5</v>
      </c>
      <c r="G104" s="303"/>
      <c r="H104" s="304"/>
      <c r="I104" s="240">
        <f>I103/I13</f>
        <v>7728646.9325000001</v>
      </c>
      <c r="J104" s="84"/>
      <c r="K104" s="240">
        <f>K103/K13</f>
        <v>7005956.2949999999</v>
      </c>
    </row>
    <row r="105" spans="2:13" x14ac:dyDescent="0.25">
      <c r="B105" s="7"/>
      <c r="C105" s="7"/>
      <c r="D105" s="7"/>
      <c r="E105" s="272"/>
      <c r="F105" s="7"/>
      <c r="G105" s="272"/>
      <c r="H105" s="32"/>
      <c r="I105" s="214"/>
      <c r="K105" s="214"/>
    </row>
    <row r="106" spans="2:13" x14ac:dyDescent="0.25">
      <c r="B106" s="7"/>
      <c r="C106" s="7"/>
      <c r="D106" s="7"/>
      <c r="E106" s="272"/>
      <c r="F106" s="7"/>
      <c r="G106" s="272"/>
      <c r="H106" s="7"/>
      <c r="I106" s="214"/>
      <c r="K106" s="214"/>
    </row>
    <row r="107" spans="2:13" x14ac:dyDescent="0.25">
      <c r="B107" s="7"/>
      <c r="C107" s="7"/>
      <c r="D107" s="7"/>
      <c r="E107" s="272"/>
      <c r="F107" s="7"/>
      <c r="G107" s="272"/>
      <c r="H107" s="7"/>
      <c r="I107" s="7"/>
      <c r="K107" s="7"/>
    </row>
    <row r="108" spans="2:13" x14ac:dyDescent="0.25">
      <c r="B108" s="7"/>
      <c r="C108" s="7"/>
      <c r="D108" s="7"/>
      <c r="E108" s="272"/>
      <c r="F108" s="7"/>
      <c r="G108" s="272"/>
      <c r="H108" s="7"/>
      <c r="I108" s="7"/>
      <c r="K108" s="7"/>
    </row>
    <row r="109" spans="2:13" x14ac:dyDescent="0.25">
      <c r="B109" s="7"/>
      <c r="C109" s="7"/>
      <c r="D109" s="7"/>
      <c r="E109" s="272"/>
      <c r="F109" s="7"/>
      <c r="G109" s="272"/>
      <c r="H109" s="7"/>
      <c r="I109" s="7"/>
      <c r="K109" s="7"/>
    </row>
    <row r="110" spans="2:13" x14ac:dyDescent="0.25">
      <c r="B110" s="7"/>
      <c r="C110" s="7"/>
      <c r="D110" s="7"/>
      <c r="E110" s="272"/>
      <c r="F110" s="7"/>
      <c r="G110" s="272"/>
      <c r="H110" s="7"/>
      <c r="I110" s="7"/>
      <c r="K110" s="7"/>
    </row>
    <row r="111" spans="2:13" x14ac:dyDescent="0.25">
      <c r="B111" s="7"/>
      <c r="C111" s="7"/>
      <c r="D111" s="7"/>
      <c r="E111" s="272"/>
      <c r="F111" s="7"/>
      <c r="G111" s="272"/>
      <c r="H111" s="7"/>
      <c r="I111" s="7"/>
      <c r="K111" s="7"/>
    </row>
    <row r="112" spans="2:13" x14ac:dyDescent="0.25">
      <c r="B112" s="7"/>
      <c r="C112" s="7"/>
      <c r="D112" s="215"/>
      <c r="E112" s="278"/>
      <c r="F112" s="215"/>
      <c r="G112" s="278"/>
      <c r="H112" s="7"/>
      <c r="I112" s="7"/>
      <c r="K112" s="7"/>
    </row>
    <row r="113" spans="2:11" x14ac:dyDescent="0.25">
      <c r="B113" s="7"/>
      <c r="C113" s="7"/>
      <c r="D113" s="7"/>
      <c r="E113" s="272"/>
      <c r="F113" s="7"/>
      <c r="G113" s="272"/>
      <c r="H113" s="7"/>
      <c r="I113" s="7"/>
      <c r="K113" s="7"/>
    </row>
    <row r="114" spans="2:11" x14ac:dyDescent="0.25">
      <c r="B114" s="7"/>
      <c r="C114" s="7"/>
      <c r="D114" s="56"/>
      <c r="E114" s="282"/>
      <c r="F114" s="56"/>
      <c r="G114" s="282"/>
      <c r="H114" s="7"/>
      <c r="I114" s="7"/>
      <c r="K114" s="7"/>
    </row>
    <row r="115" spans="2:11" x14ac:dyDescent="0.25">
      <c r="B115" s="7"/>
      <c r="C115" s="7"/>
      <c r="D115" s="56"/>
      <c r="E115" s="282"/>
      <c r="F115" s="56"/>
      <c r="G115" s="282"/>
      <c r="H115" s="7"/>
      <c r="I115" s="7"/>
      <c r="K115" s="7"/>
    </row>
    <row r="116" spans="2:11" x14ac:dyDescent="0.25">
      <c r="B116" s="7"/>
      <c r="C116" s="7"/>
      <c r="D116" s="56"/>
      <c r="E116" s="282"/>
      <c r="F116" s="56"/>
      <c r="G116" s="282"/>
      <c r="H116" s="7"/>
      <c r="I116" s="7"/>
      <c r="K116" s="7"/>
    </row>
    <row r="117" spans="2:11" x14ac:dyDescent="0.25">
      <c r="B117" s="7"/>
      <c r="C117" s="7"/>
      <c r="D117" s="215"/>
      <c r="E117" s="278"/>
      <c r="F117" s="215"/>
      <c r="G117" s="278"/>
      <c r="H117" s="7"/>
      <c r="I117" s="7"/>
      <c r="K117" s="7"/>
    </row>
    <row r="118" spans="2:11" x14ac:dyDescent="0.25">
      <c r="B118" s="7"/>
      <c r="C118" s="7"/>
      <c r="D118" s="215"/>
      <c r="E118" s="278"/>
      <c r="F118" s="215"/>
      <c r="G118" s="278"/>
      <c r="H118" s="7"/>
      <c r="I118" s="7"/>
      <c r="K118" s="7"/>
    </row>
    <row r="119" spans="2:11" x14ac:dyDescent="0.25">
      <c r="B119" s="7"/>
      <c r="C119" s="7"/>
      <c r="D119" s="215"/>
      <c r="E119" s="278"/>
      <c r="F119" s="215"/>
      <c r="G119" s="278"/>
      <c r="H119" s="7"/>
      <c r="I119" s="7"/>
      <c r="K119" s="7"/>
    </row>
    <row r="120" spans="2:11" x14ac:dyDescent="0.25">
      <c r="B120" s="7"/>
      <c r="C120" s="7"/>
      <c r="D120" s="7"/>
      <c r="E120" s="272"/>
      <c r="F120" s="7"/>
      <c r="G120" s="272"/>
      <c r="H120" s="7"/>
      <c r="I120" s="7"/>
      <c r="K120" s="7"/>
    </row>
    <row r="121" spans="2:11" x14ac:dyDescent="0.25">
      <c r="B121" s="7"/>
      <c r="C121" s="7"/>
      <c r="D121" s="7"/>
      <c r="E121" s="272"/>
      <c r="F121" s="7"/>
      <c r="G121" s="272"/>
      <c r="H121" s="7"/>
      <c r="I121" s="7"/>
      <c r="K121" s="7"/>
    </row>
    <row r="122" spans="2:11" x14ac:dyDescent="0.25">
      <c r="B122" s="7"/>
      <c r="C122" s="7"/>
      <c r="D122" s="7"/>
      <c r="E122" s="272"/>
      <c r="F122" s="7"/>
      <c r="G122" s="272"/>
      <c r="H122" s="7"/>
      <c r="I122" s="7"/>
      <c r="K122" s="7"/>
    </row>
    <row r="123" spans="2:11" x14ac:dyDescent="0.25">
      <c r="B123" s="7"/>
      <c r="C123" s="7"/>
      <c r="D123" s="7"/>
      <c r="E123" s="272"/>
      <c r="F123" s="7"/>
      <c r="G123" s="272"/>
      <c r="H123" s="7"/>
      <c r="I123" s="7"/>
      <c r="K123" s="7"/>
    </row>
    <row r="124" spans="2:11" x14ac:dyDescent="0.25">
      <c r="B124" s="7"/>
      <c r="C124" s="7"/>
      <c r="D124" s="7"/>
      <c r="E124" s="272"/>
      <c r="F124" s="7"/>
      <c r="G124" s="272"/>
      <c r="H124" s="7"/>
      <c r="I124" s="7"/>
      <c r="K124" s="7"/>
    </row>
    <row r="125" spans="2:11" x14ac:dyDescent="0.25">
      <c r="B125" s="7"/>
      <c r="C125" s="7"/>
      <c r="D125" s="7"/>
      <c r="E125" s="272"/>
      <c r="F125" s="7"/>
      <c r="G125" s="272"/>
      <c r="H125" s="7"/>
      <c r="I125" s="7"/>
      <c r="K125" s="7"/>
    </row>
    <row r="126" spans="2:11" x14ac:dyDescent="0.25">
      <c r="B126" s="7"/>
      <c r="C126" s="7"/>
      <c r="D126" s="7"/>
      <c r="E126" s="272"/>
      <c r="F126" s="7"/>
      <c r="G126" s="272"/>
      <c r="H126" s="7"/>
      <c r="I126" s="7"/>
      <c r="K126" s="7"/>
    </row>
    <row r="127" spans="2:11" x14ac:dyDescent="0.25">
      <c r="B127" s="7"/>
      <c r="C127" s="7"/>
      <c r="D127" s="7"/>
      <c r="E127" s="272"/>
      <c r="F127" s="7"/>
      <c r="G127" s="272"/>
      <c r="H127" s="7"/>
      <c r="I127" s="7"/>
      <c r="K127" s="7"/>
    </row>
    <row r="128" spans="2:11" x14ac:dyDescent="0.25">
      <c r="B128" s="7"/>
      <c r="C128" s="7"/>
      <c r="D128" s="7"/>
      <c r="E128" s="272"/>
      <c r="F128" s="7"/>
      <c r="G128" s="272"/>
      <c r="H128" s="7"/>
      <c r="I128" s="7"/>
      <c r="K128" s="7"/>
    </row>
    <row r="129" spans="5:7" x14ac:dyDescent="0.25">
      <c r="E129" s="271"/>
      <c r="G129" s="271"/>
    </row>
    <row r="130" spans="5:7" x14ac:dyDescent="0.25">
      <c r="E130" s="271"/>
      <c r="G130" s="271"/>
    </row>
    <row r="131" spans="5:7" x14ac:dyDescent="0.25">
      <c r="E131" s="271"/>
      <c r="G131" s="271"/>
    </row>
    <row r="132" spans="5:7" x14ac:dyDescent="0.25">
      <c r="E132" s="271"/>
      <c r="G132" s="271"/>
    </row>
    <row r="133" spans="5:7" x14ac:dyDescent="0.25">
      <c r="E133" s="271"/>
      <c r="G133" s="271"/>
    </row>
    <row r="134" spans="5:7" x14ac:dyDescent="0.25">
      <c r="E134" s="271"/>
      <c r="G134" s="271"/>
    </row>
    <row r="135" spans="5:7" x14ac:dyDescent="0.25">
      <c r="E135" s="271"/>
      <c r="G135" s="271"/>
    </row>
    <row r="136" spans="5:7" x14ac:dyDescent="0.25">
      <c r="E136" s="271"/>
      <c r="G136" s="271"/>
    </row>
    <row r="137" spans="5:7" x14ac:dyDescent="0.25">
      <c r="E137" s="271"/>
      <c r="G137" s="271"/>
    </row>
    <row r="138" spans="5:7" x14ac:dyDescent="0.25">
      <c r="E138" s="271"/>
      <c r="G138" s="271"/>
    </row>
    <row r="139" spans="5:7" x14ac:dyDescent="0.25">
      <c r="E139" s="271"/>
      <c r="G139" s="271"/>
    </row>
    <row r="140" spans="5:7" x14ac:dyDescent="0.25">
      <c r="E140" s="271"/>
      <c r="G140" s="271"/>
    </row>
    <row r="141" spans="5:7" x14ac:dyDescent="0.25">
      <c r="E141" s="271"/>
      <c r="G141" s="271"/>
    </row>
    <row r="142" spans="5:7" x14ac:dyDescent="0.25">
      <c r="E142" s="271"/>
      <c r="G142" s="271"/>
    </row>
    <row r="143" spans="5:7" x14ac:dyDescent="0.25">
      <c r="E143" s="271"/>
      <c r="G143" s="271"/>
    </row>
    <row r="144" spans="5:7" x14ac:dyDescent="0.25">
      <c r="E144" s="271"/>
      <c r="G144" s="271"/>
    </row>
    <row r="145" spans="5:7" x14ac:dyDescent="0.25">
      <c r="E145" s="271"/>
      <c r="G145" s="271"/>
    </row>
    <row r="146" spans="5:7" x14ac:dyDescent="0.25">
      <c r="E146" s="271"/>
      <c r="G146" s="271"/>
    </row>
    <row r="147" spans="5:7" x14ac:dyDescent="0.25">
      <c r="E147" s="271"/>
      <c r="G147" s="271"/>
    </row>
    <row r="148" spans="5:7" x14ac:dyDescent="0.25">
      <c r="E148" s="271"/>
      <c r="G148" s="271"/>
    </row>
    <row r="149" spans="5:7" x14ac:dyDescent="0.25">
      <c r="E149" s="271"/>
      <c r="G149" s="271"/>
    </row>
    <row r="150" spans="5:7" x14ac:dyDescent="0.25">
      <c r="E150" s="271"/>
      <c r="G150" s="271"/>
    </row>
    <row r="151" spans="5:7" x14ac:dyDescent="0.25">
      <c r="E151" s="271"/>
      <c r="G151" s="271"/>
    </row>
    <row r="152" spans="5:7" x14ac:dyDescent="0.25">
      <c r="E152" s="271"/>
      <c r="G152" s="271"/>
    </row>
    <row r="153" spans="5:7" x14ac:dyDescent="0.25">
      <c r="E153" s="271"/>
      <c r="G153" s="271"/>
    </row>
    <row r="154" spans="5:7" x14ac:dyDescent="0.25">
      <c r="E154" s="271"/>
      <c r="G154" s="271"/>
    </row>
    <row r="155" spans="5:7" x14ac:dyDescent="0.25">
      <c r="E155" s="271"/>
      <c r="G155" s="271"/>
    </row>
    <row r="156" spans="5:7" x14ac:dyDescent="0.25">
      <c r="E156" s="271"/>
      <c r="G156" s="271"/>
    </row>
    <row r="157" spans="5:7" x14ac:dyDescent="0.25">
      <c r="E157" s="271"/>
      <c r="G157" s="271"/>
    </row>
    <row r="158" spans="5:7" x14ac:dyDescent="0.25">
      <c r="E158" s="271"/>
      <c r="G158" s="271"/>
    </row>
    <row r="159" spans="5:7" x14ac:dyDescent="0.25">
      <c r="E159" s="271"/>
      <c r="G159" s="271"/>
    </row>
    <row r="160" spans="5:7" x14ac:dyDescent="0.25">
      <c r="E160" s="271"/>
      <c r="G160" s="271"/>
    </row>
    <row r="161" spans="5:7" x14ac:dyDescent="0.25">
      <c r="E161" s="271"/>
      <c r="G161" s="271"/>
    </row>
    <row r="162" spans="5:7" x14ac:dyDescent="0.25">
      <c r="E162" s="271"/>
      <c r="G162" s="271"/>
    </row>
    <row r="163" spans="5:7" x14ac:dyDescent="0.25">
      <c r="E163" s="271"/>
      <c r="G163" s="271"/>
    </row>
    <row r="164" spans="5:7" x14ac:dyDescent="0.25">
      <c r="E164" s="271"/>
      <c r="G164" s="271"/>
    </row>
    <row r="165" spans="5:7" x14ac:dyDescent="0.25">
      <c r="E165" s="271"/>
      <c r="G165" s="271"/>
    </row>
    <row r="166" spans="5:7" x14ac:dyDescent="0.25">
      <c r="E166" s="271"/>
      <c r="G166" s="271"/>
    </row>
    <row r="167" spans="5:7" x14ac:dyDescent="0.25">
      <c r="E167" s="271"/>
      <c r="G167" s="271"/>
    </row>
    <row r="168" spans="5:7" x14ac:dyDescent="0.25">
      <c r="E168" s="271"/>
      <c r="G168" s="271"/>
    </row>
    <row r="169" spans="5:7" x14ac:dyDescent="0.25">
      <c r="E169" s="271"/>
      <c r="G169" s="271"/>
    </row>
    <row r="170" spans="5:7" x14ac:dyDescent="0.25">
      <c r="E170" s="271"/>
      <c r="G170" s="271"/>
    </row>
    <row r="171" spans="5:7" x14ac:dyDescent="0.25">
      <c r="E171" s="271"/>
      <c r="G171" s="271"/>
    </row>
    <row r="172" spans="5:7" x14ac:dyDescent="0.25">
      <c r="E172" s="271"/>
      <c r="G172" s="271"/>
    </row>
    <row r="173" spans="5:7" x14ac:dyDescent="0.25">
      <c r="E173" s="271"/>
      <c r="G173" s="271"/>
    </row>
    <row r="174" spans="5:7" x14ac:dyDescent="0.25">
      <c r="E174" s="271"/>
      <c r="G174" s="271"/>
    </row>
    <row r="175" spans="5:7" x14ac:dyDescent="0.25">
      <c r="E175" s="271"/>
      <c r="G175" s="271"/>
    </row>
    <row r="176" spans="5:7" x14ac:dyDescent="0.25">
      <c r="E176" s="271"/>
      <c r="G176" s="271"/>
    </row>
    <row r="177" spans="5:7" x14ac:dyDescent="0.25">
      <c r="E177" s="271"/>
      <c r="G177" s="271"/>
    </row>
    <row r="178" spans="5:7" x14ac:dyDescent="0.25">
      <c r="E178" s="271"/>
      <c r="G178" s="271"/>
    </row>
    <row r="179" spans="5:7" x14ac:dyDescent="0.25">
      <c r="E179" s="271"/>
      <c r="G179" s="271"/>
    </row>
    <row r="180" spans="5:7" x14ac:dyDescent="0.25">
      <c r="E180" s="271"/>
      <c r="G180" s="271"/>
    </row>
    <row r="181" spans="5:7" x14ac:dyDescent="0.25">
      <c r="E181" s="271"/>
      <c r="G181" s="271"/>
    </row>
    <row r="182" spans="5:7" x14ac:dyDescent="0.25">
      <c r="E182" s="271"/>
      <c r="G182" s="271"/>
    </row>
    <row r="183" spans="5:7" x14ac:dyDescent="0.25">
      <c r="E183" s="271"/>
      <c r="G183" s="271"/>
    </row>
    <row r="184" spans="5:7" x14ac:dyDescent="0.25">
      <c r="E184" s="271"/>
      <c r="G184" s="271"/>
    </row>
    <row r="185" spans="5:7" x14ac:dyDescent="0.25">
      <c r="E185" s="271"/>
      <c r="G185" s="271"/>
    </row>
    <row r="186" spans="5:7" x14ac:dyDescent="0.25">
      <c r="E186" s="271"/>
      <c r="G186" s="271"/>
    </row>
    <row r="187" spans="5:7" x14ac:dyDescent="0.25">
      <c r="E187" s="271"/>
      <c r="G187" s="271"/>
    </row>
    <row r="188" spans="5:7" x14ac:dyDescent="0.25">
      <c r="E188" s="271"/>
      <c r="G188" s="271"/>
    </row>
    <row r="189" spans="5:7" x14ac:dyDescent="0.25">
      <c r="E189" s="271"/>
      <c r="G189" s="271"/>
    </row>
    <row r="190" spans="5:7" x14ac:dyDescent="0.25">
      <c r="E190" s="271"/>
      <c r="G190" s="271"/>
    </row>
    <row r="191" spans="5:7" x14ac:dyDescent="0.25">
      <c r="E191" s="271"/>
      <c r="G191" s="271"/>
    </row>
    <row r="192" spans="5:7" x14ac:dyDescent="0.25">
      <c r="E192" s="271"/>
      <c r="G192" s="271"/>
    </row>
    <row r="193" spans="5:7" x14ac:dyDescent="0.25">
      <c r="E193" s="271"/>
      <c r="G193" s="271"/>
    </row>
    <row r="194" spans="5:7" x14ac:dyDescent="0.25">
      <c r="E194" s="271"/>
      <c r="G194" s="271"/>
    </row>
    <row r="195" spans="5:7" x14ac:dyDescent="0.25">
      <c r="E195" s="271"/>
      <c r="G195" s="271"/>
    </row>
    <row r="196" spans="5:7" x14ac:dyDescent="0.25">
      <c r="E196" s="271"/>
      <c r="G196" s="271"/>
    </row>
    <row r="197" spans="5:7" x14ac:dyDescent="0.25">
      <c r="E197" s="271"/>
      <c r="G197" s="271"/>
    </row>
    <row r="198" spans="5:7" x14ac:dyDescent="0.25">
      <c r="E198" s="271"/>
      <c r="G198" s="271"/>
    </row>
    <row r="199" spans="5:7" x14ac:dyDescent="0.25">
      <c r="E199" s="271"/>
      <c r="G199" s="271"/>
    </row>
    <row r="200" spans="5:7" x14ac:dyDescent="0.25">
      <c r="E200" s="271"/>
      <c r="G200" s="271"/>
    </row>
    <row r="201" spans="5:7" x14ac:dyDescent="0.25">
      <c r="E201" s="271"/>
      <c r="G201" s="271"/>
    </row>
    <row r="202" spans="5:7" x14ac:dyDescent="0.25">
      <c r="E202" s="271"/>
      <c r="G202" s="271"/>
    </row>
    <row r="203" spans="5:7" x14ac:dyDescent="0.25">
      <c r="E203" s="271"/>
      <c r="G203" s="271"/>
    </row>
    <row r="204" spans="5:7" x14ac:dyDescent="0.25">
      <c r="E204" s="271"/>
      <c r="G204" s="271"/>
    </row>
    <row r="205" spans="5:7" x14ac:dyDescent="0.25">
      <c r="E205" s="271"/>
    </row>
    <row r="206" spans="5:7" x14ac:dyDescent="0.25">
      <c r="E206" s="271"/>
    </row>
    <row r="207" spans="5:7" x14ac:dyDescent="0.25">
      <c r="E207" s="271"/>
    </row>
    <row r="208" spans="5:7" x14ac:dyDescent="0.25">
      <c r="E208" s="271"/>
    </row>
    <row r="209" spans="5:5" x14ac:dyDescent="0.25">
      <c r="E209" s="271"/>
    </row>
    <row r="210" spans="5:5" x14ac:dyDescent="0.25">
      <c r="E210" s="271"/>
    </row>
    <row r="211" spans="5:5" x14ac:dyDescent="0.25">
      <c r="E211" s="271"/>
    </row>
    <row r="212" spans="5:5" x14ac:dyDescent="0.25">
      <c r="E212" s="271"/>
    </row>
    <row r="213" spans="5:5" x14ac:dyDescent="0.25">
      <c r="E213" s="271"/>
    </row>
    <row r="214" spans="5:5" x14ac:dyDescent="0.25">
      <c r="E214" s="271"/>
    </row>
    <row r="215" spans="5:5" x14ac:dyDescent="0.25">
      <c r="E215" s="271"/>
    </row>
    <row r="216" spans="5:5" x14ac:dyDescent="0.25">
      <c r="E216" s="271"/>
    </row>
    <row r="217" spans="5:5" x14ac:dyDescent="0.25">
      <c r="E217" s="271"/>
    </row>
    <row r="218" spans="5:5" x14ac:dyDescent="0.25">
      <c r="E218" s="271"/>
    </row>
    <row r="219" spans="5:5" x14ac:dyDescent="0.25">
      <c r="E219" s="271"/>
    </row>
    <row r="220" spans="5:5" x14ac:dyDescent="0.25">
      <c r="E220" s="271"/>
    </row>
    <row r="221" spans="5:5" x14ac:dyDescent="0.25">
      <c r="E221" s="271"/>
    </row>
    <row r="222" spans="5:5" x14ac:dyDescent="0.25">
      <c r="E222" s="271"/>
    </row>
    <row r="223" spans="5:5" x14ac:dyDescent="0.25">
      <c r="E223" s="271"/>
    </row>
    <row r="224" spans="5:5" x14ac:dyDescent="0.25">
      <c r="E224" s="271"/>
    </row>
    <row r="225" spans="5:5" x14ac:dyDescent="0.25">
      <c r="E225" s="271"/>
    </row>
    <row r="226" spans="5:5" x14ac:dyDescent="0.25">
      <c r="E226" s="271"/>
    </row>
    <row r="227" spans="5:5" x14ac:dyDescent="0.25">
      <c r="E227" s="271"/>
    </row>
    <row r="228" spans="5:5" x14ac:dyDescent="0.25">
      <c r="E228" s="271"/>
    </row>
    <row r="229" spans="5:5" x14ac:dyDescent="0.25">
      <c r="E229" s="271"/>
    </row>
    <row r="230" spans="5:5" x14ac:dyDescent="0.25">
      <c r="E230" s="271"/>
    </row>
    <row r="231" spans="5:5" x14ac:dyDescent="0.25">
      <c r="E231" s="271"/>
    </row>
    <row r="232" spans="5:5" x14ac:dyDescent="0.25">
      <c r="E232" s="271"/>
    </row>
    <row r="233" spans="5:5" x14ac:dyDescent="0.25">
      <c r="E233" s="271"/>
    </row>
    <row r="234" spans="5:5" x14ac:dyDescent="0.25">
      <c r="E234" s="271"/>
    </row>
    <row r="235" spans="5:5" x14ac:dyDescent="0.25">
      <c r="E235" s="271"/>
    </row>
    <row r="236" spans="5:5" x14ac:dyDescent="0.25">
      <c r="E236" s="271"/>
    </row>
    <row r="237" spans="5:5" x14ac:dyDescent="0.25">
      <c r="E237" s="271"/>
    </row>
    <row r="238" spans="5:5" x14ac:dyDescent="0.25">
      <c r="E238" s="271"/>
    </row>
    <row r="239" spans="5:5" x14ac:dyDescent="0.25">
      <c r="E239" s="271"/>
    </row>
    <row r="240" spans="5:5" x14ac:dyDescent="0.25">
      <c r="E240" s="271"/>
    </row>
    <row r="241" spans="5:5" x14ac:dyDescent="0.25">
      <c r="E241" s="271"/>
    </row>
    <row r="242" spans="5:5" x14ac:dyDescent="0.25">
      <c r="E242" s="271"/>
    </row>
    <row r="243" spans="5:5" x14ac:dyDescent="0.25">
      <c r="E243" s="271"/>
    </row>
    <row r="244" spans="5:5" x14ac:dyDescent="0.25">
      <c r="E244" s="271"/>
    </row>
    <row r="245" spans="5:5" x14ac:dyDescent="0.25">
      <c r="E245" s="271"/>
    </row>
    <row r="246" spans="5:5" x14ac:dyDescent="0.25">
      <c r="E246" s="271"/>
    </row>
    <row r="247" spans="5:5" x14ac:dyDescent="0.25">
      <c r="E247" s="271"/>
    </row>
    <row r="248" spans="5:5" x14ac:dyDescent="0.25">
      <c r="E248" s="271"/>
    </row>
    <row r="249" spans="5:5" x14ac:dyDescent="0.25">
      <c r="E249" s="271"/>
    </row>
    <row r="250" spans="5:5" x14ac:dyDescent="0.25">
      <c r="E250" s="271"/>
    </row>
    <row r="251" spans="5:5" x14ac:dyDescent="0.25">
      <c r="E251" s="271"/>
    </row>
    <row r="252" spans="5:5" x14ac:dyDescent="0.25">
      <c r="E252" s="271"/>
    </row>
    <row r="253" spans="5:5" x14ac:dyDescent="0.25">
      <c r="E253" s="271"/>
    </row>
    <row r="254" spans="5:5" x14ac:dyDescent="0.25">
      <c r="E254" s="271"/>
    </row>
    <row r="255" spans="5:5" x14ac:dyDescent="0.25">
      <c r="E255" s="271"/>
    </row>
    <row r="256" spans="5:5" x14ac:dyDescent="0.25">
      <c r="E256" s="271"/>
    </row>
    <row r="257" spans="5:5" x14ac:dyDescent="0.25">
      <c r="E257" s="271"/>
    </row>
    <row r="258" spans="5:5" x14ac:dyDescent="0.25">
      <c r="E258" s="271"/>
    </row>
    <row r="259" spans="5:5" x14ac:dyDescent="0.25">
      <c r="E259" s="271"/>
    </row>
    <row r="260" spans="5:5" x14ac:dyDescent="0.25">
      <c r="E260" s="271"/>
    </row>
    <row r="261" spans="5:5" x14ac:dyDescent="0.25">
      <c r="E261" s="271"/>
    </row>
    <row r="262" spans="5:5" x14ac:dyDescent="0.25">
      <c r="E262" s="271"/>
    </row>
    <row r="263" spans="5:5" x14ac:dyDescent="0.25">
      <c r="E263" s="271"/>
    </row>
    <row r="264" spans="5:5" x14ac:dyDescent="0.25">
      <c r="E264" s="271"/>
    </row>
    <row r="265" spans="5:5" x14ac:dyDescent="0.25">
      <c r="E265" s="271"/>
    </row>
    <row r="266" spans="5:5" x14ac:dyDescent="0.25">
      <c r="E266" s="271"/>
    </row>
    <row r="267" spans="5:5" x14ac:dyDescent="0.25">
      <c r="E267" s="271"/>
    </row>
    <row r="268" spans="5:5" x14ac:dyDescent="0.25">
      <c r="E268" s="271"/>
    </row>
    <row r="269" spans="5:5" x14ac:dyDescent="0.25">
      <c r="E269" s="271"/>
    </row>
    <row r="270" spans="5:5" x14ac:dyDescent="0.25">
      <c r="E270" s="271"/>
    </row>
    <row r="271" spans="5:5" x14ac:dyDescent="0.25">
      <c r="E271" s="271"/>
    </row>
    <row r="272" spans="5:5" x14ac:dyDescent="0.25">
      <c r="E272" s="271"/>
    </row>
    <row r="273" spans="5:5" x14ac:dyDescent="0.25">
      <c r="E273" s="271"/>
    </row>
    <row r="274" spans="5:5" x14ac:dyDescent="0.25">
      <c r="E274" s="271"/>
    </row>
    <row r="275" spans="5:5" x14ac:dyDescent="0.25">
      <c r="E275" s="271"/>
    </row>
    <row r="276" spans="5:5" x14ac:dyDescent="0.25">
      <c r="E276" s="271"/>
    </row>
    <row r="277" spans="5:5" x14ac:dyDescent="0.25">
      <c r="E277" s="271"/>
    </row>
    <row r="278" spans="5:5" x14ac:dyDescent="0.25">
      <c r="E278" s="271"/>
    </row>
    <row r="279" spans="5:5" x14ac:dyDescent="0.25">
      <c r="E279" s="271"/>
    </row>
    <row r="280" spans="5:5" x14ac:dyDescent="0.25">
      <c r="E280" s="271"/>
    </row>
    <row r="281" spans="5:5" x14ac:dyDescent="0.25">
      <c r="E281" s="271"/>
    </row>
    <row r="282" spans="5:5" x14ac:dyDescent="0.25">
      <c r="E282" s="271"/>
    </row>
    <row r="283" spans="5:5" x14ac:dyDescent="0.25">
      <c r="E283" s="271"/>
    </row>
    <row r="284" spans="5:5" x14ac:dyDescent="0.25">
      <c r="E284" s="271"/>
    </row>
    <row r="285" spans="5:5" x14ac:dyDescent="0.25">
      <c r="E285" s="271"/>
    </row>
    <row r="286" spans="5:5" x14ac:dyDescent="0.25">
      <c r="E286" s="271"/>
    </row>
    <row r="287" spans="5:5" x14ac:dyDescent="0.25">
      <c r="E287" s="271"/>
    </row>
    <row r="288" spans="5:5" x14ac:dyDescent="0.25">
      <c r="E288" s="271"/>
    </row>
    <row r="289" spans="5:5" x14ac:dyDescent="0.25">
      <c r="E289" s="271"/>
    </row>
    <row r="290" spans="5:5" x14ac:dyDescent="0.25">
      <c r="E290" s="271"/>
    </row>
    <row r="291" spans="5:5" x14ac:dyDescent="0.25">
      <c r="E291" s="271"/>
    </row>
    <row r="292" spans="5:5" x14ac:dyDescent="0.25">
      <c r="E292" s="271"/>
    </row>
    <row r="293" spans="5:5" x14ac:dyDescent="0.25">
      <c r="E293" s="271"/>
    </row>
    <row r="294" spans="5:5" x14ac:dyDescent="0.25">
      <c r="E294" s="271"/>
    </row>
    <row r="295" spans="5:5" x14ac:dyDescent="0.25">
      <c r="E295" s="271"/>
    </row>
    <row r="296" spans="5:5" x14ac:dyDescent="0.25">
      <c r="E296" s="271"/>
    </row>
    <row r="297" spans="5:5" x14ac:dyDescent="0.25">
      <c r="E297" s="271"/>
    </row>
    <row r="298" spans="5:5" x14ac:dyDescent="0.25">
      <c r="E298" s="271"/>
    </row>
    <row r="299" spans="5:5" x14ac:dyDescent="0.25">
      <c r="E299" s="271"/>
    </row>
    <row r="300" spans="5:5" x14ac:dyDescent="0.25">
      <c r="E300" s="271"/>
    </row>
    <row r="301" spans="5:5" x14ac:dyDescent="0.25">
      <c r="E301" s="271"/>
    </row>
    <row r="302" spans="5:5" x14ac:dyDescent="0.25">
      <c r="E302" s="271"/>
    </row>
    <row r="303" spans="5:5" x14ac:dyDescent="0.25">
      <c r="E303" s="271"/>
    </row>
    <row r="304" spans="5:5" x14ac:dyDescent="0.25">
      <c r="E304" s="271"/>
    </row>
    <row r="305" spans="5:5" x14ac:dyDescent="0.25">
      <c r="E305" s="271"/>
    </row>
    <row r="306" spans="5:5" x14ac:dyDescent="0.25">
      <c r="E306" s="271"/>
    </row>
    <row r="307" spans="5:5" x14ac:dyDescent="0.25">
      <c r="E307" s="271"/>
    </row>
    <row r="308" spans="5:5" x14ac:dyDescent="0.25">
      <c r="E308" s="271"/>
    </row>
    <row r="309" spans="5:5" x14ac:dyDescent="0.25">
      <c r="E309" s="271"/>
    </row>
    <row r="310" spans="5:5" x14ac:dyDescent="0.25">
      <c r="E310" s="271"/>
    </row>
    <row r="311" spans="5:5" x14ac:dyDescent="0.25">
      <c r="E311" s="271"/>
    </row>
    <row r="312" spans="5:5" x14ac:dyDescent="0.25">
      <c r="E312" s="271"/>
    </row>
    <row r="313" spans="5:5" x14ac:dyDescent="0.25">
      <c r="E313" s="271"/>
    </row>
    <row r="314" spans="5:5" x14ac:dyDescent="0.25">
      <c r="E314" s="271"/>
    </row>
    <row r="315" spans="5:5" x14ac:dyDescent="0.25">
      <c r="E315" s="271"/>
    </row>
    <row r="316" spans="5:5" x14ac:dyDescent="0.25">
      <c r="E316" s="271"/>
    </row>
    <row r="317" spans="5:5" x14ac:dyDescent="0.25">
      <c r="E317" s="271"/>
    </row>
    <row r="318" spans="5:5" x14ac:dyDescent="0.25">
      <c r="E318" s="271"/>
    </row>
    <row r="319" spans="5:5" x14ac:dyDescent="0.25">
      <c r="E319" s="271"/>
    </row>
    <row r="320" spans="5:5" x14ac:dyDescent="0.25">
      <c r="E320" s="271"/>
    </row>
    <row r="321" spans="5:5" x14ac:dyDescent="0.25">
      <c r="E321" s="271"/>
    </row>
    <row r="322" spans="5:5" x14ac:dyDescent="0.25">
      <c r="E322" s="271"/>
    </row>
    <row r="323" spans="5:5" x14ac:dyDescent="0.25">
      <c r="E323" s="271"/>
    </row>
    <row r="324" spans="5:5" x14ac:dyDescent="0.25">
      <c r="E324" s="271"/>
    </row>
    <row r="325" spans="5:5" x14ac:dyDescent="0.25">
      <c r="E325" s="271"/>
    </row>
    <row r="326" spans="5:5" x14ac:dyDescent="0.25">
      <c r="E326" s="271"/>
    </row>
    <row r="327" spans="5:5" x14ac:dyDescent="0.25">
      <c r="E327" s="271"/>
    </row>
    <row r="328" spans="5:5" x14ac:dyDescent="0.25">
      <c r="E328" s="271"/>
    </row>
    <row r="329" spans="5:5" x14ac:dyDescent="0.25">
      <c r="E329" s="271"/>
    </row>
    <row r="330" spans="5:5" x14ac:dyDescent="0.25">
      <c r="E330" s="271"/>
    </row>
    <row r="331" spans="5:5" x14ac:dyDescent="0.25">
      <c r="E331" s="271"/>
    </row>
    <row r="332" spans="5:5" x14ac:dyDescent="0.25">
      <c r="E332" s="271"/>
    </row>
    <row r="333" spans="5:5" x14ac:dyDescent="0.25">
      <c r="E333" s="271"/>
    </row>
    <row r="334" spans="5:5" x14ac:dyDescent="0.25">
      <c r="E334" s="271"/>
    </row>
    <row r="335" spans="5:5" x14ac:dyDescent="0.25">
      <c r="E335" s="271"/>
    </row>
    <row r="336" spans="5:5" x14ac:dyDescent="0.25">
      <c r="E336" s="271"/>
    </row>
    <row r="337" spans="5:5" x14ac:dyDescent="0.25">
      <c r="E337" s="271"/>
    </row>
    <row r="338" spans="5:5" x14ac:dyDescent="0.25">
      <c r="E338" s="271"/>
    </row>
    <row r="339" spans="5:5" x14ac:dyDescent="0.25">
      <c r="E339" s="271"/>
    </row>
    <row r="340" spans="5:5" x14ac:dyDescent="0.25">
      <c r="E340" s="271"/>
    </row>
    <row r="341" spans="5:5" x14ac:dyDescent="0.25">
      <c r="E341" s="271"/>
    </row>
    <row r="342" spans="5:5" x14ac:dyDescent="0.25">
      <c r="E342" s="271"/>
    </row>
    <row r="343" spans="5:5" x14ac:dyDescent="0.25">
      <c r="E343" s="271"/>
    </row>
    <row r="344" spans="5:5" x14ac:dyDescent="0.25">
      <c r="E344" s="271"/>
    </row>
    <row r="345" spans="5:5" x14ac:dyDescent="0.25">
      <c r="E345" s="271"/>
    </row>
    <row r="346" spans="5:5" x14ac:dyDescent="0.25">
      <c r="E346" s="271"/>
    </row>
    <row r="347" spans="5:5" x14ac:dyDescent="0.25">
      <c r="E347" s="271"/>
    </row>
    <row r="348" spans="5:5" x14ac:dyDescent="0.25">
      <c r="E348" s="271"/>
    </row>
    <row r="349" spans="5:5" x14ac:dyDescent="0.25">
      <c r="E349" s="271"/>
    </row>
    <row r="350" spans="5:5" x14ac:dyDescent="0.25">
      <c r="E350" s="271"/>
    </row>
    <row r="351" spans="5:5" x14ac:dyDescent="0.25">
      <c r="E351" s="271"/>
    </row>
    <row r="352" spans="5:5" x14ac:dyDescent="0.25">
      <c r="E352" s="271"/>
    </row>
    <row r="353" spans="5:5" x14ac:dyDescent="0.25">
      <c r="E353" s="271"/>
    </row>
    <row r="354" spans="5:5" x14ac:dyDescent="0.25">
      <c r="E354" s="271"/>
    </row>
    <row r="355" spans="5:5" x14ac:dyDescent="0.25">
      <c r="E355" s="271"/>
    </row>
    <row r="356" spans="5:5" x14ac:dyDescent="0.25">
      <c r="E356" s="271"/>
    </row>
    <row r="357" spans="5:5" x14ac:dyDescent="0.25">
      <c r="E357" s="271"/>
    </row>
    <row r="358" spans="5:5" x14ac:dyDescent="0.25">
      <c r="E358" s="271"/>
    </row>
    <row r="359" spans="5:5" x14ac:dyDescent="0.25">
      <c r="E359" s="271"/>
    </row>
    <row r="360" spans="5:5" x14ac:dyDescent="0.25">
      <c r="E360" s="271"/>
    </row>
    <row r="361" spans="5:5" x14ac:dyDescent="0.25">
      <c r="E361" s="271"/>
    </row>
    <row r="362" spans="5:5" x14ac:dyDescent="0.25">
      <c r="E362" s="271"/>
    </row>
    <row r="363" spans="5:5" x14ac:dyDescent="0.25">
      <c r="E363" s="271"/>
    </row>
    <row r="364" spans="5:5" x14ac:dyDescent="0.25">
      <c r="E364" s="271"/>
    </row>
    <row r="365" spans="5:5" x14ac:dyDescent="0.25">
      <c r="E365" s="271"/>
    </row>
    <row r="366" spans="5:5" x14ac:dyDescent="0.25">
      <c r="E366" s="271"/>
    </row>
    <row r="367" spans="5:5" x14ac:dyDescent="0.25">
      <c r="E367" s="271"/>
    </row>
    <row r="368" spans="5:5" x14ac:dyDescent="0.25">
      <c r="E368" s="271"/>
    </row>
    <row r="369" spans="5:5" x14ac:dyDescent="0.25">
      <c r="E369" s="271"/>
    </row>
    <row r="370" spans="5:5" x14ac:dyDescent="0.25">
      <c r="E370" s="271"/>
    </row>
    <row r="371" spans="5:5" x14ac:dyDescent="0.25">
      <c r="E371" s="271"/>
    </row>
    <row r="372" spans="5:5" x14ac:dyDescent="0.25">
      <c r="E372" s="271"/>
    </row>
    <row r="373" spans="5:5" x14ac:dyDescent="0.25">
      <c r="E373" s="271"/>
    </row>
    <row r="374" spans="5:5" x14ac:dyDescent="0.25">
      <c r="E374" s="271"/>
    </row>
    <row r="375" spans="5:5" x14ac:dyDescent="0.25">
      <c r="E375" s="271"/>
    </row>
    <row r="376" spans="5:5" x14ac:dyDescent="0.25">
      <c r="E376" s="271"/>
    </row>
    <row r="377" spans="5:5" x14ac:dyDescent="0.25">
      <c r="E377" s="271"/>
    </row>
    <row r="378" spans="5:5" x14ac:dyDescent="0.25">
      <c r="E378" s="271"/>
    </row>
    <row r="379" spans="5:5" x14ac:dyDescent="0.25">
      <c r="E379" s="271"/>
    </row>
    <row r="380" spans="5:5" x14ac:dyDescent="0.25">
      <c r="E380" s="271"/>
    </row>
    <row r="381" spans="5:5" x14ac:dyDescent="0.25">
      <c r="E381" s="271"/>
    </row>
    <row r="382" spans="5:5" x14ac:dyDescent="0.25">
      <c r="E382" s="271"/>
    </row>
    <row r="383" spans="5:5" x14ac:dyDescent="0.25">
      <c r="E383" s="271"/>
    </row>
    <row r="384" spans="5:5" x14ac:dyDescent="0.25">
      <c r="E384" s="271"/>
    </row>
    <row r="385" spans="5:5" x14ac:dyDescent="0.25">
      <c r="E385" s="271"/>
    </row>
    <row r="386" spans="5:5" x14ac:dyDescent="0.25">
      <c r="E386" s="271"/>
    </row>
    <row r="387" spans="5:5" x14ac:dyDescent="0.25">
      <c r="E387" s="271"/>
    </row>
    <row r="388" spans="5:5" x14ac:dyDescent="0.25">
      <c r="E388" s="271"/>
    </row>
    <row r="389" spans="5:5" x14ac:dyDescent="0.25">
      <c r="E389" s="271"/>
    </row>
    <row r="390" spans="5:5" x14ac:dyDescent="0.25">
      <c r="E390" s="271"/>
    </row>
    <row r="391" spans="5:5" x14ac:dyDescent="0.25">
      <c r="E391" s="271"/>
    </row>
    <row r="392" spans="5:5" x14ac:dyDescent="0.25">
      <c r="E392" s="271"/>
    </row>
    <row r="393" spans="5:5" x14ac:dyDescent="0.25">
      <c r="E393" s="271"/>
    </row>
    <row r="394" spans="5:5" x14ac:dyDescent="0.25">
      <c r="E394" s="271"/>
    </row>
    <row r="395" spans="5:5" x14ac:dyDescent="0.25">
      <c r="E395" s="271"/>
    </row>
    <row r="396" spans="5:5" x14ac:dyDescent="0.25">
      <c r="E396" s="271"/>
    </row>
    <row r="397" spans="5:5" x14ac:dyDescent="0.25">
      <c r="E397" s="271"/>
    </row>
    <row r="398" spans="5:5" x14ac:dyDescent="0.25">
      <c r="E398" s="271"/>
    </row>
    <row r="399" spans="5:5" x14ac:dyDescent="0.25">
      <c r="E399" s="271"/>
    </row>
    <row r="400" spans="5:5" x14ac:dyDescent="0.25">
      <c r="E400" s="271"/>
    </row>
    <row r="401" spans="5:5" x14ac:dyDescent="0.25">
      <c r="E401" s="271"/>
    </row>
    <row r="402" spans="5:5" x14ac:dyDescent="0.25">
      <c r="E402" s="271"/>
    </row>
    <row r="403" spans="5:5" x14ac:dyDescent="0.25">
      <c r="E403" s="271"/>
    </row>
    <row r="404" spans="5:5" x14ac:dyDescent="0.25">
      <c r="E404" s="271"/>
    </row>
    <row r="405" spans="5:5" x14ac:dyDescent="0.25">
      <c r="E405" s="271"/>
    </row>
    <row r="406" spans="5:5" x14ac:dyDescent="0.25">
      <c r="E406" s="271"/>
    </row>
    <row r="407" spans="5:5" x14ac:dyDescent="0.25">
      <c r="E407" s="271"/>
    </row>
    <row r="408" spans="5:5" x14ac:dyDescent="0.25">
      <c r="E408" s="271"/>
    </row>
    <row r="409" spans="5:5" x14ac:dyDescent="0.25">
      <c r="E409" s="271"/>
    </row>
    <row r="410" spans="5:5" x14ac:dyDescent="0.25">
      <c r="E410" s="271"/>
    </row>
    <row r="411" spans="5:5" x14ac:dyDescent="0.25">
      <c r="E411" s="271"/>
    </row>
    <row r="412" spans="5:5" x14ac:dyDescent="0.25">
      <c r="E412" s="271"/>
    </row>
    <row r="413" spans="5:5" x14ac:dyDescent="0.25">
      <c r="E413" s="271"/>
    </row>
    <row r="414" spans="5:5" x14ac:dyDescent="0.25">
      <c r="E414" s="271"/>
    </row>
    <row r="415" spans="5:5" x14ac:dyDescent="0.25">
      <c r="E415" s="271"/>
    </row>
    <row r="416" spans="5:5" x14ac:dyDescent="0.25">
      <c r="E416" s="271"/>
    </row>
    <row r="417" spans="5:5" x14ac:dyDescent="0.25">
      <c r="E417" s="271"/>
    </row>
    <row r="418" spans="5:5" x14ac:dyDescent="0.25">
      <c r="E418" s="271"/>
    </row>
    <row r="419" spans="5:5" x14ac:dyDescent="0.25">
      <c r="E419" s="271"/>
    </row>
    <row r="420" spans="5:5" x14ac:dyDescent="0.25">
      <c r="E420" s="271"/>
    </row>
    <row r="421" spans="5:5" x14ac:dyDescent="0.25">
      <c r="E421" s="271"/>
    </row>
    <row r="422" spans="5:5" x14ac:dyDescent="0.25">
      <c r="E422" s="271"/>
    </row>
    <row r="423" spans="5:5" x14ac:dyDescent="0.25">
      <c r="E423" s="271"/>
    </row>
    <row r="424" spans="5:5" x14ac:dyDescent="0.25">
      <c r="E424" s="271"/>
    </row>
    <row r="425" spans="5:5" x14ac:dyDescent="0.25">
      <c r="E425" s="271"/>
    </row>
    <row r="426" spans="5:5" x14ac:dyDescent="0.25">
      <c r="E426" s="271"/>
    </row>
    <row r="427" spans="5:5" x14ac:dyDescent="0.25">
      <c r="E427" s="271"/>
    </row>
    <row r="428" spans="5:5" x14ac:dyDescent="0.25">
      <c r="E428" s="271"/>
    </row>
    <row r="429" spans="5:5" x14ac:dyDescent="0.25">
      <c r="E429" s="271"/>
    </row>
    <row r="430" spans="5:5" x14ac:dyDescent="0.25">
      <c r="E430" s="271"/>
    </row>
    <row r="431" spans="5:5" x14ac:dyDescent="0.25">
      <c r="E431" s="271"/>
    </row>
    <row r="432" spans="5:5" x14ac:dyDescent="0.25">
      <c r="E432" s="271"/>
    </row>
    <row r="433" spans="5:7" x14ac:dyDescent="0.25">
      <c r="E433" s="271"/>
    </row>
    <row r="434" spans="5:7" x14ac:dyDescent="0.25">
      <c r="E434" s="271"/>
    </row>
    <row r="435" spans="5:7" x14ac:dyDescent="0.25">
      <c r="E435" s="271"/>
    </row>
    <row r="436" spans="5:7" x14ac:dyDescent="0.25">
      <c r="E436" s="271"/>
    </row>
    <row r="437" spans="5:7" x14ac:dyDescent="0.25">
      <c r="E437" s="271"/>
    </row>
    <row r="438" spans="5:7" x14ac:dyDescent="0.25">
      <c r="E438" s="271"/>
    </row>
    <row r="439" spans="5:7" x14ac:dyDescent="0.25">
      <c r="E439" s="271"/>
    </row>
    <row r="440" spans="5:7" x14ac:dyDescent="0.25">
      <c r="E440" s="271"/>
    </row>
    <row r="441" spans="5:7" x14ac:dyDescent="0.25">
      <c r="E441" s="271"/>
    </row>
    <row r="442" spans="5:7" x14ac:dyDescent="0.25">
      <c r="E442" s="271"/>
    </row>
    <row r="443" spans="5:7" x14ac:dyDescent="0.25">
      <c r="E443" s="271"/>
    </row>
    <row r="444" spans="5:7" x14ac:dyDescent="0.25">
      <c r="E444" s="271"/>
    </row>
    <row r="445" spans="5:7" x14ac:dyDescent="0.25">
      <c r="E445" s="271"/>
    </row>
    <row r="446" spans="5:7" x14ac:dyDescent="0.25">
      <c r="E446" s="271"/>
      <c r="F446" s="271"/>
      <c r="G446" s="271"/>
    </row>
    <row r="447" spans="5:7" x14ac:dyDescent="0.25">
      <c r="E447" s="271"/>
      <c r="F447" s="271"/>
      <c r="G447" s="271"/>
    </row>
    <row r="448" spans="5:7" x14ac:dyDescent="0.25">
      <c r="E448" s="271"/>
      <c r="F448" s="271"/>
      <c r="G448" s="271"/>
    </row>
    <row r="449" spans="5:7" x14ac:dyDescent="0.25">
      <c r="E449" s="271"/>
      <c r="F449" s="271"/>
      <c r="G449" s="271"/>
    </row>
    <row r="450" spans="5:7" x14ac:dyDescent="0.25">
      <c r="E450" s="271"/>
      <c r="F450" s="271"/>
      <c r="G450" s="271"/>
    </row>
    <row r="451" spans="5:7" x14ac:dyDescent="0.25">
      <c r="E451" s="271"/>
      <c r="F451" s="271"/>
      <c r="G451" s="271"/>
    </row>
    <row r="452" spans="5:7" x14ac:dyDescent="0.25">
      <c r="E452" s="271"/>
      <c r="F452" s="271"/>
      <c r="G452" s="271"/>
    </row>
    <row r="453" spans="5:7" x14ac:dyDescent="0.25">
      <c r="E453" s="271"/>
      <c r="F453" s="271"/>
      <c r="G453" s="271"/>
    </row>
    <row r="454" spans="5:7" x14ac:dyDescent="0.25">
      <c r="E454" s="271"/>
      <c r="F454" s="271"/>
      <c r="G454" s="271"/>
    </row>
  </sheetData>
  <pageMargins left="0.28000000000000003" right="0.28000000000000003" top="0.52" bottom="0.5" header="0.5" footer="0.5"/>
  <pageSetup scale="52" orientation="portrait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B2:T368"/>
  <sheetViews>
    <sheetView showGridLines="0" zoomScale="90" workbookViewId="0">
      <selection activeCell="B4" sqref="B4:S52"/>
    </sheetView>
  </sheetViews>
  <sheetFormatPr defaultRowHeight="13.2" x14ac:dyDescent="0.25"/>
  <cols>
    <col min="1" max="1" width="4" customWidth="1"/>
    <col min="2" max="2" width="12.33203125" customWidth="1"/>
    <col min="3" max="3" width="11.5546875" customWidth="1"/>
    <col min="4" max="6" width="12.33203125" customWidth="1"/>
    <col min="7" max="9" width="0" hidden="1" customWidth="1"/>
    <col min="11" max="14" width="10.33203125" customWidth="1"/>
    <col min="16" max="18" width="13.109375" customWidth="1"/>
    <col min="19" max="19" width="11.6640625" bestFit="1" customWidth="1"/>
  </cols>
  <sheetData>
    <row r="2" spans="2:20" ht="21" x14ac:dyDescent="0.25">
      <c r="B2" s="120" t="s">
        <v>164</v>
      </c>
    </row>
    <row r="5" spans="2:20" ht="15.6" x14ac:dyDescent="0.3">
      <c r="B5" s="364" t="s">
        <v>170</v>
      </c>
      <c r="C5" s="364"/>
      <c r="D5" s="364"/>
      <c r="E5" s="364"/>
      <c r="F5" s="364"/>
      <c r="K5" s="363" t="s">
        <v>143</v>
      </c>
      <c r="L5" s="363"/>
      <c r="M5" s="363"/>
      <c r="N5" s="363"/>
      <c r="P5" s="365" t="s">
        <v>204</v>
      </c>
      <c r="Q5" s="365"/>
      <c r="R5" s="365"/>
      <c r="S5" s="365"/>
    </row>
    <row r="6" spans="2:20" ht="13.8" thickBot="1" x14ac:dyDescent="0.3">
      <c r="S6" s="198">
        <f ca="1">+IRR(S8:S38)</f>
        <v>0.12004542415174704</v>
      </c>
    </row>
    <row r="7" spans="2:20" ht="13.8" thickBot="1" x14ac:dyDescent="0.3">
      <c r="B7" s="174" t="s">
        <v>176</v>
      </c>
      <c r="C7" s="2"/>
      <c r="D7" s="175">
        <v>2.25</v>
      </c>
      <c r="E7" s="176" t="s">
        <v>177</v>
      </c>
      <c r="F7" s="177">
        <f>(IF(PROJECTCONFIGURATION!$A$1,('OPERATIONAL CHARACTERISTICS'!$E$14),('OPERATIONAL CHARACTERISTICS'!$H$14))*D7/1000)+SUMMARY!I7</f>
        <v>23.75815814469944</v>
      </c>
      <c r="K7" s="167" t="s">
        <v>106</v>
      </c>
      <c r="L7" s="168" t="s">
        <v>107</v>
      </c>
      <c r="M7" s="168" t="s">
        <v>108</v>
      </c>
      <c r="N7" s="169" t="s">
        <v>165</v>
      </c>
      <c r="P7" s="167" t="s">
        <v>205</v>
      </c>
      <c r="Q7" s="168" t="s">
        <v>201</v>
      </c>
      <c r="R7" s="168" t="s">
        <v>202</v>
      </c>
      <c r="S7" s="169" t="s">
        <v>203</v>
      </c>
    </row>
    <row r="8" spans="2:20" ht="13.8" thickBot="1" x14ac:dyDescent="0.3">
      <c r="B8" s="154"/>
      <c r="C8" s="7"/>
      <c r="D8" s="7"/>
      <c r="E8" s="29"/>
      <c r="F8" s="155"/>
      <c r="K8" s="164"/>
      <c r="L8" s="165"/>
      <c r="M8" s="165"/>
      <c r="N8" s="166"/>
      <c r="P8" s="164"/>
      <c r="Q8" s="165"/>
      <c r="R8" s="165"/>
      <c r="S8" s="193">
        <f ca="1">-SUMMARY!D19</f>
        <v>-72062.171616582244</v>
      </c>
    </row>
    <row r="9" spans="2:20" x14ac:dyDescent="0.25">
      <c r="B9" s="5"/>
      <c r="C9" s="150" t="s">
        <v>174</v>
      </c>
      <c r="D9" s="150" t="s">
        <v>175</v>
      </c>
      <c r="E9" s="150" t="s">
        <v>4</v>
      </c>
      <c r="F9" s="170"/>
      <c r="G9" s="153"/>
      <c r="K9" s="159">
        <v>1</v>
      </c>
      <c r="L9" s="133">
        <f ca="1">-IF(SUMMARY!$D$21*12&gt;=K9,IPMT(SUMMARY!$D$22/12,K9,SUMMARY!$D$21*12,SUMMARY!$D$20),0)</f>
        <v>480.41447744388165</v>
      </c>
      <c r="M9" s="133">
        <f ca="1">IF(SUMMARY!$D$21*12&gt;=K9,-PPMT(SUMMARY!$D$22/12,K9,SUMMARY!$D$21*12,SUMMARY!$D$20),0)</f>
        <v>122.34240054404847</v>
      </c>
      <c r="N9" s="160">
        <f t="shared" ref="N9:N72" ca="1" si="0">+M9+L9</f>
        <v>602.75687798793012</v>
      </c>
      <c r="P9" s="159">
        <v>1</v>
      </c>
      <c r="Q9" s="194">
        <f ca="1">IF(SUMMARY!$D$21&gt;=K9,(SUMMARY!$D$24+SUMMARY!$I$17)*12*SUMMARY!$D$6,0)</f>
        <v>11756.107472759213</v>
      </c>
      <c r="R9" s="194">
        <f>IF(SUMMARY!$D$21&gt;=K9,SUMMARY!$D$28*12*SUMMARY!$D$6,0)+IF(P9=SUMMARY!$D$21,SUMMARY!$D$29*SUMMARY!$D$15,0)</f>
        <v>20906.645759999996</v>
      </c>
      <c r="S9" s="195">
        <f t="shared" ref="S9:S38" ca="1" si="1">+R9-Q9</f>
        <v>9150.5382872407827</v>
      </c>
    </row>
    <row r="10" spans="2:20" x14ac:dyDescent="0.25">
      <c r="B10" s="6"/>
      <c r="C10" s="29" t="s">
        <v>3</v>
      </c>
      <c r="D10" s="29" t="s">
        <v>173</v>
      </c>
      <c r="E10" s="29" t="s">
        <v>180</v>
      </c>
      <c r="F10" s="156"/>
      <c r="G10" s="153"/>
      <c r="K10" s="159">
        <v>2</v>
      </c>
      <c r="L10" s="133">
        <f ca="1">-IF(SUMMARY!$D$21*12&gt;=K10,IPMT(SUMMARY!$D$22/12,K10,SUMMARY!$D$21*12,SUMMARY!$D$20),0)</f>
        <v>479.59886144025467</v>
      </c>
      <c r="M10" s="133">
        <f ca="1">IF(SUMMARY!$D$21*12&gt;=K10,-PPMT(SUMMARY!$D$22/12,K10,SUMMARY!$D$21*12,SUMMARY!$D$20),0)</f>
        <v>123.15801654767546</v>
      </c>
      <c r="N10" s="160">
        <f t="shared" ca="1" si="0"/>
        <v>602.75687798793012</v>
      </c>
      <c r="P10" s="159">
        <v>2</v>
      </c>
      <c r="Q10" s="194">
        <f ca="1">IF(SUMMARY!$D$21&gt;=K10,(SUMMARY!$D$24+SUMMARY!$I$17)*12*SUMMARY!$D$6,0)</f>
        <v>11756.107472759213</v>
      </c>
      <c r="R10" s="194">
        <f>IF(SUMMARY!$D$21&gt;=K10,SUMMARY!$D$28*12*SUMMARY!$D$6,0)+IF(P10=SUMMARY!$D$21,SUMMARY!$D$29*SUMMARY!$D$15,0)</f>
        <v>20906.645759999996</v>
      </c>
      <c r="S10" s="195">
        <f t="shared" ca="1" si="1"/>
        <v>9150.5382872407827</v>
      </c>
    </row>
    <row r="11" spans="2:20" ht="13.8" thickBot="1" x14ac:dyDescent="0.3">
      <c r="B11" s="8"/>
      <c r="C11" s="171" t="s">
        <v>178</v>
      </c>
      <c r="D11" s="172" t="s">
        <v>179</v>
      </c>
      <c r="E11" s="172" t="s">
        <v>179</v>
      </c>
      <c r="F11" s="173"/>
      <c r="G11" s="153"/>
      <c r="K11" s="159">
        <v>3</v>
      </c>
      <c r="L11" s="133">
        <f ca="1">-IF(SUMMARY!$D$21*12&gt;=K11,IPMT(SUMMARY!$D$22/12,K11,SUMMARY!$D$21*12,SUMMARY!$D$20),0)</f>
        <v>478.77780799660349</v>
      </c>
      <c r="M11" s="133">
        <f ca="1">IF(SUMMARY!$D$21*12&gt;=K11,-PPMT(SUMMARY!$D$22/12,K11,SUMMARY!$D$21*12,SUMMARY!$D$20),0)</f>
        <v>123.97906999132664</v>
      </c>
      <c r="N11" s="160">
        <f t="shared" ca="1" si="0"/>
        <v>602.75687798793012</v>
      </c>
      <c r="P11" s="159">
        <v>3</v>
      </c>
      <c r="Q11" s="194">
        <f ca="1">IF(SUMMARY!$D$21&gt;=K11,(SUMMARY!$D$24+SUMMARY!$I$17)*12*SUMMARY!$D$6,0)</f>
        <v>11756.107472759213</v>
      </c>
      <c r="R11" s="194">
        <f>IF(SUMMARY!$D$21&gt;=K11,SUMMARY!$D$28*12*SUMMARY!$D$6,0)+IF(P11=SUMMARY!$D$21,SUMMARY!$D$29*SUMMARY!$D$15,0)</f>
        <v>20906.645759999996</v>
      </c>
      <c r="S11" s="195">
        <f t="shared" ca="1" si="1"/>
        <v>9150.5382872407827</v>
      </c>
      <c r="T11" s="152"/>
    </row>
    <row r="12" spans="2:20" x14ac:dyDescent="0.25">
      <c r="B12" s="6"/>
      <c r="C12" s="7"/>
      <c r="D12" s="7"/>
      <c r="E12" s="7"/>
      <c r="F12" s="156"/>
      <c r="G12" s="153"/>
      <c r="K12" s="159">
        <v>4</v>
      </c>
      <c r="L12" s="133">
        <f ca="1">-IF(SUMMARY!$D$21*12&gt;=K12,IPMT(SUMMARY!$D$22/12,K12,SUMMARY!$D$21*12,SUMMARY!$D$20),0)</f>
        <v>477.95128086332795</v>
      </c>
      <c r="M12" s="133">
        <f ca="1">IF(SUMMARY!$D$21*12&gt;=K12,-PPMT(SUMMARY!$D$22/12,K12,SUMMARY!$D$21*12,SUMMARY!$D$20),0)</f>
        <v>124.80559712460217</v>
      </c>
      <c r="N12" s="160">
        <f t="shared" ca="1" si="0"/>
        <v>602.75687798793012</v>
      </c>
      <c r="P12" s="159">
        <v>4</v>
      </c>
      <c r="Q12" s="194">
        <f ca="1">IF(SUMMARY!$D$21&gt;=K12,(SUMMARY!$D$24+SUMMARY!$I$17)*12*SUMMARY!$D$6,0)</f>
        <v>11756.107472759213</v>
      </c>
      <c r="R12" s="194">
        <f>IF(SUMMARY!$D$21&gt;=K12,SUMMARY!$D$28*12*SUMMARY!$D$6,0)+IF(P12=SUMMARY!$D$21,SUMMARY!$D$29*SUMMARY!$D$15,0)</f>
        <v>20906.645759999996</v>
      </c>
      <c r="S12" s="195">
        <f t="shared" ca="1" si="1"/>
        <v>9150.5382872407827</v>
      </c>
    </row>
    <row r="13" spans="2:20" x14ac:dyDescent="0.25">
      <c r="B13" s="33"/>
      <c r="C13" s="180">
        <v>500</v>
      </c>
      <c r="D13" s="181">
        <f ca="1">((SUMMARY!$D$24+SUMMARY!$I$17)*12*1000*IF(PROJECTCONFIGURATION!$A$1,('OPERATIONAL CHARACTERISTICS'!$E$12*PROJECTCONFIGURATION!$B$65),('OPERATIONAL CHARACTERISTICS'!$H$12*PROJECTCONFIGURATION!$B$65)))/($C13*IF(PROJECTCONFIGURATION!$A$1,('OPERATIONAL CHARACTERISTICS'!$E$12*PROJECTCONFIGURATION!$B$65),('OPERATIONAL CHARACTERISTICS'!$H$12*PROJECTCONFIGURATION!$B$65)))</f>
        <v>85.966621861173635</v>
      </c>
      <c r="E13" s="181">
        <f ca="1">+D13+$F$7</f>
        <v>109.72478000587307</v>
      </c>
      <c r="F13" s="182">
        <f>+$F$7</f>
        <v>23.75815814469944</v>
      </c>
      <c r="G13" s="153"/>
      <c r="K13" s="159">
        <v>5</v>
      </c>
      <c r="L13" s="133">
        <f ca="1">-IF(SUMMARY!$D$21*12&gt;=K13,IPMT(SUMMARY!$D$22/12,K13,SUMMARY!$D$21*12,SUMMARY!$D$20),0)</f>
        <v>477.11924354916391</v>
      </c>
      <c r="M13" s="133">
        <f ca="1">IF(SUMMARY!$D$21*12&gt;=K13,-PPMT(SUMMARY!$D$22/12,K13,SUMMARY!$D$21*12,SUMMARY!$D$20),0)</f>
        <v>125.63763443876621</v>
      </c>
      <c r="N13" s="160">
        <f t="shared" ca="1" si="0"/>
        <v>602.75687798793012</v>
      </c>
      <c r="P13" s="159">
        <v>5</v>
      </c>
      <c r="Q13" s="194">
        <f ca="1">IF(SUMMARY!$D$21&gt;=K13,(SUMMARY!$D$24+SUMMARY!$I$17)*12*SUMMARY!$D$6,0)</f>
        <v>11756.107472759213</v>
      </c>
      <c r="R13" s="194">
        <f>IF(SUMMARY!$D$21&gt;=K13,SUMMARY!$D$28*12*SUMMARY!$D$6,0)+IF(P13=SUMMARY!$D$21,SUMMARY!$D$29*SUMMARY!$D$15,0)</f>
        <v>20906.645759999996</v>
      </c>
      <c r="S13" s="195">
        <f t="shared" ca="1" si="1"/>
        <v>9150.5382872407827</v>
      </c>
      <c r="T13" s="179"/>
    </row>
    <row r="14" spans="2:20" x14ac:dyDescent="0.25">
      <c r="B14" s="33"/>
      <c r="C14" s="180">
        <f>+C13+100</f>
        <v>600</v>
      </c>
      <c r="D14" s="181">
        <f ca="1">((SUMMARY!$D$24+SUMMARY!$I$17)*12*1000*IF(PROJECTCONFIGURATION!$A$1,('OPERATIONAL CHARACTERISTICS'!$E$12*PROJECTCONFIGURATION!$B$65),('OPERATIONAL CHARACTERISTICS'!$H$12*PROJECTCONFIGURATION!$B$65)))/($C14*IF(PROJECTCONFIGURATION!$A$1,('OPERATIONAL CHARACTERISTICS'!$E$12*PROJECTCONFIGURATION!$B$65),('OPERATIONAL CHARACTERISTICS'!$H$12*PROJECTCONFIGURATION!$B$65)))</f>
        <v>71.638851550978018</v>
      </c>
      <c r="E14" s="181">
        <f t="shared" ref="E14:E28" ca="1" si="2">+D14+$F$7</f>
        <v>95.397009695677454</v>
      </c>
      <c r="F14" s="182">
        <f t="shared" ref="F14:F28" si="3">+$F$7</f>
        <v>23.75815814469944</v>
      </c>
      <c r="G14" s="153"/>
      <c r="K14" s="159">
        <v>6</v>
      </c>
      <c r="L14" s="133">
        <f ca="1">-IF(SUMMARY!$D$21*12&gt;=K14,IPMT(SUMMARY!$D$22/12,K14,SUMMARY!$D$21*12,SUMMARY!$D$20),0)</f>
        <v>476.28165931957221</v>
      </c>
      <c r="M14" s="133">
        <f ca="1">IF(SUMMARY!$D$21*12&gt;=K14,-PPMT(SUMMARY!$D$22/12,K14,SUMMARY!$D$21*12,SUMMARY!$D$20),0)</f>
        <v>126.47521866835791</v>
      </c>
      <c r="N14" s="160">
        <f t="shared" ca="1" si="0"/>
        <v>602.75687798793012</v>
      </c>
      <c r="P14" s="159">
        <v>6</v>
      </c>
      <c r="Q14" s="194">
        <f ca="1">IF(SUMMARY!$D$21&gt;=K14,(SUMMARY!$D$24+SUMMARY!$I$17)*12*SUMMARY!$D$6,0)</f>
        <v>11756.107472759213</v>
      </c>
      <c r="R14" s="194">
        <f>IF(SUMMARY!$D$21&gt;=K14,SUMMARY!$D$28*12*SUMMARY!$D$6,0)+IF(P14=SUMMARY!$D$21,SUMMARY!$D$29*SUMMARY!$D$15,0)</f>
        <v>20906.645759999996</v>
      </c>
      <c r="S14" s="195">
        <f t="shared" ca="1" si="1"/>
        <v>9150.5382872407827</v>
      </c>
      <c r="T14" s="179"/>
    </row>
    <row r="15" spans="2:20" x14ac:dyDescent="0.25">
      <c r="B15" s="33"/>
      <c r="C15" s="180">
        <f t="shared" ref="C15:C23" si="4">+C14+100</f>
        <v>700</v>
      </c>
      <c r="D15" s="181">
        <f ca="1">((SUMMARY!$D$24+SUMMARY!$I$17)*12*1000*IF(PROJECTCONFIGURATION!$A$1,('OPERATIONAL CHARACTERISTICS'!$E$12*PROJECTCONFIGURATION!$B$65),('OPERATIONAL CHARACTERISTICS'!$H$12*PROJECTCONFIGURATION!$B$65)))/($C15*IF(PROJECTCONFIGURATION!$A$1,('OPERATIONAL CHARACTERISTICS'!$E$12*PROJECTCONFIGURATION!$B$65),('OPERATIONAL CHARACTERISTICS'!$H$12*PROJECTCONFIGURATION!$B$65)))</f>
        <v>61.404729900838312</v>
      </c>
      <c r="E15" s="181">
        <f t="shared" ca="1" si="2"/>
        <v>85.162888045537755</v>
      </c>
      <c r="F15" s="182">
        <f t="shared" si="3"/>
        <v>23.75815814469944</v>
      </c>
      <c r="G15" s="153"/>
      <c r="K15" s="159">
        <v>7</v>
      </c>
      <c r="L15" s="133">
        <f ca="1">-IF(SUMMARY!$D$21*12&gt;=K15,IPMT(SUMMARY!$D$22/12,K15,SUMMARY!$D$21*12,SUMMARY!$D$20),0)</f>
        <v>475.43849119511651</v>
      </c>
      <c r="M15" s="133">
        <f ca="1">IF(SUMMARY!$D$21*12&gt;=K15,-PPMT(SUMMARY!$D$22/12,K15,SUMMARY!$D$21*12,SUMMARY!$D$20),0)</f>
        <v>127.31838679281361</v>
      </c>
      <c r="N15" s="160">
        <f t="shared" ca="1" si="0"/>
        <v>602.75687798793012</v>
      </c>
      <c r="P15" s="159">
        <v>7</v>
      </c>
      <c r="Q15" s="194">
        <f ca="1">IF(SUMMARY!$D$21&gt;=K15,(SUMMARY!$D$24+SUMMARY!$I$17)*12*SUMMARY!$D$6,0)</f>
        <v>11756.107472759213</v>
      </c>
      <c r="R15" s="194">
        <f>IF(SUMMARY!$D$21&gt;=K15,SUMMARY!$D$28*12*SUMMARY!$D$6,0)+IF(P15=SUMMARY!$D$21,SUMMARY!$D$29*SUMMARY!$D$15,0)</f>
        <v>20906.645759999996</v>
      </c>
      <c r="S15" s="195">
        <f t="shared" ca="1" si="1"/>
        <v>9150.5382872407827</v>
      </c>
      <c r="T15" s="179"/>
    </row>
    <row r="16" spans="2:20" x14ac:dyDescent="0.25">
      <c r="B16" s="33"/>
      <c r="C16" s="180">
        <f t="shared" si="4"/>
        <v>800</v>
      </c>
      <c r="D16" s="181">
        <f ca="1">((SUMMARY!$D$24+SUMMARY!$I$17)*12*1000*IF(PROJECTCONFIGURATION!$A$1,('OPERATIONAL CHARACTERISTICS'!$E$12*PROJECTCONFIGURATION!$B$65),('OPERATIONAL CHARACTERISTICS'!$H$12*PROJECTCONFIGURATION!$B$65)))/($C16*IF(PROJECTCONFIGURATION!$A$1,('OPERATIONAL CHARACTERISTICS'!$E$12*PROJECTCONFIGURATION!$B$65),('OPERATIONAL CHARACTERISTICS'!$H$12*PROJECTCONFIGURATION!$B$65)))</f>
        <v>53.72913866323352</v>
      </c>
      <c r="E16" s="181">
        <f t="shared" ca="1" si="2"/>
        <v>77.487296807932964</v>
      </c>
      <c r="F16" s="182">
        <f t="shared" si="3"/>
        <v>23.75815814469944</v>
      </c>
      <c r="G16" s="153"/>
      <c r="K16" s="159">
        <v>8</v>
      </c>
      <c r="L16" s="133">
        <f ca="1">-IF(SUMMARY!$D$21*12&gt;=K16,IPMT(SUMMARY!$D$22/12,K16,SUMMARY!$D$21*12,SUMMARY!$D$20),0)</f>
        <v>474.58970194983112</v>
      </c>
      <c r="M16" s="133">
        <f ca="1">IF(SUMMARY!$D$21*12&gt;=K16,-PPMT(SUMMARY!$D$22/12,K16,SUMMARY!$D$21*12,SUMMARY!$D$20),0)</f>
        <v>128.167176038099</v>
      </c>
      <c r="N16" s="160">
        <f t="shared" ca="1" si="0"/>
        <v>602.75687798793012</v>
      </c>
      <c r="P16" s="159">
        <v>8</v>
      </c>
      <c r="Q16" s="194">
        <f ca="1">IF(SUMMARY!$D$21&gt;=K16,(SUMMARY!$D$24+SUMMARY!$I$17)*12*SUMMARY!$D$6,0)</f>
        <v>11756.107472759213</v>
      </c>
      <c r="R16" s="194">
        <f>IF(SUMMARY!$D$21&gt;=K16,SUMMARY!$D$28*12*SUMMARY!$D$6,0)+IF(P16=SUMMARY!$D$21,SUMMARY!$D$29*SUMMARY!$D$15,0)</f>
        <v>20906.645759999996</v>
      </c>
      <c r="S16" s="195">
        <f t="shared" ca="1" si="1"/>
        <v>9150.5382872407827</v>
      </c>
      <c r="T16" s="179"/>
    </row>
    <row r="17" spans="2:20" x14ac:dyDescent="0.25">
      <c r="B17" s="33"/>
      <c r="C17" s="180">
        <f t="shared" si="4"/>
        <v>900</v>
      </c>
      <c r="D17" s="181">
        <f ca="1">((SUMMARY!$D$24+SUMMARY!$I$17)*12*1000*IF(PROJECTCONFIGURATION!$A$1,('OPERATIONAL CHARACTERISTICS'!$E$12*PROJECTCONFIGURATION!$B$65),('OPERATIONAL CHARACTERISTICS'!$H$12*PROJECTCONFIGURATION!$B$65)))/($C17*IF(PROJECTCONFIGURATION!$A$1,('OPERATIONAL CHARACTERISTICS'!$E$12*PROJECTCONFIGURATION!$B$65),('OPERATIONAL CHARACTERISTICS'!$H$12*PROJECTCONFIGURATION!$B$65)))</f>
        <v>47.759234367318683</v>
      </c>
      <c r="E17" s="181">
        <f t="shared" ca="1" si="2"/>
        <v>71.51739251201812</v>
      </c>
      <c r="F17" s="182">
        <f t="shared" si="3"/>
        <v>23.75815814469944</v>
      </c>
      <c r="G17" s="153"/>
      <c r="K17" s="159">
        <v>9</v>
      </c>
      <c r="L17" s="133">
        <f ca="1">-IF(SUMMARY!$D$21*12&gt;=K17,IPMT(SUMMARY!$D$22/12,K17,SUMMARY!$D$21*12,SUMMARY!$D$20),0)</f>
        <v>473.73525410957717</v>
      </c>
      <c r="M17" s="133">
        <f ca="1">IF(SUMMARY!$D$21*12&gt;=K17,-PPMT(SUMMARY!$D$22/12,K17,SUMMARY!$D$21*12,SUMMARY!$D$20),0)</f>
        <v>129.02162387835295</v>
      </c>
      <c r="N17" s="160">
        <f t="shared" ca="1" si="0"/>
        <v>602.75687798793012</v>
      </c>
      <c r="P17" s="159">
        <v>9</v>
      </c>
      <c r="Q17" s="194">
        <f ca="1">IF(SUMMARY!$D$21&gt;=K17,(SUMMARY!$D$24+SUMMARY!$I$17)*12*SUMMARY!$D$6,0)</f>
        <v>11756.107472759213</v>
      </c>
      <c r="R17" s="194">
        <f>IF(SUMMARY!$D$21&gt;=K17,SUMMARY!$D$28*12*SUMMARY!$D$6,0)+IF(P17=SUMMARY!$D$21,SUMMARY!$D$29*SUMMARY!$D$15,0)</f>
        <v>20906.645759999996</v>
      </c>
      <c r="S17" s="195">
        <f t="shared" ca="1" si="1"/>
        <v>9150.5382872407827</v>
      </c>
      <c r="T17" s="179"/>
    </row>
    <row r="18" spans="2:20" x14ac:dyDescent="0.25">
      <c r="B18" s="33"/>
      <c r="C18" s="180">
        <f t="shared" si="4"/>
        <v>1000</v>
      </c>
      <c r="D18" s="181">
        <f ca="1">((SUMMARY!$D$24+SUMMARY!$I$17)*12*1000*IF(PROJECTCONFIGURATION!$A$1,('OPERATIONAL CHARACTERISTICS'!$E$12*PROJECTCONFIGURATION!$B$65),('OPERATIONAL CHARACTERISTICS'!$H$12*PROJECTCONFIGURATION!$B$65)))/($C18*IF(PROJECTCONFIGURATION!$A$1,('OPERATIONAL CHARACTERISTICS'!$E$12*PROJECTCONFIGURATION!$B$65),('OPERATIONAL CHARACTERISTICS'!$H$12*PROJECTCONFIGURATION!$B$65)))</f>
        <v>42.983310930586818</v>
      </c>
      <c r="E18" s="181">
        <f t="shared" ca="1" si="2"/>
        <v>66.741469075286261</v>
      </c>
      <c r="F18" s="182">
        <f t="shared" si="3"/>
        <v>23.75815814469944</v>
      </c>
      <c r="G18" s="153"/>
      <c r="K18" s="159">
        <v>10</v>
      </c>
      <c r="L18" s="133">
        <f ca="1">-IF(SUMMARY!$D$21*12&gt;=K18,IPMT(SUMMARY!$D$22/12,K18,SUMMARY!$D$21*12,SUMMARY!$D$20),0)</f>
        <v>472.87510995038809</v>
      </c>
      <c r="M18" s="133">
        <f ca="1">IF(SUMMARY!$D$21*12&gt;=K18,-PPMT(SUMMARY!$D$22/12,K18,SUMMARY!$D$21*12,SUMMARY!$D$20),0)</f>
        <v>129.88176803754203</v>
      </c>
      <c r="N18" s="160">
        <f t="shared" ca="1" si="0"/>
        <v>602.75687798793012</v>
      </c>
      <c r="P18" s="159">
        <v>10</v>
      </c>
      <c r="Q18" s="194">
        <f ca="1">IF(SUMMARY!$D$21&gt;=K18,(SUMMARY!$D$24+SUMMARY!$I$17)*12*SUMMARY!$D$6,0)</f>
        <v>11756.107472759213</v>
      </c>
      <c r="R18" s="194">
        <f>IF(SUMMARY!$D$21&gt;=K18,SUMMARY!$D$28*12*SUMMARY!$D$6,0)+IF(P18=SUMMARY!$D$21,SUMMARY!$D$29*SUMMARY!$D$15,0)</f>
        <v>20906.645759999996</v>
      </c>
      <c r="S18" s="195">
        <f t="shared" ca="1" si="1"/>
        <v>9150.5382872407827</v>
      </c>
      <c r="T18" s="179"/>
    </row>
    <row r="19" spans="2:20" x14ac:dyDescent="0.25">
      <c r="B19" s="33"/>
      <c r="C19" s="180">
        <f t="shared" si="4"/>
        <v>1100</v>
      </c>
      <c r="D19" s="181">
        <f ca="1">((SUMMARY!$D$24+SUMMARY!$I$17)*12*1000*IF(PROJECTCONFIGURATION!$A$1,('OPERATIONAL CHARACTERISTICS'!$E$12*PROJECTCONFIGURATION!$B$65),('OPERATIONAL CHARACTERISTICS'!$H$12*PROJECTCONFIGURATION!$B$65)))/($C19*IF(PROJECTCONFIGURATION!$A$1,('OPERATIONAL CHARACTERISTICS'!$E$12*PROJECTCONFIGURATION!$B$65),('OPERATIONAL CHARACTERISTICS'!$H$12*PROJECTCONFIGURATION!$B$65)))</f>
        <v>39.075737209624371</v>
      </c>
      <c r="E19" s="181">
        <f t="shared" ca="1" si="2"/>
        <v>62.833895354323815</v>
      </c>
      <c r="F19" s="182">
        <f t="shared" si="3"/>
        <v>23.75815814469944</v>
      </c>
      <c r="G19" s="153"/>
      <c r="K19" s="159">
        <v>11</v>
      </c>
      <c r="L19" s="133">
        <f ca="1">-IF(SUMMARY!$D$21*12&gt;=K19,IPMT(SUMMARY!$D$22/12,K19,SUMMARY!$D$21*12,SUMMARY!$D$20),0)</f>
        <v>472.00923149680449</v>
      </c>
      <c r="M19" s="133">
        <f ca="1">IF(SUMMARY!$D$21*12&gt;=K19,-PPMT(SUMMARY!$D$22/12,K19,SUMMARY!$D$21*12,SUMMARY!$D$20),0)</f>
        <v>130.74764649112564</v>
      </c>
      <c r="N19" s="160">
        <f t="shared" ca="1" si="0"/>
        <v>602.75687798793012</v>
      </c>
      <c r="P19" s="159">
        <v>11</v>
      </c>
      <c r="Q19" s="194">
        <f ca="1">IF(SUMMARY!$D$21&gt;=K19,(SUMMARY!$D$24+SUMMARY!$I$17)*12*SUMMARY!$D$6,0)</f>
        <v>11756.107472759213</v>
      </c>
      <c r="R19" s="194">
        <f>IF(SUMMARY!$D$21&gt;=K19,SUMMARY!$D$28*12*SUMMARY!$D$6,0)+IF(P19=SUMMARY!$D$21,SUMMARY!$D$29*SUMMARY!$D$15,0)</f>
        <v>20906.645759999996</v>
      </c>
      <c r="S19" s="195">
        <f t="shared" ca="1" si="1"/>
        <v>9150.5382872407827</v>
      </c>
      <c r="T19" s="179"/>
    </row>
    <row r="20" spans="2:20" x14ac:dyDescent="0.25">
      <c r="B20" s="33"/>
      <c r="C20" s="180">
        <f t="shared" si="4"/>
        <v>1200</v>
      </c>
      <c r="D20" s="181">
        <f ca="1">((SUMMARY!$D$24+SUMMARY!$I$17)*12*1000*IF(PROJECTCONFIGURATION!$A$1,('OPERATIONAL CHARACTERISTICS'!$E$12*PROJECTCONFIGURATION!$B$65),('OPERATIONAL CHARACTERISTICS'!$H$12*PROJECTCONFIGURATION!$B$65)))/($C20*IF(PROJECTCONFIGURATION!$A$1,('OPERATIONAL CHARACTERISTICS'!$E$12*PROJECTCONFIGURATION!$B$65),('OPERATIONAL CHARACTERISTICS'!$H$12*PROJECTCONFIGURATION!$B$65)))</f>
        <v>35.819425775489009</v>
      </c>
      <c r="E20" s="181">
        <f t="shared" ca="1" si="2"/>
        <v>59.577583920188445</v>
      </c>
      <c r="F20" s="182">
        <f t="shared" si="3"/>
        <v>23.75815814469944</v>
      </c>
      <c r="G20" s="153"/>
      <c r="K20" s="159">
        <v>12</v>
      </c>
      <c r="L20" s="133">
        <f ca="1">-IF(SUMMARY!$D$21*12&gt;=K20,IPMT(SUMMARY!$D$22/12,K20,SUMMARY!$D$21*12,SUMMARY!$D$20),0)</f>
        <v>471.13758052019699</v>
      </c>
      <c r="M20" s="133">
        <f ca="1">IF(SUMMARY!$D$21*12&gt;=K20,-PPMT(SUMMARY!$D$22/12,K20,SUMMARY!$D$21*12,SUMMARY!$D$20),0)</f>
        <v>131.61929746773313</v>
      </c>
      <c r="N20" s="160">
        <f t="shared" ca="1" si="0"/>
        <v>602.75687798793012</v>
      </c>
      <c r="P20" s="159">
        <v>12</v>
      </c>
      <c r="Q20" s="194">
        <f ca="1">IF(SUMMARY!$D$21&gt;=K20,(SUMMARY!$D$24+SUMMARY!$I$17)*12*SUMMARY!$D$6,0)</f>
        <v>11756.107472759213</v>
      </c>
      <c r="R20" s="194">
        <f>IF(SUMMARY!$D$21&gt;=K20,SUMMARY!$D$28*12*SUMMARY!$D$6,0)+IF(P20=SUMMARY!$D$21,SUMMARY!$D$29*SUMMARY!$D$15,0)</f>
        <v>20906.645759999996</v>
      </c>
      <c r="S20" s="195">
        <f t="shared" ca="1" si="1"/>
        <v>9150.5382872407827</v>
      </c>
      <c r="T20" s="179"/>
    </row>
    <row r="21" spans="2:20" x14ac:dyDescent="0.25">
      <c r="B21" s="33"/>
      <c r="C21" s="180">
        <f t="shared" si="4"/>
        <v>1300</v>
      </c>
      <c r="D21" s="181">
        <f ca="1">((SUMMARY!$D$24+SUMMARY!$I$17)*12*1000*IF(PROJECTCONFIGURATION!$A$1,('OPERATIONAL CHARACTERISTICS'!$E$12*PROJECTCONFIGURATION!$B$65),('OPERATIONAL CHARACTERISTICS'!$H$12*PROJECTCONFIGURATION!$B$65)))/($C21*IF(PROJECTCONFIGURATION!$A$1,('OPERATIONAL CHARACTERISTICS'!$E$12*PROJECTCONFIGURATION!$B$65),('OPERATIONAL CHARACTERISTICS'!$H$12*PROJECTCONFIGURATION!$B$65)))</f>
        <v>33.064085331220625</v>
      </c>
      <c r="E21" s="181">
        <f t="shared" ca="1" si="2"/>
        <v>56.822243475920061</v>
      </c>
      <c r="F21" s="182">
        <f t="shared" si="3"/>
        <v>23.75815814469944</v>
      </c>
      <c r="G21" s="153"/>
      <c r="K21" s="159">
        <v>13</v>
      </c>
      <c r="L21" s="133">
        <f ca="1">-IF(SUMMARY!$D$21*12&gt;=K21,IPMT(SUMMARY!$D$22/12,K21,SUMMARY!$D$21*12,SUMMARY!$D$20),0)</f>
        <v>470.26011853707882</v>
      </c>
      <c r="M21" s="133">
        <f ca="1">IF(SUMMARY!$D$21*12&gt;=K21,-PPMT(SUMMARY!$D$22/12,K21,SUMMARY!$D$21*12,SUMMARY!$D$20),0)</f>
        <v>132.4967594508513</v>
      </c>
      <c r="N21" s="160">
        <f t="shared" ca="1" si="0"/>
        <v>602.75687798793012</v>
      </c>
      <c r="P21" s="159">
        <v>13</v>
      </c>
      <c r="Q21" s="194">
        <f ca="1">IF(SUMMARY!$D$21&gt;=K21,(SUMMARY!$D$24+SUMMARY!$I$17)*12*SUMMARY!$D$6,0)</f>
        <v>11756.107472759213</v>
      </c>
      <c r="R21" s="194">
        <f>IF(SUMMARY!$D$21&gt;=K21,SUMMARY!$D$28*12*SUMMARY!$D$6,0)+IF(P21=SUMMARY!$D$21,SUMMARY!$D$29*SUMMARY!$D$15,0)</f>
        <v>20906.645759999996</v>
      </c>
      <c r="S21" s="195">
        <f t="shared" ca="1" si="1"/>
        <v>9150.5382872407827</v>
      </c>
      <c r="T21" s="179"/>
    </row>
    <row r="22" spans="2:20" x14ac:dyDescent="0.25">
      <c r="B22" s="33"/>
      <c r="C22" s="180">
        <f t="shared" si="4"/>
        <v>1400</v>
      </c>
      <c r="D22" s="181">
        <f ca="1">((SUMMARY!$D$24+SUMMARY!$I$17)*12*1000*IF(PROJECTCONFIGURATION!$A$1,('OPERATIONAL CHARACTERISTICS'!$E$12*PROJECTCONFIGURATION!$B$65),('OPERATIONAL CHARACTERISTICS'!$H$12*PROJECTCONFIGURATION!$B$65)))/($C22*IF(PROJECTCONFIGURATION!$A$1,('OPERATIONAL CHARACTERISTICS'!$E$12*PROJECTCONFIGURATION!$B$65),('OPERATIONAL CHARACTERISTICS'!$H$12*PROJECTCONFIGURATION!$B$65)))</f>
        <v>30.702364950419156</v>
      </c>
      <c r="E22" s="181">
        <f t="shared" ca="1" si="2"/>
        <v>54.460523095118596</v>
      </c>
      <c r="F22" s="182">
        <f t="shared" si="3"/>
        <v>23.75815814469944</v>
      </c>
      <c r="G22" s="153"/>
      <c r="K22" s="159">
        <v>14</v>
      </c>
      <c r="L22" s="133">
        <f ca="1">-IF(SUMMARY!$D$21*12&gt;=K22,IPMT(SUMMARY!$D$22/12,K22,SUMMARY!$D$21*12,SUMMARY!$D$20),0)</f>
        <v>469.37680680740647</v>
      </c>
      <c r="M22" s="133">
        <f ca="1">IF(SUMMARY!$D$21*12&gt;=K22,-PPMT(SUMMARY!$D$22/12,K22,SUMMARY!$D$21*12,SUMMARY!$D$20),0)</f>
        <v>133.38007118052366</v>
      </c>
      <c r="N22" s="160">
        <f t="shared" ca="1" si="0"/>
        <v>602.75687798793012</v>
      </c>
      <c r="P22" s="159">
        <v>14</v>
      </c>
      <c r="Q22" s="194">
        <f ca="1">IF(SUMMARY!$D$21&gt;=K22,(SUMMARY!$D$24+SUMMARY!$I$17)*12*SUMMARY!$D$6,0)</f>
        <v>11756.107472759213</v>
      </c>
      <c r="R22" s="194">
        <f>IF(SUMMARY!$D$21&gt;=K22,SUMMARY!$D$28*12*SUMMARY!$D$6,0)+IF(P22=SUMMARY!$D$21,SUMMARY!$D$29*SUMMARY!$D$15,0)</f>
        <v>20906.645759999996</v>
      </c>
      <c r="S22" s="195">
        <f t="shared" ca="1" si="1"/>
        <v>9150.5382872407827</v>
      </c>
      <c r="T22" s="179"/>
    </row>
    <row r="23" spans="2:20" x14ac:dyDescent="0.25">
      <c r="B23" s="33"/>
      <c r="C23" s="180">
        <f t="shared" si="4"/>
        <v>1500</v>
      </c>
      <c r="D23" s="181">
        <f ca="1">((SUMMARY!$D$24+SUMMARY!$I$17)*12*1000*IF(PROJECTCONFIGURATION!$A$1,('OPERATIONAL CHARACTERISTICS'!$E$12*PROJECTCONFIGURATION!$B$65),('OPERATIONAL CHARACTERISTICS'!$H$12*PROJECTCONFIGURATION!$B$65)))/($C23*IF(PROJECTCONFIGURATION!$A$1,('OPERATIONAL CHARACTERISTICS'!$E$12*PROJECTCONFIGURATION!$B$65),('OPERATIONAL CHARACTERISTICS'!$H$12*PROJECTCONFIGURATION!$B$65)))</f>
        <v>28.655540620391211</v>
      </c>
      <c r="E23" s="181">
        <f t="shared" ca="1" si="2"/>
        <v>52.413698765090651</v>
      </c>
      <c r="F23" s="182">
        <f t="shared" si="3"/>
        <v>23.75815814469944</v>
      </c>
      <c r="G23" s="153"/>
      <c r="K23" s="159">
        <v>15</v>
      </c>
      <c r="L23" s="133">
        <f ca="1">-IF(SUMMARY!$D$21*12&gt;=K23,IPMT(SUMMARY!$D$22/12,K23,SUMMARY!$D$21*12,SUMMARY!$D$20),0)</f>
        <v>468.48760633286963</v>
      </c>
      <c r="M23" s="133">
        <f ca="1">IF(SUMMARY!$D$21*12&gt;=K23,-PPMT(SUMMARY!$D$22/12,K23,SUMMARY!$D$21*12,SUMMARY!$D$20),0)</f>
        <v>134.26927165506049</v>
      </c>
      <c r="N23" s="160">
        <f t="shared" ca="1" si="0"/>
        <v>602.75687798793012</v>
      </c>
      <c r="P23" s="159">
        <v>15</v>
      </c>
      <c r="Q23" s="194">
        <f ca="1">IF(SUMMARY!$D$21&gt;=K23,(SUMMARY!$D$24+SUMMARY!$I$17)*12*SUMMARY!$D$6,0)</f>
        <v>11756.107472759213</v>
      </c>
      <c r="R23" s="194">
        <f>IF(SUMMARY!$D$21&gt;=K23,SUMMARY!$D$28*12*SUMMARY!$D$6,0)+IF(P23=SUMMARY!$D$21,SUMMARY!$D$29*SUMMARY!$D$15,0)</f>
        <v>20906.645759999996</v>
      </c>
      <c r="S23" s="195">
        <f t="shared" ca="1" si="1"/>
        <v>9150.5382872407827</v>
      </c>
      <c r="T23" s="179"/>
    </row>
    <row r="24" spans="2:20" x14ac:dyDescent="0.25">
      <c r="B24" s="33"/>
      <c r="C24" s="180">
        <f>+C23+500</f>
        <v>2000</v>
      </c>
      <c r="D24" s="181">
        <f ca="1">((SUMMARY!$D$24+SUMMARY!$I$17)*12*1000*IF(PROJECTCONFIGURATION!$A$1,('OPERATIONAL CHARACTERISTICS'!$E$12*PROJECTCONFIGURATION!$B$65),('OPERATIONAL CHARACTERISTICS'!$H$12*PROJECTCONFIGURATION!$B$65)))/($C24*IF(PROJECTCONFIGURATION!$A$1,('OPERATIONAL CHARACTERISTICS'!$E$12*PROJECTCONFIGURATION!$B$65),('OPERATIONAL CHARACTERISTICS'!$H$12*PROJECTCONFIGURATION!$B$65)))</f>
        <v>21.491655465293409</v>
      </c>
      <c r="E24" s="181">
        <f t="shared" ca="1" si="2"/>
        <v>45.249813609992849</v>
      </c>
      <c r="F24" s="182">
        <f t="shared" si="3"/>
        <v>23.75815814469944</v>
      </c>
      <c r="G24" s="153"/>
      <c r="K24" s="159">
        <v>16</v>
      </c>
      <c r="L24" s="133">
        <f ca="1">-IF(SUMMARY!$D$21*12&gt;=K24,IPMT(SUMMARY!$D$22/12,K24,SUMMARY!$D$21*12,SUMMARY!$D$20),0)</f>
        <v>467.59247785516919</v>
      </c>
      <c r="M24" s="133">
        <f ca="1">IF(SUMMARY!$D$21*12&gt;=K24,-PPMT(SUMMARY!$D$22/12,K24,SUMMARY!$D$21*12,SUMMARY!$D$20),0)</f>
        <v>135.16440013276093</v>
      </c>
      <c r="N24" s="160">
        <f t="shared" ca="1" si="0"/>
        <v>602.75687798793012</v>
      </c>
      <c r="P24" s="159">
        <v>16</v>
      </c>
      <c r="Q24" s="194">
        <f ca="1">IF(SUMMARY!$D$21&gt;=K24,(SUMMARY!$D$24+SUMMARY!$I$17)*12*SUMMARY!$D$6,0)</f>
        <v>11756.107472759213</v>
      </c>
      <c r="R24" s="194">
        <f>IF(SUMMARY!$D$21&gt;=K24,SUMMARY!$D$28*12*SUMMARY!$D$6,0)+IF(P24=SUMMARY!$D$21,SUMMARY!$D$29*SUMMARY!$D$15,0)</f>
        <v>20906.645759999996</v>
      </c>
      <c r="S24" s="195">
        <f t="shared" ca="1" si="1"/>
        <v>9150.5382872407827</v>
      </c>
      <c r="T24" s="179"/>
    </row>
    <row r="25" spans="2:20" x14ac:dyDescent="0.25">
      <c r="B25" s="33"/>
      <c r="C25" s="180">
        <f>+C24+500</f>
        <v>2500</v>
      </c>
      <c r="D25" s="181">
        <f ca="1">((SUMMARY!$D$24+SUMMARY!$I$17)*12*1000*IF(PROJECTCONFIGURATION!$A$1,('OPERATIONAL CHARACTERISTICS'!$E$12*PROJECTCONFIGURATION!$B$65),('OPERATIONAL CHARACTERISTICS'!$H$12*PROJECTCONFIGURATION!$B$65)))/($C25*IF(PROJECTCONFIGURATION!$A$1,('OPERATIONAL CHARACTERISTICS'!$E$12*PROJECTCONFIGURATION!$B$65),('OPERATIONAL CHARACTERISTICS'!$H$12*PROJECTCONFIGURATION!$B$65)))</f>
        <v>17.193324372234724</v>
      </c>
      <c r="E25" s="181">
        <f t="shared" ca="1" si="2"/>
        <v>40.951482516934163</v>
      </c>
      <c r="F25" s="183">
        <f t="shared" si="3"/>
        <v>23.75815814469944</v>
      </c>
      <c r="K25" s="159">
        <v>17</v>
      </c>
      <c r="L25" s="133">
        <f ca="1">-IF(SUMMARY!$D$21*12&gt;=K25,IPMT(SUMMARY!$D$22/12,K25,SUMMARY!$D$21*12,SUMMARY!$D$20),0)</f>
        <v>466.6913818542842</v>
      </c>
      <c r="M25" s="133">
        <f ca="1">IF(SUMMARY!$D$21*12&gt;=K25,-PPMT(SUMMARY!$D$22/12,K25,SUMMARY!$D$21*12,SUMMARY!$D$20),0)</f>
        <v>136.06549613364592</v>
      </c>
      <c r="N25" s="160">
        <f t="shared" ca="1" si="0"/>
        <v>602.75687798793012</v>
      </c>
      <c r="P25" s="159">
        <v>17</v>
      </c>
      <c r="Q25" s="194">
        <f ca="1">IF(SUMMARY!$D$21&gt;=K25,(SUMMARY!$D$24+SUMMARY!$I$17)*12*SUMMARY!$D$6,0)</f>
        <v>11756.107472759213</v>
      </c>
      <c r="R25" s="194">
        <f>IF(SUMMARY!$D$21&gt;=K25,SUMMARY!$D$28*12*SUMMARY!$D$6,0)+IF(P25=SUMMARY!$D$21,SUMMARY!$D$29*SUMMARY!$D$15,0)</f>
        <v>20906.645759999996</v>
      </c>
      <c r="S25" s="195">
        <f t="shared" ca="1" si="1"/>
        <v>9150.5382872407827</v>
      </c>
      <c r="T25" s="179"/>
    </row>
    <row r="26" spans="2:20" x14ac:dyDescent="0.25">
      <c r="B26" s="33"/>
      <c r="C26" s="180">
        <f>+C25+500</f>
        <v>3000</v>
      </c>
      <c r="D26" s="181">
        <f ca="1">((SUMMARY!$D$24+SUMMARY!$I$17)*12*1000*IF(PROJECTCONFIGURATION!$A$1,('OPERATIONAL CHARACTERISTICS'!$E$12*PROJECTCONFIGURATION!$B$65),('OPERATIONAL CHARACTERISTICS'!$H$12*PROJECTCONFIGURATION!$B$65)))/($C26*IF(PROJECTCONFIGURATION!$A$1,('OPERATIONAL CHARACTERISTICS'!$E$12*PROJECTCONFIGURATION!$B$65),('OPERATIONAL CHARACTERISTICS'!$H$12*PROJECTCONFIGURATION!$B$65)))</f>
        <v>14.327770310195605</v>
      </c>
      <c r="E26" s="181">
        <f t="shared" ca="1" si="2"/>
        <v>38.085928454895047</v>
      </c>
      <c r="F26" s="183">
        <f t="shared" si="3"/>
        <v>23.75815814469944</v>
      </c>
      <c r="K26" s="159">
        <v>18</v>
      </c>
      <c r="L26" s="133">
        <f ca="1">-IF(SUMMARY!$D$21*12&gt;=K26,IPMT(SUMMARY!$D$22/12,K26,SUMMARY!$D$21*12,SUMMARY!$D$20),0)</f>
        <v>465.78427854672657</v>
      </c>
      <c r="M26" s="133">
        <f ca="1">IF(SUMMARY!$D$21*12&gt;=K26,-PPMT(SUMMARY!$D$22/12,K26,SUMMARY!$D$21*12,SUMMARY!$D$20),0)</f>
        <v>136.97259944120356</v>
      </c>
      <c r="N26" s="160">
        <f t="shared" ca="1" si="0"/>
        <v>602.75687798793012</v>
      </c>
      <c r="P26" s="159">
        <v>18</v>
      </c>
      <c r="Q26" s="194">
        <f ca="1">IF(SUMMARY!$D$21&gt;=K26,(SUMMARY!$D$24+SUMMARY!$I$17)*12*SUMMARY!$D$6,0)</f>
        <v>11756.107472759213</v>
      </c>
      <c r="R26" s="194">
        <f>IF(SUMMARY!$D$21&gt;=K26,SUMMARY!$D$28*12*SUMMARY!$D$6,0)+IF(P26=SUMMARY!$D$21,SUMMARY!$D$29*SUMMARY!$D$15,0)</f>
        <v>20906.645759999996</v>
      </c>
      <c r="S26" s="195">
        <f t="shared" ca="1" si="1"/>
        <v>9150.5382872407827</v>
      </c>
      <c r="T26" s="179"/>
    </row>
    <row r="27" spans="2:20" x14ac:dyDescent="0.25">
      <c r="B27" s="33"/>
      <c r="C27" s="180">
        <f>+C26+500</f>
        <v>3500</v>
      </c>
      <c r="D27" s="181">
        <f ca="1">((SUMMARY!$D$24+SUMMARY!$I$17)*12*1000*IF(PROJECTCONFIGURATION!$A$1,('OPERATIONAL CHARACTERISTICS'!$E$12*PROJECTCONFIGURATION!$B$65),('OPERATIONAL CHARACTERISTICS'!$H$12*PROJECTCONFIGURATION!$B$65)))/($C27*IF(PROJECTCONFIGURATION!$A$1,('OPERATIONAL CHARACTERISTICS'!$E$12*PROJECTCONFIGURATION!$B$65),('OPERATIONAL CHARACTERISTICS'!$H$12*PROJECTCONFIGURATION!$B$65)))</f>
        <v>12.280945980167662</v>
      </c>
      <c r="E27" s="181">
        <f t="shared" ca="1" si="2"/>
        <v>36.039104124867102</v>
      </c>
      <c r="F27" s="183">
        <f t="shared" si="3"/>
        <v>23.75815814469944</v>
      </c>
      <c r="K27" s="159">
        <v>19</v>
      </c>
      <c r="L27" s="133">
        <f ca="1">-IF(SUMMARY!$D$21*12&gt;=K27,IPMT(SUMMARY!$D$22/12,K27,SUMMARY!$D$21*12,SUMMARY!$D$20),0)</f>
        <v>464.87112788378516</v>
      </c>
      <c r="M27" s="133">
        <f ca="1">IF(SUMMARY!$D$21*12&gt;=K27,-PPMT(SUMMARY!$D$22/12,K27,SUMMARY!$D$21*12,SUMMARY!$D$20),0)</f>
        <v>137.88575010414496</v>
      </c>
      <c r="N27" s="160">
        <f t="shared" ca="1" si="0"/>
        <v>602.75687798793012</v>
      </c>
      <c r="P27" s="159">
        <v>19</v>
      </c>
      <c r="Q27" s="194">
        <f ca="1">IF(SUMMARY!$D$21&gt;=K27,(SUMMARY!$D$24+SUMMARY!$I$17)*12*SUMMARY!$D$6,0)</f>
        <v>11756.107472759213</v>
      </c>
      <c r="R27" s="194">
        <f>IF(SUMMARY!$D$21&gt;=K27,SUMMARY!$D$28*12*SUMMARY!$D$6,0)+IF(P27=SUMMARY!$D$21,SUMMARY!$D$29*SUMMARY!$D$15,0)</f>
        <v>20906.645759999996</v>
      </c>
      <c r="S27" s="195">
        <f t="shared" ca="1" si="1"/>
        <v>9150.5382872407827</v>
      </c>
      <c r="T27" s="179"/>
    </row>
    <row r="28" spans="2:20" ht="13.8" thickBot="1" x14ac:dyDescent="0.3">
      <c r="B28" s="8"/>
      <c r="C28" s="157">
        <f>+C27+500</f>
        <v>4000</v>
      </c>
      <c r="D28" s="158">
        <f ca="1">((SUMMARY!$D$24+SUMMARY!$I$17)*12*1000*IF(PROJECTCONFIGURATION!$A$1,('OPERATIONAL CHARACTERISTICS'!$E$12*PROJECTCONFIGURATION!$B$65),('OPERATIONAL CHARACTERISTICS'!$H$12*PROJECTCONFIGURATION!$B$65)))/($C28*IF(PROJECTCONFIGURATION!$A$1,('OPERATIONAL CHARACTERISTICS'!$E$12*PROJECTCONFIGURATION!$B$65),('OPERATIONAL CHARACTERISTICS'!$H$12*PROJECTCONFIGURATION!$B$65)))</f>
        <v>10.745827732646704</v>
      </c>
      <c r="E28" s="158">
        <f t="shared" ca="1" si="2"/>
        <v>34.503985877346146</v>
      </c>
      <c r="F28" s="178">
        <f t="shared" si="3"/>
        <v>23.75815814469944</v>
      </c>
      <c r="K28" s="159">
        <v>20</v>
      </c>
      <c r="L28" s="133">
        <f ca="1">-IF(SUMMARY!$D$21*12&gt;=K28,IPMT(SUMMARY!$D$22/12,K28,SUMMARY!$D$21*12,SUMMARY!$D$20),0)</f>
        <v>463.95188954975748</v>
      </c>
      <c r="M28" s="133">
        <f ca="1">IF(SUMMARY!$D$21*12&gt;=K28,-PPMT(SUMMARY!$D$22/12,K28,SUMMARY!$D$21*12,SUMMARY!$D$20),0)</f>
        <v>138.80498843817264</v>
      </c>
      <c r="N28" s="160">
        <f t="shared" ca="1" si="0"/>
        <v>602.75687798793012</v>
      </c>
      <c r="P28" s="159">
        <v>20</v>
      </c>
      <c r="Q28" s="194">
        <f ca="1">IF(SUMMARY!$D$21&gt;=K28,(SUMMARY!$D$24+SUMMARY!$I$17)*12*SUMMARY!$D$6,0)</f>
        <v>11756.107472759213</v>
      </c>
      <c r="R28" s="194">
        <f ca="1">IF(SUMMARY!$D$21&gt;=K28,SUMMARY!$D$28*12*SUMMARY!$D$6,0)+IF(P28=SUMMARY!$D$21,SUMMARY!$D$29*SUMMARY!$D$15,0)</f>
        <v>56937.731568291114</v>
      </c>
      <c r="S28" s="195">
        <f t="shared" ca="1" si="1"/>
        <v>45181.624095531901</v>
      </c>
      <c r="T28" s="179"/>
    </row>
    <row r="29" spans="2:20" x14ac:dyDescent="0.25">
      <c r="B29" s="5"/>
      <c r="C29" s="77"/>
      <c r="D29" s="77"/>
      <c r="E29" s="77"/>
      <c r="F29" s="79"/>
      <c r="K29" s="159">
        <v>21</v>
      </c>
      <c r="L29" s="133">
        <f ca="1">-IF(SUMMARY!$D$21*12&gt;=K29,IPMT(SUMMARY!$D$22/12,K29,SUMMARY!$D$21*12,SUMMARY!$D$20),0)</f>
        <v>463.02652296016976</v>
      </c>
      <c r="M29" s="133">
        <f ca="1">IF(SUMMARY!$D$21*12&gt;=K29,-PPMT(SUMMARY!$D$22/12,K29,SUMMARY!$D$21*12,SUMMARY!$D$20),0)</f>
        <v>139.73035502776037</v>
      </c>
      <c r="N29" s="160">
        <f t="shared" ca="1" si="0"/>
        <v>602.75687798793012</v>
      </c>
      <c r="P29" s="159">
        <v>21</v>
      </c>
      <c r="Q29" s="194">
        <f>IF(SUMMARY!$D$21&gt;=K29,(SUMMARY!$D$24+SUMMARY!$I$17)*12*SUMMARY!$D$6,0)</f>
        <v>0</v>
      </c>
      <c r="R29" s="194">
        <f>IF(SUMMARY!$D$21&gt;=K29,SUMMARY!$D$28*12*SUMMARY!$D$6,0)+IF(P29=SUMMARY!$D$21,SUMMARY!$D$29*SUMMARY!$D$15,0)</f>
        <v>0</v>
      </c>
      <c r="S29" s="195">
        <f t="shared" si="1"/>
        <v>0</v>
      </c>
      <c r="T29" s="179"/>
    </row>
    <row r="30" spans="2:20" x14ac:dyDescent="0.25">
      <c r="B30" s="6"/>
      <c r="C30" s="7"/>
      <c r="D30" s="7"/>
      <c r="E30" s="7"/>
      <c r="F30" s="81"/>
      <c r="K30" s="159">
        <v>22</v>
      </c>
      <c r="L30" s="133">
        <f ca="1">-IF(SUMMARY!$D$21*12&gt;=K30,IPMT(SUMMARY!$D$22/12,K30,SUMMARY!$D$21*12,SUMMARY!$D$20),0)</f>
        <v>462.09498725998469</v>
      </c>
      <c r="M30" s="133">
        <f ca="1">IF(SUMMARY!$D$21*12&gt;=K30,-PPMT(SUMMARY!$D$22/12,K30,SUMMARY!$D$21*12,SUMMARY!$D$20),0)</f>
        <v>140.66189072794543</v>
      </c>
      <c r="N30" s="160">
        <f t="shared" ca="1" si="0"/>
        <v>602.75687798793012</v>
      </c>
      <c r="P30" s="159">
        <v>22</v>
      </c>
      <c r="Q30" s="194">
        <f>IF(SUMMARY!$D$21&gt;=K30,(SUMMARY!$D$24+SUMMARY!$I$17)*12*SUMMARY!$D$6,0)</f>
        <v>0</v>
      </c>
      <c r="R30" s="194">
        <f>IF(SUMMARY!$D$21&gt;=K30,SUMMARY!$D$28*12*SUMMARY!$D$6,0)+IF(P30=SUMMARY!$D$21,SUMMARY!$D$29*SUMMARY!$D$15,0)</f>
        <v>0</v>
      </c>
      <c r="S30" s="195">
        <f t="shared" si="1"/>
        <v>0</v>
      </c>
      <c r="T30" s="179"/>
    </row>
    <row r="31" spans="2:20" x14ac:dyDescent="0.25">
      <c r="B31" s="6"/>
      <c r="C31" s="7"/>
      <c r="D31" s="7"/>
      <c r="E31" s="7"/>
      <c r="F31" s="81"/>
      <c r="K31" s="159">
        <v>23</v>
      </c>
      <c r="L31" s="133">
        <f ca="1">-IF(SUMMARY!$D$21*12&gt;=K31,IPMT(SUMMARY!$D$22/12,K31,SUMMARY!$D$21*12,SUMMARY!$D$20),0)</f>
        <v>461.15724132179838</v>
      </c>
      <c r="M31" s="133">
        <f ca="1">IF(SUMMARY!$D$21*12&gt;=K31,-PPMT(SUMMARY!$D$22/12,K31,SUMMARY!$D$21*12,SUMMARY!$D$20),0)</f>
        <v>141.59963666613174</v>
      </c>
      <c r="N31" s="160">
        <f t="shared" ca="1" si="0"/>
        <v>602.75687798793012</v>
      </c>
      <c r="P31" s="159">
        <v>23</v>
      </c>
      <c r="Q31" s="194">
        <f>IF(SUMMARY!$D$21&gt;=K31,(SUMMARY!$D$24+SUMMARY!$I$17)*12*SUMMARY!$D$6,0)</f>
        <v>0</v>
      </c>
      <c r="R31" s="194">
        <f>IF(SUMMARY!$D$21&gt;=K31,SUMMARY!$D$28*12*SUMMARY!$D$6,0)+IF(P31=SUMMARY!$D$21,SUMMARY!$D$29*SUMMARY!$D$15,0)</f>
        <v>0</v>
      </c>
      <c r="S31" s="195">
        <f t="shared" si="1"/>
        <v>0</v>
      </c>
      <c r="T31" s="179"/>
    </row>
    <row r="32" spans="2:20" x14ac:dyDescent="0.25">
      <c r="B32" s="6"/>
      <c r="C32" s="7"/>
      <c r="D32" s="7"/>
      <c r="E32" s="7"/>
      <c r="F32" s="81"/>
      <c r="K32" s="159">
        <v>24</v>
      </c>
      <c r="L32" s="133">
        <f ca="1">-IF(SUMMARY!$D$21*12&gt;=K32,IPMT(SUMMARY!$D$22/12,K32,SUMMARY!$D$21*12,SUMMARY!$D$20),0)</f>
        <v>460.21324374402423</v>
      </c>
      <c r="M32" s="133">
        <f ca="1">IF(SUMMARY!$D$21*12&gt;=K32,-PPMT(SUMMARY!$D$22/12,K32,SUMMARY!$D$21*12,SUMMARY!$D$20),0)</f>
        <v>142.5436342439059</v>
      </c>
      <c r="N32" s="160">
        <f t="shared" ca="1" si="0"/>
        <v>602.75687798793012</v>
      </c>
      <c r="P32" s="159">
        <v>24</v>
      </c>
      <c r="Q32" s="194">
        <f>IF(SUMMARY!$D$21&gt;=K32,(SUMMARY!$D$24+SUMMARY!$I$17)*12*SUMMARY!$D$6,0)</f>
        <v>0</v>
      </c>
      <c r="R32" s="194">
        <f>IF(SUMMARY!$D$21&gt;=K32,SUMMARY!$D$28*12*SUMMARY!$D$6,0)+IF(P32=SUMMARY!$D$21,SUMMARY!$D$29*SUMMARY!$D$15,0)</f>
        <v>0</v>
      </c>
      <c r="S32" s="195">
        <f t="shared" si="1"/>
        <v>0</v>
      </c>
      <c r="T32" s="179"/>
    </row>
    <row r="33" spans="2:20" x14ac:dyDescent="0.25">
      <c r="B33" s="6"/>
      <c r="C33" s="7"/>
      <c r="D33" s="7"/>
      <c r="E33" s="7"/>
      <c r="F33" s="81"/>
      <c r="K33" s="159">
        <v>25</v>
      </c>
      <c r="L33" s="133">
        <f ca="1">-IF(SUMMARY!$D$21*12&gt;=K33,IPMT(SUMMARY!$D$22/12,K33,SUMMARY!$D$21*12,SUMMARY!$D$20),0)</f>
        <v>459.26295284906485</v>
      </c>
      <c r="M33" s="133">
        <f ca="1">IF(SUMMARY!$D$21*12&gt;=K33,-PPMT(SUMMARY!$D$22/12,K33,SUMMARY!$D$21*12,SUMMARY!$D$20),0)</f>
        <v>143.49392513886528</v>
      </c>
      <c r="N33" s="160">
        <f t="shared" ca="1" si="0"/>
        <v>602.75687798793012</v>
      </c>
      <c r="P33" s="159">
        <v>25</v>
      </c>
      <c r="Q33" s="194">
        <f>IF(SUMMARY!$D$21&gt;=K33,(SUMMARY!$D$24+SUMMARY!$I$17)*12*SUMMARY!$D$6,0)</f>
        <v>0</v>
      </c>
      <c r="R33" s="194">
        <f>IF(SUMMARY!$D$21&gt;=K33,SUMMARY!$D$28*12*SUMMARY!$D$6,0)+IF(P33=SUMMARY!$D$21,SUMMARY!$D$29*SUMMARY!$D$15,0)</f>
        <v>0</v>
      </c>
      <c r="S33" s="195">
        <f t="shared" si="1"/>
        <v>0</v>
      </c>
      <c r="T33" s="179"/>
    </row>
    <row r="34" spans="2:20" x14ac:dyDescent="0.25">
      <c r="B34" s="6"/>
      <c r="C34" s="7"/>
      <c r="D34" s="7"/>
      <c r="E34" s="7"/>
      <c r="F34" s="81"/>
      <c r="K34" s="159">
        <v>26</v>
      </c>
      <c r="L34" s="133">
        <f ca="1">-IF(SUMMARY!$D$21*12&gt;=K34,IPMT(SUMMARY!$D$22/12,K34,SUMMARY!$D$21*12,SUMMARY!$D$20),0)</f>
        <v>458.30632668147234</v>
      </c>
      <c r="M34" s="133">
        <f ca="1">IF(SUMMARY!$D$21*12&gt;=K34,-PPMT(SUMMARY!$D$22/12,K34,SUMMARY!$D$21*12,SUMMARY!$D$20),0)</f>
        <v>144.45055130645778</v>
      </c>
      <c r="N34" s="160">
        <f t="shared" ca="1" si="0"/>
        <v>602.75687798793012</v>
      </c>
      <c r="P34" s="159">
        <v>26</v>
      </c>
      <c r="Q34" s="194">
        <f>IF(SUMMARY!$D$21&gt;=K34,(SUMMARY!$D$24+SUMMARY!$I$17)*12*SUMMARY!$D$6,0)</f>
        <v>0</v>
      </c>
      <c r="R34" s="194">
        <f>IF(SUMMARY!$D$21&gt;=K34,SUMMARY!$D$28*12*SUMMARY!$D$6,0)+IF(P34=SUMMARY!$D$21,SUMMARY!$D$29*SUMMARY!$D$15,0)</f>
        <v>0</v>
      </c>
      <c r="S34" s="195">
        <f t="shared" si="1"/>
        <v>0</v>
      </c>
      <c r="T34" s="179"/>
    </row>
    <row r="35" spans="2:20" x14ac:dyDescent="0.25">
      <c r="B35" s="6"/>
      <c r="C35" s="7"/>
      <c r="D35" s="7"/>
      <c r="E35" s="7"/>
      <c r="F35" s="81"/>
      <c r="K35" s="159">
        <v>27</v>
      </c>
      <c r="L35" s="133">
        <f ca="1">-IF(SUMMARY!$D$21*12&gt;=K35,IPMT(SUMMARY!$D$22/12,K35,SUMMARY!$D$21*12,SUMMARY!$D$20),0)</f>
        <v>457.343323006096</v>
      </c>
      <c r="M35" s="133">
        <f ca="1">IF(SUMMARY!$D$21*12&gt;=K35,-PPMT(SUMMARY!$D$22/12,K35,SUMMARY!$D$21*12,SUMMARY!$D$20),0)</f>
        <v>145.41355498183412</v>
      </c>
      <c r="N35" s="160">
        <f t="shared" ca="1" si="0"/>
        <v>602.75687798793012</v>
      </c>
      <c r="P35" s="159">
        <v>27</v>
      </c>
      <c r="Q35" s="194">
        <f>IF(SUMMARY!$D$21&gt;=K35,(SUMMARY!$D$24+SUMMARY!$I$17)*12*SUMMARY!$D$6,0)</f>
        <v>0</v>
      </c>
      <c r="R35" s="194">
        <f>IF(SUMMARY!$D$21&gt;=K35,SUMMARY!$D$28*12*SUMMARY!$D$6,0)+IF(P35=SUMMARY!$D$21,SUMMARY!$D$29*SUMMARY!$D$15,0)</f>
        <v>0</v>
      </c>
      <c r="S35" s="195">
        <f t="shared" si="1"/>
        <v>0</v>
      </c>
      <c r="T35" s="179"/>
    </row>
    <row r="36" spans="2:20" x14ac:dyDescent="0.25">
      <c r="B36" s="6"/>
      <c r="C36" s="7"/>
      <c r="D36" s="7"/>
      <c r="E36" s="7"/>
      <c r="F36" s="81"/>
      <c r="K36" s="159">
        <v>28</v>
      </c>
      <c r="L36" s="133">
        <f ca="1">-IF(SUMMARY!$D$21*12&gt;=K36,IPMT(SUMMARY!$D$22/12,K36,SUMMARY!$D$21*12,SUMMARY!$D$20),0)</f>
        <v>456.37389930621714</v>
      </c>
      <c r="M36" s="133">
        <f ca="1">IF(SUMMARY!$D$21*12&gt;=K36,-PPMT(SUMMARY!$D$22/12,K36,SUMMARY!$D$21*12,SUMMARY!$D$20),0)</f>
        <v>146.38297868171298</v>
      </c>
      <c r="N36" s="160">
        <f t="shared" ca="1" si="0"/>
        <v>602.75687798793012</v>
      </c>
      <c r="P36" s="159">
        <v>28</v>
      </c>
      <c r="Q36" s="194">
        <f>IF(SUMMARY!$D$21&gt;=K36,(SUMMARY!$D$24+SUMMARY!$I$17)*12*SUMMARY!$D$6,0)</f>
        <v>0</v>
      </c>
      <c r="R36" s="194">
        <f>IF(SUMMARY!$D$21&gt;=K36,SUMMARY!$D$28*12*SUMMARY!$D$6,0)+IF(P36=SUMMARY!$D$21,SUMMARY!$D$29*SUMMARY!$D$15,0)</f>
        <v>0</v>
      </c>
      <c r="S36" s="195">
        <f t="shared" si="1"/>
        <v>0</v>
      </c>
      <c r="T36" s="179"/>
    </row>
    <row r="37" spans="2:20" x14ac:dyDescent="0.25">
      <c r="B37" s="6"/>
      <c r="C37" s="7"/>
      <c r="D37" s="7"/>
      <c r="E37" s="7"/>
      <c r="F37" s="81"/>
      <c r="K37" s="159">
        <v>29</v>
      </c>
      <c r="L37" s="133">
        <f ca="1">-IF(SUMMARY!$D$21*12&gt;=K37,IPMT(SUMMARY!$D$22/12,K37,SUMMARY!$D$21*12,SUMMARY!$D$20),0)</f>
        <v>455.39801278167243</v>
      </c>
      <c r="M37" s="133">
        <f ca="1">IF(SUMMARY!$D$21*12&gt;=K37,-PPMT(SUMMARY!$D$22/12,K37,SUMMARY!$D$21*12,SUMMARY!$D$20),0)</f>
        <v>147.35886520625769</v>
      </c>
      <c r="N37" s="160">
        <f t="shared" ca="1" si="0"/>
        <v>602.75687798793012</v>
      </c>
      <c r="P37" s="159">
        <v>29</v>
      </c>
      <c r="Q37" s="194">
        <f>IF(SUMMARY!$D$21&gt;=K37,(SUMMARY!$D$24+SUMMARY!$I$17)*12*SUMMARY!$D$6,0)</f>
        <v>0</v>
      </c>
      <c r="R37" s="194">
        <f>IF(SUMMARY!$D$21&gt;=K37,SUMMARY!$D$28*12*SUMMARY!$D$6,0)+IF(P37=SUMMARY!$D$21,SUMMARY!$D$29*SUMMARY!$D$15,0)</f>
        <v>0</v>
      </c>
      <c r="S37" s="195">
        <f t="shared" si="1"/>
        <v>0</v>
      </c>
      <c r="T37" s="179"/>
    </row>
    <row r="38" spans="2:20" ht="13.8" thickBot="1" x14ac:dyDescent="0.3">
      <c r="B38" s="6"/>
      <c r="C38" s="7"/>
      <c r="D38" s="7"/>
      <c r="E38" s="7"/>
      <c r="F38" s="81"/>
      <c r="K38" s="159">
        <v>30</v>
      </c>
      <c r="L38" s="133">
        <f ca="1">-IF(SUMMARY!$D$21*12&gt;=K38,IPMT(SUMMARY!$D$22/12,K38,SUMMARY!$D$21*12,SUMMARY!$D$20),0)</f>
        <v>454.41562034696403</v>
      </c>
      <c r="M38" s="133">
        <f ca="1">IF(SUMMARY!$D$21*12&gt;=K38,-PPMT(SUMMARY!$D$22/12,K38,SUMMARY!$D$21*12,SUMMARY!$D$20),0)</f>
        <v>148.34125764096609</v>
      </c>
      <c r="N38" s="160">
        <f t="shared" ca="1" si="0"/>
        <v>602.75687798793012</v>
      </c>
      <c r="P38" s="161">
        <v>30</v>
      </c>
      <c r="Q38" s="196">
        <f>IF(SUMMARY!$D$21&gt;=K38,(SUMMARY!$D$24+SUMMARY!$I$17)*12*SUMMARY!$D$6,0)</f>
        <v>0</v>
      </c>
      <c r="R38" s="196">
        <f>IF(SUMMARY!$D$21&gt;=K38,SUMMARY!$D$28*12*SUMMARY!$D$6,0)+IF(P38=SUMMARY!$D$21,SUMMARY!$D$29*SUMMARY!$D$15,0)</f>
        <v>0</v>
      </c>
      <c r="S38" s="197">
        <f t="shared" si="1"/>
        <v>0</v>
      </c>
      <c r="T38" s="179"/>
    </row>
    <row r="39" spans="2:20" x14ac:dyDescent="0.25">
      <c r="B39" s="6"/>
      <c r="C39" s="7"/>
      <c r="D39" s="7"/>
      <c r="E39" s="7"/>
      <c r="F39" s="81"/>
      <c r="K39" s="159">
        <v>31</v>
      </c>
      <c r="L39" s="133">
        <f ca="1">-IF(SUMMARY!$D$21*12&gt;=K39,IPMT(SUMMARY!$D$22/12,K39,SUMMARY!$D$21*12,SUMMARY!$D$20),0)</f>
        <v>453.42667862935753</v>
      </c>
      <c r="M39" s="133">
        <f ca="1">IF(SUMMARY!$D$21*12&gt;=K39,-PPMT(SUMMARY!$D$22/12,K39,SUMMARY!$D$21*12,SUMMARY!$D$20),0)</f>
        <v>149.3301993585726</v>
      </c>
      <c r="N39" s="160">
        <f t="shared" ca="1" si="0"/>
        <v>602.75687798793012</v>
      </c>
      <c r="P39" s="199"/>
      <c r="Q39" s="200"/>
      <c r="R39" s="200"/>
      <c r="S39" s="200"/>
      <c r="T39" s="179"/>
    </row>
    <row r="40" spans="2:20" x14ac:dyDescent="0.25">
      <c r="B40" s="6"/>
      <c r="C40" s="7"/>
      <c r="D40" s="7"/>
      <c r="E40" s="7"/>
      <c r="F40" s="81"/>
      <c r="K40" s="159">
        <v>32</v>
      </c>
      <c r="L40" s="133">
        <f ca="1">-IF(SUMMARY!$D$21*12&gt;=K40,IPMT(SUMMARY!$D$22/12,K40,SUMMARY!$D$21*12,SUMMARY!$D$20),0)</f>
        <v>452.43114396696717</v>
      </c>
      <c r="M40" s="133">
        <f ca="1">IF(SUMMARY!$D$21*12&gt;=K40,-PPMT(SUMMARY!$D$22/12,K40,SUMMARY!$D$21*12,SUMMARY!$D$20),0)</f>
        <v>150.32573402096295</v>
      </c>
      <c r="N40" s="160">
        <f t="shared" ca="1" si="0"/>
        <v>602.75687798793012</v>
      </c>
      <c r="P40" s="199"/>
      <c r="Q40" s="200"/>
      <c r="R40" s="200"/>
      <c r="S40" s="200"/>
      <c r="T40" s="179"/>
    </row>
    <row r="41" spans="2:20" x14ac:dyDescent="0.25">
      <c r="B41" s="6"/>
      <c r="C41" s="7"/>
      <c r="D41" s="7"/>
      <c r="E41" s="7"/>
      <c r="F41" s="81"/>
      <c r="K41" s="159">
        <v>33</v>
      </c>
      <c r="L41" s="133">
        <f ca="1">-IF(SUMMARY!$D$21*12&gt;=K41,IPMT(SUMMARY!$D$22/12,K41,SUMMARY!$D$21*12,SUMMARY!$D$20),0)</f>
        <v>451.42897240682743</v>
      </c>
      <c r="M41" s="133">
        <f ca="1">IF(SUMMARY!$D$21*12&gt;=K41,-PPMT(SUMMARY!$D$22/12,K41,SUMMARY!$D$21*12,SUMMARY!$D$20),0)</f>
        <v>151.3279055811027</v>
      </c>
      <c r="N41" s="160">
        <f t="shared" ca="1" si="0"/>
        <v>602.75687798793012</v>
      </c>
      <c r="P41" s="199"/>
      <c r="Q41" s="200"/>
      <c r="R41" s="200"/>
      <c r="S41" s="200"/>
      <c r="T41" s="179"/>
    </row>
    <row r="42" spans="2:20" x14ac:dyDescent="0.25">
      <c r="B42" s="6"/>
      <c r="C42" s="7"/>
      <c r="D42" s="7"/>
      <c r="E42" s="7"/>
      <c r="F42" s="81"/>
      <c r="K42" s="159">
        <v>34</v>
      </c>
      <c r="L42" s="133">
        <f ca="1">-IF(SUMMARY!$D$21*12&gt;=K42,IPMT(SUMMARY!$D$22/12,K42,SUMMARY!$D$21*12,SUMMARY!$D$20),0)</f>
        <v>450.4201197029534</v>
      </c>
      <c r="M42" s="133">
        <f ca="1">IF(SUMMARY!$D$21*12&gt;=K42,-PPMT(SUMMARY!$D$22/12,K42,SUMMARY!$D$21*12,SUMMARY!$D$20),0)</f>
        <v>152.33675828497672</v>
      </c>
      <c r="N42" s="160">
        <f t="shared" ca="1" si="0"/>
        <v>602.75687798793012</v>
      </c>
      <c r="P42" s="199"/>
      <c r="Q42" s="200"/>
      <c r="R42" s="200"/>
      <c r="S42" s="200"/>
      <c r="T42" s="179"/>
    </row>
    <row r="43" spans="2:20" x14ac:dyDescent="0.25">
      <c r="B43" s="6"/>
      <c r="C43" s="7"/>
      <c r="D43" s="7"/>
      <c r="E43" s="7"/>
      <c r="F43" s="81"/>
      <c r="K43" s="159">
        <v>35</v>
      </c>
      <c r="L43" s="133">
        <f ca="1">-IF(SUMMARY!$D$21*12&gt;=K43,IPMT(SUMMARY!$D$22/12,K43,SUMMARY!$D$21*12,SUMMARY!$D$20),0)</f>
        <v>449.40454131438679</v>
      </c>
      <c r="M43" s="133">
        <f ca="1">IF(SUMMARY!$D$21*12&gt;=K43,-PPMT(SUMMARY!$D$22/12,K43,SUMMARY!$D$21*12,SUMMARY!$D$20),0)</f>
        <v>153.35233667354333</v>
      </c>
      <c r="N43" s="160">
        <f t="shared" ca="1" si="0"/>
        <v>602.75687798793012</v>
      </c>
      <c r="P43" s="199"/>
      <c r="Q43" s="200"/>
      <c r="R43" s="200"/>
      <c r="S43" s="200"/>
      <c r="T43" s="179"/>
    </row>
    <row r="44" spans="2:20" ht="13.8" thickBot="1" x14ac:dyDescent="0.3">
      <c r="B44" s="8"/>
      <c r="C44" s="84"/>
      <c r="D44" s="84"/>
      <c r="E44" s="84"/>
      <c r="F44" s="85"/>
      <c r="K44" s="159">
        <v>36</v>
      </c>
      <c r="L44" s="133">
        <f ca="1">-IF(SUMMARY!$D$21*12&gt;=K44,IPMT(SUMMARY!$D$22/12,K44,SUMMARY!$D$21*12,SUMMARY!$D$20),0)</f>
        <v>448.38219240322991</v>
      </c>
      <c r="M44" s="133">
        <f ca="1">IF(SUMMARY!$D$21*12&gt;=K44,-PPMT(SUMMARY!$D$22/12,K44,SUMMARY!$D$21*12,SUMMARY!$D$20),0)</f>
        <v>154.37468558470022</v>
      </c>
      <c r="N44" s="160">
        <f t="shared" ca="1" si="0"/>
        <v>602.75687798793012</v>
      </c>
      <c r="P44" s="199"/>
      <c r="Q44" s="200"/>
      <c r="R44" s="200"/>
      <c r="S44" s="200"/>
      <c r="T44" s="179"/>
    </row>
    <row r="45" spans="2:20" x14ac:dyDescent="0.25">
      <c r="K45" s="159">
        <v>37</v>
      </c>
      <c r="L45" s="133">
        <f ca="1">-IF(SUMMARY!$D$21*12&gt;=K45,IPMT(SUMMARY!$D$22/12,K45,SUMMARY!$D$21*12,SUMMARY!$D$20),0)</f>
        <v>447.35302783266519</v>
      </c>
      <c r="M45" s="133">
        <f ca="1">IF(SUMMARY!$D$21*12&gt;=K45,-PPMT(SUMMARY!$D$22/12,K45,SUMMARY!$D$21*12,SUMMARY!$D$20),0)</f>
        <v>155.40385015526493</v>
      </c>
      <c r="N45" s="160">
        <f t="shared" ca="1" si="0"/>
        <v>602.75687798793012</v>
      </c>
      <c r="P45" s="199"/>
      <c r="Q45" s="200"/>
      <c r="R45" s="200"/>
      <c r="S45" s="200"/>
      <c r="T45" s="179"/>
    </row>
    <row r="46" spans="2:20" x14ac:dyDescent="0.25">
      <c r="K46" s="159">
        <v>38</v>
      </c>
      <c r="L46" s="133">
        <f ca="1">-IF(SUMMARY!$D$21*12&gt;=K46,IPMT(SUMMARY!$D$22/12,K46,SUMMARY!$D$21*12,SUMMARY!$D$20),0)</f>
        <v>446.31700216496347</v>
      </c>
      <c r="M46" s="133">
        <f ca="1">IF(SUMMARY!$D$21*12&gt;=K46,-PPMT(SUMMARY!$D$22/12,K46,SUMMARY!$D$21*12,SUMMARY!$D$20),0)</f>
        <v>156.43987582296666</v>
      </c>
      <c r="N46" s="160">
        <f t="shared" ca="1" si="0"/>
        <v>602.75687798793012</v>
      </c>
      <c r="P46" s="199"/>
      <c r="Q46" s="200"/>
      <c r="R46" s="200"/>
      <c r="S46" s="200"/>
      <c r="T46" s="179"/>
    </row>
    <row r="47" spans="2:20" x14ac:dyDescent="0.25">
      <c r="K47" s="159">
        <v>39</v>
      </c>
      <c r="L47" s="133">
        <f ca="1">-IF(SUMMARY!$D$21*12&gt;=K47,IPMT(SUMMARY!$D$22/12,K47,SUMMARY!$D$21*12,SUMMARY!$D$20),0)</f>
        <v>445.27406965947705</v>
      </c>
      <c r="M47" s="133">
        <f ca="1">IF(SUMMARY!$D$21*12&gt;=K47,-PPMT(SUMMARY!$D$22/12,K47,SUMMARY!$D$21*12,SUMMARY!$D$20),0)</f>
        <v>157.48280832845307</v>
      </c>
      <c r="N47" s="160">
        <f t="shared" ca="1" si="0"/>
        <v>602.75687798793012</v>
      </c>
      <c r="P47" s="199"/>
      <c r="Q47" s="200"/>
      <c r="R47" s="200"/>
      <c r="S47" s="200"/>
      <c r="T47" s="179"/>
    </row>
    <row r="48" spans="2:20" x14ac:dyDescent="0.25">
      <c r="K48" s="159">
        <v>40</v>
      </c>
      <c r="L48" s="133">
        <f ca="1">-IF(SUMMARY!$D$21*12&gt;=K48,IPMT(SUMMARY!$D$22/12,K48,SUMMARY!$D$21*12,SUMMARY!$D$20),0)</f>
        <v>444.2241842706207</v>
      </c>
      <c r="M48" s="133">
        <f ca="1">IF(SUMMARY!$D$21*12&gt;=K48,-PPMT(SUMMARY!$D$22/12,K48,SUMMARY!$D$21*12,SUMMARY!$D$20),0)</f>
        <v>158.53269371730943</v>
      </c>
      <c r="N48" s="160">
        <f t="shared" ca="1" si="0"/>
        <v>602.75687798793012</v>
      </c>
      <c r="P48" s="199"/>
      <c r="Q48" s="200"/>
      <c r="R48" s="200"/>
      <c r="S48" s="200"/>
      <c r="T48" s="179"/>
    </row>
    <row r="49" spans="11:20" x14ac:dyDescent="0.25">
      <c r="K49" s="159">
        <v>41</v>
      </c>
      <c r="L49" s="133">
        <f ca="1">-IF(SUMMARY!$D$21*12&gt;=K49,IPMT(SUMMARY!$D$22/12,K49,SUMMARY!$D$21*12,SUMMARY!$D$20),0)</f>
        <v>443.16729964583863</v>
      </c>
      <c r="M49" s="133">
        <f ca="1">IF(SUMMARY!$D$21*12&gt;=K49,-PPMT(SUMMARY!$D$22/12,K49,SUMMARY!$D$21*12,SUMMARY!$D$20),0)</f>
        <v>159.5895783420915</v>
      </c>
      <c r="N49" s="160">
        <f t="shared" ca="1" si="0"/>
        <v>602.75687798793012</v>
      </c>
      <c r="P49" s="199"/>
      <c r="Q49" s="200"/>
      <c r="R49" s="200"/>
      <c r="S49" s="200"/>
      <c r="T49" s="179"/>
    </row>
    <row r="50" spans="11:20" x14ac:dyDescent="0.25">
      <c r="K50" s="159">
        <v>42</v>
      </c>
      <c r="L50" s="133">
        <f ca="1">-IF(SUMMARY!$D$21*12&gt;=K50,IPMT(SUMMARY!$D$22/12,K50,SUMMARY!$D$21*12,SUMMARY!$D$20),0)</f>
        <v>442.10336912355808</v>
      </c>
      <c r="M50" s="133">
        <f ca="1">IF(SUMMARY!$D$21*12&gt;=K50,-PPMT(SUMMARY!$D$22/12,K50,SUMMARY!$D$21*12,SUMMARY!$D$20),0)</f>
        <v>160.65350886437204</v>
      </c>
      <c r="N50" s="160">
        <f t="shared" ca="1" si="0"/>
        <v>602.75687798793012</v>
      </c>
      <c r="P50" s="199"/>
      <c r="Q50" s="200"/>
      <c r="R50" s="200"/>
      <c r="S50" s="200"/>
      <c r="T50" s="179"/>
    </row>
    <row r="51" spans="11:20" x14ac:dyDescent="0.25">
      <c r="K51" s="159">
        <v>43</v>
      </c>
      <c r="L51" s="133">
        <f ca="1">-IF(SUMMARY!$D$21*12&gt;=K51,IPMT(SUMMARY!$D$22/12,K51,SUMMARY!$D$21*12,SUMMARY!$D$20),0)</f>
        <v>441.03234573112888</v>
      </c>
      <c r="M51" s="133">
        <f ca="1">IF(SUMMARY!$D$21*12&gt;=K51,-PPMT(SUMMARY!$D$22/12,K51,SUMMARY!$D$21*12,SUMMARY!$D$20),0)</f>
        <v>161.72453225680124</v>
      </c>
      <c r="N51" s="160">
        <f t="shared" ca="1" si="0"/>
        <v>602.75687798793012</v>
      </c>
      <c r="P51" s="199"/>
      <c r="Q51" s="200"/>
      <c r="R51" s="200"/>
      <c r="S51" s="200"/>
      <c r="T51" s="179"/>
    </row>
    <row r="52" spans="11:20" x14ac:dyDescent="0.25">
      <c r="K52" s="159">
        <v>44</v>
      </c>
      <c r="L52" s="133">
        <f ca="1">-IF(SUMMARY!$D$21*12&gt;=K52,IPMT(SUMMARY!$D$22/12,K52,SUMMARY!$D$21*12,SUMMARY!$D$20),0)</f>
        <v>439.95418218275023</v>
      </c>
      <c r="M52" s="133">
        <f ca="1">IF(SUMMARY!$D$21*12&gt;=K52,-PPMT(SUMMARY!$D$22/12,K52,SUMMARY!$D$21*12,SUMMARY!$D$20),0)</f>
        <v>162.80269580517989</v>
      </c>
      <c r="N52" s="160">
        <f t="shared" ca="1" si="0"/>
        <v>602.75687798793012</v>
      </c>
      <c r="P52" s="199"/>
      <c r="Q52" s="200"/>
      <c r="R52" s="200"/>
      <c r="S52" s="200"/>
      <c r="T52" s="179"/>
    </row>
    <row r="53" spans="11:20" x14ac:dyDescent="0.25">
      <c r="K53" s="159">
        <v>45</v>
      </c>
      <c r="L53" s="133">
        <f ca="1">-IF(SUMMARY!$D$21*12&gt;=K53,IPMT(SUMMARY!$D$22/12,K53,SUMMARY!$D$21*12,SUMMARY!$D$20),0)</f>
        <v>438.86883087738238</v>
      </c>
      <c r="M53" s="133">
        <f ca="1">IF(SUMMARY!$D$21*12&gt;=K53,-PPMT(SUMMARY!$D$22/12,K53,SUMMARY!$D$21*12,SUMMARY!$D$20),0)</f>
        <v>163.88804711054775</v>
      </c>
      <c r="N53" s="160">
        <f t="shared" ca="1" si="0"/>
        <v>602.75687798793012</v>
      </c>
      <c r="P53" s="199"/>
      <c r="Q53" s="200"/>
      <c r="R53" s="200"/>
      <c r="S53" s="200"/>
      <c r="T53" s="179"/>
    </row>
    <row r="54" spans="11:20" x14ac:dyDescent="0.25">
      <c r="K54" s="159">
        <v>46</v>
      </c>
      <c r="L54" s="133">
        <f ca="1">-IF(SUMMARY!$D$21*12&gt;=K54,IPMT(SUMMARY!$D$22/12,K54,SUMMARY!$D$21*12,SUMMARY!$D$20),0)</f>
        <v>437.77624389664533</v>
      </c>
      <c r="M54" s="133">
        <f ca="1">IF(SUMMARY!$D$21*12&gt;=K54,-PPMT(SUMMARY!$D$22/12,K54,SUMMARY!$D$21*12,SUMMARY!$D$20),0)</f>
        <v>164.9806340912848</v>
      </c>
      <c r="N54" s="160">
        <f t="shared" ca="1" si="0"/>
        <v>602.75687798793012</v>
      </c>
      <c r="P54" s="199"/>
      <c r="Q54" s="200"/>
      <c r="R54" s="200"/>
      <c r="S54" s="200"/>
      <c r="T54" s="179"/>
    </row>
    <row r="55" spans="11:20" x14ac:dyDescent="0.25">
      <c r="K55" s="159">
        <v>47</v>
      </c>
      <c r="L55" s="133">
        <f ca="1">-IF(SUMMARY!$D$21*12&gt;=K55,IPMT(SUMMARY!$D$22/12,K55,SUMMARY!$D$21*12,SUMMARY!$D$20),0)</f>
        <v>436.67637300270354</v>
      </c>
      <c r="M55" s="133">
        <f ca="1">IF(SUMMARY!$D$21*12&gt;=K55,-PPMT(SUMMARY!$D$22/12,K55,SUMMARY!$D$21*12,SUMMARY!$D$20),0)</f>
        <v>166.08050498522658</v>
      </c>
      <c r="N55" s="160">
        <f t="shared" ca="1" si="0"/>
        <v>602.75687798793012</v>
      </c>
      <c r="P55" s="199"/>
      <c r="Q55" s="200"/>
      <c r="R55" s="200"/>
      <c r="S55" s="200"/>
      <c r="T55" s="179"/>
    </row>
    <row r="56" spans="11:20" x14ac:dyDescent="0.25">
      <c r="K56" s="159">
        <v>48</v>
      </c>
      <c r="L56" s="133">
        <f ca="1">-IF(SUMMARY!$D$21*12&gt;=K56,IPMT(SUMMARY!$D$22/12,K56,SUMMARY!$D$21*12,SUMMARY!$D$20),0)</f>
        <v>435.56916963613537</v>
      </c>
      <c r="M56" s="133">
        <f ca="1">IF(SUMMARY!$D$21*12&gt;=K56,-PPMT(SUMMARY!$D$22/12,K56,SUMMARY!$D$21*12,SUMMARY!$D$20),0)</f>
        <v>167.18770835179475</v>
      </c>
      <c r="N56" s="160">
        <f t="shared" ca="1" si="0"/>
        <v>602.75687798793012</v>
      </c>
      <c r="P56" s="199"/>
      <c r="Q56" s="200"/>
      <c r="R56" s="200"/>
      <c r="S56" s="200"/>
      <c r="T56" s="179"/>
    </row>
    <row r="57" spans="11:20" x14ac:dyDescent="0.25">
      <c r="K57" s="159">
        <v>49</v>
      </c>
      <c r="L57" s="133">
        <f ca="1">-IF(SUMMARY!$D$21*12&gt;=K57,IPMT(SUMMARY!$D$22/12,K57,SUMMARY!$D$21*12,SUMMARY!$D$20),0)</f>
        <v>434.45458491379003</v>
      </c>
      <c r="M57" s="133">
        <f ca="1">IF(SUMMARY!$D$21*12&gt;=K57,-PPMT(SUMMARY!$D$22/12,K57,SUMMARY!$D$21*12,SUMMARY!$D$20),0)</f>
        <v>168.3022930741401</v>
      </c>
      <c r="N57" s="160">
        <f t="shared" ca="1" si="0"/>
        <v>602.75687798793012</v>
      </c>
      <c r="P57" s="199"/>
      <c r="Q57" s="200"/>
      <c r="R57" s="200"/>
      <c r="S57" s="200"/>
      <c r="T57" s="179"/>
    </row>
    <row r="58" spans="11:20" x14ac:dyDescent="0.25">
      <c r="K58" s="159">
        <v>50</v>
      </c>
      <c r="L58" s="133">
        <f ca="1">-IF(SUMMARY!$D$21*12&gt;=K58,IPMT(SUMMARY!$D$22/12,K58,SUMMARY!$D$21*12,SUMMARY!$D$20),0)</f>
        <v>433.33256962662915</v>
      </c>
      <c r="M58" s="133">
        <f ca="1">IF(SUMMARY!$D$21*12&gt;=K58,-PPMT(SUMMARY!$D$22/12,K58,SUMMARY!$D$21*12,SUMMARY!$D$20),0)</f>
        <v>169.42430836130097</v>
      </c>
      <c r="N58" s="160">
        <f t="shared" ca="1" si="0"/>
        <v>602.75687798793012</v>
      </c>
      <c r="P58" s="199"/>
      <c r="Q58" s="200"/>
      <c r="R58" s="200"/>
      <c r="S58" s="200"/>
      <c r="T58" s="179"/>
    </row>
    <row r="59" spans="11:20" x14ac:dyDescent="0.25">
      <c r="K59" s="159">
        <v>51</v>
      </c>
      <c r="L59" s="133">
        <f ca="1">-IF(SUMMARY!$D$21*12&gt;=K59,IPMT(SUMMARY!$D$22/12,K59,SUMMARY!$D$21*12,SUMMARY!$D$20),0)</f>
        <v>432.20307423755384</v>
      </c>
      <c r="M59" s="133">
        <f ca="1">IF(SUMMARY!$D$21*12&gt;=K59,-PPMT(SUMMARY!$D$22/12,K59,SUMMARY!$D$21*12,SUMMARY!$D$20),0)</f>
        <v>170.55380375037629</v>
      </c>
      <c r="N59" s="160">
        <f t="shared" ca="1" si="0"/>
        <v>602.75687798793012</v>
      </c>
      <c r="P59" s="199"/>
      <c r="Q59" s="200"/>
      <c r="R59" s="200"/>
      <c r="S59" s="200"/>
      <c r="T59" s="179"/>
    </row>
    <row r="60" spans="11:20" x14ac:dyDescent="0.25">
      <c r="K60" s="159">
        <v>52</v>
      </c>
      <c r="L60" s="133">
        <f ca="1">-IF(SUMMARY!$D$21*12&gt;=K60,IPMT(SUMMARY!$D$22/12,K60,SUMMARY!$D$21*12,SUMMARY!$D$20),0)</f>
        <v>431.06604887921799</v>
      </c>
      <c r="M60" s="133">
        <f ca="1">IF(SUMMARY!$D$21*12&gt;=K60,-PPMT(SUMMARY!$D$22/12,K60,SUMMARY!$D$21*12,SUMMARY!$D$20),0)</f>
        <v>171.69082910871214</v>
      </c>
      <c r="N60" s="160">
        <f t="shared" ca="1" si="0"/>
        <v>602.75687798793012</v>
      </c>
      <c r="P60" s="199"/>
      <c r="Q60" s="200"/>
      <c r="R60" s="200"/>
      <c r="S60" s="200"/>
    </row>
    <row r="61" spans="11:20" x14ac:dyDescent="0.25">
      <c r="K61" s="159">
        <v>53</v>
      </c>
      <c r="L61" s="133">
        <f ca="1">-IF(SUMMARY!$D$21*12&gt;=K61,IPMT(SUMMARY!$D$22/12,K61,SUMMARY!$D$21*12,SUMMARY!$D$20),0)</f>
        <v>429.92144335182655</v>
      </c>
      <c r="M61" s="133">
        <f ca="1">IF(SUMMARY!$D$21*12&gt;=K61,-PPMT(SUMMARY!$D$22/12,K61,SUMMARY!$D$21*12,SUMMARY!$D$20),0)</f>
        <v>172.83543463610357</v>
      </c>
      <c r="N61" s="160">
        <f t="shared" ca="1" si="0"/>
        <v>602.75687798793012</v>
      </c>
      <c r="P61" s="199"/>
      <c r="Q61" s="200"/>
      <c r="R61" s="200"/>
      <c r="S61" s="200"/>
    </row>
    <row r="62" spans="11:20" x14ac:dyDescent="0.25">
      <c r="K62" s="159">
        <v>54</v>
      </c>
      <c r="L62" s="133">
        <f ca="1">-IF(SUMMARY!$D$21*12&gt;=K62,IPMT(SUMMARY!$D$22/12,K62,SUMMARY!$D$21*12,SUMMARY!$D$20),0)</f>
        <v>428.76920712091925</v>
      </c>
      <c r="M62" s="133">
        <f ca="1">IF(SUMMARY!$D$21*12&gt;=K62,-PPMT(SUMMARY!$D$22/12,K62,SUMMARY!$D$21*12,SUMMARY!$D$20),0)</f>
        <v>173.98767086701088</v>
      </c>
      <c r="N62" s="160">
        <f t="shared" ca="1" si="0"/>
        <v>602.75687798793012</v>
      </c>
      <c r="P62" s="199"/>
      <c r="Q62" s="200"/>
      <c r="R62" s="200"/>
      <c r="S62" s="200"/>
    </row>
    <row r="63" spans="11:20" x14ac:dyDescent="0.25">
      <c r="K63" s="159">
        <v>55</v>
      </c>
      <c r="L63" s="133">
        <f ca="1">-IF(SUMMARY!$D$21*12&gt;=K63,IPMT(SUMMARY!$D$22/12,K63,SUMMARY!$D$21*12,SUMMARY!$D$20),0)</f>
        <v>427.60928931513922</v>
      </c>
      <c r="M63" s="133">
        <f ca="1">IF(SUMMARY!$D$21*12&gt;=K63,-PPMT(SUMMARY!$D$22/12,K63,SUMMARY!$D$21*12,SUMMARY!$D$20),0)</f>
        <v>175.1475886727909</v>
      </c>
      <c r="N63" s="160">
        <f t="shared" ca="1" si="0"/>
        <v>602.75687798793012</v>
      </c>
      <c r="P63" s="199"/>
      <c r="Q63" s="200"/>
      <c r="R63" s="200"/>
      <c r="S63" s="200"/>
    </row>
    <row r="64" spans="11:20" x14ac:dyDescent="0.25">
      <c r="K64" s="159">
        <v>56</v>
      </c>
      <c r="L64" s="133">
        <f ca="1">-IF(SUMMARY!$D$21*12&gt;=K64,IPMT(SUMMARY!$D$22/12,K64,SUMMARY!$D$21*12,SUMMARY!$D$20),0)</f>
        <v>426.44163872398718</v>
      </c>
      <c r="M64" s="133">
        <f ca="1">IF(SUMMARY!$D$21*12&gt;=K64,-PPMT(SUMMARY!$D$22/12,K64,SUMMARY!$D$21*12,SUMMARY!$D$20),0)</f>
        <v>176.31523926394294</v>
      </c>
      <c r="N64" s="160">
        <f t="shared" ca="1" si="0"/>
        <v>602.75687798793012</v>
      </c>
      <c r="P64" s="199"/>
      <c r="Q64" s="200"/>
      <c r="R64" s="200"/>
      <c r="S64" s="200"/>
    </row>
    <row r="65" spans="11:19" x14ac:dyDescent="0.25">
      <c r="K65" s="159">
        <v>57</v>
      </c>
      <c r="L65" s="133">
        <f ca="1">-IF(SUMMARY!$D$21*12&gt;=K65,IPMT(SUMMARY!$D$22/12,K65,SUMMARY!$D$21*12,SUMMARY!$D$20),0)</f>
        <v>425.2662037955609</v>
      </c>
      <c r="M65" s="133">
        <f ca="1">IF(SUMMARY!$D$21*12&gt;=K65,-PPMT(SUMMARY!$D$22/12,K65,SUMMARY!$D$21*12,SUMMARY!$D$20),0)</f>
        <v>177.49067419236923</v>
      </c>
      <c r="N65" s="160">
        <f t="shared" ca="1" si="0"/>
        <v>602.75687798793012</v>
      </c>
      <c r="P65" s="199"/>
      <c r="Q65" s="200"/>
      <c r="R65" s="200"/>
      <c r="S65" s="200"/>
    </row>
    <row r="66" spans="11:19" x14ac:dyDescent="0.25">
      <c r="K66" s="159">
        <v>58</v>
      </c>
      <c r="L66" s="133">
        <f ca="1">-IF(SUMMARY!$D$21*12&gt;=K66,IPMT(SUMMARY!$D$22/12,K66,SUMMARY!$D$21*12,SUMMARY!$D$20),0)</f>
        <v>424.08293263427856</v>
      </c>
      <c r="M66" s="133">
        <f ca="1">IF(SUMMARY!$D$21*12&gt;=K66,-PPMT(SUMMARY!$D$22/12,K66,SUMMARY!$D$21*12,SUMMARY!$D$20),0)</f>
        <v>178.67394535365156</v>
      </c>
      <c r="N66" s="160">
        <f t="shared" ca="1" si="0"/>
        <v>602.75687798793012</v>
      </c>
      <c r="P66" s="199"/>
      <c r="Q66" s="200"/>
      <c r="R66" s="200"/>
      <c r="S66" s="200"/>
    </row>
    <row r="67" spans="11:19" x14ac:dyDescent="0.25">
      <c r="K67" s="159">
        <v>59</v>
      </c>
      <c r="L67" s="133">
        <f ca="1">-IF(SUMMARY!$D$21*12&gt;=K67,IPMT(SUMMARY!$D$22/12,K67,SUMMARY!$D$21*12,SUMMARY!$D$20),0)</f>
        <v>422.89177299858756</v>
      </c>
      <c r="M67" s="133">
        <f ca="1">IF(SUMMARY!$D$21*12&gt;=K67,-PPMT(SUMMARY!$D$22/12,K67,SUMMARY!$D$21*12,SUMMARY!$D$20),0)</f>
        <v>179.86510498934257</v>
      </c>
      <c r="N67" s="160">
        <f t="shared" ca="1" si="0"/>
        <v>602.75687798793012</v>
      </c>
      <c r="P67" s="199"/>
      <c r="Q67" s="200"/>
      <c r="R67" s="200"/>
      <c r="S67" s="200"/>
    </row>
    <row r="68" spans="11:19" x14ac:dyDescent="0.25">
      <c r="K68" s="159">
        <v>60</v>
      </c>
      <c r="L68" s="133">
        <f ca="1">-IF(SUMMARY!$D$21*12&gt;=K68,IPMT(SUMMARY!$D$22/12,K68,SUMMARY!$D$21*12,SUMMARY!$D$20),0)</f>
        <v>421.69267229865858</v>
      </c>
      <c r="M68" s="133">
        <f ca="1">IF(SUMMARY!$D$21*12&gt;=K68,-PPMT(SUMMARY!$D$22/12,K68,SUMMARY!$D$21*12,SUMMARY!$D$20),0)</f>
        <v>181.06420568927155</v>
      </c>
      <c r="N68" s="160">
        <f t="shared" ca="1" si="0"/>
        <v>602.75687798793012</v>
      </c>
      <c r="P68" s="199"/>
      <c r="Q68" s="200"/>
      <c r="R68" s="200"/>
      <c r="S68" s="200"/>
    </row>
    <row r="69" spans="11:19" x14ac:dyDescent="0.25">
      <c r="K69" s="159">
        <v>61</v>
      </c>
      <c r="L69" s="133">
        <f ca="1">-IF(SUMMARY!$D$21*12&gt;=K69,IPMT(SUMMARY!$D$22/12,K69,SUMMARY!$D$21*12,SUMMARY!$D$20),0)</f>
        <v>420.48557759406339</v>
      </c>
      <c r="M69" s="133">
        <f ca="1">IF(SUMMARY!$D$21*12&gt;=K69,-PPMT(SUMMARY!$D$22/12,K69,SUMMARY!$D$21*12,SUMMARY!$D$20),0)</f>
        <v>182.27130039386674</v>
      </c>
      <c r="N69" s="160">
        <f t="shared" ca="1" si="0"/>
        <v>602.75687798793012</v>
      </c>
      <c r="P69" s="199"/>
      <c r="Q69" s="200"/>
      <c r="R69" s="200"/>
      <c r="S69" s="200"/>
    </row>
    <row r="70" spans="11:19" x14ac:dyDescent="0.25">
      <c r="K70" s="159">
        <v>62</v>
      </c>
      <c r="L70" s="133">
        <f ca="1">-IF(SUMMARY!$D$21*12&gt;=K70,IPMT(SUMMARY!$D$22/12,K70,SUMMARY!$D$21*12,SUMMARY!$D$20),0)</f>
        <v>419.27043559143766</v>
      </c>
      <c r="M70" s="133">
        <f ca="1">IF(SUMMARY!$D$21*12&gt;=K70,-PPMT(SUMMARY!$D$22/12,K70,SUMMARY!$D$21*12,SUMMARY!$D$20),0)</f>
        <v>183.48644239649246</v>
      </c>
      <c r="N70" s="160">
        <f t="shared" ca="1" si="0"/>
        <v>602.75687798793012</v>
      </c>
      <c r="P70" s="199"/>
      <c r="Q70" s="200"/>
      <c r="R70" s="200"/>
      <c r="S70" s="200"/>
    </row>
    <row r="71" spans="11:19" x14ac:dyDescent="0.25">
      <c r="K71" s="159">
        <v>63</v>
      </c>
      <c r="L71" s="133">
        <f ca="1">-IF(SUMMARY!$D$21*12&gt;=K71,IPMT(SUMMARY!$D$22/12,K71,SUMMARY!$D$21*12,SUMMARY!$D$20),0)</f>
        <v>418.0471926421277</v>
      </c>
      <c r="M71" s="133">
        <f ca="1">IF(SUMMARY!$D$21*12&gt;=K71,-PPMT(SUMMARY!$D$22/12,K71,SUMMARY!$D$21*12,SUMMARY!$D$20),0)</f>
        <v>184.70968534580243</v>
      </c>
      <c r="N71" s="160">
        <f t="shared" ca="1" si="0"/>
        <v>602.75687798793012</v>
      </c>
      <c r="P71" s="199"/>
      <c r="Q71" s="200"/>
      <c r="R71" s="200"/>
      <c r="S71" s="200"/>
    </row>
    <row r="72" spans="11:19" x14ac:dyDescent="0.25">
      <c r="K72" s="159">
        <v>64</v>
      </c>
      <c r="L72" s="133">
        <f ca="1">-IF(SUMMARY!$D$21*12&gt;=K72,IPMT(SUMMARY!$D$22/12,K72,SUMMARY!$D$21*12,SUMMARY!$D$20),0)</f>
        <v>416.81579473982237</v>
      </c>
      <c r="M72" s="133">
        <f ca="1">IF(SUMMARY!$D$21*12&gt;=K72,-PPMT(SUMMARY!$D$22/12,K72,SUMMARY!$D$21*12,SUMMARY!$D$20),0)</f>
        <v>185.94108324810776</v>
      </c>
      <c r="N72" s="160">
        <f t="shared" ca="1" si="0"/>
        <v>602.75687798793012</v>
      </c>
      <c r="P72" s="199"/>
      <c r="Q72" s="200"/>
      <c r="R72" s="200"/>
      <c r="S72" s="200"/>
    </row>
    <row r="73" spans="11:19" x14ac:dyDescent="0.25">
      <c r="K73" s="159">
        <v>65</v>
      </c>
      <c r="L73" s="133">
        <f ca="1">-IF(SUMMARY!$D$21*12&gt;=K73,IPMT(SUMMARY!$D$22/12,K73,SUMMARY!$D$21*12,SUMMARY!$D$20),0)</f>
        <v>415.57618751816835</v>
      </c>
      <c r="M73" s="133">
        <f ca="1">IF(SUMMARY!$D$21*12&gt;=K73,-PPMT(SUMMARY!$D$22/12,K73,SUMMARY!$D$21*12,SUMMARY!$D$20),0)</f>
        <v>187.18069046976177</v>
      </c>
      <c r="N73" s="160">
        <f t="shared" ref="N73:N136" ca="1" si="5">+M73+L73</f>
        <v>602.75687798793012</v>
      </c>
      <c r="P73" s="199"/>
      <c r="Q73" s="200"/>
      <c r="R73" s="200"/>
      <c r="S73" s="200"/>
    </row>
    <row r="74" spans="11:19" x14ac:dyDescent="0.25">
      <c r="K74" s="159">
        <v>66</v>
      </c>
      <c r="L74" s="133">
        <f ca="1">-IF(SUMMARY!$D$21*12&gt;=K74,IPMT(SUMMARY!$D$22/12,K74,SUMMARY!$D$21*12,SUMMARY!$D$20),0)</f>
        <v>414.32831624836996</v>
      </c>
      <c r="M74" s="133">
        <f ca="1">IF(SUMMARY!$D$21*12&gt;=K74,-PPMT(SUMMARY!$D$22/12,K74,SUMMARY!$D$21*12,SUMMARY!$D$20),0)</f>
        <v>188.42856173956017</v>
      </c>
      <c r="N74" s="160">
        <f t="shared" ca="1" si="5"/>
        <v>602.75687798793012</v>
      </c>
      <c r="P74" s="199"/>
      <c r="Q74" s="200"/>
      <c r="R74" s="200"/>
      <c r="S74" s="200"/>
    </row>
    <row r="75" spans="11:19" x14ac:dyDescent="0.25">
      <c r="K75" s="159">
        <v>67</v>
      </c>
      <c r="L75" s="133">
        <f ca="1">-IF(SUMMARY!$D$21*12&gt;=K75,IPMT(SUMMARY!$D$22/12,K75,SUMMARY!$D$21*12,SUMMARY!$D$20),0)</f>
        <v>413.0721258367729</v>
      </c>
      <c r="M75" s="133">
        <f ca="1">IF(SUMMARY!$D$21*12&gt;=K75,-PPMT(SUMMARY!$D$22/12,K75,SUMMARY!$D$21*12,SUMMARY!$D$20),0)</f>
        <v>189.68475215115723</v>
      </c>
      <c r="N75" s="160">
        <f t="shared" ca="1" si="5"/>
        <v>602.75687798793012</v>
      </c>
      <c r="P75" s="199"/>
      <c r="Q75" s="200"/>
      <c r="R75" s="200"/>
      <c r="S75" s="200"/>
    </row>
    <row r="76" spans="11:19" x14ac:dyDescent="0.25">
      <c r="K76" s="159">
        <v>68</v>
      </c>
      <c r="L76" s="133">
        <f ca="1">-IF(SUMMARY!$D$21*12&gt;=K76,IPMT(SUMMARY!$D$22/12,K76,SUMMARY!$D$21*12,SUMMARY!$D$20),0)</f>
        <v>411.80756082243187</v>
      </c>
      <c r="M76" s="133">
        <f ca="1">IF(SUMMARY!$D$21*12&gt;=K76,-PPMT(SUMMARY!$D$22/12,K76,SUMMARY!$D$21*12,SUMMARY!$D$20),0)</f>
        <v>190.94931716549826</v>
      </c>
      <c r="N76" s="160">
        <f t="shared" ca="1" si="5"/>
        <v>602.75687798793012</v>
      </c>
      <c r="P76" s="199"/>
      <c r="Q76" s="200"/>
      <c r="R76" s="200"/>
      <c r="S76" s="200"/>
    </row>
    <row r="77" spans="11:19" x14ac:dyDescent="0.25">
      <c r="K77" s="159">
        <v>69</v>
      </c>
      <c r="L77" s="133">
        <f ca="1">-IF(SUMMARY!$D$21*12&gt;=K77,IPMT(SUMMARY!$D$22/12,K77,SUMMARY!$D$21*12,SUMMARY!$D$20),0)</f>
        <v>410.53456537466184</v>
      </c>
      <c r="M77" s="133">
        <f ca="1">IF(SUMMARY!$D$21*12&gt;=K77,-PPMT(SUMMARY!$D$22/12,K77,SUMMARY!$D$21*12,SUMMARY!$D$20),0)</f>
        <v>192.22231261326829</v>
      </c>
      <c r="N77" s="160">
        <f t="shared" ca="1" si="5"/>
        <v>602.75687798793012</v>
      </c>
      <c r="P77" s="199"/>
      <c r="Q77" s="200"/>
      <c r="R77" s="200"/>
      <c r="S77" s="200"/>
    </row>
    <row r="78" spans="11:19" x14ac:dyDescent="0.25">
      <c r="K78" s="159">
        <v>70</v>
      </c>
      <c r="L78" s="133">
        <f ca="1">-IF(SUMMARY!$D$21*12&gt;=K78,IPMT(SUMMARY!$D$22/12,K78,SUMMARY!$D$21*12,SUMMARY!$D$20),0)</f>
        <v>409.2530832905735</v>
      </c>
      <c r="M78" s="133">
        <f ca="1">IF(SUMMARY!$D$21*12&gt;=K78,-PPMT(SUMMARY!$D$22/12,K78,SUMMARY!$D$21*12,SUMMARY!$D$20),0)</f>
        <v>193.50379469735662</v>
      </c>
      <c r="N78" s="160">
        <f t="shared" ca="1" si="5"/>
        <v>602.75687798793012</v>
      </c>
      <c r="P78" s="199"/>
      <c r="Q78" s="200"/>
      <c r="R78" s="200"/>
      <c r="S78" s="200"/>
    </row>
    <row r="79" spans="11:19" x14ac:dyDescent="0.25">
      <c r="K79" s="159">
        <v>71</v>
      </c>
      <c r="L79" s="133">
        <f ca="1">-IF(SUMMARY!$D$21*12&gt;=K79,IPMT(SUMMARY!$D$22/12,K79,SUMMARY!$D$21*12,SUMMARY!$D$20),0)</f>
        <v>407.96305799259096</v>
      </c>
      <c r="M79" s="133">
        <f ca="1">IF(SUMMARY!$D$21*12&gt;=K79,-PPMT(SUMMARY!$D$22/12,K79,SUMMARY!$D$21*12,SUMMARY!$D$20),0)</f>
        <v>194.79381999533916</v>
      </c>
      <c r="N79" s="160">
        <f t="shared" ca="1" si="5"/>
        <v>602.75687798793012</v>
      </c>
      <c r="P79" s="199"/>
      <c r="Q79" s="200"/>
      <c r="R79" s="200"/>
      <c r="S79" s="200"/>
    </row>
    <row r="80" spans="11:19" x14ac:dyDescent="0.25">
      <c r="K80" s="159">
        <v>72</v>
      </c>
      <c r="L80" s="133">
        <f ca="1">-IF(SUMMARY!$D$21*12&gt;=K80,IPMT(SUMMARY!$D$22/12,K80,SUMMARY!$D$21*12,SUMMARY!$D$20),0)</f>
        <v>406.66443252595548</v>
      </c>
      <c r="M80" s="133">
        <f ca="1">IF(SUMMARY!$D$21*12&gt;=K80,-PPMT(SUMMARY!$D$22/12,K80,SUMMARY!$D$21*12,SUMMARY!$D$20),0)</f>
        <v>196.09244546197465</v>
      </c>
      <c r="N80" s="160">
        <f t="shared" ca="1" si="5"/>
        <v>602.75687798793012</v>
      </c>
      <c r="P80" s="199"/>
      <c r="Q80" s="200"/>
      <c r="R80" s="200"/>
      <c r="S80" s="200"/>
    </row>
    <row r="81" spans="11:19" x14ac:dyDescent="0.25">
      <c r="K81" s="159">
        <v>73</v>
      </c>
      <c r="L81" s="133">
        <f ca="1">-IF(SUMMARY!$D$21*12&gt;=K81,IPMT(SUMMARY!$D$22/12,K81,SUMMARY!$D$21*12,SUMMARY!$D$20),0)</f>
        <v>405.35714955620898</v>
      </c>
      <c r="M81" s="133">
        <f ca="1">IF(SUMMARY!$D$21*12&gt;=K81,-PPMT(SUMMARY!$D$22/12,K81,SUMMARY!$D$21*12,SUMMARY!$D$20),0)</f>
        <v>197.39972843172114</v>
      </c>
      <c r="N81" s="160">
        <f t="shared" ca="1" si="5"/>
        <v>602.75687798793012</v>
      </c>
      <c r="P81" s="199"/>
      <c r="Q81" s="200"/>
      <c r="R81" s="200"/>
      <c r="S81" s="200"/>
    </row>
    <row r="82" spans="11:19" x14ac:dyDescent="0.25">
      <c r="K82" s="159">
        <v>74</v>
      </c>
      <c r="L82" s="133">
        <f ca="1">-IF(SUMMARY!$D$21*12&gt;=K82,IPMT(SUMMARY!$D$22/12,K82,SUMMARY!$D$21*12,SUMMARY!$D$20),0)</f>
        <v>404.04115136666422</v>
      </c>
      <c r="M82" s="133">
        <f ca="1">IF(SUMMARY!$D$21*12&gt;=K82,-PPMT(SUMMARY!$D$22/12,K82,SUMMARY!$D$21*12,SUMMARY!$D$20),0)</f>
        <v>198.7157266212659</v>
      </c>
      <c r="N82" s="160">
        <f t="shared" ca="1" si="5"/>
        <v>602.75687798793012</v>
      </c>
      <c r="P82" s="199"/>
      <c r="Q82" s="200"/>
      <c r="R82" s="200"/>
      <c r="S82" s="200"/>
    </row>
    <row r="83" spans="11:19" x14ac:dyDescent="0.25">
      <c r="K83" s="159">
        <v>75</v>
      </c>
      <c r="L83" s="133">
        <f ca="1">-IF(SUMMARY!$D$21*12&gt;=K83,IPMT(SUMMARY!$D$22/12,K83,SUMMARY!$D$21*12,SUMMARY!$D$20),0)</f>
        <v>402.71637985585579</v>
      </c>
      <c r="M83" s="133">
        <f ca="1">IF(SUMMARY!$D$21*12&gt;=K83,-PPMT(SUMMARY!$D$22/12,K83,SUMMARY!$D$21*12,SUMMARY!$D$20),0)</f>
        <v>200.04049813207433</v>
      </c>
      <c r="N83" s="160">
        <f t="shared" ca="1" si="5"/>
        <v>602.75687798793012</v>
      </c>
      <c r="P83" s="199"/>
      <c r="Q83" s="200"/>
      <c r="R83" s="200"/>
      <c r="S83" s="200"/>
    </row>
    <row r="84" spans="11:19" x14ac:dyDescent="0.25">
      <c r="K84" s="159">
        <v>76</v>
      </c>
      <c r="L84" s="133">
        <f ca="1">-IF(SUMMARY!$D$21*12&gt;=K84,IPMT(SUMMARY!$D$22/12,K84,SUMMARY!$D$21*12,SUMMARY!$D$20),0)</f>
        <v>401.38277653497528</v>
      </c>
      <c r="M84" s="133">
        <f ca="1">IF(SUMMARY!$D$21*12&gt;=K84,-PPMT(SUMMARY!$D$22/12,K84,SUMMARY!$D$21*12,SUMMARY!$D$20),0)</f>
        <v>201.37410145295485</v>
      </c>
      <c r="N84" s="160">
        <f t="shared" ca="1" si="5"/>
        <v>602.75687798793012</v>
      </c>
      <c r="P84" s="199"/>
      <c r="Q84" s="200"/>
      <c r="R84" s="200"/>
      <c r="S84" s="200"/>
    </row>
    <row r="85" spans="11:19" x14ac:dyDescent="0.25">
      <c r="K85" s="159">
        <v>77</v>
      </c>
      <c r="L85" s="133">
        <f ca="1">-IF(SUMMARY!$D$21*12&gt;=K85,IPMT(SUMMARY!$D$22/12,K85,SUMMARY!$D$21*12,SUMMARY!$D$20),0)</f>
        <v>400.04028252528889</v>
      </c>
      <c r="M85" s="133">
        <f ca="1">IF(SUMMARY!$D$21*12&gt;=K85,-PPMT(SUMMARY!$D$22/12,K85,SUMMARY!$D$21*12,SUMMARY!$D$20),0)</f>
        <v>202.71659546264124</v>
      </c>
      <c r="N85" s="160">
        <f t="shared" ca="1" si="5"/>
        <v>602.75687798793012</v>
      </c>
      <c r="P85" s="199"/>
      <c r="Q85" s="200"/>
      <c r="R85" s="200"/>
      <c r="S85" s="200"/>
    </row>
    <row r="86" spans="11:19" x14ac:dyDescent="0.25">
      <c r="K86" s="159">
        <v>78</v>
      </c>
      <c r="L86" s="133">
        <f ca="1">-IF(SUMMARY!$D$21*12&gt;=K86,IPMT(SUMMARY!$D$22/12,K86,SUMMARY!$D$21*12,SUMMARY!$D$20),0)</f>
        <v>398.68883855553804</v>
      </c>
      <c r="M86" s="133">
        <f ca="1">IF(SUMMARY!$D$21*12&gt;=K86,-PPMT(SUMMARY!$D$22/12,K86,SUMMARY!$D$21*12,SUMMARY!$D$20),0)</f>
        <v>204.06803943239208</v>
      </c>
      <c r="N86" s="160">
        <f t="shared" ca="1" si="5"/>
        <v>602.75687798793012</v>
      </c>
      <c r="P86" s="199"/>
      <c r="Q86" s="200"/>
      <c r="R86" s="200"/>
      <c r="S86" s="200"/>
    </row>
    <row r="87" spans="11:19" x14ac:dyDescent="0.25">
      <c r="K87" s="159">
        <v>79</v>
      </c>
      <c r="L87" s="133">
        <f ca="1">-IF(SUMMARY!$D$21*12&gt;=K87,IPMT(SUMMARY!$D$22/12,K87,SUMMARY!$D$21*12,SUMMARY!$D$20),0)</f>
        <v>397.32838495932208</v>
      </c>
      <c r="M87" s="133">
        <f ca="1">IF(SUMMARY!$D$21*12&gt;=K87,-PPMT(SUMMARY!$D$22/12,K87,SUMMARY!$D$21*12,SUMMARY!$D$20),0)</f>
        <v>205.42849302860805</v>
      </c>
      <c r="N87" s="160">
        <f t="shared" ca="1" si="5"/>
        <v>602.75687798793012</v>
      </c>
      <c r="P87" s="199"/>
      <c r="Q87" s="200"/>
      <c r="R87" s="200"/>
      <c r="S87" s="200"/>
    </row>
    <row r="88" spans="11:19" x14ac:dyDescent="0.25">
      <c r="K88" s="159">
        <v>80</v>
      </c>
      <c r="L88" s="133">
        <f ca="1">-IF(SUMMARY!$D$21*12&gt;=K88,IPMT(SUMMARY!$D$22/12,K88,SUMMARY!$D$21*12,SUMMARY!$D$20),0)</f>
        <v>395.95886167246471</v>
      </c>
      <c r="M88" s="133">
        <f ca="1">IF(SUMMARY!$D$21*12&gt;=K88,-PPMT(SUMMARY!$D$22/12,K88,SUMMARY!$D$21*12,SUMMARY!$D$20),0)</f>
        <v>206.79801631546542</v>
      </c>
      <c r="N88" s="160">
        <f t="shared" ca="1" si="5"/>
        <v>602.75687798793012</v>
      </c>
      <c r="P88" s="199"/>
      <c r="Q88" s="200"/>
      <c r="R88" s="200"/>
      <c r="S88" s="200"/>
    </row>
    <row r="89" spans="11:19" x14ac:dyDescent="0.25">
      <c r="K89" s="159">
        <v>81</v>
      </c>
      <c r="L89" s="133">
        <f ca="1">-IF(SUMMARY!$D$21*12&gt;=K89,IPMT(SUMMARY!$D$22/12,K89,SUMMARY!$D$21*12,SUMMARY!$D$20),0)</f>
        <v>394.58020823036151</v>
      </c>
      <c r="M89" s="133">
        <f ca="1">IF(SUMMARY!$D$21*12&gt;=K89,-PPMT(SUMMARY!$D$22/12,K89,SUMMARY!$D$21*12,SUMMARY!$D$20),0)</f>
        <v>208.17666975756862</v>
      </c>
      <c r="N89" s="160">
        <f t="shared" ca="1" si="5"/>
        <v>602.75687798793012</v>
      </c>
      <c r="P89" s="199"/>
      <c r="Q89" s="200"/>
      <c r="R89" s="200"/>
      <c r="S89" s="200"/>
    </row>
    <row r="90" spans="11:19" x14ac:dyDescent="0.25">
      <c r="K90" s="159">
        <v>82</v>
      </c>
      <c r="L90" s="133">
        <f ca="1">-IF(SUMMARY!$D$21*12&gt;=K90,IPMT(SUMMARY!$D$22/12,K90,SUMMARY!$D$21*12,SUMMARY!$D$20),0)</f>
        <v>393.19236376531114</v>
      </c>
      <c r="M90" s="133">
        <f ca="1">IF(SUMMARY!$D$21*12&gt;=K90,-PPMT(SUMMARY!$D$22/12,K90,SUMMARY!$D$21*12,SUMMARY!$D$20),0)</f>
        <v>209.56451422261898</v>
      </c>
      <c r="N90" s="160">
        <f t="shared" ca="1" si="5"/>
        <v>602.75687798793012</v>
      </c>
      <c r="P90" s="199"/>
      <c r="Q90" s="200"/>
      <c r="R90" s="200"/>
      <c r="S90" s="200"/>
    </row>
    <row r="91" spans="11:19" x14ac:dyDescent="0.25">
      <c r="K91" s="159">
        <v>83</v>
      </c>
      <c r="L91" s="133">
        <f ca="1">-IF(SUMMARY!$D$21*12&gt;=K91,IPMT(SUMMARY!$D$22/12,K91,SUMMARY!$D$21*12,SUMMARY!$D$20),0)</f>
        <v>391.79526700382701</v>
      </c>
      <c r="M91" s="133">
        <f ca="1">IF(SUMMARY!$D$21*12&gt;=K91,-PPMT(SUMMARY!$D$22/12,K91,SUMMARY!$D$21*12,SUMMARY!$D$20),0)</f>
        <v>210.96161098410312</v>
      </c>
      <c r="N91" s="160">
        <f t="shared" ca="1" si="5"/>
        <v>602.75687798793012</v>
      </c>
      <c r="P91" s="199"/>
      <c r="Q91" s="200"/>
      <c r="R91" s="200"/>
      <c r="S91" s="200"/>
    </row>
    <row r="92" spans="11:19" x14ac:dyDescent="0.25">
      <c r="K92" s="159">
        <v>84</v>
      </c>
      <c r="L92" s="133">
        <f ca="1">-IF(SUMMARY!$D$21*12&gt;=K92,IPMT(SUMMARY!$D$22/12,K92,SUMMARY!$D$21*12,SUMMARY!$D$20),0)</f>
        <v>390.38885626393295</v>
      </c>
      <c r="M92" s="133">
        <f ca="1">IF(SUMMARY!$D$21*12&gt;=K92,-PPMT(SUMMARY!$D$22/12,K92,SUMMARY!$D$21*12,SUMMARY!$D$20),0)</f>
        <v>212.36802172399717</v>
      </c>
      <c r="N92" s="160">
        <f t="shared" ca="1" si="5"/>
        <v>602.75687798793012</v>
      </c>
      <c r="P92" s="199"/>
      <c r="Q92" s="200"/>
      <c r="R92" s="200"/>
      <c r="S92" s="200"/>
    </row>
    <row r="93" spans="11:19" x14ac:dyDescent="0.25">
      <c r="K93" s="159">
        <v>85</v>
      </c>
      <c r="L93" s="133">
        <f ca="1">-IF(SUMMARY!$D$21*12&gt;=K93,IPMT(SUMMARY!$D$22/12,K93,SUMMARY!$D$21*12,SUMMARY!$D$20),0)</f>
        <v>388.9730694524398</v>
      </c>
      <c r="M93" s="133">
        <f ca="1">IF(SUMMARY!$D$21*12&gt;=K93,-PPMT(SUMMARY!$D$22/12,K93,SUMMARY!$D$21*12,SUMMARY!$D$20),0)</f>
        <v>213.78380853549032</v>
      </c>
      <c r="N93" s="160">
        <f t="shared" ca="1" si="5"/>
        <v>602.75687798793012</v>
      </c>
      <c r="P93" s="199"/>
      <c r="Q93" s="200"/>
      <c r="R93" s="200"/>
      <c r="S93" s="200"/>
    </row>
    <row r="94" spans="11:19" x14ac:dyDescent="0.25">
      <c r="K94" s="159">
        <v>86</v>
      </c>
      <c r="L94" s="133">
        <f ca="1">-IF(SUMMARY!$D$21*12&gt;=K94,IPMT(SUMMARY!$D$22/12,K94,SUMMARY!$D$21*12,SUMMARY!$D$20),0)</f>
        <v>387.54784406220313</v>
      </c>
      <c r="M94" s="133">
        <f ca="1">IF(SUMMARY!$D$21*12&gt;=K94,-PPMT(SUMMARY!$D$22/12,K94,SUMMARY!$D$21*12,SUMMARY!$D$20),0)</f>
        <v>215.209033925727</v>
      </c>
      <c r="N94" s="160">
        <f t="shared" ca="1" si="5"/>
        <v>602.75687798793012</v>
      </c>
      <c r="P94" s="199"/>
      <c r="Q94" s="200"/>
      <c r="R94" s="200"/>
      <c r="S94" s="200"/>
    </row>
    <row r="95" spans="11:19" x14ac:dyDescent="0.25">
      <c r="K95" s="159">
        <v>87</v>
      </c>
      <c r="L95" s="133">
        <f ca="1">-IF(SUMMARY!$D$21*12&gt;=K95,IPMT(SUMMARY!$D$22/12,K95,SUMMARY!$D$21*12,SUMMARY!$D$20),0)</f>
        <v>386.11311716936501</v>
      </c>
      <c r="M95" s="133">
        <f ca="1">IF(SUMMARY!$D$21*12&gt;=K95,-PPMT(SUMMARY!$D$22/12,K95,SUMMARY!$D$21*12,SUMMARY!$D$20),0)</f>
        <v>216.64376081856511</v>
      </c>
      <c r="N95" s="160">
        <f t="shared" ca="1" si="5"/>
        <v>602.75687798793012</v>
      </c>
      <c r="P95" s="199"/>
      <c r="Q95" s="200"/>
      <c r="R95" s="200"/>
      <c r="S95" s="200"/>
    </row>
    <row r="96" spans="11:19" x14ac:dyDescent="0.25">
      <c r="K96" s="159">
        <v>88</v>
      </c>
      <c r="L96" s="133">
        <f ca="1">-IF(SUMMARY!$D$21*12&gt;=K96,IPMT(SUMMARY!$D$22/12,K96,SUMMARY!$D$21*12,SUMMARY!$D$20),0)</f>
        <v>384.6688254305746</v>
      </c>
      <c r="M96" s="133">
        <f ca="1">IF(SUMMARY!$D$21*12&gt;=K96,-PPMT(SUMMARY!$D$22/12,K96,SUMMARY!$D$21*12,SUMMARY!$D$20),0)</f>
        <v>218.08805255735552</v>
      </c>
      <c r="N96" s="160">
        <f t="shared" ca="1" si="5"/>
        <v>602.75687798793012</v>
      </c>
      <c r="P96" s="199"/>
      <c r="Q96" s="200"/>
      <c r="R96" s="200"/>
      <c r="S96" s="200"/>
    </row>
    <row r="97" spans="11:19" x14ac:dyDescent="0.25">
      <c r="K97" s="159">
        <v>89</v>
      </c>
      <c r="L97" s="133">
        <f ca="1">-IF(SUMMARY!$D$21*12&gt;=K97,IPMT(SUMMARY!$D$22/12,K97,SUMMARY!$D$21*12,SUMMARY!$D$20),0)</f>
        <v>383.21490508019218</v>
      </c>
      <c r="M97" s="133">
        <f ca="1">IF(SUMMARY!$D$21*12&gt;=K97,-PPMT(SUMMARY!$D$22/12,K97,SUMMARY!$D$21*12,SUMMARY!$D$20),0)</f>
        <v>219.54197290773794</v>
      </c>
      <c r="N97" s="160">
        <f t="shared" ca="1" si="5"/>
        <v>602.75687798793012</v>
      </c>
      <c r="P97" s="199"/>
      <c r="Q97" s="200"/>
      <c r="R97" s="200"/>
      <c r="S97" s="200"/>
    </row>
    <row r="98" spans="11:19" x14ac:dyDescent="0.25">
      <c r="K98" s="159">
        <v>90</v>
      </c>
      <c r="L98" s="133">
        <f ca="1">-IF(SUMMARY!$D$21*12&gt;=K98,IPMT(SUMMARY!$D$22/12,K98,SUMMARY!$D$21*12,SUMMARY!$D$20),0)</f>
        <v>381.75129192747403</v>
      </c>
      <c r="M98" s="133">
        <f ca="1">IF(SUMMARY!$D$21*12&gt;=K98,-PPMT(SUMMARY!$D$22/12,K98,SUMMARY!$D$21*12,SUMMARY!$D$20),0)</f>
        <v>221.0055860604561</v>
      </c>
      <c r="N98" s="160">
        <f t="shared" ca="1" si="5"/>
        <v>602.75687798793012</v>
      </c>
      <c r="P98" s="199"/>
      <c r="Q98" s="200"/>
      <c r="R98" s="200"/>
      <c r="S98" s="200"/>
    </row>
    <row r="99" spans="11:19" x14ac:dyDescent="0.25">
      <c r="K99" s="159">
        <v>91</v>
      </c>
      <c r="L99" s="133">
        <f ca="1">-IF(SUMMARY!$D$21*12&gt;=K99,IPMT(SUMMARY!$D$22/12,K99,SUMMARY!$D$21*12,SUMMARY!$D$20),0)</f>
        <v>380.27792135373761</v>
      </c>
      <c r="M99" s="133">
        <f ca="1">IF(SUMMARY!$D$21*12&gt;=K99,-PPMT(SUMMARY!$D$22/12,K99,SUMMARY!$D$21*12,SUMMARY!$D$20),0)</f>
        <v>222.47895663419251</v>
      </c>
      <c r="N99" s="160">
        <f t="shared" ca="1" si="5"/>
        <v>602.75687798793012</v>
      </c>
      <c r="P99" s="199"/>
      <c r="Q99" s="200"/>
      <c r="R99" s="200"/>
      <c r="S99" s="200"/>
    </row>
    <row r="100" spans="11:19" x14ac:dyDescent="0.25">
      <c r="K100" s="159">
        <v>92</v>
      </c>
      <c r="L100" s="133">
        <f ca="1">-IF(SUMMARY!$D$21*12&gt;=K100,IPMT(SUMMARY!$D$22/12,K100,SUMMARY!$D$21*12,SUMMARY!$D$20),0)</f>
        <v>378.79472830950965</v>
      </c>
      <c r="M100" s="133">
        <f ca="1">IF(SUMMARY!$D$21*12&gt;=K100,-PPMT(SUMMARY!$D$22/12,K100,SUMMARY!$D$21*12,SUMMARY!$D$20),0)</f>
        <v>223.96214967842047</v>
      </c>
      <c r="N100" s="160">
        <f t="shared" ca="1" si="5"/>
        <v>602.75687798793012</v>
      </c>
      <c r="P100" s="199"/>
      <c r="Q100" s="200"/>
      <c r="R100" s="200"/>
      <c r="S100" s="200"/>
    </row>
    <row r="101" spans="11:19" x14ac:dyDescent="0.25">
      <c r="K101" s="159">
        <v>93</v>
      </c>
      <c r="L101" s="133">
        <f ca="1">-IF(SUMMARY!$D$21*12&gt;=K101,IPMT(SUMMARY!$D$22/12,K101,SUMMARY!$D$21*12,SUMMARY!$D$20),0)</f>
        <v>377.3016473116536</v>
      </c>
      <c r="M101" s="133">
        <f ca="1">IF(SUMMARY!$D$21*12&gt;=K101,-PPMT(SUMMARY!$D$22/12,K101,SUMMARY!$D$21*12,SUMMARY!$D$20),0)</f>
        <v>225.45523067627653</v>
      </c>
      <c r="N101" s="160">
        <f t="shared" ca="1" si="5"/>
        <v>602.75687798793012</v>
      </c>
      <c r="P101" s="199"/>
      <c r="Q101" s="200"/>
      <c r="R101" s="200"/>
      <c r="S101" s="200"/>
    </row>
    <row r="102" spans="11:19" x14ac:dyDescent="0.25">
      <c r="K102" s="159">
        <v>94</v>
      </c>
      <c r="L102" s="133">
        <f ca="1">-IF(SUMMARY!$D$21*12&gt;=K102,IPMT(SUMMARY!$D$22/12,K102,SUMMARY!$D$21*12,SUMMARY!$D$20),0)</f>
        <v>375.79861244047851</v>
      </c>
      <c r="M102" s="133">
        <f ca="1">IF(SUMMARY!$D$21*12&gt;=K102,-PPMT(SUMMARY!$D$22/12,K102,SUMMARY!$D$21*12,SUMMARY!$D$20),0)</f>
        <v>226.95826554745162</v>
      </c>
      <c r="N102" s="160">
        <f t="shared" ca="1" si="5"/>
        <v>602.75687798793012</v>
      </c>
      <c r="P102" s="199"/>
      <c r="Q102" s="200"/>
      <c r="R102" s="200"/>
      <c r="S102" s="200"/>
    </row>
    <row r="103" spans="11:19" x14ac:dyDescent="0.25">
      <c r="K103" s="159">
        <v>95</v>
      </c>
      <c r="L103" s="133">
        <f ca="1">-IF(SUMMARY!$D$21*12&gt;=K103,IPMT(SUMMARY!$D$22/12,K103,SUMMARY!$D$21*12,SUMMARY!$D$20),0)</f>
        <v>374.28555733682873</v>
      </c>
      <c r="M103" s="133">
        <f ca="1">IF(SUMMARY!$D$21*12&gt;=K103,-PPMT(SUMMARY!$D$22/12,K103,SUMMARY!$D$21*12,SUMMARY!$D$20),0)</f>
        <v>228.47132065110139</v>
      </c>
      <c r="N103" s="160">
        <f t="shared" ca="1" si="5"/>
        <v>602.75687798793012</v>
      </c>
      <c r="P103" s="199"/>
      <c r="Q103" s="200"/>
      <c r="R103" s="200"/>
      <c r="S103" s="200"/>
    </row>
    <row r="104" spans="11:19" x14ac:dyDescent="0.25">
      <c r="K104" s="159">
        <v>96</v>
      </c>
      <c r="L104" s="133">
        <f ca="1">-IF(SUMMARY!$D$21*12&gt;=K104,IPMT(SUMMARY!$D$22/12,K104,SUMMARY!$D$21*12,SUMMARY!$D$20),0)</f>
        <v>372.76241519915476</v>
      </c>
      <c r="M104" s="133">
        <f ca="1">IF(SUMMARY!$D$21*12&gt;=K104,-PPMT(SUMMARY!$D$22/12,K104,SUMMARY!$D$21*12,SUMMARY!$D$20),0)</f>
        <v>229.99446278877537</v>
      </c>
      <c r="N104" s="160">
        <f t="shared" ca="1" si="5"/>
        <v>602.75687798793012</v>
      </c>
      <c r="P104" s="199"/>
      <c r="Q104" s="200"/>
      <c r="R104" s="200"/>
      <c r="S104" s="200"/>
    </row>
    <row r="105" spans="11:19" x14ac:dyDescent="0.25">
      <c r="K105" s="159">
        <v>97</v>
      </c>
      <c r="L105" s="133">
        <f ca="1">-IF(SUMMARY!$D$21*12&gt;=K105,IPMT(SUMMARY!$D$22/12,K105,SUMMARY!$D$21*12,SUMMARY!$D$20),0)</f>
        <v>371.22911878056283</v>
      </c>
      <c r="M105" s="133">
        <f ca="1">IF(SUMMARY!$D$21*12&gt;=K105,-PPMT(SUMMARY!$D$22/12,K105,SUMMARY!$D$21*12,SUMMARY!$D$20),0)</f>
        <v>231.5277592073673</v>
      </c>
      <c r="N105" s="160">
        <f t="shared" ca="1" si="5"/>
        <v>602.75687798793012</v>
      </c>
      <c r="P105" s="199"/>
      <c r="Q105" s="200"/>
      <c r="R105" s="200"/>
      <c r="S105" s="200"/>
    </row>
    <row r="106" spans="11:19" x14ac:dyDescent="0.25">
      <c r="K106" s="159">
        <v>98</v>
      </c>
      <c r="L106" s="133">
        <f ca="1">-IF(SUMMARY!$D$21*12&gt;=K106,IPMT(SUMMARY!$D$22/12,K106,SUMMARY!$D$21*12,SUMMARY!$D$20),0)</f>
        <v>369.68560038584712</v>
      </c>
      <c r="M106" s="133">
        <f ca="1">IF(SUMMARY!$D$21*12&gt;=K106,-PPMT(SUMMARY!$D$22/12,K106,SUMMARY!$D$21*12,SUMMARY!$D$20),0)</f>
        <v>233.071277602083</v>
      </c>
      <c r="N106" s="160">
        <f t="shared" ca="1" si="5"/>
        <v>602.75687798793012</v>
      </c>
      <c r="P106" s="199"/>
      <c r="Q106" s="200"/>
      <c r="R106" s="200"/>
      <c r="S106" s="200"/>
    </row>
    <row r="107" spans="11:19" x14ac:dyDescent="0.25">
      <c r="K107" s="159">
        <v>99</v>
      </c>
      <c r="L107" s="133">
        <f ca="1">-IF(SUMMARY!$D$21*12&gt;=K107,IPMT(SUMMARY!$D$22/12,K107,SUMMARY!$D$21*12,SUMMARY!$D$20),0)</f>
        <v>368.13179186849993</v>
      </c>
      <c r="M107" s="133">
        <f ca="1">IF(SUMMARY!$D$21*12&gt;=K107,-PPMT(SUMMARY!$D$22/12,K107,SUMMARY!$D$21*12,SUMMARY!$D$20),0)</f>
        <v>234.62508611943019</v>
      </c>
      <c r="N107" s="160">
        <f t="shared" ca="1" si="5"/>
        <v>602.75687798793012</v>
      </c>
      <c r="P107" s="199"/>
      <c r="Q107" s="200"/>
      <c r="R107" s="200"/>
      <c r="S107" s="200"/>
    </row>
    <row r="108" spans="11:19" x14ac:dyDescent="0.25">
      <c r="K108" s="159">
        <v>100</v>
      </c>
      <c r="L108" s="133">
        <f ca="1">-IF(SUMMARY!$D$21*12&gt;=K108,IPMT(SUMMARY!$D$22/12,K108,SUMMARY!$D$21*12,SUMMARY!$D$20),0)</f>
        <v>366.56762462770376</v>
      </c>
      <c r="M108" s="133">
        <f ca="1">IF(SUMMARY!$D$21*12&gt;=K108,-PPMT(SUMMARY!$D$22/12,K108,SUMMARY!$D$21*12,SUMMARY!$D$20),0)</f>
        <v>236.18925336022636</v>
      </c>
      <c r="N108" s="160">
        <f t="shared" ca="1" si="5"/>
        <v>602.75687798793012</v>
      </c>
      <c r="P108" s="199"/>
      <c r="Q108" s="200"/>
      <c r="R108" s="200"/>
      <c r="S108" s="200"/>
    </row>
    <row r="109" spans="11:19" x14ac:dyDescent="0.25">
      <c r="K109" s="159">
        <v>101</v>
      </c>
      <c r="L109" s="133">
        <f ca="1">-IF(SUMMARY!$D$21*12&gt;=K109,IPMT(SUMMARY!$D$22/12,K109,SUMMARY!$D$21*12,SUMMARY!$D$20),0)</f>
        <v>364.99302960530207</v>
      </c>
      <c r="M109" s="133">
        <f ca="1">IF(SUMMARY!$D$21*12&gt;=K109,-PPMT(SUMMARY!$D$22/12,K109,SUMMARY!$D$21*12,SUMMARY!$D$20),0)</f>
        <v>237.76384838262805</v>
      </c>
      <c r="N109" s="160">
        <f t="shared" ca="1" si="5"/>
        <v>602.75687798793012</v>
      </c>
      <c r="P109" s="199"/>
      <c r="Q109" s="200"/>
      <c r="R109" s="200"/>
      <c r="S109" s="200"/>
    </row>
    <row r="110" spans="11:19" x14ac:dyDescent="0.25">
      <c r="K110" s="159">
        <v>102</v>
      </c>
      <c r="L110" s="133">
        <f ca="1">-IF(SUMMARY!$D$21*12&gt;=K110,IPMT(SUMMARY!$D$22/12,K110,SUMMARY!$D$21*12,SUMMARY!$D$20),0)</f>
        <v>363.40793728275139</v>
      </c>
      <c r="M110" s="133">
        <f ca="1">IF(SUMMARY!$D$21*12&gt;=K110,-PPMT(SUMMARY!$D$22/12,K110,SUMMARY!$D$21*12,SUMMARY!$D$20),0)</f>
        <v>239.34894070517873</v>
      </c>
      <c r="N110" s="160">
        <f t="shared" ca="1" si="5"/>
        <v>602.75687798793012</v>
      </c>
      <c r="P110" s="199"/>
      <c r="Q110" s="200"/>
      <c r="R110" s="200"/>
      <c r="S110" s="200"/>
    </row>
    <row r="111" spans="11:19" x14ac:dyDescent="0.25">
      <c r="K111" s="159">
        <v>103</v>
      </c>
      <c r="L111" s="133">
        <f ca="1">-IF(SUMMARY!$D$21*12&gt;=K111,IPMT(SUMMARY!$D$22/12,K111,SUMMARY!$D$21*12,SUMMARY!$D$20),0)</f>
        <v>361.81227767805018</v>
      </c>
      <c r="M111" s="133">
        <f ca="1">IF(SUMMARY!$D$21*12&gt;=K111,-PPMT(SUMMARY!$D$22/12,K111,SUMMARY!$D$21*12,SUMMARY!$D$20),0)</f>
        <v>240.94460030987995</v>
      </c>
      <c r="N111" s="160">
        <f t="shared" ca="1" si="5"/>
        <v>602.75687798793012</v>
      </c>
      <c r="P111" s="199"/>
      <c r="Q111" s="200"/>
      <c r="R111" s="200"/>
      <c r="S111" s="200"/>
    </row>
    <row r="112" spans="11:19" x14ac:dyDescent="0.25">
      <c r="K112" s="159">
        <v>104</v>
      </c>
      <c r="L112" s="133">
        <f ca="1">-IF(SUMMARY!$D$21*12&gt;=K112,IPMT(SUMMARY!$D$22/12,K112,SUMMARY!$D$21*12,SUMMARY!$D$20),0)</f>
        <v>360.20598034265106</v>
      </c>
      <c r="M112" s="133">
        <f ca="1">IF(SUMMARY!$D$21*12&gt;=K112,-PPMT(SUMMARY!$D$22/12,K112,SUMMARY!$D$21*12,SUMMARY!$D$20),0)</f>
        <v>242.55089764527906</v>
      </c>
      <c r="N112" s="160">
        <f t="shared" ca="1" si="5"/>
        <v>602.75687798793012</v>
      </c>
      <c r="P112" s="199"/>
      <c r="Q112" s="200"/>
      <c r="R112" s="200"/>
      <c r="S112" s="200"/>
    </row>
    <row r="113" spans="11:19" x14ac:dyDescent="0.25">
      <c r="K113" s="159">
        <v>105</v>
      </c>
      <c r="L113" s="133">
        <f ca="1">-IF(SUMMARY!$D$21*12&gt;=K113,IPMT(SUMMARY!$D$22/12,K113,SUMMARY!$D$21*12,SUMMARY!$D$20),0)</f>
        <v>358.58897435834916</v>
      </c>
      <c r="M113" s="133">
        <f ca="1">IF(SUMMARY!$D$21*12&gt;=K113,-PPMT(SUMMARY!$D$22/12,K113,SUMMARY!$D$21*12,SUMMARY!$D$20),0)</f>
        <v>244.16790362958096</v>
      </c>
      <c r="N113" s="160">
        <f t="shared" ca="1" si="5"/>
        <v>602.75687798793012</v>
      </c>
      <c r="P113" s="199"/>
      <c r="Q113" s="200"/>
      <c r="R113" s="200"/>
      <c r="S113" s="200"/>
    </row>
    <row r="114" spans="11:19" x14ac:dyDescent="0.25">
      <c r="K114" s="159">
        <v>106</v>
      </c>
      <c r="L114" s="133">
        <f ca="1">-IF(SUMMARY!$D$21*12&gt;=K114,IPMT(SUMMARY!$D$22/12,K114,SUMMARY!$D$21*12,SUMMARY!$D$20),0)</f>
        <v>356.96118833415193</v>
      </c>
      <c r="M114" s="133">
        <f ca="1">IF(SUMMARY!$D$21*12&gt;=K114,-PPMT(SUMMARY!$D$22/12,K114,SUMMARY!$D$21*12,SUMMARY!$D$20),0)</f>
        <v>245.7956896537782</v>
      </c>
      <c r="N114" s="160">
        <f t="shared" ca="1" si="5"/>
        <v>602.75687798793012</v>
      </c>
      <c r="P114" s="199"/>
      <c r="Q114" s="200"/>
      <c r="R114" s="200"/>
      <c r="S114" s="200"/>
    </row>
    <row r="115" spans="11:19" x14ac:dyDescent="0.25">
      <c r="K115" s="159">
        <v>107</v>
      </c>
      <c r="L115" s="133">
        <f ca="1">-IF(SUMMARY!$D$21*12&gt;=K115,IPMT(SUMMARY!$D$22/12,K115,SUMMARY!$D$21*12,SUMMARY!$D$20),0)</f>
        <v>355.32255040312674</v>
      </c>
      <c r="M115" s="133">
        <f ca="1">IF(SUMMARY!$D$21*12&gt;=K115,-PPMT(SUMMARY!$D$22/12,K115,SUMMARY!$D$21*12,SUMMARY!$D$20),0)</f>
        <v>247.43432758480338</v>
      </c>
      <c r="N115" s="160">
        <f t="shared" ca="1" si="5"/>
        <v>602.75687798793012</v>
      </c>
      <c r="P115" s="199"/>
      <c r="Q115" s="200"/>
      <c r="R115" s="200"/>
      <c r="S115" s="200"/>
    </row>
    <row r="116" spans="11:19" x14ac:dyDescent="0.25">
      <c r="K116" s="159">
        <v>108</v>
      </c>
      <c r="L116" s="133">
        <f ca="1">-IF(SUMMARY!$D$21*12&gt;=K116,IPMT(SUMMARY!$D$22/12,K116,SUMMARY!$D$21*12,SUMMARY!$D$20),0)</f>
        <v>353.6729882192281</v>
      </c>
      <c r="M116" s="133">
        <f ca="1">IF(SUMMARY!$D$21*12&gt;=K116,-PPMT(SUMMARY!$D$22/12,K116,SUMMARY!$D$21*12,SUMMARY!$D$20),0)</f>
        <v>249.08388976870202</v>
      </c>
      <c r="N116" s="160">
        <f t="shared" ca="1" si="5"/>
        <v>602.75687798793012</v>
      </c>
      <c r="P116" s="199"/>
      <c r="Q116" s="200"/>
      <c r="R116" s="200"/>
      <c r="S116" s="200"/>
    </row>
    <row r="117" spans="11:19" x14ac:dyDescent="0.25">
      <c r="K117" s="159">
        <v>109</v>
      </c>
      <c r="L117" s="133">
        <f ca="1">-IF(SUMMARY!$D$21*12&gt;=K117,IPMT(SUMMARY!$D$22/12,K117,SUMMARY!$D$21*12,SUMMARY!$D$20),0)</f>
        <v>352.01242895410348</v>
      </c>
      <c r="M117" s="133">
        <f ca="1">IF(SUMMARY!$D$21*12&gt;=K117,-PPMT(SUMMARY!$D$22/12,K117,SUMMARY!$D$21*12,SUMMARY!$D$20),0)</f>
        <v>250.74444903382664</v>
      </c>
      <c r="N117" s="160">
        <f t="shared" ca="1" si="5"/>
        <v>602.75687798793012</v>
      </c>
      <c r="P117" s="199"/>
      <c r="Q117" s="200"/>
      <c r="R117" s="200"/>
      <c r="S117" s="200"/>
    </row>
    <row r="118" spans="11:19" x14ac:dyDescent="0.25">
      <c r="K118" s="159">
        <v>110</v>
      </c>
      <c r="L118" s="133">
        <f ca="1">-IF(SUMMARY!$D$21*12&gt;=K118,IPMT(SUMMARY!$D$22/12,K118,SUMMARY!$D$21*12,SUMMARY!$D$20),0)</f>
        <v>350.34079929387781</v>
      </c>
      <c r="M118" s="133">
        <f ca="1">IF(SUMMARY!$D$21*12&gt;=K118,-PPMT(SUMMARY!$D$22/12,K118,SUMMARY!$D$21*12,SUMMARY!$D$20),0)</f>
        <v>252.41607869405232</v>
      </c>
      <c r="N118" s="160">
        <f t="shared" ca="1" si="5"/>
        <v>602.75687798793012</v>
      </c>
      <c r="P118" s="199"/>
      <c r="Q118" s="200"/>
      <c r="R118" s="200"/>
      <c r="S118" s="200"/>
    </row>
    <row r="119" spans="11:19" x14ac:dyDescent="0.25">
      <c r="K119" s="159">
        <v>111</v>
      </c>
      <c r="L119" s="133">
        <f ca="1">-IF(SUMMARY!$D$21*12&gt;=K119,IPMT(SUMMARY!$D$22/12,K119,SUMMARY!$D$21*12,SUMMARY!$D$20),0)</f>
        <v>348.65802543591769</v>
      </c>
      <c r="M119" s="133">
        <f ca="1">IF(SUMMARY!$D$21*12&gt;=K119,-PPMT(SUMMARY!$D$22/12,K119,SUMMARY!$D$21*12,SUMMARY!$D$20),0)</f>
        <v>254.09885255201243</v>
      </c>
      <c r="N119" s="160">
        <f t="shared" ca="1" si="5"/>
        <v>602.75687798793012</v>
      </c>
      <c r="P119" s="199"/>
      <c r="Q119" s="200"/>
      <c r="R119" s="200"/>
      <c r="S119" s="200"/>
    </row>
    <row r="120" spans="11:19" x14ac:dyDescent="0.25">
      <c r="K120" s="159">
        <v>112</v>
      </c>
      <c r="L120" s="133">
        <f ca="1">-IF(SUMMARY!$D$21*12&gt;=K120,IPMT(SUMMARY!$D$22/12,K120,SUMMARY!$D$21*12,SUMMARY!$D$20),0)</f>
        <v>346.96403308557109</v>
      </c>
      <c r="M120" s="133">
        <f ca="1">IF(SUMMARY!$D$21*12&gt;=K120,-PPMT(SUMMARY!$D$22/12,K120,SUMMARY!$D$21*12,SUMMARY!$D$20),0)</f>
        <v>255.79284490235904</v>
      </c>
      <c r="N120" s="160">
        <f t="shared" ca="1" si="5"/>
        <v>602.75687798793012</v>
      </c>
      <c r="P120" s="199"/>
      <c r="Q120" s="200"/>
      <c r="R120" s="200"/>
      <c r="S120" s="200"/>
    </row>
    <row r="121" spans="11:19" x14ac:dyDescent="0.25">
      <c r="K121" s="159">
        <v>113</v>
      </c>
      <c r="L121" s="133">
        <f ca="1">-IF(SUMMARY!$D$21*12&gt;=K121,IPMT(SUMMARY!$D$22/12,K121,SUMMARY!$D$21*12,SUMMARY!$D$20),0)</f>
        <v>345.25874745288837</v>
      </c>
      <c r="M121" s="133">
        <f ca="1">IF(SUMMARY!$D$21*12&gt;=K121,-PPMT(SUMMARY!$D$22/12,K121,SUMMARY!$D$21*12,SUMMARY!$D$20),0)</f>
        <v>257.49813053504175</v>
      </c>
      <c r="N121" s="160">
        <f t="shared" ca="1" si="5"/>
        <v>602.75687798793012</v>
      </c>
      <c r="P121" s="199"/>
      <c r="Q121" s="200"/>
      <c r="R121" s="200"/>
      <c r="S121" s="200"/>
    </row>
    <row r="122" spans="11:19" x14ac:dyDescent="0.25">
      <c r="K122" s="159">
        <v>114</v>
      </c>
      <c r="L122" s="133">
        <f ca="1">-IF(SUMMARY!$D$21*12&gt;=K122,IPMT(SUMMARY!$D$22/12,K122,SUMMARY!$D$21*12,SUMMARY!$D$20),0)</f>
        <v>343.54209324932157</v>
      </c>
      <c r="M122" s="133">
        <f ca="1">IF(SUMMARY!$D$21*12&gt;=K122,-PPMT(SUMMARY!$D$22/12,K122,SUMMARY!$D$21*12,SUMMARY!$D$20),0)</f>
        <v>259.21478473860856</v>
      </c>
      <c r="N122" s="160">
        <f t="shared" ca="1" si="5"/>
        <v>602.75687798793012</v>
      </c>
      <c r="P122" s="199"/>
      <c r="Q122" s="200"/>
      <c r="R122" s="200"/>
      <c r="S122" s="200"/>
    </row>
    <row r="123" spans="11:19" x14ac:dyDescent="0.25">
      <c r="K123" s="159">
        <v>115</v>
      </c>
      <c r="L123" s="133">
        <f ca="1">-IF(SUMMARY!$D$21*12&gt;=K123,IPMT(SUMMARY!$D$22/12,K123,SUMMARY!$D$21*12,SUMMARY!$D$20),0)</f>
        <v>341.81399468439741</v>
      </c>
      <c r="M123" s="133">
        <f ca="1">IF(SUMMARY!$D$21*12&gt;=K123,-PPMT(SUMMARY!$D$22/12,K123,SUMMARY!$D$21*12,SUMMARY!$D$20),0)</f>
        <v>260.94288330353271</v>
      </c>
      <c r="N123" s="160">
        <f t="shared" ca="1" si="5"/>
        <v>602.75687798793012</v>
      </c>
      <c r="P123" s="199"/>
      <c r="Q123" s="200"/>
      <c r="R123" s="200"/>
      <c r="S123" s="200"/>
    </row>
    <row r="124" spans="11:19" x14ac:dyDescent="0.25">
      <c r="K124" s="159">
        <v>116</v>
      </c>
      <c r="L124" s="133">
        <f ca="1">-IF(SUMMARY!$D$21*12&gt;=K124,IPMT(SUMMARY!$D$22/12,K124,SUMMARY!$D$21*12,SUMMARY!$D$20),0)</f>
        <v>340.07437546237384</v>
      </c>
      <c r="M124" s="133">
        <f ca="1">IF(SUMMARY!$D$21*12&gt;=K124,-PPMT(SUMMARY!$D$22/12,K124,SUMMARY!$D$21*12,SUMMARY!$D$20),0)</f>
        <v>262.68250252555629</v>
      </c>
      <c r="N124" s="160">
        <f t="shared" ca="1" si="5"/>
        <v>602.75687798793012</v>
      </c>
      <c r="P124" s="199"/>
      <c r="Q124" s="200"/>
      <c r="R124" s="200"/>
      <c r="S124" s="200"/>
    </row>
    <row r="125" spans="11:19" x14ac:dyDescent="0.25">
      <c r="K125" s="159">
        <v>117</v>
      </c>
      <c r="L125" s="133">
        <f ca="1">-IF(SUMMARY!$D$21*12&gt;=K125,IPMT(SUMMARY!$D$22/12,K125,SUMMARY!$D$21*12,SUMMARY!$D$20),0)</f>
        <v>338.32315877887027</v>
      </c>
      <c r="M125" s="133">
        <f ca="1">IF(SUMMARY!$D$21*12&gt;=K125,-PPMT(SUMMARY!$D$22/12,K125,SUMMARY!$D$21*12,SUMMARY!$D$20),0)</f>
        <v>264.43371920905986</v>
      </c>
      <c r="N125" s="160">
        <f t="shared" ca="1" si="5"/>
        <v>602.75687798793012</v>
      </c>
      <c r="P125" s="199"/>
      <c r="Q125" s="200"/>
      <c r="R125" s="200"/>
      <c r="S125" s="200"/>
    </row>
    <row r="126" spans="11:19" x14ac:dyDescent="0.25">
      <c r="K126" s="159">
        <v>118</v>
      </c>
      <c r="L126" s="133">
        <f ca="1">-IF(SUMMARY!$D$21*12&gt;=K126,IPMT(SUMMARY!$D$22/12,K126,SUMMARY!$D$21*12,SUMMARY!$D$20),0)</f>
        <v>336.56026731747659</v>
      </c>
      <c r="M126" s="133">
        <f ca="1">IF(SUMMARY!$D$21*12&gt;=K126,-PPMT(SUMMARY!$D$22/12,K126,SUMMARY!$D$21*12,SUMMARY!$D$20),0)</f>
        <v>266.19661067045354</v>
      </c>
      <c r="N126" s="160">
        <f t="shared" ca="1" si="5"/>
        <v>602.75687798793012</v>
      </c>
      <c r="P126" s="199"/>
      <c r="Q126" s="200"/>
      <c r="R126" s="200"/>
      <c r="S126" s="200"/>
    </row>
    <row r="127" spans="11:19" x14ac:dyDescent="0.25">
      <c r="K127" s="159">
        <v>119</v>
      </c>
      <c r="L127" s="133">
        <f ca="1">-IF(SUMMARY!$D$21*12&gt;=K127,IPMT(SUMMARY!$D$22/12,K127,SUMMARY!$D$21*12,SUMMARY!$D$20),0)</f>
        <v>334.78562324634021</v>
      </c>
      <c r="M127" s="133">
        <f ca="1">IF(SUMMARY!$D$21*12&gt;=K127,-PPMT(SUMMARY!$D$22/12,K127,SUMMARY!$D$21*12,SUMMARY!$D$20),0)</f>
        <v>267.97125474158992</v>
      </c>
      <c r="N127" s="160">
        <f t="shared" ca="1" si="5"/>
        <v>602.75687798793012</v>
      </c>
      <c r="P127" s="199"/>
      <c r="Q127" s="200"/>
      <c r="R127" s="200"/>
      <c r="S127" s="200"/>
    </row>
    <row r="128" spans="11:19" x14ac:dyDescent="0.25">
      <c r="K128" s="159">
        <v>120</v>
      </c>
      <c r="L128" s="133">
        <f ca="1">-IF(SUMMARY!$D$21*12&gt;=K128,IPMT(SUMMARY!$D$22/12,K128,SUMMARY!$D$21*12,SUMMARY!$D$20),0)</f>
        <v>332.9991482147297</v>
      </c>
      <c r="M128" s="133">
        <f ca="1">IF(SUMMARY!$D$21*12&gt;=K128,-PPMT(SUMMARY!$D$22/12,K128,SUMMARY!$D$21*12,SUMMARY!$D$20),0)</f>
        <v>269.75772977320042</v>
      </c>
      <c r="N128" s="160">
        <f t="shared" ca="1" si="5"/>
        <v>602.75687798793012</v>
      </c>
      <c r="P128" s="199"/>
      <c r="Q128" s="200"/>
      <c r="R128" s="200"/>
      <c r="S128" s="200"/>
    </row>
    <row r="129" spans="11:19" x14ac:dyDescent="0.25">
      <c r="K129" s="159">
        <v>121</v>
      </c>
      <c r="L129" s="133">
        <f ca="1">-IF(SUMMARY!$D$21*12&gt;=K129,IPMT(SUMMARY!$D$22/12,K129,SUMMARY!$D$21*12,SUMMARY!$D$20),0)</f>
        <v>331.20076334957503</v>
      </c>
      <c r="M129" s="133">
        <f ca="1">IF(SUMMARY!$D$21*12&gt;=K129,-PPMT(SUMMARY!$D$22/12,K129,SUMMARY!$D$21*12,SUMMARY!$D$20),0)</f>
        <v>271.5561146383551</v>
      </c>
      <c r="N129" s="160">
        <f t="shared" ca="1" si="5"/>
        <v>602.75687798793012</v>
      </c>
      <c r="P129" s="199"/>
      <c r="Q129" s="200"/>
      <c r="R129" s="200"/>
      <c r="S129" s="200"/>
    </row>
    <row r="130" spans="11:19" x14ac:dyDescent="0.25">
      <c r="K130" s="159">
        <v>122</v>
      </c>
      <c r="L130" s="133">
        <f ca="1">-IF(SUMMARY!$D$21*12&gt;=K130,IPMT(SUMMARY!$D$22/12,K130,SUMMARY!$D$21*12,SUMMARY!$D$20),0)</f>
        <v>329.39038925198599</v>
      </c>
      <c r="M130" s="133">
        <f ca="1">IF(SUMMARY!$D$21*12&gt;=K130,-PPMT(SUMMARY!$D$22/12,K130,SUMMARY!$D$21*12,SUMMARY!$D$20),0)</f>
        <v>273.36648873594413</v>
      </c>
      <c r="N130" s="160">
        <f t="shared" ca="1" si="5"/>
        <v>602.75687798793012</v>
      </c>
      <c r="P130" s="199"/>
      <c r="Q130" s="200"/>
      <c r="R130" s="200"/>
      <c r="S130" s="200"/>
    </row>
    <row r="131" spans="11:19" x14ac:dyDescent="0.25">
      <c r="K131" s="159">
        <v>123</v>
      </c>
      <c r="L131" s="133">
        <f ca="1">-IF(SUMMARY!$D$21*12&gt;=K131,IPMT(SUMMARY!$D$22/12,K131,SUMMARY!$D$21*12,SUMMARY!$D$20),0)</f>
        <v>327.56794599374621</v>
      </c>
      <c r="M131" s="133">
        <f ca="1">IF(SUMMARY!$D$21*12&gt;=K131,-PPMT(SUMMARY!$D$22/12,K131,SUMMARY!$D$21*12,SUMMARY!$D$20),0)</f>
        <v>275.18893199418392</v>
      </c>
      <c r="N131" s="160">
        <f t="shared" ca="1" si="5"/>
        <v>602.75687798793012</v>
      </c>
      <c r="P131" s="199"/>
      <c r="Q131" s="200"/>
      <c r="R131" s="200"/>
      <c r="S131" s="200"/>
    </row>
    <row r="132" spans="11:19" x14ac:dyDescent="0.25">
      <c r="K132" s="159">
        <v>124</v>
      </c>
      <c r="L132" s="133">
        <f ca="1">-IF(SUMMARY!$D$21*12&gt;=K132,IPMT(SUMMARY!$D$22/12,K132,SUMMARY!$D$21*12,SUMMARY!$D$20),0)</f>
        <v>325.7333531137852</v>
      </c>
      <c r="M132" s="133">
        <f ca="1">IF(SUMMARY!$D$21*12&gt;=K132,-PPMT(SUMMARY!$D$22/12,K132,SUMMARY!$D$21*12,SUMMARY!$D$20),0)</f>
        <v>277.02352487414493</v>
      </c>
      <c r="N132" s="160">
        <f t="shared" ca="1" si="5"/>
        <v>602.75687798793012</v>
      </c>
      <c r="P132" s="199"/>
      <c r="Q132" s="200"/>
      <c r="R132" s="200"/>
      <c r="S132" s="200"/>
    </row>
    <row r="133" spans="11:19" x14ac:dyDescent="0.25">
      <c r="K133" s="159">
        <v>125</v>
      </c>
      <c r="L133" s="133">
        <f ca="1">-IF(SUMMARY!$D$21*12&gt;=K133,IPMT(SUMMARY!$D$22/12,K133,SUMMARY!$D$21*12,SUMMARY!$D$20),0)</f>
        <v>323.88652961462418</v>
      </c>
      <c r="M133" s="133">
        <f ca="1">IF(SUMMARY!$D$21*12&gt;=K133,-PPMT(SUMMARY!$D$22/12,K133,SUMMARY!$D$21*12,SUMMARY!$D$20),0)</f>
        <v>278.87034837330594</v>
      </c>
      <c r="N133" s="160">
        <f t="shared" ca="1" si="5"/>
        <v>602.75687798793012</v>
      </c>
      <c r="P133" s="199"/>
      <c r="Q133" s="200"/>
      <c r="R133" s="200"/>
      <c r="S133" s="200"/>
    </row>
    <row r="134" spans="11:19" x14ac:dyDescent="0.25">
      <c r="K134" s="159">
        <v>126</v>
      </c>
      <c r="L134" s="133">
        <f ca="1">-IF(SUMMARY!$D$21*12&gt;=K134,IPMT(SUMMARY!$D$22/12,K134,SUMMARY!$D$21*12,SUMMARY!$D$20),0)</f>
        <v>322.02739395880212</v>
      </c>
      <c r="M134" s="133">
        <f ca="1">IF(SUMMARY!$D$21*12&gt;=K134,-PPMT(SUMMARY!$D$22/12,K134,SUMMARY!$D$21*12,SUMMARY!$D$20),0)</f>
        <v>280.729484029128</v>
      </c>
      <c r="N134" s="160">
        <f t="shared" ca="1" si="5"/>
        <v>602.75687798793012</v>
      </c>
      <c r="P134" s="199"/>
      <c r="Q134" s="200"/>
      <c r="R134" s="200"/>
      <c r="S134" s="200"/>
    </row>
    <row r="135" spans="11:19" x14ac:dyDescent="0.25">
      <c r="K135" s="159">
        <v>127</v>
      </c>
      <c r="L135" s="133">
        <f ca="1">-IF(SUMMARY!$D$21*12&gt;=K135,IPMT(SUMMARY!$D$22/12,K135,SUMMARY!$D$21*12,SUMMARY!$D$20),0)</f>
        <v>320.15586406527456</v>
      </c>
      <c r="M135" s="133">
        <f ca="1">IF(SUMMARY!$D$21*12&gt;=K135,-PPMT(SUMMARY!$D$22/12,K135,SUMMARY!$D$21*12,SUMMARY!$D$20),0)</f>
        <v>282.60101392265557</v>
      </c>
      <c r="N135" s="160">
        <f t="shared" ca="1" si="5"/>
        <v>602.75687798793012</v>
      </c>
      <c r="P135" s="199"/>
      <c r="Q135" s="200"/>
      <c r="R135" s="200"/>
      <c r="S135" s="200"/>
    </row>
    <row r="136" spans="11:19" x14ac:dyDescent="0.25">
      <c r="K136" s="159">
        <v>128</v>
      </c>
      <c r="L136" s="133">
        <f ca="1">-IF(SUMMARY!$D$21*12&gt;=K136,IPMT(SUMMARY!$D$22/12,K136,SUMMARY!$D$21*12,SUMMARY!$D$20),0)</f>
        <v>318.27185730579032</v>
      </c>
      <c r="M136" s="133">
        <f ca="1">IF(SUMMARY!$D$21*12&gt;=K136,-PPMT(SUMMARY!$D$22/12,K136,SUMMARY!$D$21*12,SUMMARY!$D$20),0)</f>
        <v>284.4850206821398</v>
      </c>
      <c r="N136" s="160">
        <f t="shared" ca="1" si="5"/>
        <v>602.75687798793012</v>
      </c>
      <c r="P136" s="199"/>
      <c r="Q136" s="200"/>
      <c r="R136" s="200"/>
      <c r="S136" s="200"/>
    </row>
    <row r="137" spans="11:19" x14ac:dyDescent="0.25">
      <c r="K137" s="159">
        <v>129</v>
      </c>
      <c r="L137" s="133">
        <f ca="1">-IF(SUMMARY!$D$21*12&gt;=K137,IPMT(SUMMARY!$D$22/12,K137,SUMMARY!$D$21*12,SUMMARY!$D$20),0)</f>
        <v>316.37529050124277</v>
      </c>
      <c r="M137" s="133">
        <f ca="1">IF(SUMMARY!$D$21*12&gt;=K137,-PPMT(SUMMARY!$D$22/12,K137,SUMMARY!$D$21*12,SUMMARY!$D$20),0)</f>
        <v>286.38158748668735</v>
      </c>
      <c r="N137" s="160">
        <f t="shared" ref="N137:N200" ca="1" si="6">+M137+L137</f>
        <v>602.75687798793012</v>
      </c>
      <c r="P137" s="199"/>
      <c r="Q137" s="200"/>
      <c r="R137" s="200"/>
      <c r="S137" s="200"/>
    </row>
    <row r="138" spans="11:19" x14ac:dyDescent="0.25">
      <c r="K138" s="159">
        <v>130</v>
      </c>
      <c r="L138" s="133">
        <f ca="1">-IF(SUMMARY!$D$21*12&gt;=K138,IPMT(SUMMARY!$D$22/12,K138,SUMMARY!$D$21*12,SUMMARY!$D$20),0)</f>
        <v>314.46607991799829</v>
      </c>
      <c r="M138" s="133">
        <f ca="1">IF(SUMMARY!$D$21*12&gt;=K138,-PPMT(SUMMARY!$D$22/12,K138,SUMMARY!$D$21*12,SUMMARY!$D$20),0)</f>
        <v>288.29079806993184</v>
      </c>
      <c r="N138" s="160">
        <f t="shared" ca="1" si="6"/>
        <v>602.75687798793012</v>
      </c>
      <c r="P138" s="199"/>
      <c r="Q138" s="200"/>
      <c r="R138" s="200"/>
      <c r="S138" s="200"/>
    </row>
    <row r="139" spans="11:19" x14ac:dyDescent="0.25">
      <c r="K139" s="159">
        <v>131</v>
      </c>
      <c r="L139" s="133">
        <f ca="1">-IF(SUMMARY!$D$21*12&gt;=K139,IPMT(SUMMARY!$D$22/12,K139,SUMMARY!$D$21*12,SUMMARY!$D$20),0)</f>
        <v>312.54414126419863</v>
      </c>
      <c r="M139" s="133">
        <f ca="1">IF(SUMMARY!$D$21*12&gt;=K139,-PPMT(SUMMARY!$D$22/12,K139,SUMMARY!$D$21*12,SUMMARY!$D$20),0)</f>
        <v>290.2127367237315</v>
      </c>
      <c r="N139" s="160">
        <f t="shared" ca="1" si="6"/>
        <v>602.75687798793012</v>
      </c>
      <c r="P139" s="199"/>
      <c r="Q139" s="200"/>
      <c r="R139" s="200"/>
      <c r="S139" s="200"/>
    </row>
    <row r="140" spans="11:19" x14ac:dyDescent="0.25">
      <c r="K140" s="159">
        <v>132</v>
      </c>
      <c r="L140" s="133">
        <f ca="1">-IF(SUMMARY!$D$21*12&gt;=K140,IPMT(SUMMARY!$D$22/12,K140,SUMMARY!$D$21*12,SUMMARY!$D$20),0)</f>
        <v>310.60938968604046</v>
      </c>
      <c r="M140" s="133">
        <f ca="1">IF(SUMMARY!$D$21*12&gt;=K140,-PPMT(SUMMARY!$D$22/12,K140,SUMMARY!$D$21*12,SUMMARY!$D$20),0)</f>
        <v>292.14748830188967</v>
      </c>
      <c r="N140" s="160">
        <f t="shared" ca="1" si="6"/>
        <v>602.75687798793012</v>
      </c>
      <c r="P140" s="199"/>
      <c r="Q140" s="200"/>
      <c r="R140" s="200"/>
      <c r="S140" s="200"/>
    </row>
    <row r="141" spans="11:19" x14ac:dyDescent="0.25">
      <c r="K141" s="159">
        <v>133</v>
      </c>
      <c r="L141" s="133">
        <f ca="1">-IF(SUMMARY!$D$21*12&gt;=K141,IPMT(SUMMARY!$D$22/12,K141,SUMMARY!$D$21*12,SUMMARY!$D$20),0)</f>
        <v>308.6617397640278</v>
      </c>
      <c r="M141" s="133">
        <f ca="1">IF(SUMMARY!$D$21*12&gt;=K141,-PPMT(SUMMARY!$D$22/12,K141,SUMMARY!$D$21*12,SUMMARY!$D$20),0)</f>
        <v>294.09513822390232</v>
      </c>
      <c r="N141" s="160">
        <f t="shared" ca="1" si="6"/>
        <v>602.75687798793012</v>
      </c>
      <c r="P141" s="199"/>
      <c r="Q141" s="200"/>
      <c r="R141" s="200"/>
      <c r="S141" s="200"/>
    </row>
    <row r="142" spans="11:19" x14ac:dyDescent="0.25">
      <c r="K142" s="159">
        <v>134</v>
      </c>
      <c r="L142" s="133">
        <f ca="1">-IF(SUMMARY!$D$21*12&gt;=K142,IPMT(SUMMARY!$D$22/12,K142,SUMMARY!$D$21*12,SUMMARY!$D$20),0)</f>
        <v>306.70110550920191</v>
      </c>
      <c r="M142" s="133">
        <f ca="1">IF(SUMMARY!$D$21*12&gt;=K142,-PPMT(SUMMARY!$D$22/12,K142,SUMMARY!$D$21*12,SUMMARY!$D$20),0)</f>
        <v>296.05577247872822</v>
      </c>
      <c r="N142" s="160">
        <f t="shared" ca="1" si="6"/>
        <v>602.75687798793012</v>
      </c>
      <c r="P142" s="199"/>
      <c r="Q142" s="200"/>
      <c r="R142" s="200"/>
      <c r="S142" s="200"/>
    </row>
    <row r="143" spans="11:19" x14ac:dyDescent="0.25">
      <c r="K143" s="159">
        <v>135</v>
      </c>
      <c r="L143" s="133">
        <f ca="1">-IF(SUMMARY!$D$21*12&gt;=K143,IPMT(SUMMARY!$D$22/12,K143,SUMMARY!$D$21*12,SUMMARY!$D$20),0)</f>
        <v>304.72740035934368</v>
      </c>
      <c r="M143" s="133">
        <f ca="1">IF(SUMMARY!$D$21*12&gt;=K143,-PPMT(SUMMARY!$D$22/12,K143,SUMMARY!$D$21*12,SUMMARY!$D$20),0)</f>
        <v>298.02947762858645</v>
      </c>
      <c r="N143" s="160">
        <f t="shared" ca="1" si="6"/>
        <v>602.75687798793012</v>
      </c>
      <c r="P143" s="199"/>
      <c r="Q143" s="200"/>
      <c r="R143" s="200"/>
      <c r="S143" s="200"/>
    </row>
    <row r="144" spans="11:19" x14ac:dyDescent="0.25">
      <c r="K144" s="159">
        <v>136</v>
      </c>
      <c r="L144" s="133">
        <f ca="1">-IF(SUMMARY!$D$21*12&gt;=K144,IPMT(SUMMARY!$D$22/12,K144,SUMMARY!$D$21*12,SUMMARY!$D$20),0)</f>
        <v>302.74053717515295</v>
      </c>
      <c r="M144" s="133">
        <f ca="1">IF(SUMMARY!$D$21*12&gt;=K144,-PPMT(SUMMARY!$D$22/12,K144,SUMMARY!$D$21*12,SUMMARY!$D$20),0)</f>
        <v>300.01634081277717</v>
      </c>
      <c r="N144" s="160">
        <f t="shared" ca="1" si="6"/>
        <v>602.75687798793012</v>
      </c>
      <c r="P144" s="199"/>
      <c r="Q144" s="200"/>
      <c r="R144" s="200"/>
      <c r="S144" s="200"/>
    </row>
    <row r="145" spans="11:19" x14ac:dyDescent="0.25">
      <c r="K145" s="159">
        <v>137</v>
      </c>
      <c r="L145" s="133">
        <f ca="1">-IF(SUMMARY!$D$21*12&gt;=K145,IPMT(SUMMARY!$D$22/12,K145,SUMMARY!$D$21*12,SUMMARY!$D$20),0)</f>
        <v>300.74042823640127</v>
      </c>
      <c r="M145" s="133">
        <f ca="1">IF(SUMMARY!$D$21*12&gt;=K145,-PPMT(SUMMARY!$D$22/12,K145,SUMMARY!$D$21*12,SUMMARY!$D$20),0)</f>
        <v>302.01644975152885</v>
      </c>
      <c r="N145" s="160">
        <f t="shared" ca="1" si="6"/>
        <v>602.75687798793012</v>
      </c>
      <c r="P145" s="199"/>
      <c r="Q145" s="200"/>
      <c r="R145" s="200"/>
      <c r="S145" s="200"/>
    </row>
    <row r="146" spans="11:19" x14ac:dyDescent="0.25">
      <c r="K146" s="159">
        <v>138</v>
      </c>
      <c r="L146" s="133">
        <f ca="1">-IF(SUMMARY!$D$21*12&gt;=K146,IPMT(SUMMARY!$D$22/12,K146,SUMMARY!$D$21*12,SUMMARY!$D$20),0)</f>
        <v>298.72698523805769</v>
      </c>
      <c r="M146" s="133">
        <f ca="1">IF(SUMMARY!$D$21*12&gt;=K146,-PPMT(SUMMARY!$D$22/12,K146,SUMMARY!$D$21*12,SUMMARY!$D$20),0)</f>
        <v>304.02989274987243</v>
      </c>
      <c r="N146" s="160">
        <f t="shared" ca="1" si="6"/>
        <v>602.75687798793012</v>
      </c>
      <c r="P146" s="199"/>
      <c r="Q146" s="200"/>
      <c r="R146" s="200"/>
      <c r="S146" s="200"/>
    </row>
    <row r="147" spans="11:19" x14ac:dyDescent="0.25">
      <c r="K147" s="159">
        <v>139</v>
      </c>
      <c r="L147" s="133">
        <f ca="1">-IF(SUMMARY!$D$21*12&gt;=K147,IPMT(SUMMARY!$D$22/12,K147,SUMMARY!$D$21*12,SUMMARY!$D$20),0)</f>
        <v>296.70011928639224</v>
      </c>
      <c r="M147" s="133">
        <f ca="1">IF(SUMMARY!$D$21*12&gt;=K147,-PPMT(SUMMARY!$D$22/12,K147,SUMMARY!$D$21*12,SUMMARY!$D$20),0)</f>
        <v>306.05675870153789</v>
      </c>
      <c r="N147" s="160">
        <f t="shared" ca="1" si="6"/>
        <v>602.75687798793012</v>
      </c>
      <c r="P147" s="199"/>
      <c r="Q147" s="200"/>
      <c r="R147" s="200"/>
      <c r="S147" s="200"/>
    </row>
    <row r="148" spans="11:19" x14ac:dyDescent="0.25">
      <c r="K148" s="159">
        <v>140</v>
      </c>
      <c r="L148" s="133">
        <f ca="1">-IF(SUMMARY!$D$21*12&gt;=K148,IPMT(SUMMARY!$D$22/12,K148,SUMMARY!$D$21*12,SUMMARY!$D$20),0)</f>
        <v>294.65974089504863</v>
      </c>
      <c r="M148" s="133">
        <f ca="1">IF(SUMMARY!$D$21*12&gt;=K148,-PPMT(SUMMARY!$D$22/12,K148,SUMMARY!$D$21*12,SUMMARY!$D$20),0)</f>
        <v>308.0971370928815</v>
      </c>
      <c r="N148" s="160">
        <f t="shared" ca="1" si="6"/>
        <v>602.75687798793012</v>
      </c>
      <c r="P148" s="199"/>
      <c r="Q148" s="200"/>
      <c r="R148" s="200"/>
      <c r="S148" s="200"/>
    </row>
    <row r="149" spans="11:19" x14ac:dyDescent="0.25">
      <c r="K149" s="159">
        <v>141</v>
      </c>
      <c r="L149" s="133">
        <f ca="1">-IF(SUMMARY!$D$21*12&gt;=K149,IPMT(SUMMARY!$D$22/12,K149,SUMMARY!$D$21*12,SUMMARY!$D$20),0)</f>
        <v>292.60575998109613</v>
      </c>
      <c r="M149" s="133">
        <f ca="1">IF(SUMMARY!$D$21*12&gt;=K149,-PPMT(SUMMARY!$D$22/12,K149,SUMMARY!$D$21*12,SUMMARY!$D$20),0)</f>
        <v>310.151118006834</v>
      </c>
      <c r="N149" s="160">
        <f t="shared" ca="1" si="6"/>
        <v>602.75687798793012</v>
      </c>
      <c r="P149" s="199"/>
      <c r="Q149" s="200"/>
      <c r="R149" s="200"/>
      <c r="S149" s="200"/>
    </row>
    <row r="150" spans="11:19" x14ac:dyDescent="0.25">
      <c r="K150" s="159">
        <v>142</v>
      </c>
      <c r="L150" s="133">
        <f ca="1">-IF(SUMMARY!$D$21*12&gt;=K150,IPMT(SUMMARY!$D$22/12,K150,SUMMARY!$D$21*12,SUMMARY!$D$20),0)</f>
        <v>290.53808586105026</v>
      </c>
      <c r="M150" s="133">
        <f ca="1">IF(SUMMARY!$D$21*12&gt;=K150,-PPMT(SUMMARY!$D$22/12,K150,SUMMARY!$D$21*12,SUMMARY!$D$20),0)</f>
        <v>312.21879212687986</v>
      </c>
      <c r="N150" s="160">
        <f t="shared" ca="1" si="6"/>
        <v>602.75687798793012</v>
      </c>
      <c r="P150" s="199"/>
      <c r="Q150" s="200"/>
      <c r="R150" s="200"/>
      <c r="S150" s="200"/>
    </row>
    <row r="151" spans="11:19" x14ac:dyDescent="0.25">
      <c r="K151" s="159">
        <v>143</v>
      </c>
      <c r="L151" s="133">
        <f ca="1">-IF(SUMMARY!$D$21*12&gt;=K151,IPMT(SUMMARY!$D$22/12,K151,SUMMARY!$D$21*12,SUMMARY!$D$20),0)</f>
        <v>288.45662724687116</v>
      </c>
      <c r="M151" s="133">
        <f ca="1">IF(SUMMARY!$D$21*12&gt;=K151,-PPMT(SUMMARY!$D$22/12,K151,SUMMARY!$D$21*12,SUMMARY!$D$20),0)</f>
        <v>314.30025074105896</v>
      </c>
      <c r="N151" s="160">
        <f t="shared" ca="1" si="6"/>
        <v>602.75687798793012</v>
      </c>
      <c r="P151" s="199"/>
      <c r="Q151" s="200"/>
      <c r="R151" s="200"/>
      <c r="S151" s="200"/>
    </row>
    <row r="152" spans="11:19" x14ac:dyDescent="0.25">
      <c r="K152" s="159">
        <v>144</v>
      </c>
      <c r="L152" s="133">
        <f ca="1">-IF(SUMMARY!$D$21*12&gt;=K152,IPMT(SUMMARY!$D$22/12,K152,SUMMARY!$D$21*12,SUMMARY!$D$20),0)</f>
        <v>286.36129224193093</v>
      </c>
      <c r="M152" s="133">
        <f ca="1">IF(SUMMARY!$D$21*12&gt;=K152,-PPMT(SUMMARY!$D$22/12,K152,SUMMARY!$D$21*12,SUMMARY!$D$20),0)</f>
        <v>316.3955857459992</v>
      </c>
      <c r="N152" s="160">
        <f t="shared" ca="1" si="6"/>
        <v>602.75687798793012</v>
      </c>
      <c r="P152" s="199"/>
      <c r="Q152" s="200"/>
      <c r="R152" s="200"/>
      <c r="S152" s="200"/>
    </row>
    <row r="153" spans="11:19" x14ac:dyDescent="0.25">
      <c r="K153" s="159">
        <v>145</v>
      </c>
      <c r="L153" s="133">
        <f ca="1">-IF(SUMMARY!$D$21*12&gt;=K153,IPMT(SUMMARY!$D$22/12,K153,SUMMARY!$D$21*12,SUMMARY!$D$20),0)</f>
        <v>284.25198833695748</v>
      </c>
      <c r="M153" s="133">
        <f ca="1">IF(SUMMARY!$D$21*12&gt;=K153,-PPMT(SUMMARY!$D$22/12,K153,SUMMARY!$D$21*12,SUMMARY!$D$20),0)</f>
        <v>318.50488965097264</v>
      </c>
      <c r="N153" s="160">
        <f t="shared" ca="1" si="6"/>
        <v>602.75687798793012</v>
      </c>
      <c r="P153" s="199"/>
      <c r="Q153" s="200"/>
      <c r="R153" s="200"/>
      <c r="S153" s="200"/>
    </row>
    <row r="154" spans="11:19" x14ac:dyDescent="0.25">
      <c r="K154" s="159">
        <v>146</v>
      </c>
      <c r="L154" s="133">
        <f ca="1">-IF(SUMMARY!$D$21*12&gt;=K154,IPMT(SUMMARY!$D$22/12,K154,SUMMARY!$D$21*12,SUMMARY!$D$20),0)</f>
        <v>282.12862240595086</v>
      </c>
      <c r="M154" s="133">
        <f ca="1">IF(SUMMARY!$D$21*12&gt;=K154,-PPMT(SUMMARY!$D$22/12,K154,SUMMARY!$D$21*12,SUMMARY!$D$20),0)</f>
        <v>320.62825558197926</v>
      </c>
      <c r="N154" s="160">
        <f t="shared" ca="1" si="6"/>
        <v>602.75687798793012</v>
      </c>
      <c r="P154" s="199"/>
      <c r="Q154" s="200"/>
      <c r="R154" s="200"/>
      <c r="S154" s="200"/>
    </row>
    <row r="155" spans="11:19" x14ac:dyDescent="0.25">
      <c r="K155" s="159">
        <v>147</v>
      </c>
      <c r="L155" s="133">
        <f ca="1">-IF(SUMMARY!$D$21*12&gt;=K155,IPMT(SUMMARY!$D$22/12,K155,SUMMARY!$D$21*12,SUMMARY!$D$20),0)</f>
        <v>279.99110070207138</v>
      </c>
      <c r="M155" s="133">
        <f ca="1">IF(SUMMARY!$D$21*12&gt;=K155,-PPMT(SUMMARY!$D$22/12,K155,SUMMARY!$D$21*12,SUMMARY!$D$20),0)</f>
        <v>322.76577728585875</v>
      </c>
      <c r="N155" s="160">
        <f t="shared" ca="1" si="6"/>
        <v>602.75687798793012</v>
      </c>
      <c r="P155" s="199"/>
      <c r="Q155" s="200"/>
      <c r="R155" s="200"/>
      <c r="S155" s="200"/>
    </row>
    <row r="156" spans="11:19" x14ac:dyDescent="0.25">
      <c r="K156" s="159">
        <v>148</v>
      </c>
      <c r="L156" s="133">
        <f ca="1">-IF(SUMMARY!$D$21*12&gt;=K156,IPMT(SUMMARY!$D$22/12,K156,SUMMARY!$D$21*12,SUMMARY!$D$20),0)</f>
        <v>277.83932885349867</v>
      </c>
      <c r="M156" s="133">
        <f ca="1">IF(SUMMARY!$D$21*12&gt;=K156,-PPMT(SUMMARY!$D$22/12,K156,SUMMARY!$D$21*12,SUMMARY!$D$20),0)</f>
        <v>324.91754913443145</v>
      </c>
      <c r="N156" s="160">
        <f t="shared" ca="1" si="6"/>
        <v>602.75687798793012</v>
      </c>
      <c r="P156" s="199"/>
      <c r="Q156" s="200"/>
      <c r="R156" s="200"/>
      <c r="S156" s="200"/>
    </row>
    <row r="157" spans="11:19" x14ac:dyDescent="0.25">
      <c r="K157" s="159">
        <v>149</v>
      </c>
      <c r="L157" s="133">
        <f ca="1">-IF(SUMMARY!$D$21*12&gt;=K157,IPMT(SUMMARY!$D$22/12,K157,SUMMARY!$D$21*12,SUMMARY!$D$20),0)</f>
        <v>275.67321185926949</v>
      </c>
      <c r="M157" s="133">
        <f ca="1">IF(SUMMARY!$D$21*12&gt;=K157,-PPMT(SUMMARY!$D$22/12,K157,SUMMARY!$D$21*12,SUMMARY!$D$20),0)</f>
        <v>327.08366612866064</v>
      </c>
      <c r="N157" s="160">
        <f t="shared" ca="1" si="6"/>
        <v>602.75687798793012</v>
      </c>
      <c r="P157" s="199"/>
      <c r="Q157" s="200"/>
      <c r="R157" s="200"/>
      <c r="S157" s="200"/>
    </row>
    <row r="158" spans="11:19" x14ac:dyDescent="0.25">
      <c r="K158" s="159">
        <v>150</v>
      </c>
      <c r="L158" s="133">
        <f ca="1">-IF(SUMMARY!$D$21*12&gt;=K158,IPMT(SUMMARY!$D$22/12,K158,SUMMARY!$D$21*12,SUMMARY!$D$20),0)</f>
        <v>273.49265408507824</v>
      </c>
      <c r="M158" s="133">
        <f ca="1">IF(SUMMARY!$D$21*12&gt;=K158,-PPMT(SUMMARY!$D$22/12,K158,SUMMARY!$D$21*12,SUMMARY!$D$20),0)</f>
        <v>329.26422390285188</v>
      </c>
      <c r="N158" s="160">
        <f t="shared" ca="1" si="6"/>
        <v>602.75687798793012</v>
      </c>
      <c r="P158" s="199"/>
      <c r="Q158" s="200"/>
      <c r="R158" s="200"/>
      <c r="S158" s="200"/>
    </row>
    <row r="159" spans="11:19" x14ac:dyDescent="0.25">
      <c r="K159" s="159">
        <v>151</v>
      </c>
      <c r="L159" s="133">
        <f ca="1">-IF(SUMMARY!$D$21*12&gt;=K159,IPMT(SUMMARY!$D$22/12,K159,SUMMARY!$D$21*12,SUMMARY!$D$20),0)</f>
        <v>271.29755925905914</v>
      </c>
      <c r="M159" s="133">
        <f ca="1">IF(SUMMARY!$D$21*12&gt;=K159,-PPMT(SUMMARY!$D$22/12,K159,SUMMARY!$D$21*12,SUMMARY!$D$20),0)</f>
        <v>331.45931872887098</v>
      </c>
      <c r="N159" s="160">
        <f t="shared" ca="1" si="6"/>
        <v>602.75687798793012</v>
      </c>
      <c r="P159" s="199"/>
      <c r="Q159" s="200"/>
      <c r="R159" s="200"/>
      <c r="S159" s="200"/>
    </row>
    <row r="160" spans="11:19" x14ac:dyDescent="0.25">
      <c r="K160" s="159">
        <v>152</v>
      </c>
      <c r="L160" s="133">
        <f ca="1">-IF(SUMMARY!$D$21*12&gt;=K160,IPMT(SUMMARY!$D$22/12,K160,SUMMARY!$D$21*12,SUMMARY!$D$20),0)</f>
        <v>269.08783046753359</v>
      </c>
      <c r="M160" s="133">
        <f ca="1">IF(SUMMARY!$D$21*12&gt;=K160,-PPMT(SUMMARY!$D$22/12,K160,SUMMARY!$D$21*12,SUMMARY!$D$20),0)</f>
        <v>333.66904752039653</v>
      </c>
      <c r="N160" s="160">
        <f t="shared" ca="1" si="6"/>
        <v>602.75687798793012</v>
      </c>
      <c r="P160" s="199"/>
      <c r="Q160" s="200"/>
      <c r="R160" s="200"/>
      <c r="S160" s="200"/>
    </row>
    <row r="161" spans="11:19" x14ac:dyDescent="0.25">
      <c r="K161" s="159">
        <v>153</v>
      </c>
      <c r="L161" s="133">
        <f ca="1">-IF(SUMMARY!$D$21*12&gt;=K161,IPMT(SUMMARY!$D$22/12,K161,SUMMARY!$D$21*12,SUMMARY!$D$20),0)</f>
        <v>266.86337015073087</v>
      </c>
      <c r="M161" s="133">
        <f ca="1">IF(SUMMARY!$D$21*12&gt;=K161,-PPMT(SUMMARY!$D$22/12,K161,SUMMARY!$D$21*12,SUMMARY!$D$20),0)</f>
        <v>335.89350783719925</v>
      </c>
      <c r="N161" s="160">
        <f t="shared" ca="1" si="6"/>
        <v>602.75687798793012</v>
      </c>
      <c r="P161" s="199"/>
      <c r="Q161" s="200"/>
      <c r="R161" s="200"/>
      <c r="S161" s="200"/>
    </row>
    <row r="162" spans="11:19" x14ac:dyDescent="0.25">
      <c r="K162" s="159">
        <v>154</v>
      </c>
      <c r="L162" s="133">
        <f ca="1">-IF(SUMMARY!$D$21*12&gt;=K162,IPMT(SUMMARY!$D$22/12,K162,SUMMARY!$D$21*12,SUMMARY!$D$20),0)</f>
        <v>264.62408009848286</v>
      </c>
      <c r="M162" s="133">
        <f ca="1">IF(SUMMARY!$D$21*12&gt;=K162,-PPMT(SUMMARY!$D$22/12,K162,SUMMARY!$D$21*12,SUMMARY!$D$20),0)</f>
        <v>338.13279788944726</v>
      </c>
      <c r="N162" s="160">
        <f t="shared" ca="1" si="6"/>
        <v>602.75687798793012</v>
      </c>
      <c r="P162" s="199"/>
      <c r="Q162" s="200"/>
      <c r="R162" s="200"/>
      <c r="S162" s="200"/>
    </row>
    <row r="163" spans="11:19" x14ac:dyDescent="0.25">
      <c r="K163" s="159">
        <v>155</v>
      </c>
      <c r="L163" s="133">
        <f ca="1">-IF(SUMMARY!$D$21*12&gt;=K163,IPMT(SUMMARY!$D$22/12,K163,SUMMARY!$D$21*12,SUMMARY!$D$20),0)</f>
        <v>262.36986144588661</v>
      </c>
      <c r="M163" s="133">
        <f ca="1">IF(SUMMARY!$D$21*12&gt;=K163,-PPMT(SUMMARY!$D$22/12,K163,SUMMARY!$D$21*12,SUMMARY!$D$20),0)</f>
        <v>340.38701654204351</v>
      </c>
      <c r="N163" s="160">
        <f t="shared" ca="1" si="6"/>
        <v>602.75687798793012</v>
      </c>
      <c r="P163" s="199"/>
      <c r="Q163" s="200"/>
      <c r="R163" s="200"/>
      <c r="S163" s="200"/>
    </row>
    <row r="164" spans="11:19" x14ac:dyDescent="0.25">
      <c r="K164" s="159">
        <v>156</v>
      </c>
      <c r="L164" s="133">
        <f ca="1">-IF(SUMMARY!$D$21*12&gt;=K164,IPMT(SUMMARY!$D$22/12,K164,SUMMARY!$D$21*12,SUMMARY!$D$20),0)</f>
        <v>260.10061466893978</v>
      </c>
      <c r="M164" s="133">
        <f ca="1">IF(SUMMARY!$D$21*12&gt;=K164,-PPMT(SUMMARY!$D$22/12,K164,SUMMARY!$D$21*12,SUMMARY!$D$20),0)</f>
        <v>342.65626331899034</v>
      </c>
      <c r="N164" s="160">
        <f t="shared" ca="1" si="6"/>
        <v>602.75687798793012</v>
      </c>
      <c r="P164" s="199"/>
      <c r="Q164" s="200"/>
      <c r="R164" s="200"/>
      <c r="S164" s="200"/>
    </row>
    <row r="165" spans="11:19" x14ac:dyDescent="0.25">
      <c r="K165" s="159">
        <v>157</v>
      </c>
      <c r="L165" s="133">
        <f ca="1">-IF(SUMMARY!$D$21*12&gt;=K165,IPMT(SUMMARY!$D$22/12,K165,SUMMARY!$D$21*12,SUMMARY!$D$20),0)</f>
        <v>257.81623958014632</v>
      </c>
      <c r="M165" s="133">
        <f ca="1">IF(SUMMARY!$D$21*12&gt;=K165,-PPMT(SUMMARY!$D$22/12,K165,SUMMARY!$D$21*12,SUMMARY!$D$20),0)</f>
        <v>344.94063840778381</v>
      </c>
      <c r="N165" s="160">
        <f t="shared" ca="1" si="6"/>
        <v>602.75687798793012</v>
      </c>
      <c r="P165" s="199"/>
      <c r="Q165" s="200"/>
      <c r="R165" s="200"/>
      <c r="S165" s="200"/>
    </row>
    <row r="166" spans="11:19" x14ac:dyDescent="0.25">
      <c r="K166" s="159">
        <v>158</v>
      </c>
      <c r="L166" s="133">
        <f ca="1">-IF(SUMMARY!$D$21*12&gt;=K166,IPMT(SUMMARY!$D$22/12,K166,SUMMARY!$D$21*12,SUMMARY!$D$20),0)</f>
        <v>255.51663532409449</v>
      </c>
      <c r="M166" s="133">
        <f ca="1">IF(SUMMARY!$D$21*12&gt;=K166,-PPMT(SUMMARY!$D$22/12,K166,SUMMARY!$D$21*12,SUMMARY!$D$20),0)</f>
        <v>347.2402426638356</v>
      </c>
      <c r="N166" s="160">
        <f t="shared" ca="1" si="6"/>
        <v>602.75687798793012</v>
      </c>
      <c r="P166" s="199"/>
      <c r="Q166" s="200"/>
      <c r="R166" s="200"/>
      <c r="S166" s="200"/>
    </row>
    <row r="167" spans="11:19" x14ac:dyDescent="0.25">
      <c r="K167" s="159">
        <v>159</v>
      </c>
      <c r="L167" s="133">
        <f ca="1">-IF(SUMMARY!$D$21*12&gt;=K167,IPMT(SUMMARY!$D$22/12,K167,SUMMARY!$D$21*12,SUMMARY!$D$20),0)</f>
        <v>253.2017003730023</v>
      </c>
      <c r="M167" s="133">
        <f ca="1">IF(SUMMARY!$D$21*12&gt;=K167,-PPMT(SUMMARY!$D$22/12,K167,SUMMARY!$D$21*12,SUMMARY!$D$20),0)</f>
        <v>349.55517761492786</v>
      </c>
      <c r="N167" s="160">
        <f t="shared" ca="1" si="6"/>
        <v>602.75687798793012</v>
      </c>
      <c r="P167" s="199"/>
      <c r="Q167" s="200"/>
      <c r="R167" s="200"/>
      <c r="S167" s="200"/>
    </row>
    <row r="168" spans="11:19" x14ac:dyDescent="0.25">
      <c r="K168" s="159">
        <v>160</v>
      </c>
      <c r="L168" s="133">
        <f ca="1">-IF(SUMMARY!$D$21*12&gt;=K168,IPMT(SUMMARY!$D$22/12,K168,SUMMARY!$D$21*12,SUMMARY!$D$20),0)</f>
        <v>250.87133252223606</v>
      </c>
      <c r="M168" s="133">
        <f ca="1">IF(SUMMARY!$D$21*12&gt;=K168,-PPMT(SUMMARY!$D$22/12,K168,SUMMARY!$D$21*12,SUMMARY!$D$20),0)</f>
        <v>351.88554546569407</v>
      </c>
      <c r="N168" s="160">
        <f t="shared" ca="1" si="6"/>
        <v>602.75687798793012</v>
      </c>
      <c r="P168" s="199"/>
      <c r="Q168" s="200"/>
      <c r="R168" s="200"/>
      <c r="S168" s="200"/>
    </row>
    <row r="169" spans="11:19" x14ac:dyDescent="0.25">
      <c r="K169" s="159">
        <v>161</v>
      </c>
      <c r="L169" s="133">
        <f ca="1">-IF(SUMMARY!$D$21*12&gt;=K169,IPMT(SUMMARY!$D$22/12,K169,SUMMARY!$D$21*12,SUMMARY!$D$20),0)</f>
        <v>248.52542888579833</v>
      </c>
      <c r="M169" s="133">
        <f ca="1">IF(SUMMARY!$D$21*12&gt;=K169,-PPMT(SUMMARY!$D$22/12,K169,SUMMARY!$D$21*12,SUMMARY!$D$20),0)</f>
        <v>354.23144910213182</v>
      </c>
      <c r="N169" s="160">
        <f t="shared" ca="1" si="6"/>
        <v>602.75687798793012</v>
      </c>
      <c r="P169" s="199"/>
      <c r="Q169" s="200"/>
      <c r="R169" s="200"/>
      <c r="S169" s="200"/>
    </row>
    <row r="170" spans="11:19" x14ac:dyDescent="0.25">
      <c r="K170" s="159">
        <v>162</v>
      </c>
      <c r="L170" s="133">
        <f ca="1">-IF(SUMMARY!$D$21*12&gt;=K170,IPMT(SUMMARY!$D$22/12,K170,SUMMARY!$D$21*12,SUMMARY!$D$20),0)</f>
        <v>246.16388589178388</v>
      </c>
      <c r="M170" s="133">
        <f ca="1">IF(SUMMARY!$D$21*12&gt;=K170,-PPMT(SUMMARY!$D$22/12,K170,SUMMARY!$D$21*12,SUMMARY!$D$20),0)</f>
        <v>356.59299209614625</v>
      </c>
      <c r="N170" s="160">
        <f t="shared" ca="1" si="6"/>
        <v>602.75687798793012</v>
      </c>
      <c r="P170" s="199"/>
      <c r="Q170" s="200"/>
      <c r="R170" s="200"/>
      <c r="S170" s="200"/>
    </row>
    <row r="171" spans="11:19" x14ac:dyDescent="0.25">
      <c r="K171" s="159">
        <v>163</v>
      </c>
      <c r="L171" s="133">
        <f ca="1">-IF(SUMMARY!$D$21*12&gt;=K171,IPMT(SUMMARY!$D$22/12,K171,SUMMARY!$D$21*12,SUMMARY!$D$20),0)</f>
        <v>243.78659927780976</v>
      </c>
      <c r="M171" s="133">
        <f ca="1">IF(SUMMARY!$D$21*12&gt;=K171,-PPMT(SUMMARY!$D$22/12,K171,SUMMARY!$D$21*12,SUMMARY!$D$20),0)</f>
        <v>358.9702787101204</v>
      </c>
      <c r="N171" s="160">
        <f t="shared" ca="1" si="6"/>
        <v>602.75687798793012</v>
      </c>
      <c r="P171" s="199"/>
      <c r="Q171" s="200"/>
      <c r="R171" s="200"/>
      <c r="S171" s="200"/>
    </row>
    <row r="172" spans="11:19" x14ac:dyDescent="0.25">
      <c r="K172" s="159">
        <v>164</v>
      </c>
      <c r="L172" s="133">
        <f ca="1">-IF(SUMMARY!$D$21*12&gt;=K172,IPMT(SUMMARY!$D$22/12,K172,SUMMARY!$D$21*12,SUMMARY!$D$20),0)</f>
        <v>241.3934640864091</v>
      </c>
      <c r="M172" s="133">
        <f ca="1">IF(SUMMARY!$D$21*12&gt;=K172,-PPMT(SUMMARY!$D$22/12,K172,SUMMARY!$D$21*12,SUMMARY!$D$20),0)</f>
        <v>361.36341390152103</v>
      </c>
      <c r="N172" s="160">
        <f t="shared" ca="1" si="6"/>
        <v>602.75687798793012</v>
      </c>
      <c r="P172" s="199"/>
      <c r="Q172" s="200"/>
      <c r="R172" s="200"/>
      <c r="S172" s="200"/>
    </row>
    <row r="173" spans="11:19" x14ac:dyDescent="0.25">
      <c r="K173" s="159">
        <v>165</v>
      </c>
      <c r="L173" s="133">
        <f ca="1">-IF(SUMMARY!$D$21*12&gt;=K173,IPMT(SUMMARY!$D$22/12,K173,SUMMARY!$D$21*12,SUMMARY!$D$20),0)</f>
        <v>238.98437466039886</v>
      </c>
      <c r="M173" s="133">
        <f ca="1">IF(SUMMARY!$D$21*12&gt;=K173,-PPMT(SUMMARY!$D$22/12,K173,SUMMARY!$D$21*12,SUMMARY!$D$20),0)</f>
        <v>363.77250332753124</v>
      </c>
      <c r="N173" s="160">
        <f t="shared" ca="1" si="6"/>
        <v>602.75687798793012</v>
      </c>
      <c r="P173" s="199"/>
      <c r="Q173" s="200"/>
      <c r="R173" s="200"/>
      <c r="S173" s="200"/>
    </row>
    <row r="174" spans="11:19" x14ac:dyDescent="0.25">
      <c r="K174" s="159">
        <v>166</v>
      </c>
      <c r="L174" s="133">
        <f ca="1">-IF(SUMMARY!$D$21*12&gt;=K174,IPMT(SUMMARY!$D$22/12,K174,SUMMARY!$D$21*12,SUMMARY!$D$20),0)</f>
        <v>236.5592246382154</v>
      </c>
      <c r="M174" s="133">
        <f ca="1">IF(SUMMARY!$D$21*12&gt;=K174,-PPMT(SUMMARY!$D$22/12,K174,SUMMARY!$D$21*12,SUMMARY!$D$20),0)</f>
        <v>366.19765334971476</v>
      </c>
      <c r="N174" s="160">
        <f t="shared" ca="1" si="6"/>
        <v>602.75687798793012</v>
      </c>
      <c r="P174" s="199"/>
      <c r="Q174" s="200"/>
      <c r="R174" s="200"/>
      <c r="S174" s="200"/>
    </row>
    <row r="175" spans="11:19" x14ac:dyDescent="0.25">
      <c r="K175" s="159">
        <v>167</v>
      </c>
      <c r="L175" s="133">
        <f ca="1">-IF(SUMMARY!$D$21*12&gt;=K175,IPMT(SUMMARY!$D$22/12,K175,SUMMARY!$D$21*12,SUMMARY!$D$20),0)</f>
        <v>234.11790694921726</v>
      </c>
      <c r="M175" s="133">
        <f ca="1">IF(SUMMARY!$D$21*12&gt;=K175,-PPMT(SUMMARY!$D$22/12,K175,SUMMARY!$D$21*12,SUMMARY!$D$20),0)</f>
        <v>368.63897103871284</v>
      </c>
      <c r="N175" s="160">
        <f t="shared" ca="1" si="6"/>
        <v>602.75687798793012</v>
      </c>
      <c r="P175" s="199"/>
      <c r="Q175" s="200"/>
      <c r="R175" s="200"/>
      <c r="S175" s="200"/>
    </row>
    <row r="176" spans="11:19" x14ac:dyDescent="0.25">
      <c r="K176" s="159">
        <v>168</v>
      </c>
      <c r="L176" s="133">
        <f ca="1">-IF(SUMMARY!$D$21*12&gt;=K176,IPMT(SUMMARY!$D$22/12,K176,SUMMARY!$D$21*12,SUMMARY!$D$20),0)</f>
        <v>231.66031380895916</v>
      </c>
      <c r="M176" s="133">
        <f ca="1">IF(SUMMARY!$D$21*12&gt;=K176,-PPMT(SUMMARY!$D$22/12,K176,SUMMARY!$D$21*12,SUMMARY!$D$20),0)</f>
        <v>371.09656417897099</v>
      </c>
      <c r="N176" s="160">
        <f t="shared" ca="1" si="6"/>
        <v>602.75687798793012</v>
      </c>
      <c r="P176" s="199"/>
      <c r="Q176" s="200"/>
      <c r="R176" s="200"/>
      <c r="S176" s="200"/>
    </row>
    <row r="177" spans="11:19" x14ac:dyDescent="0.25">
      <c r="K177" s="159">
        <v>169</v>
      </c>
      <c r="L177" s="133">
        <f ca="1">-IF(SUMMARY!$D$21*12&gt;=K177,IPMT(SUMMARY!$D$22/12,K177,SUMMARY!$D$21*12,SUMMARY!$D$20),0)</f>
        <v>229.18633671443271</v>
      </c>
      <c r="M177" s="133">
        <f ca="1">IF(SUMMARY!$D$21*12&gt;=K177,-PPMT(SUMMARY!$D$22/12,K177,SUMMARY!$D$21*12,SUMMARY!$D$20),0)</f>
        <v>373.57054127349738</v>
      </c>
      <c r="N177" s="160">
        <f t="shared" ca="1" si="6"/>
        <v>602.75687798793012</v>
      </c>
      <c r="P177" s="199"/>
      <c r="Q177" s="200"/>
      <c r="R177" s="200"/>
      <c r="S177" s="200"/>
    </row>
    <row r="178" spans="11:19" x14ac:dyDescent="0.25">
      <c r="K178" s="159">
        <v>170</v>
      </c>
      <c r="L178" s="133">
        <f ca="1">-IF(SUMMARY!$D$21*12&gt;=K178,IPMT(SUMMARY!$D$22/12,K178,SUMMARY!$D$21*12,SUMMARY!$D$20),0)</f>
        <v>226.69586643927616</v>
      </c>
      <c r="M178" s="133">
        <f ca="1">IF(SUMMARY!$D$21*12&gt;=K178,-PPMT(SUMMARY!$D$22/12,K178,SUMMARY!$D$21*12,SUMMARY!$D$20),0)</f>
        <v>376.06101154865394</v>
      </c>
      <c r="N178" s="160">
        <f t="shared" ca="1" si="6"/>
        <v>602.75687798793012</v>
      </c>
      <c r="P178" s="199"/>
      <c r="Q178" s="200"/>
      <c r="R178" s="200"/>
      <c r="S178" s="200"/>
    </row>
    <row r="179" spans="11:19" x14ac:dyDescent="0.25">
      <c r="K179" s="159">
        <v>171</v>
      </c>
      <c r="L179" s="133">
        <f ca="1">-IF(SUMMARY!$D$21*12&gt;=K179,IPMT(SUMMARY!$D$22/12,K179,SUMMARY!$D$21*12,SUMMARY!$D$20),0)</f>
        <v>224.18879302895164</v>
      </c>
      <c r="M179" s="133">
        <f ca="1">IF(SUMMARY!$D$21*12&gt;=K179,-PPMT(SUMMARY!$D$22/12,K179,SUMMARY!$D$21*12,SUMMARY!$D$20),0)</f>
        <v>378.56808495897849</v>
      </c>
      <c r="N179" s="160">
        <f t="shared" ca="1" si="6"/>
        <v>602.75687798793012</v>
      </c>
      <c r="P179" s="199"/>
      <c r="Q179" s="200"/>
      <c r="R179" s="200"/>
      <c r="S179" s="200"/>
    </row>
    <row r="180" spans="11:19" x14ac:dyDescent="0.25">
      <c r="K180" s="159">
        <v>172</v>
      </c>
      <c r="L180" s="133">
        <f ca="1">-IF(SUMMARY!$D$21*12&gt;=K180,IPMT(SUMMARY!$D$22/12,K180,SUMMARY!$D$21*12,SUMMARY!$D$20),0)</f>
        <v>221.66500579589203</v>
      </c>
      <c r="M180" s="133">
        <f ca="1">IF(SUMMARY!$D$21*12&gt;=K180,-PPMT(SUMMARY!$D$22/12,K180,SUMMARY!$D$21*12,SUMMARY!$D$20),0)</f>
        <v>381.09187219203807</v>
      </c>
      <c r="N180" s="160">
        <f t="shared" ca="1" si="6"/>
        <v>602.75687798793012</v>
      </c>
      <c r="P180" s="199"/>
      <c r="Q180" s="200"/>
      <c r="R180" s="200"/>
      <c r="S180" s="200"/>
    </row>
    <row r="181" spans="11:19" x14ac:dyDescent="0.25">
      <c r="K181" s="159">
        <v>173</v>
      </c>
      <c r="L181" s="133">
        <f ca="1">-IF(SUMMARY!$D$21*12&gt;=K181,IPMT(SUMMARY!$D$22/12,K181,SUMMARY!$D$21*12,SUMMARY!$D$20),0)</f>
        <v>219.12439331461152</v>
      </c>
      <c r="M181" s="133">
        <f ca="1">IF(SUMMARY!$D$21*12&gt;=K181,-PPMT(SUMMARY!$D$22/12,K181,SUMMARY!$D$21*12,SUMMARY!$D$20),0)</f>
        <v>383.63248467331857</v>
      </c>
      <c r="N181" s="160">
        <f t="shared" ca="1" si="6"/>
        <v>602.75687798793012</v>
      </c>
      <c r="P181" s="199"/>
      <c r="Q181" s="200"/>
      <c r="R181" s="200"/>
      <c r="S181" s="200"/>
    </row>
    <row r="182" spans="11:19" x14ac:dyDescent="0.25">
      <c r="K182" s="159">
        <v>174</v>
      </c>
      <c r="L182" s="133">
        <f ca="1">-IF(SUMMARY!$D$21*12&gt;=K182,IPMT(SUMMARY!$D$22/12,K182,SUMMARY!$D$21*12,SUMMARY!$D$20),0)</f>
        <v>216.5668434167896</v>
      </c>
      <c r="M182" s="133">
        <f ca="1">IF(SUMMARY!$D$21*12&gt;=K182,-PPMT(SUMMARY!$D$22/12,K182,SUMMARY!$D$21*12,SUMMARY!$D$20),0)</f>
        <v>386.19003457114053</v>
      </c>
      <c r="N182" s="160">
        <f t="shared" ca="1" si="6"/>
        <v>602.75687798793012</v>
      </c>
      <c r="P182" s="199"/>
      <c r="Q182" s="200"/>
      <c r="R182" s="200"/>
      <c r="S182" s="200"/>
    </row>
    <row r="183" spans="11:19" x14ac:dyDescent="0.25">
      <c r="K183" s="159">
        <v>175</v>
      </c>
      <c r="L183" s="133">
        <f ca="1">-IF(SUMMARY!$D$21*12&gt;=K183,IPMT(SUMMARY!$D$22/12,K183,SUMMARY!$D$21*12,SUMMARY!$D$20),0)</f>
        <v>213.99224318631539</v>
      </c>
      <c r="M183" s="133">
        <f ca="1">IF(SUMMARY!$D$21*12&gt;=K183,-PPMT(SUMMARY!$D$22/12,K183,SUMMARY!$D$21*12,SUMMARY!$D$20),0)</f>
        <v>388.76463480161476</v>
      </c>
      <c r="N183" s="160">
        <f t="shared" ca="1" si="6"/>
        <v>602.75687798793012</v>
      </c>
      <c r="P183" s="199"/>
      <c r="Q183" s="200"/>
      <c r="R183" s="200"/>
      <c r="S183" s="200"/>
    </row>
    <row r="184" spans="11:19" x14ac:dyDescent="0.25">
      <c r="K184" s="159">
        <v>176</v>
      </c>
      <c r="L184" s="133">
        <f ca="1">-IF(SUMMARY!$D$21*12&gt;=K184,IPMT(SUMMARY!$D$22/12,K184,SUMMARY!$D$21*12,SUMMARY!$D$20),0)</f>
        <v>211.40047895430453</v>
      </c>
      <c r="M184" s="133">
        <f ca="1">IF(SUMMARY!$D$21*12&gt;=K184,-PPMT(SUMMARY!$D$22/12,K184,SUMMARY!$D$21*12,SUMMARY!$D$20),0)</f>
        <v>391.35639903362562</v>
      </c>
      <c r="N184" s="160">
        <f t="shared" ca="1" si="6"/>
        <v>602.75687798793012</v>
      </c>
      <c r="P184" s="199"/>
      <c r="Q184" s="200"/>
      <c r="R184" s="200"/>
      <c r="S184" s="200"/>
    </row>
    <row r="185" spans="11:19" x14ac:dyDescent="0.25">
      <c r="K185" s="159">
        <v>177</v>
      </c>
      <c r="L185" s="133">
        <f ca="1">-IF(SUMMARY!$D$21*12&gt;=K185,IPMT(SUMMARY!$D$22/12,K185,SUMMARY!$D$21*12,SUMMARY!$D$20),0)</f>
        <v>208.79143629408017</v>
      </c>
      <c r="M185" s="133">
        <f ca="1">IF(SUMMARY!$D$21*12&gt;=K185,-PPMT(SUMMARY!$D$22/12,K185,SUMMARY!$D$21*12,SUMMARY!$D$20),0)</f>
        <v>393.96544169384993</v>
      </c>
      <c r="N185" s="160">
        <f t="shared" ca="1" si="6"/>
        <v>602.75687798793012</v>
      </c>
      <c r="P185" s="199"/>
      <c r="Q185" s="200"/>
      <c r="R185" s="200"/>
      <c r="S185" s="200"/>
    </row>
    <row r="186" spans="11:19" x14ac:dyDescent="0.25">
      <c r="K186" s="159">
        <v>178</v>
      </c>
      <c r="L186" s="133">
        <f ca="1">-IF(SUMMARY!$D$21*12&gt;=K186,IPMT(SUMMARY!$D$22/12,K186,SUMMARY!$D$21*12,SUMMARY!$D$20),0)</f>
        <v>206.16500001612141</v>
      </c>
      <c r="M186" s="133">
        <f ca="1">IF(SUMMARY!$D$21*12&gt;=K186,-PPMT(SUMMARY!$D$22/12,K186,SUMMARY!$D$21*12,SUMMARY!$D$20),0)</f>
        <v>396.59187797180869</v>
      </c>
      <c r="N186" s="160">
        <f t="shared" ca="1" si="6"/>
        <v>602.75687798793012</v>
      </c>
      <c r="P186" s="199"/>
      <c r="Q186" s="200"/>
      <c r="R186" s="200"/>
      <c r="S186" s="200"/>
    </row>
    <row r="187" spans="11:19" x14ac:dyDescent="0.25">
      <c r="K187" s="159">
        <v>179</v>
      </c>
      <c r="L187" s="133">
        <f ca="1">-IF(SUMMARY!$D$21*12&gt;=K187,IPMT(SUMMARY!$D$22/12,K187,SUMMARY!$D$21*12,SUMMARY!$D$20),0)</f>
        <v>203.52105416297604</v>
      </c>
      <c r="M187" s="133">
        <f ca="1">IF(SUMMARY!$D$21*12&gt;=K187,-PPMT(SUMMARY!$D$22/12,K187,SUMMARY!$D$21*12,SUMMARY!$D$20),0)</f>
        <v>399.23582382495408</v>
      </c>
      <c r="N187" s="160">
        <f t="shared" ca="1" si="6"/>
        <v>602.75687798793012</v>
      </c>
      <c r="P187" s="199"/>
      <c r="Q187" s="200"/>
      <c r="R187" s="200"/>
      <c r="S187" s="200"/>
    </row>
    <row r="188" spans="11:19" x14ac:dyDescent="0.25">
      <c r="K188" s="159">
        <v>180</v>
      </c>
      <c r="L188" s="133">
        <f ca="1">-IF(SUMMARY!$D$21*12&gt;=K188,IPMT(SUMMARY!$D$22/12,K188,SUMMARY!$D$21*12,SUMMARY!$D$20),0)</f>
        <v>200.85948200414288</v>
      </c>
      <c r="M188" s="133">
        <f ca="1">IF(SUMMARY!$D$21*12&gt;=K188,-PPMT(SUMMARY!$D$22/12,K188,SUMMARY!$D$21*12,SUMMARY!$D$20),0)</f>
        <v>401.89739598378725</v>
      </c>
      <c r="N188" s="160">
        <f t="shared" ca="1" si="6"/>
        <v>602.75687798793012</v>
      </c>
      <c r="P188" s="199"/>
      <c r="Q188" s="200"/>
      <c r="R188" s="200"/>
      <c r="S188" s="200"/>
    </row>
    <row r="189" spans="11:19" x14ac:dyDescent="0.25">
      <c r="K189" s="159">
        <v>181</v>
      </c>
      <c r="L189" s="133">
        <f ca="1">-IF(SUMMARY!$D$21*12&gt;=K189,IPMT(SUMMARY!$D$22/12,K189,SUMMARY!$D$21*12,SUMMARY!$D$20),0)</f>
        <v>198.18016603091772</v>
      </c>
      <c r="M189" s="133">
        <f ca="1">IF(SUMMARY!$D$21*12&gt;=K189,-PPMT(SUMMARY!$D$22/12,K189,SUMMARY!$D$21*12,SUMMARY!$D$20),0)</f>
        <v>404.57671195701244</v>
      </c>
      <c r="N189" s="160">
        <f t="shared" ca="1" si="6"/>
        <v>602.75687798793012</v>
      </c>
      <c r="P189" s="199"/>
      <c r="Q189" s="200"/>
      <c r="R189" s="200"/>
      <c r="S189" s="200"/>
    </row>
    <row r="190" spans="11:19" x14ac:dyDescent="0.25">
      <c r="K190" s="159">
        <v>182</v>
      </c>
      <c r="L190" s="133">
        <f ca="1">-IF(SUMMARY!$D$21*12&gt;=K190,IPMT(SUMMARY!$D$22/12,K190,SUMMARY!$D$21*12,SUMMARY!$D$20),0)</f>
        <v>195.48298795120442</v>
      </c>
      <c r="M190" s="133">
        <f ca="1">IF(SUMMARY!$D$21*12&gt;=K190,-PPMT(SUMMARY!$D$22/12,K190,SUMMARY!$D$21*12,SUMMARY!$D$20),0)</f>
        <v>407.27389003672567</v>
      </c>
      <c r="N190" s="160">
        <f t="shared" ca="1" si="6"/>
        <v>602.75687798793012</v>
      </c>
      <c r="P190" s="199"/>
      <c r="Q190" s="200"/>
      <c r="R190" s="200"/>
      <c r="S190" s="200"/>
    </row>
    <row r="191" spans="11:19" x14ac:dyDescent="0.25">
      <c r="K191" s="159">
        <v>183</v>
      </c>
      <c r="L191" s="133">
        <f ca="1">-IF(SUMMARY!$D$21*12&gt;=K191,IPMT(SUMMARY!$D$22/12,K191,SUMMARY!$D$21*12,SUMMARY!$D$20),0)</f>
        <v>192.76782868429282</v>
      </c>
      <c r="M191" s="133">
        <f ca="1">IF(SUMMARY!$D$21*12&gt;=K191,-PPMT(SUMMARY!$D$22/12,K191,SUMMARY!$D$21*12,SUMMARY!$D$20),0)</f>
        <v>409.98904930363733</v>
      </c>
      <c r="N191" s="160">
        <f t="shared" ca="1" si="6"/>
        <v>602.75687798793012</v>
      </c>
      <c r="P191" s="199"/>
      <c r="Q191" s="200"/>
      <c r="R191" s="200"/>
      <c r="S191" s="200"/>
    </row>
    <row r="192" spans="11:19" x14ac:dyDescent="0.25">
      <c r="K192" s="159">
        <v>184</v>
      </c>
      <c r="L192" s="133">
        <f ca="1">-IF(SUMMARY!$D$21*12&gt;=K192,IPMT(SUMMARY!$D$22/12,K192,SUMMARY!$D$21*12,SUMMARY!$D$20),0)</f>
        <v>190.03456835560192</v>
      </c>
      <c r="M192" s="133">
        <f ca="1">IF(SUMMARY!$D$21*12&gt;=K192,-PPMT(SUMMARY!$D$22/12,K192,SUMMARY!$D$21*12,SUMMARY!$D$20),0)</f>
        <v>412.72230963232823</v>
      </c>
      <c r="N192" s="160">
        <f t="shared" ca="1" si="6"/>
        <v>602.75687798793012</v>
      </c>
      <c r="P192" s="199"/>
      <c r="Q192" s="200"/>
      <c r="R192" s="200"/>
      <c r="S192" s="200"/>
    </row>
    <row r="193" spans="11:19" x14ac:dyDescent="0.25">
      <c r="K193" s="159">
        <v>185</v>
      </c>
      <c r="L193" s="133">
        <f ca="1">-IF(SUMMARY!$D$21*12&gt;=K193,IPMT(SUMMARY!$D$22/12,K193,SUMMARY!$D$21*12,SUMMARY!$D$20),0)</f>
        <v>187.2830862913865</v>
      </c>
      <c r="M193" s="133">
        <f ca="1">IF(SUMMARY!$D$21*12&gt;=K193,-PPMT(SUMMARY!$D$22/12,K193,SUMMARY!$D$21*12,SUMMARY!$D$20),0)</f>
        <v>415.47379169654363</v>
      </c>
      <c r="N193" s="160">
        <f t="shared" ca="1" si="6"/>
        <v>602.75687798793012</v>
      </c>
      <c r="P193" s="199"/>
      <c r="Q193" s="200"/>
      <c r="R193" s="200"/>
      <c r="S193" s="200"/>
    </row>
    <row r="194" spans="11:19" x14ac:dyDescent="0.25">
      <c r="K194" s="159">
        <v>186</v>
      </c>
      <c r="L194" s="133">
        <f ca="1">-IF(SUMMARY!$D$21*12&gt;=K194,IPMT(SUMMARY!$D$22/12,K194,SUMMARY!$D$21*12,SUMMARY!$D$20),0)</f>
        <v>184.51326101340956</v>
      </c>
      <c r="M194" s="133">
        <f ca="1">IF(SUMMARY!$D$21*12&gt;=K194,-PPMT(SUMMARY!$D$22/12,K194,SUMMARY!$D$21*12,SUMMARY!$D$20),0)</f>
        <v>418.24361697452059</v>
      </c>
      <c r="N194" s="160">
        <f t="shared" ca="1" si="6"/>
        <v>602.75687798793012</v>
      </c>
      <c r="P194" s="199"/>
      <c r="Q194" s="200"/>
      <c r="R194" s="200"/>
      <c r="S194" s="200"/>
    </row>
    <row r="195" spans="11:19" x14ac:dyDescent="0.25">
      <c r="K195" s="159">
        <v>187</v>
      </c>
      <c r="L195" s="133">
        <f ca="1">-IF(SUMMARY!$D$21*12&gt;=K195,IPMT(SUMMARY!$D$22/12,K195,SUMMARY!$D$21*12,SUMMARY!$D$20),0)</f>
        <v>181.72497023357954</v>
      </c>
      <c r="M195" s="133">
        <f ca="1">IF(SUMMARY!$D$21*12&gt;=K195,-PPMT(SUMMARY!$D$22/12,K195,SUMMARY!$D$21*12,SUMMARY!$D$20),0)</f>
        <v>421.03190775435058</v>
      </c>
      <c r="N195" s="160">
        <f t="shared" ca="1" si="6"/>
        <v>602.75687798793012</v>
      </c>
      <c r="P195" s="199"/>
      <c r="Q195" s="200"/>
      <c r="R195" s="200"/>
      <c r="S195" s="200"/>
    </row>
    <row r="196" spans="11:19" x14ac:dyDescent="0.25">
      <c r="K196" s="159">
        <v>188</v>
      </c>
      <c r="L196" s="133">
        <f ca="1">-IF(SUMMARY!$D$21*12&gt;=K196,IPMT(SUMMARY!$D$22/12,K196,SUMMARY!$D$21*12,SUMMARY!$D$20),0)</f>
        <v>178.91809084855061</v>
      </c>
      <c r="M196" s="133">
        <f ca="1">IF(SUMMARY!$D$21*12&gt;=K196,-PPMT(SUMMARY!$D$22/12,K196,SUMMARY!$D$21*12,SUMMARY!$D$20),0)</f>
        <v>423.83878713937952</v>
      </c>
      <c r="N196" s="160">
        <f t="shared" ca="1" si="6"/>
        <v>602.75687798793012</v>
      </c>
      <c r="P196" s="199"/>
      <c r="Q196" s="200"/>
      <c r="R196" s="200"/>
      <c r="S196" s="200"/>
    </row>
    <row r="197" spans="11:19" x14ac:dyDescent="0.25">
      <c r="K197" s="159">
        <v>189</v>
      </c>
      <c r="L197" s="133">
        <f ca="1">-IF(SUMMARY!$D$21*12&gt;=K197,IPMT(SUMMARY!$D$22/12,K197,SUMMARY!$D$21*12,SUMMARY!$D$20),0)</f>
        <v>176.09249893428816</v>
      </c>
      <c r="M197" s="133">
        <f ca="1">IF(SUMMARY!$D$21*12&gt;=K197,-PPMT(SUMMARY!$D$22/12,K197,SUMMARY!$D$21*12,SUMMARY!$D$20),0)</f>
        <v>426.66437905364194</v>
      </c>
      <c r="N197" s="160">
        <f t="shared" ca="1" si="6"/>
        <v>602.75687798793012</v>
      </c>
      <c r="P197" s="199"/>
      <c r="Q197" s="200"/>
      <c r="R197" s="200"/>
      <c r="S197" s="200"/>
    </row>
    <row r="198" spans="11:19" x14ac:dyDescent="0.25">
      <c r="K198" s="159">
        <v>190</v>
      </c>
      <c r="L198" s="133">
        <f ca="1">-IF(SUMMARY!$D$21*12&gt;=K198,IPMT(SUMMARY!$D$22/12,K198,SUMMARY!$D$21*12,SUMMARY!$D$20),0)</f>
        <v>173.24806974059689</v>
      </c>
      <c r="M198" s="133">
        <f ca="1">IF(SUMMARY!$D$21*12&gt;=K198,-PPMT(SUMMARY!$D$22/12,K198,SUMMARY!$D$21*12,SUMMARY!$D$20),0)</f>
        <v>429.50880824733326</v>
      </c>
      <c r="N198" s="160">
        <f t="shared" ca="1" si="6"/>
        <v>602.75687798793012</v>
      </c>
      <c r="P198" s="199"/>
      <c r="Q198" s="200"/>
      <c r="R198" s="200"/>
      <c r="S198" s="200"/>
    </row>
    <row r="199" spans="11:19" x14ac:dyDescent="0.25">
      <c r="K199" s="159">
        <v>191</v>
      </c>
      <c r="L199" s="133">
        <f ca="1">-IF(SUMMARY!$D$21*12&gt;=K199,IPMT(SUMMARY!$D$22/12,K199,SUMMARY!$D$21*12,SUMMARY!$D$20),0)</f>
        <v>170.38467768561503</v>
      </c>
      <c r="M199" s="133">
        <f ca="1">IF(SUMMARY!$D$21*12&gt;=K199,-PPMT(SUMMARY!$D$22/12,K199,SUMMARY!$D$21*12,SUMMARY!$D$20),0)</f>
        <v>432.37220030231509</v>
      </c>
      <c r="N199" s="160">
        <f t="shared" ca="1" si="6"/>
        <v>602.75687798793012</v>
      </c>
      <c r="P199" s="199"/>
      <c r="Q199" s="200"/>
      <c r="R199" s="200"/>
      <c r="S199" s="200"/>
    </row>
    <row r="200" spans="11:19" x14ac:dyDescent="0.25">
      <c r="K200" s="159">
        <v>192</v>
      </c>
      <c r="L200" s="133">
        <f ca="1">-IF(SUMMARY!$D$21*12&gt;=K200,IPMT(SUMMARY!$D$22/12,K200,SUMMARY!$D$21*12,SUMMARY!$D$20),0)</f>
        <v>167.50219635026608</v>
      </c>
      <c r="M200" s="133">
        <f ca="1">IF(SUMMARY!$D$21*12&gt;=K200,-PPMT(SUMMARY!$D$22/12,K200,SUMMARY!$D$21*12,SUMMARY!$D$20),0)</f>
        <v>435.25468163766402</v>
      </c>
      <c r="N200" s="160">
        <f t="shared" ca="1" si="6"/>
        <v>602.75687798793012</v>
      </c>
      <c r="P200" s="199"/>
      <c r="Q200" s="200"/>
      <c r="R200" s="200"/>
      <c r="S200" s="200"/>
    </row>
    <row r="201" spans="11:19" x14ac:dyDescent="0.25">
      <c r="K201" s="159">
        <v>193</v>
      </c>
      <c r="L201" s="133">
        <f ca="1">-IF(SUMMARY!$D$21*12&gt;=K201,IPMT(SUMMARY!$D$22/12,K201,SUMMARY!$D$21*12,SUMMARY!$D$20),0)</f>
        <v>164.60049847268169</v>
      </c>
      <c r="M201" s="133">
        <f ca="1">IF(SUMMARY!$D$21*12&gt;=K201,-PPMT(SUMMARY!$D$22/12,K201,SUMMARY!$D$21*12,SUMMARY!$D$20),0)</f>
        <v>438.15637951524843</v>
      </c>
      <c r="N201" s="160">
        <f t="shared" ref="N201:N264" ca="1" si="7">+M201+L201</f>
        <v>602.75687798793012</v>
      </c>
      <c r="P201" s="199"/>
      <c r="Q201" s="200"/>
      <c r="R201" s="200"/>
      <c r="S201" s="200"/>
    </row>
    <row r="202" spans="11:19" x14ac:dyDescent="0.25">
      <c r="K202" s="159">
        <v>194</v>
      </c>
      <c r="L202" s="133">
        <f ca="1">-IF(SUMMARY!$D$21*12&gt;=K202,IPMT(SUMMARY!$D$22/12,K202,SUMMARY!$D$21*12,SUMMARY!$D$20),0)</f>
        <v>161.67945594258026</v>
      </c>
      <c r="M202" s="133">
        <f ca="1">IF(SUMMARY!$D$21*12&gt;=K202,-PPMT(SUMMARY!$D$22/12,K202,SUMMARY!$D$21*12,SUMMARY!$D$20),0)</f>
        <v>441.07742204534986</v>
      </c>
      <c r="N202" s="160">
        <f t="shared" ca="1" si="7"/>
        <v>602.75687798793012</v>
      </c>
      <c r="P202" s="199"/>
      <c r="Q202" s="200"/>
      <c r="R202" s="200"/>
      <c r="S202" s="200"/>
    </row>
    <row r="203" spans="11:19" x14ac:dyDescent="0.25">
      <c r="K203" s="159">
        <v>195</v>
      </c>
      <c r="L203" s="133">
        <f ca="1">-IF(SUMMARY!$D$21*12&gt;=K203,IPMT(SUMMARY!$D$22/12,K203,SUMMARY!$D$21*12,SUMMARY!$D$20),0)</f>
        <v>158.73893979561109</v>
      </c>
      <c r="M203" s="133">
        <f ca="1">IF(SUMMARY!$D$21*12&gt;=K203,-PPMT(SUMMARY!$D$22/12,K203,SUMMARY!$D$21*12,SUMMARY!$D$20),0)</f>
        <v>444.01793819231904</v>
      </c>
      <c r="N203" s="160">
        <f t="shared" ca="1" si="7"/>
        <v>602.75687798793012</v>
      </c>
      <c r="P203" s="199"/>
      <c r="Q203" s="200"/>
      <c r="R203" s="200"/>
      <c r="S203" s="200"/>
    </row>
    <row r="204" spans="11:19" x14ac:dyDescent="0.25">
      <c r="K204" s="159">
        <v>196</v>
      </c>
      <c r="L204" s="133">
        <f ca="1">-IF(SUMMARY!$D$21*12&gt;=K204,IPMT(SUMMARY!$D$22/12,K204,SUMMARY!$D$21*12,SUMMARY!$D$20),0)</f>
        <v>155.77882020766228</v>
      </c>
      <c r="M204" s="133">
        <f ca="1">IF(SUMMARY!$D$21*12&gt;=K204,-PPMT(SUMMARY!$D$22/12,K204,SUMMARY!$D$21*12,SUMMARY!$D$20),0)</f>
        <v>446.97805778026782</v>
      </c>
      <c r="N204" s="160">
        <f t="shared" ca="1" si="7"/>
        <v>602.75687798793012</v>
      </c>
      <c r="P204" s="199"/>
      <c r="Q204" s="200"/>
      <c r="R204" s="200"/>
      <c r="S204" s="200"/>
    </row>
    <row r="205" spans="11:19" x14ac:dyDescent="0.25">
      <c r="K205" s="159">
        <v>197</v>
      </c>
      <c r="L205" s="133">
        <f ca="1">-IF(SUMMARY!$D$21*12&gt;=K205,IPMT(SUMMARY!$D$22/12,K205,SUMMARY!$D$21*12,SUMMARY!$D$20),0)</f>
        <v>152.79896648912751</v>
      </c>
      <c r="M205" s="133">
        <f ca="1">IF(SUMMARY!$D$21*12&gt;=K205,-PPMT(SUMMARY!$D$22/12,K205,SUMMARY!$D$21*12,SUMMARY!$D$20),0)</f>
        <v>449.95791149880262</v>
      </c>
      <c r="N205" s="160">
        <f t="shared" ca="1" si="7"/>
        <v>602.75687798793012</v>
      </c>
      <c r="P205" s="199"/>
      <c r="Q205" s="200"/>
      <c r="R205" s="200"/>
      <c r="S205" s="200"/>
    </row>
    <row r="206" spans="11:19" x14ac:dyDescent="0.25">
      <c r="K206" s="159">
        <v>198</v>
      </c>
      <c r="L206" s="133">
        <f ca="1">-IF(SUMMARY!$D$21*12&gt;=K206,IPMT(SUMMARY!$D$22/12,K206,SUMMARY!$D$21*12,SUMMARY!$D$20),0)</f>
        <v>149.7992470791356</v>
      </c>
      <c r="M206" s="133">
        <f ca="1">IF(SUMMARY!$D$21*12&gt;=K206,-PPMT(SUMMARY!$D$22/12,K206,SUMMARY!$D$21*12,SUMMARY!$D$20),0)</f>
        <v>452.9576309087945</v>
      </c>
      <c r="N206" s="160">
        <f t="shared" ca="1" si="7"/>
        <v>602.75687798793012</v>
      </c>
      <c r="P206" s="199"/>
      <c r="Q206" s="200"/>
      <c r="R206" s="200"/>
      <c r="S206" s="200"/>
    </row>
    <row r="207" spans="11:19" x14ac:dyDescent="0.25">
      <c r="K207" s="159">
        <v>199</v>
      </c>
      <c r="L207" s="133">
        <f ca="1">-IF(SUMMARY!$D$21*12&gt;=K207,IPMT(SUMMARY!$D$22/12,K207,SUMMARY!$D$21*12,SUMMARY!$D$20),0)</f>
        <v>146.77952953974329</v>
      </c>
      <c r="M207" s="133">
        <f ca="1">IF(SUMMARY!$D$21*12&gt;=K207,-PPMT(SUMMARY!$D$22/12,K207,SUMMARY!$D$21*12,SUMMARY!$D$20),0)</f>
        <v>455.97734844818683</v>
      </c>
      <c r="N207" s="160">
        <f t="shared" ca="1" si="7"/>
        <v>602.75687798793012</v>
      </c>
      <c r="P207" s="199"/>
      <c r="Q207" s="200"/>
      <c r="R207" s="200"/>
      <c r="S207" s="200"/>
    </row>
    <row r="208" spans="11:19" x14ac:dyDescent="0.25">
      <c r="K208" s="159">
        <v>200</v>
      </c>
      <c r="L208" s="133">
        <f ca="1">-IF(SUMMARY!$D$21*12&gt;=K208,IPMT(SUMMARY!$D$22/12,K208,SUMMARY!$D$21*12,SUMMARY!$D$20),0)</f>
        <v>143.73968055008874</v>
      </c>
      <c r="M208" s="133">
        <f ca="1">IF(SUMMARY!$D$21*12&gt;=K208,-PPMT(SUMMARY!$D$22/12,K208,SUMMARY!$D$21*12,SUMMARY!$D$20),0)</f>
        <v>459.01719743784139</v>
      </c>
      <c r="N208" s="160">
        <f t="shared" ca="1" si="7"/>
        <v>602.75687798793012</v>
      </c>
      <c r="P208" s="199"/>
      <c r="Q208" s="200"/>
      <c r="R208" s="200"/>
      <c r="S208" s="200"/>
    </row>
    <row r="209" spans="11:19" x14ac:dyDescent="0.25">
      <c r="K209" s="159">
        <v>201</v>
      </c>
      <c r="L209" s="133">
        <f ca="1">-IF(SUMMARY!$D$21*12&gt;=K209,IPMT(SUMMARY!$D$22/12,K209,SUMMARY!$D$21*12,SUMMARY!$D$20),0)</f>
        <v>140.67956590050329</v>
      </c>
      <c r="M209" s="133">
        <f ca="1">IF(SUMMARY!$D$21*12&gt;=K209,-PPMT(SUMMARY!$D$22/12,K209,SUMMARY!$D$21*12,SUMMARY!$D$20),0)</f>
        <v>462.07731208742683</v>
      </c>
      <c r="N209" s="160">
        <f t="shared" ca="1" si="7"/>
        <v>602.75687798793012</v>
      </c>
      <c r="P209" s="199"/>
      <c r="Q209" s="200"/>
      <c r="R209" s="200"/>
      <c r="S209" s="200"/>
    </row>
    <row r="210" spans="11:19" x14ac:dyDescent="0.25">
      <c r="K210" s="159">
        <v>202</v>
      </c>
      <c r="L210" s="133">
        <f ca="1">-IF(SUMMARY!$D$21*12&gt;=K210,IPMT(SUMMARY!$D$22/12,K210,SUMMARY!$D$21*12,SUMMARY!$D$20),0)</f>
        <v>137.59905048658723</v>
      </c>
      <c r="M210" s="133">
        <f ca="1">IF(SUMMARY!$D$21*12&gt;=K210,-PPMT(SUMMARY!$D$22/12,K210,SUMMARY!$D$21*12,SUMMARY!$D$20),0)</f>
        <v>465.15782750134292</v>
      </c>
      <c r="N210" s="160">
        <f t="shared" ca="1" si="7"/>
        <v>602.75687798793012</v>
      </c>
      <c r="P210" s="199"/>
      <c r="Q210" s="200"/>
      <c r="R210" s="200"/>
      <c r="S210" s="200"/>
    </row>
    <row r="211" spans="11:19" x14ac:dyDescent="0.25">
      <c r="K211" s="159">
        <v>203</v>
      </c>
      <c r="L211" s="133">
        <f ca="1">-IF(SUMMARY!$D$21*12&gt;=K211,IPMT(SUMMARY!$D$22/12,K211,SUMMARY!$D$21*12,SUMMARY!$D$20),0)</f>
        <v>134.49799830324463</v>
      </c>
      <c r="M211" s="133">
        <f ca="1">IF(SUMMARY!$D$21*12&gt;=K211,-PPMT(SUMMARY!$D$22/12,K211,SUMMARY!$D$21*12,SUMMARY!$D$20),0)</f>
        <v>468.2588796846855</v>
      </c>
      <c r="N211" s="160">
        <f t="shared" ca="1" si="7"/>
        <v>602.75687798793012</v>
      </c>
      <c r="P211" s="199"/>
      <c r="Q211" s="200"/>
      <c r="R211" s="200"/>
      <c r="S211" s="200"/>
    </row>
    <row r="212" spans="11:19" x14ac:dyDescent="0.25">
      <c r="K212" s="159">
        <v>204</v>
      </c>
      <c r="L212" s="133">
        <f ca="1">-IF(SUMMARY!$D$21*12&gt;=K212,IPMT(SUMMARY!$D$22/12,K212,SUMMARY!$D$21*12,SUMMARY!$D$20),0)</f>
        <v>131.37627243868056</v>
      </c>
      <c r="M212" s="133">
        <f ca="1">IF(SUMMARY!$D$21*12&gt;=K212,-PPMT(SUMMARY!$D$22/12,K212,SUMMARY!$D$21*12,SUMMARY!$D$20),0)</f>
        <v>471.38060554924959</v>
      </c>
      <c r="N212" s="160">
        <f t="shared" ca="1" si="7"/>
        <v>602.75687798793012</v>
      </c>
      <c r="P212" s="199"/>
      <c r="Q212" s="200"/>
      <c r="R212" s="200"/>
      <c r="S212" s="200"/>
    </row>
    <row r="213" spans="11:19" x14ac:dyDescent="0.25">
      <c r="K213" s="159">
        <v>205</v>
      </c>
      <c r="L213" s="133">
        <f ca="1">-IF(SUMMARY!$D$21*12&gt;=K213,IPMT(SUMMARY!$D$22/12,K213,SUMMARY!$D$21*12,SUMMARY!$D$20),0)</f>
        <v>128.23373506835196</v>
      </c>
      <c r="M213" s="133">
        <f ca="1">IF(SUMMARY!$D$21*12&gt;=K213,-PPMT(SUMMARY!$D$22/12,K213,SUMMARY!$D$21*12,SUMMARY!$D$20),0)</f>
        <v>474.52314291957816</v>
      </c>
      <c r="N213" s="160">
        <f t="shared" ca="1" si="7"/>
        <v>602.75687798793012</v>
      </c>
      <c r="P213" s="199"/>
      <c r="Q213" s="200"/>
      <c r="R213" s="200"/>
      <c r="S213" s="200"/>
    </row>
    <row r="214" spans="11:19" x14ac:dyDescent="0.25">
      <c r="K214" s="159">
        <v>206</v>
      </c>
      <c r="L214" s="133">
        <f ca="1">-IF(SUMMARY!$D$21*12&gt;=K214,IPMT(SUMMARY!$D$22/12,K214,SUMMARY!$D$21*12,SUMMARY!$D$20),0)</f>
        <v>125.07024744888807</v>
      </c>
      <c r="M214" s="133">
        <f ca="1">IF(SUMMARY!$D$21*12&gt;=K214,-PPMT(SUMMARY!$D$22/12,K214,SUMMARY!$D$21*12,SUMMARY!$D$20),0)</f>
        <v>477.68663053904208</v>
      </c>
      <c r="N214" s="160">
        <f t="shared" ca="1" si="7"/>
        <v>602.75687798793012</v>
      </c>
      <c r="P214" s="199"/>
      <c r="Q214" s="200"/>
      <c r="R214" s="200"/>
      <c r="S214" s="200"/>
    </row>
    <row r="215" spans="11:19" x14ac:dyDescent="0.25">
      <c r="K215" s="159">
        <v>207</v>
      </c>
      <c r="L215" s="133">
        <f ca="1">-IF(SUMMARY!$D$21*12&gt;=K215,IPMT(SUMMARY!$D$22/12,K215,SUMMARY!$D$21*12,SUMMARY!$D$20),0)</f>
        <v>121.88566991196132</v>
      </c>
      <c r="M215" s="133">
        <f ca="1">IF(SUMMARY!$D$21*12&gt;=K215,-PPMT(SUMMARY!$D$22/12,K215,SUMMARY!$D$21*12,SUMMARY!$D$20),0)</f>
        <v>480.87120807596881</v>
      </c>
      <c r="N215" s="160">
        <f t="shared" ca="1" si="7"/>
        <v>602.75687798793012</v>
      </c>
      <c r="P215" s="199"/>
      <c r="Q215" s="200"/>
      <c r="R215" s="200"/>
      <c r="S215" s="200"/>
    </row>
    <row r="216" spans="11:19" x14ac:dyDescent="0.25">
      <c r="K216" s="159">
        <v>208</v>
      </c>
      <c r="L216" s="133">
        <f ca="1">-IF(SUMMARY!$D$21*12&gt;=K216,IPMT(SUMMARY!$D$22/12,K216,SUMMARY!$D$21*12,SUMMARY!$D$20),0)</f>
        <v>118.6798618581212</v>
      </c>
      <c r="M216" s="133">
        <f ca="1">IF(SUMMARY!$D$21*12&gt;=K216,-PPMT(SUMMARY!$D$22/12,K216,SUMMARY!$D$21*12,SUMMARY!$D$20),0)</f>
        <v>484.07701612980895</v>
      </c>
      <c r="N216" s="160">
        <f t="shared" ca="1" si="7"/>
        <v>602.75687798793012</v>
      </c>
      <c r="P216" s="199"/>
      <c r="Q216" s="200"/>
      <c r="R216" s="200"/>
      <c r="S216" s="200"/>
    </row>
    <row r="217" spans="11:19" x14ac:dyDescent="0.25">
      <c r="K217" s="159">
        <v>209</v>
      </c>
      <c r="L217" s="133">
        <f ca="1">-IF(SUMMARY!$D$21*12&gt;=K217,IPMT(SUMMARY!$D$22/12,K217,SUMMARY!$D$21*12,SUMMARY!$D$20),0)</f>
        <v>115.45268175058921</v>
      </c>
      <c r="M217" s="133">
        <f ca="1">IF(SUMMARY!$D$21*12&gt;=K217,-PPMT(SUMMARY!$D$22/12,K217,SUMMARY!$D$21*12,SUMMARY!$D$20),0)</f>
        <v>487.30419623734093</v>
      </c>
      <c r="N217" s="160">
        <f t="shared" ca="1" si="7"/>
        <v>602.75687798793012</v>
      </c>
      <c r="P217" s="199"/>
      <c r="Q217" s="200"/>
      <c r="R217" s="200"/>
      <c r="S217" s="200"/>
    </row>
    <row r="218" spans="11:19" x14ac:dyDescent="0.25">
      <c r="K218" s="159">
        <v>210</v>
      </c>
      <c r="L218" s="133">
        <f ca="1">-IF(SUMMARY!$D$21*12&gt;=K218,IPMT(SUMMARY!$D$22/12,K218,SUMMARY!$D$21*12,SUMMARY!$D$20),0)</f>
        <v>112.20398710900724</v>
      </c>
      <c r="M218" s="133">
        <f ca="1">IF(SUMMARY!$D$21*12&gt;=K218,-PPMT(SUMMARY!$D$22/12,K218,SUMMARY!$D$21*12,SUMMARY!$D$20),0)</f>
        <v>490.55289087892288</v>
      </c>
      <c r="N218" s="160">
        <f t="shared" ca="1" si="7"/>
        <v>602.75687798793012</v>
      </c>
      <c r="P218" s="199"/>
      <c r="Q218" s="200"/>
      <c r="R218" s="200"/>
      <c r="S218" s="200"/>
    </row>
    <row r="219" spans="11:19" x14ac:dyDescent="0.25">
      <c r="K219" s="159">
        <v>211</v>
      </c>
      <c r="L219" s="133">
        <f ca="1">-IF(SUMMARY!$D$21*12&gt;=K219,IPMT(SUMMARY!$D$22/12,K219,SUMMARY!$D$21*12,SUMMARY!$D$20),0)</f>
        <v>108.93363450314773</v>
      </c>
      <c r="M219" s="133">
        <f ca="1">IF(SUMMARY!$D$21*12&gt;=K219,-PPMT(SUMMARY!$D$22/12,K219,SUMMARY!$D$21*12,SUMMARY!$D$20),0)</f>
        <v>493.82324348478238</v>
      </c>
      <c r="N219" s="160">
        <f t="shared" ca="1" si="7"/>
        <v>602.75687798793012</v>
      </c>
      <c r="P219" s="199"/>
      <c r="Q219" s="200"/>
      <c r="R219" s="200"/>
      <c r="S219" s="200"/>
    </row>
    <row r="220" spans="11:19" x14ac:dyDescent="0.25">
      <c r="K220" s="159">
        <v>212</v>
      </c>
      <c r="L220" s="133">
        <f ca="1">-IF(SUMMARY!$D$21*12&gt;=K220,IPMT(SUMMARY!$D$22/12,K220,SUMMARY!$D$21*12,SUMMARY!$D$20),0)</f>
        <v>105.64147954658256</v>
      </c>
      <c r="M220" s="133">
        <f ca="1">IF(SUMMARY!$D$21*12&gt;=K220,-PPMT(SUMMARY!$D$22/12,K220,SUMMARY!$D$21*12,SUMMARY!$D$20),0)</f>
        <v>497.11539844134757</v>
      </c>
      <c r="N220" s="160">
        <f t="shared" ca="1" si="7"/>
        <v>602.75687798793012</v>
      </c>
      <c r="P220" s="199"/>
      <c r="Q220" s="200"/>
      <c r="R220" s="200"/>
      <c r="S220" s="200"/>
    </row>
    <row r="221" spans="11:19" x14ac:dyDescent="0.25">
      <c r="K221" s="159">
        <v>213</v>
      </c>
      <c r="L221" s="133">
        <f ca="1">-IF(SUMMARY!$D$21*12&gt;=K221,IPMT(SUMMARY!$D$22/12,K221,SUMMARY!$D$21*12,SUMMARY!$D$20),0)</f>
        <v>102.32737689030668</v>
      </c>
      <c r="M221" s="133">
        <f ca="1">IF(SUMMARY!$D$21*12&gt;=K221,-PPMT(SUMMARY!$D$22/12,K221,SUMMARY!$D$21*12,SUMMARY!$D$20),0)</f>
        <v>500.42950109762342</v>
      </c>
      <c r="N221" s="160">
        <f t="shared" ca="1" si="7"/>
        <v>602.75687798793012</v>
      </c>
      <c r="P221" s="199"/>
      <c r="Q221" s="200"/>
      <c r="R221" s="200"/>
      <c r="S221" s="200"/>
    </row>
    <row r="222" spans="11:19" x14ac:dyDescent="0.25">
      <c r="K222" s="159">
        <v>214</v>
      </c>
      <c r="L222" s="133">
        <f ca="1">-IF(SUMMARY!$D$21*12&gt;=K222,IPMT(SUMMARY!$D$22/12,K222,SUMMARY!$D$21*12,SUMMARY!$D$20),0)</f>
        <v>98.991180216322732</v>
      </c>
      <c r="M222" s="133">
        <f ca="1">IF(SUMMARY!$D$21*12&gt;=K222,-PPMT(SUMMARY!$D$22/12,K222,SUMMARY!$D$21*12,SUMMARY!$D$20),0)</f>
        <v>503.76569777160739</v>
      </c>
      <c r="N222" s="160">
        <f t="shared" ca="1" si="7"/>
        <v>602.75687798793012</v>
      </c>
      <c r="P222" s="199"/>
      <c r="Q222" s="200"/>
      <c r="R222" s="200"/>
      <c r="S222" s="200"/>
    </row>
    <row r="223" spans="11:19" x14ac:dyDescent="0.25">
      <c r="K223" s="159">
        <v>215</v>
      </c>
      <c r="L223" s="133">
        <f ca="1">-IF(SUMMARY!$D$21*12&gt;=K223,IPMT(SUMMARY!$D$22/12,K223,SUMMARY!$D$21*12,SUMMARY!$D$20),0)</f>
        <v>95.632742231178568</v>
      </c>
      <c r="M223" s="133">
        <f ca="1">IF(SUMMARY!$D$21*12&gt;=K223,-PPMT(SUMMARY!$D$22/12,K223,SUMMARY!$D$21*12,SUMMARY!$D$20),0)</f>
        <v>507.12413575675157</v>
      </c>
      <c r="N223" s="160">
        <f t="shared" ca="1" si="7"/>
        <v>602.75687798793012</v>
      </c>
      <c r="P223" s="199"/>
      <c r="Q223" s="200"/>
      <c r="R223" s="200"/>
      <c r="S223" s="200"/>
    </row>
    <row r="224" spans="11:19" x14ac:dyDescent="0.25">
      <c r="K224" s="159">
        <v>216</v>
      </c>
      <c r="L224" s="133">
        <f ca="1">-IF(SUMMARY!$D$21*12&gt;=K224,IPMT(SUMMARY!$D$22/12,K224,SUMMARY!$D$21*12,SUMMARY!$D$20),0)</f>
        <v>92.251914659467303</v>
      </c>
      <c r="M224" s="133">
        <f ca="1">IF(SUMMARY!$D$21*12&gt;=K224,-PPMT(SUMMARY!$D$22/12,K224,SUMMARY!$D$21*12,SUMMARY!$D$20),0)</f>
        <v>510.50496332846285</v>
      </c>
      <c r="N224" s="160">
        <f t="shared" ca="1" si="7"/>
        <v>602.75687798793012</v>
      </c>
      <c r="P224" s="199"/>
      <c r="Q224" s="200"/>
      <c r="R224" s="200"/>
      <c r="S224" s="200"/>
    </row>
    <row r="225" spans="11:19" x14ac:dyDescent="0.25">
      <c r="K225" s="159">
        <v>217</v>
      </c>
      <c r="L225" s="133">
        <f ca="1">-IF(SUMMARY!$D$21*12&gt;=K225,IPMT(SUMMARY!$D$22/12,K225,SUMMARY!$D$21*12,SUMMARY!$D$20),0)</f>
        <v>88.848548237277427</v>
      </c>
      <c r="M225" s="133">
        <f ca="1">IF(SUMMARY!$D$21*12&gt;=K225,-PPMT(SUMMARY!$D$22/12,K225,SUMMARY!$D$21*12,SUMMARY!$D$20),0)</f>
        <v>513.90832975065268</v>
      </c>
      <c r="N225" s="160">
        <f t="shared" ca="1" si="7"/>
        <v>602.75687798793012</v>
      </c>
      <c r="P225" s="199"/>
      <c r="Q225" s="200"/>
      <c r="R225" s="200"/>
      <c r="S225" s="200"/>
    </row>
    <row r="226" spans="11:19" x14ac:dyDescent="0.25">
      <c r="K226" s="159">
        <v>218</v>
      </c>
      <c r="L226" s="133">
        <f ca="1">-IF(SUMMARY!$D$21*12&gt;=K226,IPMT(SUMMARY!$D$22/12,K226,SUMMARY!$D$21*12,SUMMARY!$D$20),0)</f>
        <v>85.422492705606473</v>
      </c>
      <c r="M226" s="133">
        <f ca="1">IF(SUMMARY!$D$21*12&gt;=K226,-PPMT(SUMMARY!$D$22/12,K226,SUMMARY!$D$21*12,SUMMARY!$D$20),0)</f>
        <v>517.33438528232364</v>
      </c>
      <c r="N226" s="160">
        <f t="shared" ca="1" si="7"/>
        <v>602.75687798793012</v>
      </c>
      <c r="P226" s="199"/>
      <c r="Q226" s="200"/>
      <c r="R226" s="200"/>
      <c r="S226" s="200"/>
    </row>
    <row r="227" spans="11:19" x14ac:dyDescent="0.25">
      <c r="K227" s="159">
        <v>219</v>
      </c>
      <c r="L227" s="133">
        <f ca="1">-IF(SUMMARY!$D$21*12&gt;=K227,IPMT(SUMMARY!$D$22/12,K227,SUMMARY!$D$21*12,SUMMARY!$D$20),0)</f>
        <v>81.973596803724078</v>
      </c>
      <c r="M227" s="133">
        <f ca="1">IF(SUMMARY!$D$21*12&gt;=K227,-PPMT(SUMMARY!$D$22/12,K227,SUMMARY!$D$21*12,SUMMARY!$D$20),0)</f>
        <v>520.78328118420609</v>
      </c>
      <c r="N227" s="160">
        <f t="shared" ca="1" si="7"/>
        <v>602.75687798793012</v>
      </c>
      <c r="P227" s="199"/>
      <c r="Q227" s="200"/>
      <c r="R227" s="200"/>
      <c r="S227" s="200"/>
    </row>
    <row r="228" spans="11:19" x14ac:dyDescent="0.25">
      <c r="K228" s="159">
        <v>220</v>
      </c>
      <c r="L228" s="133">
        <f ca="1">-IF(SUMMARY!$D$21*12&gt;=K228,IPMT(SUMMARY!$D$22/12,K228,SUMMARY!$D$21*12,SUMMARY!$D$20),0)</f>
        <v>78.50170826249601</v>
      </c>
      <c r="M228" s="133">
        <f ca="1">IF(SUMMARY!$D$21*12&gt;=K228,-PPMT(SUMMARY!$D$22/12,K228,SUMMARY!$D$21*12,SUMMARY!$D$20),0)</f>
        <v>524.25516972543414</v>
      </c>
      <c r="N228" s="160">
        <f t="shared" ca="1" si="7"/>
        <v>602.75687798793012</v>
      </c>
      <c r="P228" s="199"/>
      <c r="Q228" s="200"/>
      <c r="R228" s="200"/>
      <c r="S228" s="200"/>
    </row>
    <row r="229" spans="11:19" x14ac:dyDescent="0.25">
      <c r="K229" s="159">
        <v>221</v>
      </c>
      <c r="L229" s="133">
        <f ca="1">-IF(SUMMARY!$D$21*12&gt;=K229,IPMT(SUMMARY!$D$22/12,K229,SUMMARY!$D$21*12,SUMMARY!$D$20),0)</f>
        <v>75.006673797660042</v>
      </c>
      <c r="M229" s="133">
        <f ca="1">IF(SUMMARY!$D$21*12&gt;=K229,-PPMT(SUMMARY!$D$22/12,K229,SUMMARY!$D$21*12,SUMMARY!$D$20),0)</f>
        <v>527.7502041902701</v>
      </c>
      <c r="N229" s="160">
        <f t="shared" ca="1" si="7"/>
        <v>602.75687798793012</v>
      </c>
      <c r="P229" s="199"/>
      <c r="Q229" s="200"/>
      <c r="R229" s="200"/>
      <c r="S229" s="200"/>
    </row>
    <row r="230" spans="11:19" x14ac:dyDescent="0.25">
      <c r="K230" s="159">
        <v>222</v>
      </c>
      <c r="L230" s="133">
        <f ca="1">-IF(SUMMARY!$D$21*12&gt;=K230,IPMT(SUMMARY!$D$22/12,K230,SUMMARY!$D$21*12,SUMMARY!$D$20),0)</f>
        <v>71.488339103058294</v>
      </c>
      <c r="M230" s="133">
        <f ca="1">IF(SUMMARY!$D$21*12&gt;=K230,-PPMT(SUMMARY!$D$22/12,K230,SUMMARY!$D$21*12,SUMMARY!$D$20),0)</f>
        <v>531.26853888487187</v>
      </c>
      <c r="N230" s="160">
        <f t="shared" ca="1" si="7"/>
        <v>602.75687798793012</v>
      </c>
      <c r="P230" s="199"/>
      <c r="Q230" s="200"/>
      <c r="R230" s="200"/>
      <c r="S230" s="200"/>
    </row>
    <row r="231" spans="11:19" x14ac:dyDescent="0.25">
      <c r="K231" s="159">
        <v>223</v>
      </c>
      <c r="L231" s="133">
        <f ca="1">-IF(SUMMARY!$D$21*12&gt;=K231,IPMT(SUMMARY!$D$22/12,K231,SUMMARY!$D$21*12,SUMMARY!$D$20),0)</f>
        <v>67.946548843825781</v>
      </c>
      <c r="M231" s="133">
        <f ca="1">IF(SUMMARY!$D$21*12&gt;=K231,-PPMT(SUMMARY!$D$22/12,K231,SUMMARY!$D$21*12,SUMMARY!$D$20),0)</f>
        <v>534.81032914410434</v>
      </c>
      <c r="N231" s="160">
        <f t="shared" ca="1" si="7"/>
        <v>602.75687798793012</v>
      </c>
      <c r="P231" s="199"/>
      <c r="Q231" s="200"/>
      <c r="R231" s="200"/>
      <c r="S231" s="200"/>
    </row>
    <row r="232" spans="11:19" x14ac:dyDescent="0.25">
      <c r="K232" s="159">
        <v>224</v>
      </c>
      <c r="L232" s="133">
        <f ca="1">-IF(SUMMARY!$D$21*12&gt;=K232,IPMT(SUMMARY!$D$22/12,K232,SUMMARY!$D$21*12,SUMMARY!$D$20),0)</f>
        <v>64.381146649532027</v>
      </c>
      <c r="M232" s="133">
        <f ca="1">IF(SUMMARY!$D$21*12&gt;=K232,-PPMT(SUMMARY!$D$22/12,K232,SUMMARY!$D$21*12,SUMMARY!$D$20),0)</f>
        <v>538.37573133839805</v>
      </c>
      <c r="N232" s="160">
        <f t="shared" ca="1" si="7"/>
        <v>602.75687798793012</v>
      </c>
      <c r="P232" s="199"/>
      <c r="Q232" s="200"/>
      <c r="R232" s="200"/>
      <c r="S232" s="200"/>
    </row>
    <row r="233" spans="11:19" x14ac:dyDescent="0.25">
      <c r="K233" s="159">
        <v>225</v>
      </c>
      <c r="L233" s="133">
        <f ca="1">-IF(SUMMARY!$D$21*12&gt;=K233,IPMT(SUMMARY!$D$22/12,K233,SUMMARY!$D$21*12,SUMMARY!$D$20),0)</f>
        <v>60.791975107275654</v>
      </c>
      <c r="M233" s="133">
        <f ca="1">IF(SUMMARY!$D$21*12&gt;=K233,-PPMT(SUMMARY!$D$22/12,K233,SUMMARY!$D$21*12,SUMMARY!$D$20),0)</f>
        <v>541.96490288065445</v>
      </c>
      <c r="N233" s="160">
        <f t="shared" ca="1" si="7"/>
        <v>602.75687798793012</v>
      </c>
      <c r="P233" s="199"/>
      <c r="Q233" s="200"/>
      <c r="R233" s="200"/>
      <c r="S233" s="200"/>
    </row>
    <row r="234" spans="11:19" x14ac:dyDescent="0.25">
      <c r="K234" s="159">
        <v>226</v>
      </c>
      <c r="L234" s="133">
        <f ca="1">-IF(SUMMARY!$D$21*12&gt;=K234,IPMT(SUMMARY!$D$22/12,K234,SUMMARY!$D$21*12,SUMMARY!$D$20),0)</f>
        <v>57.178875754738307</v>
      </c>
      <c r="M234" s="133">
        <f ca="1">IF(SUMMARY!$D$21*12&gt;=K234,-PPMT(SUMMARY!$D$22/12,K234,SUMMARY!$D$21*12,SUMMARY!$D$20),0)</f>
        <v>545.5780022331918</v>
      </c>
      <c r="N234" s="160">
        <f t="shared" ca="1" si="7"/>
        <v>602.75687798793012</v>
      </c>
      <c r="P234" s="199"/>
      <c r="Q234" s="200"/>
      <c r="R234" s="200"/>
      <c r="S234" s="200"/>
    </row>
    <row r="235" spans="11:19" x14ac:dyDescent="0.25">
      <c r="K235" s="159">
        <v>227</v>
      </c>
      <c r="L235" s="133">
        <f ca="1">-IF(SUMMARY!$D$21*12&gt;=K235,IPMT(SUMMARY!$D$22/12,K235,SUMMARY!$D$21*12,SUMMARY!$D$20),0)</f>
        <v>53.54168907318342</v>
      </c>
      <c r="M235" s="133">
        <f ca="1">IF(SUMMARY!$D$21*12&gt;=K235,-PPMT(SUMMARY!$D$22/12,K235,SUMMARY!$D$21*12,SUMMARY!$D$20),0)</f>
        <v>549.2151889147467</v>
      </c>
      <c r="N235" s="160">
        <f t="shared" ca="1" si="7"/>
        <v>602.75687798793012</v>
      </c>
      <c r="P235" s="199"/>
      <c r="Q235" s="200"/>
      <c r="R235" s="200"/>
      <c r="S235" s="200"/>
    </row>
    <row r="236" spans="11:19" x14ac:dyDescent="0.25">
      <c r="K236" s="159">
        <v>228</v>
      </c>
      <c r="L236" s="133">
        <f ca="1">-IF(SUMMARY!$D$21*12&gt;=K236,IPMT(SUMMARY!$D$22/12,K236,SUMMARY!$D$21*12,SUMMARY!$D$20),0)</f>
        <v>49.880254480418905</v>
      </c>
      <c r="M236" s="133">
        <f ca="1">IF(SUMMARY!$D$21*12&gt;=K236,-PPMT(SUMMARY!$D$22/12,K236,SUMMARY!$D$21*12,SUMMARY!$D$20),0)</f>
        <v>552.87662350751123</v>
      </c>
      <c r="N236" s="160">
        <f t="shared" ca="1" si="7"/>
        <v>602.75687798793012</v>
      </c>
      <c r="P236" s="199"/>
      <c r="Q236" s="200"/>
      <c r="R236" s="200"/>
      <c r="S236" s="200"/>
    </row>
    <row r="237" spans="11:19" x14ac:dyDescent="0.25">
      <c r="K237" s="159">
        <v>229</v>
      </c>
      <c r="L237" s="133">
        <f ca="1">-IF(SUMMARY!$D$21*12&gt;=K237,IPMT(SUMMARY!$D$22/12,K237,SUMMARY!$D$21*12,SUMMARY!$D$20),0)</f>
        <v>46.194410323702037</v>
      </c>
      <c r="M237" s="133">
        <f ca="1">IF(SUMMARY!$D$21*12&gt;=K237,-PPMT(SUMMARY!$D$22/12,K237,SUMMARY!$D$21*12,SUMMARY!$D$20),0)</f>
        <v>556.56246766422805</v>
      </c>
      <c r="N237" s="160">
        <f t="shared" ca="1" si="7"/>
        <v>602.75687798793012</v>
      </c>
      <c r="P237" s="199"/>
      <c r="Q237" s="200"/>
      <c r="R237" s="200"/>
      <c r="S237" s="200"/>
    </row>
    <row r="238" spans="11:19" x14ac:dyDescent="0.25">
      <c r="K238" s="159">
        <v>230</v>
      </c>
      <c r="L238" s="133">
        <f ca="1">-IF(SUMMARY!$D$21*12&gt;=K238,IPMT(SUMMARY!$D$22/12,K238,SUMMARY!$D$21*12,SUMMARY!$D$20),0)</f>
        <v>42.483993872607051</v>
      </c>
      <c r="M238" s="133">
        <f ca="1">IF(SUMMARY!$D$21*12&gt;=K238,-PPMT(SUMMARY!$D$22/12,K238,SUMMARY!$D$21*12,SUMMARY!$D$20),0)</f>
        <v>560.27288411532311</v>
      </c>
      <c r="N238" s="160">
        <f t="shared" ca="1" si="7"/>
        <v>602.75687798793012</v>
      </c>
      <c r="P238" s="199"/>
      <c r="Q238" s="200"/>
      <c r="R238" s="200"/>
      <c r="S238" s="200"/>
    </row>
    <row r="239" spans="11:19" x14ac:dyDescent="0.25">
      <c r="K239" s="159">
        <v>231</v>
      </c>
      <c r="L239" s="133">
        <f ca="1">-IF(SUMMARY!$D$21*12&gt;=K239,IPMT(SUMMARY!$D$22/12,K239,SUMMARY!$D$21*12,SUMMARY!$D$20),0)</f>
        <v>38.748841311838092</v>
      </c>
      <c r="M239" s="133">
        <f ca="1">IF(SUMMARY!$D$21*12&gt;=K239,-PPMT(SUMMARY!$D$22/12,K239,SUMMARY!$D$21*12,SUMMARY!$D$20),0)</f>
        <v>564.00803667609205</v>
      </c>
      <c r="N239" s="160">
        <f t="shared" ca="1" si="7"/>
        <v>602.75687798793012</v>
      </c>
      <c r="P239" s="199"/>
      <c r="Q239" s="200"/>
      <c r="R239" s="200"/>
      <c r="S239" s="200"/>
    </row>
    <row r="240" spans="11:19" x14ac:dyDescent="0.25">
      <c r="K240" s="159">
        <v>232</v>
      </c>
      <c r="L240" s="133">
        <f ca="1">-IF(SUMMARY!$D$21*12&gt;=K240,IPMT(SUMMARY!$D$22/12,K240,SUMMARY!$D$21*12,SUMMARY!$D$20),0)</f>
        <v>34.988787733997839</v>
      </c>
      <c r="M240" s="133">
        <f ca="1">IF(SUMMARY!$D$21*12&gt;=K240,-PPMT(SUMMARY!$D$22/12,K240,SUMMARY!$D$21*12,SUMMARY!$D$20),0)</f>
        <v>567.76809025393231</v>
      </c>
      <c r="N240" s="160">
        <f t="shared" ca="1" si="7"/>
        <v>602.75687798793012</v>
      </c>
      <c r="P240" s="199"/>
      <c r="Q240" s="200"/>
      <c r="R240" s="200"/>
      <c r="S240" s="200"/>
    </row>
    <row r="241" spans="11:19" x14ac:dyDescent="0.25">
      <c r="K241" s="159">
        <v>233</v>
      </c>
      <c r="L241" s="133">
        <f ca="1">-IF(SUMMARY!$D$21*12&gt;=K241,IPMT(SUMMARY!$D$22/12,K241,SUMMARY!$D$21*12,SUMMARY!$D$20),0)</f>
        <v>31.203667132305373</v>
      </c>
      <c r="M241" s="133">
        <f ca="1">IF(SUMMARY!$D$21*12&gt;=K241,-PPMT(SUMMARY!$D$22/12,K241,SUMMARY!$D$21*12,SUMMARY!$D$20),0)</f>
        <v>571.5532108556248</v>
      </c>
      <c r="N241" s="160">
        <f t="shared" ca="1" si="7"/>
        <v>602.75687798793012</v>
      </c>
      <c r="P241" s="199"/>
      <c r="Q241" s="200"/>
      <c r="R241" s="200"/>
      <c r="S241" s="200"/>
    </row>
    <row r="242" spans="11:19" x14ac:dyDescent="0.25">
      <c r="K242" s="159">
        <v>234</v>
      </c>
      <c r="L242" s="133">
        <f ca="1">-IF(SUMMARY!$D$21*12&gt;=K242,IPMT(SUMMARY!$D$22/12,K242,SUMMARY!$D$21*12,SUMMARY!$D$20),0)</f>
        <v>27.393312393267408</v>
      </c>
      <c r="M242" s="133">
        <f ca="1">IF(SUMMARY!$D$21*12&gt;=K242,-PPMT(SUMMARY!$D$22/12,K242,SUMMARY!$D$21*12,SUMMARY!$D$20),0)</f>
        <v>575.36356559466276</v>
      </c>
      <c r="N242" s="160">
        <f t="shared" ca="1" si="7"/>
        <v>602.75687798793012</v>
      </c>
      <c r="P242" s="199"/>
      <c r="Q242" s="200"/>
      <c r="R242" s="200"/>
      <c r="S242" s="200"/>
    </row>
    <row r="243" spans="11:19" x14ac:dyDescent="0.25">
      <c r="K243" s="159">
        <v>235</v>
      </c>
      <c r="L243" s="133">
        <f ca="1">-IF(SUMMARY!$D$21*12&gt;=K243,IPMT(SUMMARY!$D$22/12,K243,SUMMARY!$D$21*12,SUMMARY!$D$20),0)</f>
        <v>23.557555289303419</v>
      </c>
      <c r="M243" s="133">
        <f ca="1">IF(SUMMARY!$D$21*12&gt;=K243,-PPMT(SUMMARY!$D$22/12,K243,SUMMARY!$D$21*12,SUMMARY!$D$20),0)</f>
        <v>579.1993226986267</v>
      </c>
      <c r="N243" s="160">
        <f t="shared" ca="1" si="7"/>
        <v>602.75687798793012</v>
      </c>
      <c r="P243" s="199"/>
      <c r="Q243" s="200"/>
      <c r="R243" s="200"/>
      <c r="S243" s="200"/>
    </row>
    <row r="244" spans="11:19" x14ac:dyDescent="0.25">
      <c r="K244" s="159">
        <v>236</v>
      </c>
      <c r="L244" s="133">
        <f ca="1">-IF(SUMMARY!$D$21*12&gt;=K244,IPMT(SUMMARY!$D$22/12,K244,SUMMARY!$D$21*12,SUMMARY!$D$20),0)</f>
        <v>19.696226471312112</v>
      </c>
      <c r="M244" s="133">
        <f ca="1">IF(SUMMARY!$D$21*12&gt;=K244,-PPMT(SUMMARY!$D$22/12,K244,SUMMARY!$D$21*12,SUMMARY!$D$20),0)</f>
        <v>583.06065151661801</v>
      </c>
      <c r="N244" s="160">
        <f t="shared" ca="1" si="7"/>
        <v>602.75687798793012</v>
      </c>
      <c r="P244" s="199"/>
      <c r="Q244" s="200"/>
      <c r="R244" s="200"/>
      <c r="S244" s="200"/>
    </row>
    <row r="245" spans="11:19" x14ac:dyDescent="0.25">
      <c r="K245" s="159">
        <v>237</v>
      </c>
      <c r="L245" s="133">
        <f ca="1">-IF(SUMMARY!$D$21*12&gt;=K245,IPMT(SUMMARY!$D$22/12,K245,SUMMARY!$D$21*12,SUMMARY!$D$20),0)</f>
        <v>15.809155461201833</v>
      </c>
      <c r="M245" s="133">
        <f ca="1">IF(SUMMARY!$D$21*12&gt;=K245,-PPMT(SUMMARY!$D$22/12,K245,SUMMARY!$D$21*12,SUMMARY!$D$20),0)</f>
        <v>586.94772252672828</v>
      </c>
      <c r="N245" s="160">
        <f t="shared" ca="1" si="7"/>
        <v>602.75687798793012</v>
      </c>
      <c r="P245" s="199"/>
      <c r="Q245" s="200"/>
      <c r="R245" s="200"/>
      <c r="S245" s="200"/>
    </row>
    <row r="246" spans="11:19" x14ac:dyDescent="0.25">
      <c r="K246" s="159">
        <v>238</v>
      </c>
      <c r="L246" s="133">
        <f ca="1">-IF(SUMMARY!$D$21*12&gt;=K246,IPMT(SUMMARY!$D$22/12,K246,SUMMARY!$D$21*12,SUMMARY!$D$20),0)</f>
        <v>11.896170644356559</v>
      </c>
      <c r="M246" s="133">
        <f ca="1">IF(SUMMARY!$D$21*12&gt;=K246,-PPMT(SUMMARY!$D$22/12,K246,SUMMARY!$D$21*12,SUMMARY!$D$20),0)</f>
        <v>590.86070734357361</v>
      </c>
      <c r="N246" s="160">
        <f t="shared" ca="1" si="7"/>
        <v>602.75687798793012</v>
      </c>
      <c r="P246" s="199"/>
      <c r="Q246" s="200"/>
      <c r="R246" s="200"/>
      <c r="S246" s="200"/>
    </row>
    <row r="247" spans="11:19" x14ac:dyDescent="0.25">
      <c r="K247" s="159">
        <v>239</v>
      </c>
      <c r="L247" s="133">
        <f ca="1">-IF(SUMMARY!$D$21*12&gt;=K247,IPMT(SUMMARY!$D$22/12,K247,SUMMARY!$D$21*12,SUMMARY!$D$20),0)</f>
        <v>7.957099262066186</v>
      </c>
      <c r="M247" s="133">
        <f ca="1">IF(SUMMARY!$D$21*12&gt;=K247,-PPMT(SUMMARY!$D$22/12,K247,SUMMARY!$D$21*12,SUMMARY!$D$20),0)</f>
        <v>594.79977872586392</v>
      </c>
      <c r="N247" s="160">
        <f t="shared" ca="1" si="7"/>
        <v>602.75687798793012</v>
      </c>
      <c r="P247" s="199"/>
      <c r="Q247" s="200"/>
      <c r="R247" s="200"/>
      <c r="S247" s="200"/>
    </row>
    <row r="248" spans="11:19" x14ac:dyDescent="0.25">
      <c r="K248" s="159">
        <v>240</v>
      </c>
      <c r="L248" s="133">
        <f ca="1">-IF(SUMMARY!$D$21*12&gt;=K248,IPMT(SUMMARY!$D$22/12,K248,SUMMARY!$D$21*12,SUMMARY!$D$20),0)</f>
        <v>3.9917674038935611</v>
      </c>
      <c r="M248" s="133">
        <f ca="1">IF(SUMMARY!$D$21*12&gt;=K248,-PPMT(SUMMARY!$D$22/12,K248,SUMMARY!$D$21*12,SUMMARY!$D$20),0)</f>
        <v>598.76511058403662</v>
      </c>
      <c r="N248" s="160">
        <f t="shared" ca="1" si="7"/>
        <v>602.75687798793012</v>
      </c>
      <c r="P248" s="199"/>
      <c r="Q248" s="200"/>
      <c r="R248" s="200"/>
      <c r="S248" s="200"/>
    </row>
    <row r="249" spans="11:19" x14ac:dyDescent="0.25">
      <c r="K249" s="159">
        <v>241</v>
      </c>
      <c r="L249" s="133">
        <f>-IF(SUMMARY!$D$21*12&gt;=K249,IPMT(SUMMARY!$D$22/12,K249,SUMMARY!$D$21*12,SUMMARY!$D$20),0)</f>
        <v>0</v>
      </c>
      <c r="M249" s="133">
        <f>IF(SUMMARY!$D$21*12&gt;=K249,-PPMT(SUMMARY!$D$22/12,K249,SUMMARY!$D$21*12,SUMMARY!$D$20),0)</f>
        <v>0</v>
      </c>
      <c r="N249" s="160">
        <f t="shared" si="7"/>
        <v>0</v>
      </c>
      <c r="P249" s="199"/>
      <c r="Q249" s="200"/>
      <c r="R249" s="200"/>
      <c r="S249" s="200"/>
    </row>
    <row r="250" spans="11:19" x14ac:dyDescent="0.25">
      <c r="K250" s="159">
        <v>242</v>
      </c>
      <c r="L250" s="133">
        <f>-IF(SUMMARY!$D$21*12&gt;=K250,IPMT(SUMMARY!$D$22/12,K250,SUMMARY!$D$21*12,SUMMARY!$D$20),0)</f>
        <v>0</v>
      </c>
      <c r="M250" s="133">
        <f>IF(SUMMARY!$D$21*12&gt;=K250,-PPMT(SUMMARY!$D$22/12,K250,SUMMARY!$D$21*12,SUMMARY!$D$20),0)</f>
        <v>0</v>
      </c>
      <c r="N250" s="160">
        <f t="shared" si="7"/>
        <v>0</v>
      </c>
      <c r="P250" s="199"/>
      <c r="Q250" s="200"/>
      <c r="R250" s="200"/>
      <c r="S250" s="200"/>
    </row>
    <row r="251" spans="11:19" x14ac:dyDescent="0.25">
      <c r="K251" s="159">
        <v>243</v>
      </c>
      <c r="L251" s="133">
        <f>-IF(SUMMARY!$D$21*12&gt;=K251,IPMT(SUMMARY!$D$22/12,K251,SUMMARY!$D$21*12,SUMMARY!$D$20),0)</f>
        <v>0</v>
      </c>
      <c r="M251" s="133">
        <f>IF(SUMMARY!$D$21*12&gt;=K251,-PPMT(SUMMARY!$D$22/12,K251,SUMMARY!$D$21*12,SUMMARY!$D$20),0)</f>
        <v>0</v>
      </c>
      <c r="N251" s="160">
        <f t="shared" si="7"/>
        <v>0</v>
      </c>
      <c r="P251" s="199"/>
      <c r="Q251" s="200"/>
      <c r="R251" s="200"/>
      <c r="S251" s="200"/>
    </row>
    <row r="252" spans="11:19" x14ac:dyDescent="0.25">
      <c r="K252" s="159">
        <v>244</v>
      </c>
      <c r="L252" s="133">
        <f>-IF(SUMMARY!$D$21*12&gt;=K252,IPMT(SUMMARY!$D$22/12,K252,SUMMARY!$D$21*12,SUMMARY!$D$20),0)</f>
        <v>0</v>
      </c>
      <c r="M252" s="133">
        <f>IF(SUMMARY!$D$21*12&gt;=K252,-PPMT(SUMMARY!$D$22/12,K252,SUMMARY!$D$21*12,SUMMARY!$D$20),0)</f>
        <v>0</v>
      </c>
      <c r="N252" s="160">
        <f t="shared" si="7"/>
        <v>0</v>
      </c>
      <c r="P252" s="199"/>
      <c r="Q252" s="200"/>
      <c r="R252" s="200"/>
      <c r="S252" s="200"/>
    </row>
    <row r="253" spans="11:19" x14ac:dyDescent="0.25">
      <c r="K253" s="159">
        <v>245</v>
      </c>
      <c r="L253" s="133">
        <f>-IF(SUMMARY!$D$21*12&gt;=K253,IPMT(SUMMARY!$D$22/12,K253,SUMMARY!$D$21*12,SUMMARY!$D$20),0)</f>
        <v>0</v>
      </c>
      <c r="M253" s="133">
        <f>IF(SUMMARY!$D$21*12&gt;=K253,-PPMT(SUMMARY!$D$22/12,K253,SUMMARY!$D$21*12,SUMMARY!$D$20),0)</f>
        <v>0</v>
      </c>
      <c r="N253" s="160">
        <f t="shared" si="7"/>
        <v>0</v>
      </c>
      <c r="P253" s="199"/>
      <c r="Q253" s="200"/>
      <c r="R253" s="200"/>
      <c r="S253" s="200"/>
    </row>
    <row r="254" spans="11:19" x14ac:dyDescent="0.25">
      <c r="K254" s="159">
        <v>246</v>
      </c>
      <c r="L254" s="133">
        <f>-IF(SUMMARY!$D$21*12&gt;=K254,IPMT(SUMMARY!$D$22/12,K254,SUMMARY!$D$21*12,SUMMARY!$D$20),0)</f>
        <v>0</v>
      </c>
      <c r="M254" s="133">
        <f>IF(SUMMARY!$D$21*12&gt;=K254,-PPMT(SUMMARY!$D$22/12,K254,SUMMARY!$D$21*12,SUMMARY!$D$20),0)</f>
        <v>0</v>
      </c>
      <c r="N254" s="160">
        <f t="shared" si="7"/>
        <v>0</v>
      </c>
      <c r="P254" s="199"/>
      <c r="Q254" s="200"/>
      <c r="R254" s="200"/>
      <c r="S254" s="200"/>
    </row>
    <row r="255" spans="11:19" x14ac:dyDescent="0.25">
      <c r="K255" s="159">
        <v>247</v>
      </c>
      <c r="L255" s="133">
        <f>-IF(SUMMARY!$D$21*12&gt;=K255,IPMT(SUMMARY!$D$22/12,K255,SUMMARY!$D$21*12,SUMMARY!$D$20),0)</f>
        <v>0</v>
      </c>
      <c r="M255" s="133">
        <f>IF(SUMMARY!$D$21*12&gt;=K255,-PPMT(SUMMARY!$D$22/12,K255,SUMMARY!$D$21*12,SUMMARY!$D$20),0)</f>
        <v>0</v>
      </c>
      <c r="N255" s="160">
        <f t="shared" si="7"/>
        <v>0</v>
      </c>
      <c r="P255" s="199"/>
      <c r="Q255" s="200"/>
      <c r="R255" s="200"/>
      <c r="S255" s="200"/>
    </row>
    <row r="256" spans="11:19" x14ac:dyDescent="0.25">
      <c r="K256" s="159">
        <v>248</v>
      </c>
      <c r="L256" s="133">
        <f>-IF(SUMMARY!$D$21*12&gt;=K256,IPMT(SUMMARY!$D$22/12,K256,SUMMARY!$D$21*12,SUMMARY!$D$20),0)</f>
        <v>0</v>
      </c>
      <c r="M256" s="133">
        <f>IF(SUMMARY!$D$21*12&gt;=K256,-PPMT(SUMMARY!$D$22/12,K256,SUMMARY!$D$21*12,SUMMARY!$D$20),0)</f>
        <v>0</v>
      </c>
      <c r="N256" s="160">
        <f t="shared" si="7"/>
        <v>0</v>
      </c>
      <c r="P256" s="199"/>
      <c r="Q256" s="200"/>
      <c r="R256" s="200"/>
      <c r="S256" s="200"/>
    </row>
    <row r="257" spans="11:19" x14ac:dyDescent="0.25">
      <c r="K257" s="159">
        <v>249</v>
      </c>
      <c r="L257" s="133">
        <f>-IF(SUMMARY!$D$21*12&gt;=K257,IPMT(SUMMARY!$D$22/12,K257,SUMMARY!$D$21*12,SUMMARY!$D$20),0)</f>
        <v>0</v>
      </c>
      <c r="M257" s="133">
        <f>IF(SUMMARY!$D$21*12&gt;=K257,-PPMT(SUMMARY!$D$22/12,K257,SUMMARY!$D$21*12,SUMMARY!$D$20),0)</f>
        <v>0</v>
      </c>
      <c r="N257" s="160">
        <f t="shared" si="7"/>
        <v>0</v>
      </c>
      <c r="P257" s="199"/>
      <c r="Q257" s="200"/>
      <c r="R257" s="200"/>
      <c r="S257" s="200"/>
    </row>
    <row r="258" spans="11:19" x14ac:dyDescent="0.25">
      <c r="K258" s="159">
        <v>250</v>
      </c>
      <c r="L258" s="133">
        <f>-IF(SUMMARY!$D$21*12&gt;=K258,IPMT(SUMMARY!$D$22/12,K258,SUMMARY!$D$21*12,SUMMARY!$D$20),0)</f>
        <v>0</v>
      </c>
      <c r="M258" s="133">
        <f>IF(SUMMARY!$D$21*12&gt;=K258,-PPMT(SUMMARY!$D$22/12,K258,SUMMARY!$D$21*12,SUMMARY!$D$20),0)</f>
        <v>0</v>
      </c>
      <c r="N258" s="160">
        <f t="shared" si="7"/>
        <v>0</v>
      </c>
      <c r="P258" s="199"/>
      <c r="Q258" s="200"/>
      <c r="R258" s="200"/>
      <c r="S258" s="200"/>
    </row>
    <row r="259" spans="11:19" x14ac:dyDescent="0.25">
      <c r="K259" s="159">
        <v>251</v>
      </c>
      <c r="L259" s="133">
        <f>-IF(SUMMARY!$D$21*12&gt;=K259,IPMT(SUMMARY!$D$22/12,K259,SUMMARY!$D$21*12,SUMMARY!$D$20),0)</f>
        <v>0</v>
      </c>
      <c r="M259" s="133">
        <f>IF(SUMMARY!$D$21*12&gt;=K259,-PPMT(SUMMARY!$D$22/12,K259,SUMMARY!$D$21*12,SUMMARY!$D$20),0)</f>
        <v>0</v>
      </c>
      <c r="N259" s="160">
        <f t="shared" si="7"/>
        <v>0</v>
      </c>
      <c r="P259" s="199"/>
      <c r="Q259" s="200"/>
      <c r="R259" s="200"/>
      <c r="S259" s="200"/>
    </row>
    <row r="260" spans="11:19" x14ac:dyDescent="0.25">
      <c r="K260" s="159">
        <v>252</v>
      </c>
      <c r="L260" s="133">
        <f>-IF(SUMMARY!$D$21*12&gt;=K260,IPMT(SUMMARY!$D$22/12,K260,SUMMARY!$D$21*12,SUMMARY!$D$20),0)</f>
        <v>0</v>
      </c>
      <c r="M260" s="133">
        <f>IF(SUMMARY!$D$21*12&gt;=K260,-PPMT(SUMMARY!$D$22/12,K260,SUMMARY!$D$21*12,SUMMARY!$D$20),0)</f>
        <v>0</v>
      </c>
      <c r="N260" s="160">
        <f t="shared" si="7"/>
        <v>0</v>
      </c>
      <c r="P260" s="199"/>
      <c r="Q260" s="200"/>
      <c r="R260" s="200"/>
      <c r="S260" s="200"/>
    </row>
    <row r="261" spans="11:19" x14ac:dyDescent="0.25">
      <c r="K261" s="159">
        <v>253</v>
      </c>
      <c r="L261" s="133">
        <f>-IF(SUMMARY!$D$21*12&gt;=K261,IPMT(SUMMARY!$D$22/12,K261,SUMMARY!$D$21*12,SUMMARY!$D$20),0)</f>
        <v>0</v>
      </c>
      <c r="M261" s="133">
        <f>IF(SUMMARY!$D$21*12&gt;=K261,-PPMT(SUMMARY!$D$22/12,K261,SUMMARY!$D$21*12,SUMMARY!$D$20),0)</f>
        <v>0</v>
      </c>
      <c r="N261" s="160">
        <f t="shared" si="7"/>
        <v>0</v>
      </c>
      <c r="P261" s="199"/>
      <c r="Q261" s="200"/>
      <c r="R261" s="200"/>
      <c r="S261" s="200"/>
    </row>
    <row r="262" spans="11:19" x14ac:dyDescent="0.25">
      <c r="K262" s="159">
        <v>254</v>
      </c>
      <c r="L262" s="133">
        <f>-IF(SUMMARY!$D$21*12&gt;=K262,IPMT(SUMMARY!$D$22/12,K262,SUMMARY!$D$21*12,SUMMARY!$D$20),0)</f>
        <v>0</v>
      </c>
      <c r="M262" s="133">
        <f>IF(SUMMARY!$D$21*12&gt;=K262,-PPMT(SUMMARY!$D$22/12,K262,SUMMARY!$D$21*12,SUMMARY!$D$20),0)</f>
        <v>0</v>
      </c>
      <c r="N262" s="160">
        <f t="shared" si="7"/>
        <v>0</v>
      </c>
      <c r="P262" s="199"/>
      <c r="Q262" s="200"/>
      <c r="R262" s="200"/>
      <c r="S262" s="200"/>
    </row>
    <row r="263" spans="11:19" x14ac:dyDescent="0.25">
      <c r="K263" s="159">
        <v>255</v>
      </c>
      <c r="L263" s="133">
        <f>-IF(SUMMARY!$D$21*12&gt;=K263,IPMT(SUMMARY!$D$22/12,K263,SUMMARY!$D$21*12,SUMMARY!$D$20),0)</f>
        <v>0</v>
      </c>
      <c r="M263" s="133">
        <f>IF(SUMMARY!$D$21*12&gt;=K263,-PPMT(SUMMARY!$D$22/12,K263,SUMMARY!$D$21*12,SUMMARY!$D$20),0)</f>
        <v>0</v>
      </c>
      <c r="N263" s="160">
        <f t="shared" si="7"/>
        <v>0</v>
      </c>
      <c r="P263" s="199"/>
      <c r="Q263" s="200"/>
      <c r="R263" s="200"/>
      <c r="S263" s="200"/>
    </row>
    <row r="264" spans="11:19" x14ac:dyDescent="0.25">
      <c r="K264" s="159">
        <v>256</v>
      </c>
      <c r="L264" s="133">
        <f>-IF(SUMMARY!$D$21*12&gt;=K264,IPMT(SUMMARY!$D$22/12,K264,SUMMARY!$D$21*12,SUMMARY!$D$20),0)</f>
        <v>0</v>
      </c>
      <c r="M264" s="133">
        <f>IF(SUMMARY!$D$21*12&gt;=K264,-PPMT(SUMMARY!$D$22/12,K264,SUMMARY!$D$21*12,SUMMARY!$D$20),0)</f>
        <v>0</v>
      </c>
      <c r="N264" s="160">
        <f t="shared" si="7"/>
        <v>0</v>
      </c>
      <c r="P264" s="199"/>
      <c r="Q264" s="200"/>
      <c r="R264" s="200"/>
      <c r="S264" s="200"/>
    </row>
    <row r="265" spans="11:19" x14ac:dyDescent="0.25">
      <c r="K265" s="159">
        <v>257</v>
      </c>
      <c r="L265" s="133">
        <f>-IF(SUMMARY!$D$21*12&gt;=K265,IPMT(SUMMARY!$D$22/12,K265,SUMMARY!$D$21*12,SUMMARY!$D$20),0)</f>
        <v>0</v>
      </c>
      <c r="M265" s="133">
        <f>IF(SUMMARY!$D$21*12&gt;=K265,-PPMT(SUMMARY!$D$22/12,K265,SUMMARY!$D$21*12,SUMMARY!$D$20),0)</f>
        <v>0</v>
      </c>
      <c r="N265" s="160">
        <f t="shared" ref="N265:N328" si="8">+M265+L265</f>
        <v>0</v>
      </c>
      <c r="P265" s="199"/>
      <c r="Q265" s="200"/>
      <c r="R265" s="200"/>
      <c r="S265" s="200"/>
    </row>
    <row r="266" spans="11:19" x14ac:dyDescent="0.25">
      <c r="K266" s="159">
        <v>258</v>
      </c>
      <c r="L266" s="133">
        <f>-IF(SUMMARY!$D$21*12&gt;=K266,IPMT(SUMMARY!$D$22/12,K266,SUMMARY!$D$21*12,SUMMARY!$D$20),0)</f>
        <v>0</v>
      </c>
      <c r="M266" s="133">
        <f>IF(SUMMARY!$D$21*12&gt;=K266,-PPMT(SUMMARY!$D$22/12,K266,SUMMARY!$D$21*12,SUMMARY!$D$20),0)</f>
        <v>0</v>
      </c>
      <c r="N266" s="160">
        <f t="shared" si="8"/>
        <v>0</v>
      </c>
      <c r="P266" s="199"/>
      <c r="Q266" s="200"/>
      <c r="R266" s="200"/>
      <c r="S266" s="200"/>
    </row>
    <row r="267" spans="11:19" x14ac:dyDescent="0.25">
      <c r="K267" s="159">
        <v>259</v>
      </c>
      <c r="L267" s="133">
        <f>-IF(SUMMARY!$D$21*12&gt;=K267,IPMT(SUMMARY!$D$22/12,K267,SUMMARY!$D$21*12,SUMMARY!$D$20),0)</f>
        <v>0</v>
      </c>
      <c r="M267" s="133">
        <f>IF(SUMMARY!$D$21*12&gt;=K267,-PPMT(SUMMARY!$D$22/12,K267,SUMMARY!$D$21*12,SUMMARY!$D$20),0)</f>
        <v>0</v>
      </c>
      <c r="N267" s="160">
        <f t="shared" si="8"/>
        <v>0</v>
      </c>
      <c r="P267" s="199"/>
      <c r="Q267" s="200"/>
      <c r="R267" s="200"/>
      <c r="S267" s="200"/>
    </row>
    <row r="268" spans="11:19" x14ac:dyDescent="0.25">
      <c r="K268" s="159">
        <v>260</v>
      </c>
      <c r="L268" s="133">
        <f>-IF(SUMMARY!$D$21*12&gt;=K268,IPMT(SUMMARY!$D$22/12,K268,SUMMARY!$D$21*12,SUMMARY!$D$20),0)</f>
        <v>0</v>
      </c>
      <c r="M268" s="133">
        <f>IF(SUMMARY!$D$21*12&gt;=K268,-PPMT(SUMMARY!$D$22/12,K268,SUMMARY!$D$21*12,SUMMARY!$D$20),0)</f>
        <v>0</v>
      </c>
      <c r="N268" s="160">
        <f t="shared" si="8"/>
        <v>0</v>
      </c>
      <c r="P268" s="199"/>
      <c r="Q268" s="200"/>
      <c r="R268" s="200"/>
      <c r="S268" s="200"/>
    </row>
    <row r="269" spans="11:19" x14ac:dyDescent="0.25">
      <c r="K269" s="159">
        <v>261</v>
      </c>
      <c r="L269" s="133">
        <f>-IF(SUMMARY!$D$21*12&gt;=K269,IPMT(SUMMARY!$D$22/12,K269,SUMMARY!$D$21*12,SUMMARY!$D$20),0)</f>
        <v>0</v>
      </c>
      <c r="M269" s="133">
        <f>IF(SUMMARY!$D$21*12&gt;=K269,-PPMT(SUMMARY!$D$22/12,K269,SUMMARY!$D$21*12,SUMMARY!$D$20),0)</f>
        <v>0</v>
      </c>
      <c r="N269" s="160">
        <f t="shared" si="8"/>
        <v>0</v>
      </c>
      <c r="P269" s="199"/>
      <c r="Q269" s="200"/>
      <c r="R269" s="200"/>
      <c r="S269" s="200"/>
    </row>
    <row r="270" spans="11:19" x14ac:dyDescent="0.25">
      <c r="K270" s="159">
        <v>262</v>
      </c>
      <c r="L270" s="133">
        <f>-IF(SUMMARY!$D$21*12&gt;=K270,IPMT(SUMMARY!$D$22/12,K270,SUMMARY!$D$21*12,SUMMARY!$D$20),0)</f>
        <v>0</v>
      </c>
      <c r="M270" s="133">
        <f>IF(SUMMARY!$D$21*12&gt;=K270,-PPMT(SUMMARY!$D$22/12,K270,SUMMARY!$D$21*12,SUMMARY!$D$20),0)</f>
        <v>0</v>
      </c>
      <c r="N270" s="160">
        <f t="shared" si="8"/>
        <v>0</v>
      </c>
      <c r="P270" s="199"/>
      <c r="Q270" s="200"/>
      <c r="R270" s="200"/>
      <c r="S270" s="200"/>
    </row>
    <row r="271" spans="11:19" x14ac:dyDescent="0.25">
      <c r="K271" s="159">
        <v>263</v>
      </c>
      <c r="L271" s="133">
        <f>-IF(SUMMARY!$D$21*12&gt;=K271,IPMT(SUMMARY!$D$22/12,K271,SUMMARY!$D$21*12,SUMMARY!$D$20),0)</f>
        <v>0</v>
      </c>
      <c r="M271" s="133">
        <f>IF(SUMMARY!$D$21*12&gt;=K271,-PPMT(SUMMARY!$D$22/12,K271,SUMMARY!$D$21*12,SUMMARY!$D$20),0)</f>
        <v>0</v>
      </c>
      <c r="N271" s="160">
        <f t="shared" si="8"/>
        <v>0</v>
      </c>
      <c r="P271" s="199"/>
      <c r="Q271" s="200"/>
      <c r="R271" s="200"/>
      <c r="S271" s="200"/>
    </row>
    <row r="272" spans="11:19" x14ac:dyDescent="0.25">
      <c r="K272" s="159">
        <v>264</v>
      </c>
      <c r="L272" s="133">
        <f>-IF(SUMMARY!$D$21*12&gt;=K272,IPMT(SUMMARY!$D$22/12,K272,SUMMARY!$D$21*12,SUMMARY!$D$20),0)</f>
        <v>0</v>
      </c>
      <c r="M272" s="133">
        <f>IF(SUMMARY!$D$21*12&gt;=K272,-PPMT(SUMMARY!$D$22/12,K272,SUMMARY!$D$21*12,SUMMARY!$D$20),0)</f>
        <v>0</v>
      </c>
      <c r="N272" s="160">
        <f t="shared" si="8"/>
        <v>0</v>
      </c>
      <c r="P272" s="199"/>
      <c r="Q272" s="200"/>
      <c r="R272" s="200"/>
      <c r="S272" s="200"/>
    </row>
    <row r="273" spans="11:19" x14ac:dyDescent="0.25">
      <c r="K273" s="159">
        <v>265</v>
      </c>
      <c r="L273" s="133">
        <f>-IF(SUMMARY!$D$21*12&gt;=K273,IPMT(SUMMARY!$D$22/12,K273,SUMMARY!$D$21*12,SUMMARY!$D$20),0)</f>
        <v>0</v>
      </c>
      <c r="M273" s="133">
        <f>IF(SUMMARY!$D$21*12&gt;=K273,-PPMT(SUMMARY!$D$22/12,K273,SUMMARY!$D$21*12,SUMMARY!$D$20),0)</f>
        <v>0</v>
      </c>
      <c r="N273" s="160">
        <f t="shared" si="8"/>
        <v>0</v>
      </c>
      <c r="P273" s="199"/>
      <c r="Q273" s="200"/>
      <c r="R273" s="200"/>
      <c r="S273" s="200"/>
    </row>
    <row r="274" spans="11:19" x14ac:dyDescent="0.25">
      <c r="K274" s="159">
        <v>266</v>
      </c>
      <c r="L274" s="133">
        <f>-IF(SUMMARY!$D$21*12&gt;=K274,IPMT(SUMMARY!$D$22/12,K274,SUMMARY!$D$21*12,SUMMARY!$D$20),0)</f>
        <v>0</v>
      </c>
      <c r="M274" s="133">
        <f>IF(SUMMARY!$D$21*12&gt;=K274,-PPMT(SUMMARY!$D$22/12,K274,SUMMARY!$D$21*12,SUMMARY!$D$20),0)</f>
        <v>0</v>
      </c>
      <c r="N274" s="160">
        <f t="shared" si="8"/>
        <v>0</v>
      </c>
      <c r="P274" s="199"/>
      <c r="Q274" s="200"/>
      <c r="R274" s="200"/>
      <c r="S274" s="200"/>
    </row>
    <row r="275" spans="11:19" x14ac:dyDescent="0.25">
      <c r="K275" s="159">
        <v>267</v>
      </c>
      <c r="L275" s="133">
        <f>-IF(SUMMARY!$D$21*12&gt;=K275,IPMT(SUMMARY!$D$22/12,K275,SUMMARY!$D$21*12,SUMMARY!$D$20),0)</f>
        <v>0</v>
      </c>
      <c r="M275" s="133">
        <f>IF(SUMMARY!$D$21*12&gt;=K275,-PPMT(SUMMARY!$D$22/12,K275,SUMMARY!$D$21*12,SUMMARY!$D$20),0)</f>
        <v>0</v>
      </c>
      <c r="N275" s="160">
        <f t="shared" si="8"/>
        <v>0</v>
      </c>
      <c r="P275" s="199"/>
      <c r="Q275" s="200"/>
      <c r="R275" s="200"/>
      <c r="S275" s="200"/>
    </row>
    <row r="276" spans="11:19" x14ac:dyDescent="0.25">
      <c r="K276" s="159">
        <v>268</v>
      </c>
      <c r="L276" s="133">
        <f>-IF(SUMMARY!$D$21*12&gt;=K276,IPMT(SUMMARY!$D$22/12,K276,SUMMARY!$D$21*12,SUMMARY!$D$20),0)</f>
        <v>0</v>
      </c>
      <c r="M276" s="133">
        <f>IF(SUMMARY!$D$21*12&gt;=K276,-PPMT(SUMMARY!$D$22/12,K276,SUMMARY!$D$21*12,SUMMARY!$D$20),0)</f>
        <v>0</v>
      </c>
      <c r="N276" s="160">
        <f t="shared" si="8"/>
        <v>0</v>
      </c>
      <c r="P276" s="199"/>
      <c r="Q276" s="200"/>
      <c r="R276" s="200"/>
      <c r="S276" s="200"/>
    </row>
    <row r="277" spans="11:19" x14ac:dyDescent="0.25">
      <c r="K277" s="159">
        <v>269</v>
      </c>
      <c r="L277" s="133">
        <f>-IF(SUMMARY!$D$21*12&gt;=K277,IPMT(SUMMARY!$D$22/12,K277,SUMMARY!$D$21*12,SUMMARY!$D$20),0)</f>
        <v>0</v>
      </c>
      <c r="M277" s="133">
        <f>IF(SUMMARY!$D$21*12&gt;=K277,-PPMT(SUMMARY!$D$22/12,K277,SUMMARY!$D$21*12,SUMMARY!$D$20),0)</f>
        <v>0</v>
      </c>
      <c r="N277" s="160">
        <f t="shared" si="8"/>
        <v>0</v>
      </c>
      <c r="P277" s="199"/>
      <c r="Q277" s="200"/>
      <c r="R277" s="200"/>
      <c r="S277" s="200"/>
    </row>
    <row r="278" spans="11:19" x14ac:dyDescent="0.25">
      <c r="K278" s="159">
        <v>270</v>
      </c>
      <c r="L278" s="133">
        <f>-IF(SUMMARY!$D$21*12&gt;=K278,IPMT(SUMMARY!$D$22/12,K278,SUMMARY!$D$21*12,SUMMARY!$D$20),0)</f>
        <v>0</v>
      </c>
      <c r="M278" s="133">
        <f>IF(SUMMARY!$D$21*12&gt;=K278,-PPMT(SUMMARY!$D$22/12,K278,SUMMARY!$D$21*12,SUMMARY!$D$20),0)</f>
        <v>0</v>
      </c>
      <c r="N278" s="160">
        <f t="shared" si="8"/>
        <v>0</v>
      </c>
      <c r="P278" s="199"/>
      <c r="Q278" s="200"/>
      <c r="R278" s="200"/>
      <c r="S278" s="200"/>
    </row>
    <row r="279" spans="11:19" x14ac:dyDescent="0.25">
      <c r="K279" s="159">
        <v>271</v>
      </c>
      <c r="L279" s="133">
        <f>-IF(SUMMARY!$D$21*12&gt;=K279,IPMT(SUMMARY!$D$22/12,K279,SUMMARY!$D$21*12,SUMMARY!$D$20),0)</f>
        <v>0</v>
      </c>
      <c r="M279" s="133">
        <f>IF(SUMMARY!$D$21*12&gt;=K279,-PPMT(SUMMARY!$D$22/12,K279,SUMMARY!$D$21*12,SUMMARY!$D$20),0)</f>
        <v>0</v>
      </c>
      <c r="N279" s="160">
        <f t="shared" si="8"/>
        <v>0</v>
      </c>
      <c r="P279" s="199"/>
      <c r="Q279" s="200"/>
      <c r="R279" s="200"/>
      <c r="S279" s="200"/>
    </row>
    <row r="280" spans="11:19" x14ac:dyDescent="0.25">
      <c r="K280" s="159">
        <v>272</v>
      </c>
      <c r="L280" s="133">
        <f>-IF(SUMMARY!$D$21*12&gt;=K280,IPMT(SUMMARY!$D$22/12,K280,SUMMARY!$D$21*12,SUMMARY!$D$20),0)</f>
        <v>0</v>
      </c>
      <c r="M280" s="133">
        <f>IF(SUMMARY!$D$21*12&gt;=K280,-PPMT(SUMMARY!$D$22/12,K280,SUMMARY!$D$21*12,SUMMARY!$D$20),0)</f>
        <v>0</v>
      </c>
      <c r="N280" s="160">
        <f t="shared" si="8"/>
        <v>0</v>
      </c>
      <c r="P280" s="199"/>
      <c r="Q280" s="200"/>
      <c r="R280" s="200"/>
      <c r="S280" s="200"/>
    </row>
    <row r="281" spans="11:19" x14ac:dyDescent="0.25">
      <c r="K281" s="159">
        <v>273</v>
      </c>
      <c r="L281" s="133">
        <f>-IF(SUMMARY!$D$21*12&gt;=K281,IPMT(SUMMARY!$D$22/12,K281,SUMMARY!$D$21*12,SUMMARY!$D$20),0)</f>
        <v>0</v>
      </c>
      <c r="M281" s="133">
        <f>IF(SUMMARY!$D$21*12&gt;=K281,-PPMT(SUMMARY!$D$22/12,K281,SUMMARY!$D$21*12,SUMMARY!$D$20),0)</f>
        <v>0</v>
      </c>
      <c r="N281" s="160">
        <f t="shared" si="8"/>
        <v>0</v>
      </c>
      <c r="P281" s="199"/>
      <c r="Q281" s="200"/>
      <c r="R281" s="200"/>
      <c r="S281" s="200"/>
    </row>
    <row r="282" spans="11:19" x14ac:dyDescent="0.25">
      <c r="K282" s="159">
        <v>274</v>
      </c>
      <c r="L282" s="133">
        <f>-IF(SUMMARY!$D$21*12&gt;=K282,IPMT(SUMMARY!$D$22/12,K282,SUMMARY!$D$21*12,SUMMARY!$D$20),0)</f>
        <v>0</v>
      </c>
      <c r="M282" s="133">
        <f>IF(SUMMARY!$D$21*12&gt;=K282,-PPMT(SUMMARY!$D$22/12,K282,SUMMARY!$D$21*12,SUMMARY!$D$20),0)</f>
        <v>0</v>
      </c>
      <c r="N282" s="160">
        <f t="shared" si="8"/>
        <v>0</v>
      </c>
      <c r="P282" s="199"/>
      <c r="Q282" s="200"/>
      <c r="R282" s="200"/>
      <c r="S282" s="200"/>
    </row>
    <row r="283" spans="11:19" x14ac:dyDescent="0.25">
      <c r="K283" s="159">
        <v>275</v>
      </c>
      <c r="L283" s="133">
        <f>-IF(SUMMARY!$D$21*12&gt;=K283,IPMT(SUMMARY!$D$22/12,K283,SUMMARY!$D$21*12,SUMMARY!$D$20),0)</f>
        <v>0</v>
      </c>
      <c r="M283" s="133">
        <f>IF(SUMMARY!$D$21*12&gt;=K283,-PPMT(SUMMARY!$D$22/12,K283,SUMMARY!$D$21*12,SUMMARY!$D$20),0)</f>
        <v>0</v>
      </c>
      <c r="N283" s="160">
        <f t="shared" si="8"/>
        <v>0</v>
      </c>
      <c r="P283" s="199"/>
      <c r="Q283" s="200"/>
      <c r="R283" s="200"/>
      <c r="S283" s="200"/>
    </row>
    <row r="284" spans="11:19" x14ac:dyDescent="0.25">
      <c r="K284" s="159">
        <v>276</v>
      </c>
      <c r="L284" s="133">
        <f>-IF(SUMMARY!$D$21*12&gt;=K284,IPMT(SUMMARY!$D$22/12,K284,SUMMARY!$D$21*12,SUMMARY!$D$20),0)</f>
        <v>0</v>
      </c>
      <c r="M284" s="133">
        <f>IF(SUMMARY!$D$21*12&gt;=K284,-PPMT(SUMMARY!$D$22/12,K284,SUMMARY!$D$21*12,SUMMARY!$D$20),0)</f>
        <v>0</v>
      </c>
      <c r="N284" s="160">
        <f t="shared" si="8"/>
        <v>0</v>
      </c>
      <c r="P284" s="199"/>
      <c r="Q284" s="200"/>
      <c r="R284" s="200"/>
      <c r="S284" s="200"/>
    </row>
    <row r="285" spans="11:19" x14ac:dyDescent="0.25">
      <c r="K285" s="159">
        <v>277</v>
      </c>
      <c r="L285" s="133">
        <f>-IF(SUMMARY!$D$21*12&gt;=K285,IPMT(SUMMARY!$D$22/12,K285,SUMMARY!$D$21*12,SUMMARY!$D$20),0)</f>
        <v>0</v>
      </c>
      <c r="M285" s="133">
        <f>IF(SUMMARY!$D$21*12&gt;=K285,-PPMT(SUMMARY!$D$22/12,K285,SUMMARY!$D$21*12,SUMMARY!$D$20),0)</f>
        <v>0</v>
      </c>
      <c r="N285" s="160">
        <f t="shared" si="8"/>
        <v>0</v>
      </c>
      <c r="P285" s="199"/>
      <c r="Q285" s="200"/>
      <c r="R285" s="200"/>
      <c r="S285" s="200"/>
    </row>
    <row r="286" spans="11:19" x14ac:dyDescent="0.25">
      <c r="K286" s="159">
        <v>278</v>
      </c>
      <c r="L286" s="133">
        <f>-IF(SUMMARY!$D$21*12&gt;=K286,IPMT(SUMMARY!$D$22/12,K286,SUMMARY!$D$21*12,SUMMARY!$D$20),0)</f>
        <v>0</v>
      </c>
      <c r="M286" s="133">
        <f>IF(SUMMARY!$D$21*12&gt;=K286,-PPMT(SUMMARY!$D$22/12,K286,SUMMARY!$D$21*12,SUMMARY!$D$20),0)</f>
        <v>0</v>
      </c>
      <c r="N286" s="160">
        <f t="shared" si="8"/>
        <v>0</v>
      </c>
      <c r="P286" s="199"/>
      <c r="Q286" s="200"/>
      <c r="R286" s="200"/>
      <c r="S286" s="200"/>
    </row>
    <row r="287" spans="11:19" x14ac:dyDescent="0.25">
      <c r="K287" s="159">
        <v>279</v>
      </c>
      <c r="L287" s="133">
        <f>-IF(SUMMARY!$D$21*12&gt;=K287,IPMT(SUMMARY!$D$22/12,K287,SUMMARY!$D$21*12,SUMMARY!$D$20),0)</f>
        <v>0</v>
      </c>
      <c r="M287" s="133">
        <f>IF(SUMMARY!$D$21*12&gt;=K287,-PPMT(SUMMARY!$D$22/12,K287,SUMMARY!$D$21*12,SUMMARY!$D$20),0)</f>
        <v>0</v>
      </c>
      <c r="N287" s="160">
        <f t="shared" si="8"/>
        <v>0</v>
      </c>
      <c r="P287" s="199"/>
      <c r="Q287" s="200"/>
      <c r="R287" s="200"/>
      <c r="S287" s="200"/>
    </row>
    <row r="288" spans="11:19" x14ac:dyDescent="0.25">
      <c r="K288" s="159">
        <v>280</v>
      </c>
      <c r="L288" s="133">
        <f>-IF(SUMMARY!$D$21*12&gt;=K288,IPMT(SUMMARY!$D$22/12,K288,SUMMARY!$D$21*12,SUMMARY!$D$20),0)</f>
        <v>0</v>
      </c>
      <c r="M288" s="133">
        <f>IF(SUMMARY!$D$21*12&gt;=K288,-PPMT(SUMMARY!$D$22/12,K288,SUMMARY!$D$21*12,SUMMARY!$D$20),0)</f>
        <v>0</v>
      </c>
      <c r="N288" s="160">
        <f t="shared" si="8"/>
        <v>0</v>
      </c>
      <c r="P288" s="199"/>
      <c r="Q288" s="200"/>
      <c r="R288" s="200"/>
      <c r="S288" s="200"/>
    </row>
    <row r="289" spans="11:19" x14ac:dyDescent="0.25">
      <c r="K289" s="159">
        <v>281</v>
      </c>
      <c r="L289" s="133">
        <f>-IF(SUMMARY!$D$21*12&gt;=K289,IPMT(SUMMARY!$D$22/12,K289,SUMMARY!$D$21*12,SUMMARY!$D$20),0)</f>
        <v>0</v>
      </c>
      <c r="M289" s="133">
        <f>IF(SUMMARY!$D$21*12&gt;=K289,-PPMT(SUMMARY!$D$22/12,K289,SUMMARY!$D$21*12,SUMMARY!$D$20),0)</f>
        <v>0</v>
      </c>
      <c r="N289" s="160">
        <f t="shared" si="8"/>
        <v>0</v>
      </c>
      <c r="P289" s="199"/>
      <c r="Q289" s="200"/>
      <c r="R289" s="200"/>
      <c r="S289" s="200"/>
    </row>
    <row r="290" spans="11:19" x14ac:dyDescent="0.25">
      <c r="K290" s="159">
        <v>282</v>
      </c>
      <c r="L290" s="133">
        <f>-IF(SUMMARY!$D$21*12&gt;=K290,IPMT(SUMMARY!$D$22/12,K290,SUMMARY!$D$21*12,SUMMARY!$D$20),0)</f>
        <v>0</v>
      </c>
      <c r="M290" s="133">
        <f>IF(SUMMARY!$D$21*12&gt;=K290,-PPMT(SUMMARY!$D$22/12,K290,SUMMARY!$D$21*12,SUMMARY!$D$20),0)</f>
        <v>0</v>
      </c>
      <c r="N290" s="160">
        <f t="shared" si="8"/>
        <v>0</v>
      </c>
      <c r="P290" s="199"/>
      <c r="Q290" s="200"/>
      <c r="R290" s="200"/>
      <c r="S290" s="200"/>
    </row>
    <row r="291" spans="11:19" x14ac:dyDescent="0.25">
      <c r="K291" s="159">
        <v>283</v>
      </c>
      <c r="L291" s="133">
        <f>-IF(SUMMARY!$D$21*12&gt;=K291,IPMT(SUMMARY!$D$22/12,K291,SUMMARY!$D$21*12,SUMMARY!$D$20),0)</f>
        <v>0</v>
      </c>
      <c r="M291" s="133">
        <f>IF(SUMMARY!$D$21*12&gt;=K291,-PPMT(SUMMARY!$D$22/12,K291,SUMMARY!$D$21*12,SUMMARY!$D$20),0)</f>
        <v>0</v>
      </c>
      <c r="N291" s="160">
        <f t="shared" si="8"/>
        <v>0</v>
      </c>
      <c r="P291" s="199"/>
      <c r="Q291" s="200"/>
      <c r="R291" s="200"/>
      <c r="S291" s="200"/>
    </row>
    <row r="292" spans="11:19" x14ac:dyDescent="0.25">
      <c r="K292" s="159">
        <v>284</v>
      </c>
      <c r="L292" s="133">
        <f>-IF(SUMMARY!$D$21*12&gt;=K292,IPMT(SUMMARY!$D$22/12,K292,SUMMARY!$D$21*12,SUMMARY!$D$20),0)</f>
        <v>0</v>
      </c>
      <c r="M292" s="133">
        <f>IF(SUMMARY!$D$21*12&gt;=K292,-PPMT(SUMMARY!$D$22/12,K292,SUMMARY!$D$21*12,SUMMARY!$D$20),0)</f>
        <v>0</v>
      </c>
      <c r="N292" s="160">
        <f t="shared" si="8"/>
        <v>0</v>
      </c>
      <c r="P292" s="199"/>
      <c r="Q292" s="200"/>
      <c r="R292" s="200"/>
      <c r="S292" s="200"/>
    </row>
    <row r="293" spans="11:19" x14ac:dyDescent="0.25">
      <c r="K293" s="159">
        <v>285</v>
      </c>
      <c r="L293" s="133">
        <f>-IF(SUMMARY!$D$21*12&gt;=K293,IPMT(SUMMARY!$D$22/12,K293,SUMMARY!$D$21*12,SUMMARY!$D$20),0)</f>
        <v>0</v>
      </c>
      <c r="M293" s="133">
        <f>IF(SUMMARY!$D$21*12&gt;=K293,-PPMT(SUMMARY!$D$22/12,K293,SUMMARY!$D$21*12,SUMMARY!$D$20),0)</f>
        <v>0</v>
      </c>
      <c r="N293" s="160">
        <f t="shared" si="8"/>
        <v>0</v>
      </c>
      <c r="P293" s="199"/>
      <c r="Q293" s="200"/>
      <c r="R293" s="200"/>
      <c r="S293" s="200"/>
    </row>
    <row r="294" spans="11:19" x14ac:dyDescent="0.25">
      <c r="K294" s="159">
        <v>286</v>
      </c>
      <c r="L294" s="133">
        <f>-IF(SUMMARY!$D$21*12&gt;=K294,IPMT(SUMMARY!$D$22/12,K294,SUMMARY!$D$21*12,SUMMARY!$D$20),0)</f>
        <v>0</v>
      </c>
      <c r="M294" s="133">
        <f>IF(SUMMARY!$D$21*12&gt;=K294,-PPMT(SUMMARY!$D$22/12,K294,SUMMARY!$D$21*12,SUMMARY!$D$20),0)</f>
        <v>0</v>
      </c>
      <c r="N294" s="160">
        <f t="shared" si="8"/>
        <v>0</v>
      </c>
      <c r="P294" s="199"/>
      <c r="Q294" s="200"/>
      <c r="R294" s="200"/>
      <c r="S294" s="200"/>
    </row>
    <row r="295" spans="11:19" x14ac:dyDescent="0.25">
      <c r="K295" s="159">
        <v>287</v>
      </c>
      <c r="L295" s="133">
        <f>-IF(SUMMARY!$D$21*12&gt;=K295,IPMT(SUMMARY!$D$22/12,K295,SUMMARY!$D$21*12,SUMMARY!$D$20),0)</f>
        <v>0</v>
      </c>
      <c r="M295" s="133">
        <f>IF(SUMMARY!$D$21*12&gt;=K295,-PPMT(SUMMARY!$D$22/12,K295,SUMMARY!$D$21*12,SUMMARY!$D$20),0)</f>
        <v>0</v>
      </c>
      <c r="N295" s="160">
        <f t="shared" si="8"/>
        <v>0</v>
      </c>
      <c r="P295" s="199"/>
      <c r="Q295" s="200"/>
      <c r="R295" s="200"/>
      <c r="S295" s="200"/>
    </row>
    <row r="296" spans="11:19" x14ac:dyDescent="0.25">
      <c r="K296" s="159">
        <v>288</v>
      </c>
      <c r="L296" s="133">
        <f>-IF(SUMMARY!$D$21*12&gt;=K296,IPMT(SUMMARY!$D$22/12,K296,SUMMARY!$D$21*12,SUMMARY!$D$20),0)</f>
        <v>0</v>
      </c>
      <c r="M296" s="133">
        <f>IF(SUMMARY!$D$21*12&gt;=K296,-PPMT(SUMMARY!$D$22/12,K296,SUMMARY!$D$21*12,SUMMARY!$D$20),0)</f>
        <v>0</v>
      </c>
      <c r="N296" s="160">
        <f t="shared" si="8"/>
        <v>0</v>
      </c>
      <c r="P296" s="199"/>
      <c r="Q296" s="200"/>
      <c r="R296" s="200"/>
      <c r="S296" s="200"/>
    </row>
    <row r="297" spans="11:19" x14ac:dyDescent="0.25">
      <c r="K297" s="159">
        <v>289</v>
      </c>
      <c r="L297" s="133">
        <f>-IF(SUMMARY!$D$21*12&gt;=K297,IPMT(SUMMARY!$D$22/12,K297,SUMMARY!$D$21*12,SUMMARY!$D$20),0)</f>
        <v>0</v>
      </c>
      <c r="M297" s="133">
        <f>IF(SUMMARY!$D$21*12&gt;=K297,-PPMT(SUMMARY!$D$22/12,K297,SUMMARY!$D$21*12,SUMMARY!$D$20),0)</f>
        <v>0</v>
      </c>
      <c r="N297" s="160">
        <f t="shared" si="8"/>
        <v>0</v>
      </c>
      <c r="P297" s="199"/>
      <c r="Q297" s="200"/>
      <c r="R297" s="200"/>
      <c r="S297" s="200"/>
    </row>
    <row r="298" spans="11:19" x14ac:dyDescent="0.25">
      <c r="K298" s="159">
        <v>290</v>
      </c>
      <c r="L298" s="133">
        <f>-IF(SUMMARY!$D$21*12&gt;=K298,IPMT(SUMMARY!$D$22/12,K298,SUMMARY!$D$21*12,SUMMARY!$D$20),0)</f>
        <v>0</v>
      </c>
      <c r="M298" s="133">
        <f>IF(SUMMARY!$D$21*12&gt;=K298,-PPMT(SUMMARY!$D$22/12,K298,SUMMARY!$D$21*12,SUMMARY!$D$20),0)</f>
        <v>0</v>
      </c>
      <c r="N298" s="160">
        <f t="shared" si="8"/>
        <v>0</v>
      </c>
      <c r="P298" s="199"/>
      <c r="Q298" s="200"/>
      <c r="R298" s="200"/>
      <c r="S298" s="200"/>
    </row>
    <row r="299" spans="11:19" x14ac:dyDescent="0.25">
      <c r="K299" s="159">
        <v>291</v>
      </c>
      <c r="L299" s="133">
        <f>-IF(SUMMARY!$D$21*12&gt;=K299,IPMT(SUMMARY!$D$22/12,K299,SUMMARY!$D$21*12,SUMMARY!$D$20),0)</f>
        <v>0</v>
      </c>
      <c r="M299" s="133">
        <f>IF(SUMMARY!$D$21*12&gt;=K299,-PPMT(SUMMARY!$D$22/12,K299,SUMMARY!$D$21*12,SUMMARY!$D$20),0)</f>
        <v>0</v>
      </c>
      <c r="N299" s="160">
        <f t="shared" si="8"/>
        <v>0</v>
      </c>
      <c r="P299" s="199"/>
      <c r="Q299" s="200"/>
      <c r="R299" s="200"/>
      <c r="S299" s="200"/>
    </row>
    <row r="300" spans="11:19" x14ac:dyDescent="0.25">
      <c r="K300" s="159">
        <v>292</v>
      </c>
      <c r="L300" s="133">
        <f>-IF(SUMMARY!$D$21*12&gt;=K300,IPMT(SUMMARY!$D$22/12,K300,SUMMARY!$D$21*12,SUMMARY!$D$20),0)</f>
        <v>0</v>
      </c>
      <c r="M300" s="133">
        <f>IF(SUMMARY!$D$21*12&gt;=K300,-PPMT(SUMMARY!$D$22/12,K300,SUMMARY!$D$21*12,SUMMARY!$D$20),0)</f>
        <v>0</v>
      </c>
      <c r="N300" s="160">
        <f t="shared" si="8"/>
        <v>0</v>
      </c>
      <c r="P300" s="199"/>
      <c r="Q300" s="200"/>
      <c r="R300" s="200"/>
      <c r="S300" s="200"/>
    </row>
    <row r="301" spans="11:19" x14ac:dyDescent="0.25">
      <c r="K301" s="159">
        <v>293</v>
      </c>
      <c r="L301" s="133">
        <f>-IF(SUMMARY!$D$21*12&gt;=K301,IPMT(SUMMARY!$D$22/12,K301,SUMMARY!$D$21*12,SUMMARY!$D$20),0)</f>
        <v>0</v>
      </c>
      <c r="M301" s="133">
        <f>IF(SUMMARY!$D$21*12&gt;=K301,-PPMT(SUMMARY!$D$22/12,K301,SUMMARY!$D$21*12,SUMMARY!$D$20),0)</f>
        <v>0</v>
      </c>
      <c r="N301" s="160">
        <f t="shared" si="8"/>
        <v>0</v>
      </c>
      <c r="P301" s="199"/>
      <c r="Q301" s="200"/>
      <c r="R301" s="200"/>
      <c r="S301" s="200"/>
    </row>
    <row r="302" spans="11:19" x14ac:dyDescent="0.25">
      <c r="K302" s="159">
        <v>294</v>
      </c>
      <c r="L302" s="133">
        <f>-IF(SUMMARY!$D$21*12&gt;=K302,IPMT(SUMMARY!$D$22/12,K302,SUMMARY!$D$21*12,SUMMARY!$D$20),0)</f>
        <v>0</v>
      </c>
      <c r="M302" s="133">
        <f>IF(SUMMARY!$D$21*12&gt;=K302,-PPMT(SUMMARY!$D$22/12,K302,SUMMARY!$D$21*12,SUMMARY!$D$20),0)</f>
        <v>0</v>
      </c>
      <c r="N302" s="160">
        <f t="shared" si="8"/>
        <v>0</v>
      </c>
      <c r="P302" s="199"/>
      <c r="Q302" s="200"/>
      <c r="R302" s="200"/>
      <c r="S302" s="200"/>
    </row>
    <row r="303" spans="11:19" x14ac:dyDescent="0.25">
      <c r="K303" s="159">
        <v>295</v>
      </c>
      <c r="L303" s="133">
        <f>-IF(SUMMARY!$D$21*12&gt;=K303,IPMT(SUMMARY!$D$22/12,K303,SUMMARY!$D$21*12,SUMMARY!$D$20),0)</f>
        <v>0</v>
      </c>
      <c r="M303" s="133">
        <f>IF(SUMMARY!$D$21*12&gt;=K303,-PPMT(SUMMARY!$D$22/12,K303,SUMMARY!$D$21*12,SUMMARY!$D$20),0)</f>
        <v>0</v>
      </c>
      <c r="N303" s="160">
        <f t="shared" si="8"/>
        <v>0</v>
      </c>
      <c r="P303" s="199"/>
      <c r="Q303" s="200"/>
      <c r="R303" s="200"/>
      <c r="S303" s="200"/>
    </row>
    <row r="304" spans="11:19" x14ac:dyDescent="0.25">
      <c r="K304" s="159">
        <v>296</v>
      </c>
      <c r="L304" s="133">
        <f>-IF(SUMMARY!$D$21*12&gt;=K304,IPMT(SUMMARY!$D$22/12,K304,SUMMARY!$D$21*12,SUMMARY!$D$20),0)</f>
        <v>0</v>
      </c>
      <c r="M304" s="133">
        <f>IF(SUMMARY!$D$21*12&gt;=K304,-PPMT(SUMMARY!$D$22/12,K304,SUMMARY!$D$21*12,SUMMARY!$D$20),0)</f>
        <v>0</v>
      </c>
      <c r="N304" s="160">
        <f t="shared" si="8"/>
        <v>0</v>
      </c>
      <c r="P304" s="199"/>
      <c r="Q304" s="200"/>
      <c r="R304" s="200"/>
      <c r="S304" s="200"/>
    </row>
    <row r="305" spans="11:19" x14ac:dyDescent="0.25">
      <c r="K305" s="159">
        <v>297</v>
      </c>
      <c r="L305" s="133">
        <f>-IF(SUMMARY!$D$21*12&gt;=K305,IPMT(SUMMARY!$D$22/12,K305,SUMMARY!$D$21*12,SUMMARY!$D$20),0)</f>
        <v>0</v>
      </c>
      <c r="M305" s="133">
        <f>IF(SUMMARY!$D$21*12&gt;=K305,-PPMT(SUMMARY!$D$22/12,K305,SUMMARY!$D$21*12,SUMMARY!$D$20),0)</f>
        <v>0</v>
      </c>
      <c r="N305" s="160">
        <f t="shared" si="8"/>
        <v>0</v>
      </c>
      <c r="P305" s="199"/>
      <c r="Q305" s="200"/>
      <c r="R305" s="200"/>
      <c r="S305" s="200"/>
    </row>
    <row r="306" spans="11:19" x14ac:dyDescent="0.25">
      <c r="K306" s="159">
        <v>298</v>
      </c>
      <c r="L306" s="133">
        <f>-IF(SUMMARY!$D$21*12&gt;=K306,IPMT(SUMMARY!$D$22/12,K306,SUMMARY!$D$21*12,SUMMARY!$D$20),0)</f>
        <v>0</v>
      </c>
      <c r="M306" s="133">
        <f>IF(SUMMARY!$D$21*12&gt;=K306,-PPMT(SUMMARY!$D$22/12,K306,SUMMARY!$D$21*12,SUMMARY!$D$20),0)</f>
        <v>0</v>
      </c>
      <c r="N306" s="160">
        <f t="shared" si="8"/>
        <v>0</v>
      </c>
      <c r="P306" s="199"/>
      <c r="Q306" s="200"/>
      <c r="R306" s="200"/>
      <c r="S306" s="200"/>
    </row>
    <row r="307" spans="11:19" x14ac:dyDescent="0.25">
      <c r="K307" s="159">
        <v>299</v>
      </c>
      <c r="L307" s="133">
        <f>-IF(SUMMARY!$D$21*12&gt;=K307,IPMT(SUMMARY!$D$22/12,K307,SUMMARY!$D$21*12,SUMMARY!$D$20),0)</f>
        <v>0</v>
      </c>
      <c r="M307" s="133">
        <f>IF(SUMMARY!$D$21*12&gt;=K307,-PPMT(SUMMARY!$D$22/12,K307,SUMMARY!$D$21*12,SUMMARY!$D$20),0)</f>
        <v>0</v>
      </c>
      <c r="N307" s="160">
        <f t="shared" si="8"/>
        <v>0</v>
      </c>
      <c r="P307" s="199"/>
      <c r="Q307" s="200"/>
      <c r="R307" s="200"/>
      <c r="S307" s="200"/>
    </row>
    <row r="308" spans="11:19" x14ac:dyDescent="0.25">
      <c r="K308" s="159">
        <v>300</v>
      </c>
      <c r="L308" s="133">
        <f>-IF(SUMMARY!$D$21*12&gt;=K308,IPMT(SUMMARY!$D$22/12,K308,SUMMARY!$D$21*12,SUMMARY!$D$20),0)</f>
        <v>0</v>
      </c>
      <c r="M308" s="133">
        <f>IF(SUMMARY!$D$21*12&gt;=K308,-PPMT(SUMMARY!$D$22/12,K308,SUMMARY!$D$21*12,SUMMARY!$D$20),0)</f>
        <v>0</v>
      </c>
      <c r="N308" s="160">
        <f t="shared" si="8"/>
        <v>0</v>
      </c>
      <c r="P308" s="199"/>
      <c r="Q308" s="200"/>
      <c r="R308" s="200"/>
      <c r="S308" s="200"/>
    </row>
    <row r="309" spans="11:19" x14ac:dyDescent="0.25">
      <c r="K309" s="159">
        <v>301</v>
      </c>
      <c r="L309" s="133">
        <f>-IF(SUMMARY!$D$21*12&gt;=K309,IPMT(SUMMARY!$D$22/12,K309,SUMMARY!$D$21*12,SUMMARY!$D$20),0)</f>
        <v>0</v>
      </c>
      <c r="M309" s="133">
        <f>IF(SUMMARY!$D$21*12&gt;=K309,-PPMT(SUMMARY!$D$22/12,K309,SUMMARY!$D$21*12,SUMMARY!$D$20),0)</f>
        <v>0</v>
      </c>
      <c r="N309" s="160">
        <f t="shared" si="8"/>
        <v>0</v>
      </c>
      <c r="P309" s="199"/>
      <c r="Q309" s="200"/>
      <c r="R309" s="200"/>
      <c r="S309" s="200"/>
    </row>
    <row r="310" spans="11:19" x14ac:dyDescent="0.25">
      <c r="K310" s="159">
        <v>302</v>
      </c>
      <c r="L310" s="133">
        <f>-IF(SUMMARY!$D$21*12&gt;=K310,IPMT(SUMMARY!$D$22/12,K310,SUMMARY!$D$21*12,SUMMARY!$D$20),0)</f>
        <v>0</v>
      </c>
      <c r="M310" s="133">
        <f>IF(SUMMARY!$D$21*12&gt;=K310,-PPMT(SUMMARY!$D$22/12,K310,SUMMARY!$D$21*12,SUMMARY!$D$20),0)</f>
        <v>0</v>
      </c>
      <c r="N310" s="160">
        <f t="shared" si="8"/>
        <v>0</v>
      </c>
      <c r="P310" s="199"/>
      <c r="Q310" s="200"/>
      <c r="R310" s="200"/>
      <c r="S310" s="200"/>
    </row>
    <row r="311" spans="11:19" x14ac:dyDescent="0.25">
      <c r="K311" s="159">
        <v>303</v>
      </c>
      <c r="L311" s="133">
        <f>-IF(SUMMARY!$D$21*12&gt;=K311,IPMT(SUMMARY!$D$22/12,K311,SUMMARY!$D$21*12,SUMMARY!$D$20),0)</f>
        <v>0</v>
      </c>
      <c r="M311" s="133">
        <f>IF(SUMMARY!$D$21*12&gt;=K311,-PPMT(SUMMARY!$D$22/12,K311,SUMMARY!$D$21*12,SUMMARY!$D$20),0)</f>
        <v>0</v>
      </c>
      <c r="N311" s="160">
        <f t="shared" si="8"/>
        <v>0</v>
      </c>
      <c r="P311" s="199"/>
      <c r="Q311" s="200"/>
      <c r="R311" s="200"/>
      <c r="S311" s="200"/>
    </row>
    <row r="312" spans="11:19" x14ac:dyDescent="0.25">
      <c r="K312" s="159">
        <v>304</v>
      </c>
      <c r="L312" s="133">
        <f>-IF(SUMMARY!$D$21*12&gt;=K312,IPMT(SUMMARY!$D$22/12,K312,SUMMARY!$D$21*12,SUMMARY!$D$20),0)</f>
        <v>0</v>
      </c>
      <c r="M312" s="133">
        <f>IF(SUMMARY!$D$21*12&gt;=K312,-PPMT(SUMMARY!$D$22/12,K312,SUMMARY!$D$21*12,SUMMARY!$D$20),0)</f>
        <v>0</v>
      </c>
      <c r="N312" s="160">
        <f t="shared" si="8"/>
        <v>0</v>
      </c>
      <c r="P312" s="199"/>
      <c r="Q312" s="200"/>
      <c r="R312" s="200"/>
      <c r="S312" s="200"/>
    </row>
    <row r="313" spans="11:19" x14ac:dyDescent="0.25">
      <c r="K313" s="159">
        <v>305</v>
      </c>
      <c r="L313" s="133">
        <f>-IF(SUMMARY!$D$21*12&gt;=K313,IPMT(SUMMARY!$D$22/12,K313,SUMMARY!$D$21*12,SUMMARY!$D$20),0)</f>
        <v>0</v>
      </c>
      <c r="M313" s="133">
        <f>IF(SUMMARY!$D$21*12&gt;=K313,-PPMT(SUMMARY!$D$22/12,K313,SUMMARY!$D$21*12,SUMMARY!$D$20),0)</f>
        <v>0</v>
      </c>
      <c r="N313" s="160">
        <f t="shared" si="8"/>
        <v>0</v>
      </c>
      <c r="P313" s="199"/>
      <c r="Q313" s="200"/>
      <c r="R313" s="200"/>
      <c r="S313" s="200"/>
    </row>
    <row r="314" spans="11:19" x14ac:dyDescent="0.25">
      <c r="K314" s="159">
        <v>306</v>
      </c>
      <c r="L314" s="133">
        <f>-IF(SUMMARY!$D$21*12&gt;=K314,IPMT(SUMMARY!$D$22/12,K314,SUMMARY!$D$21*12,SUMMARY!$D$20),0)</f>
        <v>0</v>
      </c>
      <c r="M314" s="133">
        <f>IF(SUMMARY!$D$21*12&gt;=K314,-PPMT(SUMMARY!$D$22/12,K314,SUMMARY!$D$21*12,SUMMARY!$D$20),0)</f>
        <v>0</v>
      </c>
      <c r="N314" s="160">
        <f t="shared" si="8"/>
        <v>0</v>
      </c>
      <c r="P314" s="199"/>
      <c r="Q314" s="200"/>
      <c r="R314" s="200"/>
      <c r="S314" s="200"/>
    </row>
    <row r="315" spans="11:19" x14ac:dyDescent="0.25">
      <c r="K315" s="159">
        <v>307</v>
      </c>
      <c r="L315" s="133">
        <f>-IF(SUMMARY!$D$21*12&gt;=K315,IPMT(SUMMARY!$D$22/12,K315,SUMMARY!$D$21*12,SUMMARY!$D$20),0)</f>
        <v>0</v>
      </c>
      <c r="M315" s="133">
        <f>IF(SUMMARY!$D$21*12&gt;=K315,-PPMT(SUMMARY!$D$22/12,K315,SUMMARY!$D$21*12,SUMMARY!$D$20),0)</f>
        <v>0</v>
      </c>
      <c r="N315" s="160">
        <f t="shared" si="8"/>
        <v>0</v>
      </c>
      <c r="P315" s="199"/>
      <c r="Q315" s="200"/>
      <c r="R315" s="200"/>
      <c r="S315" s="200"/>
    </row>
    <row r="316" spans="11:19" x14ac:dyDescent="0.25">
      <c r="K316" s="159">
        <v>308</v>
      </c>
      <c r="L316" s="133">
        <f>-IF(SUMMARY!$D$21*12&gt;=K316,IPMT(SUMMARY!$D$22/12,K316,SUMMARY!$D$21*12,SUMMARY!$D$20),0)</f>
        <v>0</v>
      </c>
      <c r="M316" s="133">
        <f>IF(SUMMARY!$D$21*12&gt;=K316,-PPMT(SUMMARY!$D$22/12,K316,SUMMARY!$D$21*12,SUMMARY!$D$20),0)</f>
        <v>0</v>
      </c>
      <c r="N316" s="160">
        <f t="shared" si="8"/>
        <v>0</v>
      </c>
      <c r="P316" s="199"/>
      <c r="Q316" s="200"/>
      <c r="R316" s="200"/>
      <c r="S316" s="200"/>
    </row>
    <row r="317" spans="11:19" x14ac:dyDescent="0.25">
      <c r="K317" s="159">
        <v>309</v>
      </c>
      <c r="L317" s="133">
        <f>-IF(SUMMARY!$D$21*12&gt;=K317,IPMT(SUMMARY!$D$22/12,K317,SUMMARY!$D$21*12,SUMMARY!$D$20),0)</f>
        <v>0</v>
      </c>
      <c r="M317" s="133">
        <f>IF(SUMMARY!$D$21*12&gt;=K317,-PPMT(SUMMARY!$D$22/12,K317,SUMMARY!$D$21*12,SUMMARY!$D$20),0)</f>
        <v>0</v>
      </c>
      <c r="N317" s="160">
        <f t="shared" si="8"/>
        <v>0</v>
      </c>
      <c r="P317" s="199"/>
      <c r="Q317" s="200"/>
      <c r="R317" s="200"/>
      <c r="S317" s="200"/>
    </row>
    <row r="318" spans="11:19" x14ac:dyDescent="0.25">
      <c r="K318" s="159">
        <v>310</v>
      </c>
      <c r="L318" s="133">
        <f>-IF(SUMMARY!$D$21*12&gt;=K318,IPMT(SUMMARY!$D$22/12,K318,SUMMARY!$D$21*12,SUMMARY!$D$20),0)</f>
        <v>0</v>
      </c>
      <c r="M318" s="133">
        <f>IF(SUMMARY!$D$21*12&gt;=K318,-PPMT(SUMMARY!$D$22/12,K318,SUMMARY!$D$21*12,SUMMARY!$D$20),0)</f>
        <v>0</v>
      </c>
      <c r="N318" s="160">
        <f t="shared" si="8"/>
        <v>0</v>
      </c>
      <c r="P318" s="199"/>
      <c r="Q318" s="200"/>
      <c r="R318" s="200"/>
      <c r="S318" s="200"/>
    </row>
    <row r="319" spans="11:19" x14ac:dyDescent="0.25">
      <c r="K319" s="159">
        <v>311</v>
      </c>
      <c r="L319" s="133">
        <f>-IF(SUMMARY!$D$21*12&gt;=K319,IPMT(SUMMARY!$D$22/12,K319,SUMMARY!$D$21*12,SUMMARY!$D$20),0)</f>
        <v>0</v>
      </c>
      <c r="M319" s="133">
        <f>IF(SUMMARY!$D$21*12&gt;=K319,-PPMT(SUMMARY!$D$22/12,K319,SUMMARY!$D$21*12,SUMMARY!$D$20),0)</f>
        <v>0</v>
      </c>
      <c r="N319" s="160">
        <f t="shared" si="8"/>
        <v>0</v>
      </c>
      <c r="P319" s="199"/>
      <c r="Q319" s="200"/>
      <c r="R319" s="200"/>
      <c r="S319" s="200"/>
    </row>
    <row r="320" spans="11:19" x14ac:dyDescent="0.25">
      <c r="K320" s="159">
        <v>312</v>
      </c>
      <c r="L320" s="133">
        <f>-IF(SUMMARY!$D$21*12&gt;=K320,IPMT(SUMMARY!$D$22/12,K320,SUMMARY!$D$21*12,SUMMARY!$D$20),0)</f>
        <v>0</v>
      </c>
      <c r="M320" s="133">
        <f>IF(SUMMARY!$D$21*12&gt;=K320,-PPMT(SUMMARY!$D$22/12,K320,SUMMARY!$D$21*12,SUMMARY!$D$20),0)</f>
        <v>0</v>
      </c>
      <c r="N320" s="160">
        <f t="shared" si="8"/>
        <v>0</v>
      </c>
      <c r="P320" s="199"/>
      <c r="Q320" s="200"/>
      <c r="R320" s="200"/>
      <c r="S320" s="200"/>
    </row>
    <row r="321" spans="11:19" x14ac:dyDescent="0.25">
      <c r="K321" s="159">
        <v>313</v>
      </c>
      <c r="L321" s="133">
        <f>-IF(SUMMARY!$D$21*12&gt;=K321,IPMT(SUMMARY!$D$22/12,K321,SUMMARY!$D$21*12,SUMMARY!$D$20),0)</f>
        <v>0</v>
      </c>
      <c r="M321" s="133">
        <f>IF(SUMMARY!$D$21*12&gt;=K321,-PPMT(SUMMARY!$D$22/12,K321,SUMMARY!$D$21*12,SUMMARY!$D$20),0)</f>
        <v>0</v>
      </c>
      <c r="N321" s="160">
        <f t="shared" si="8"/>
        <v>0</v>
      </c>
      <c r="P321" s="199"/>
      <c r="Q321" s="200"/>
      <c r="R321" s="200"/>
      <c r="S321" s="200"/>
    </row>
    <row r="322" spans="11:19" x14ac:dyDescent="0.25">
      <c r="K322" s="159">
        <v>314</v>
      </c>
      <c r="L322" s="133">
        <f>-IF(SUMMARY!$D$21*12&gt;=K322,IPMT(SUMMARY!$D$22/12,K322,SUMMARY!$D$21*12,SUMMARY!$D$20),0)</f>
        <v>0</v>
      </c>
      <c r="M322" s="133">
        <f>IF(SUMMARY!$D$21*12&gt;=K322,-PPMT(SUMMARY!$D$22/12,K322,SUMMARY!$D$21*12,SUMMARY!$D$20),0)</f>
        <v>0</v>
      </c>
      <c r="N322" s="160">
        <f t="shared" si="8"/>
        <v>0</v>
      </c>
      <c r="P322" s="199"/>
      <c r="Q322" s="200"/>
      <c r="R322" s="200"/>
      <c r="S322" s="200"/>
    </row>
    <row r="323" spans="11:19" x14ac:dyDescent="0.25">
      <c r="K323" s="159">
        <v>315</v>
      </c>
      <c r="L323" s="133">
        <f>-IF(SUMMARY!$D$21*12&gt;=K323,IPMT(SUMMARY!$D$22/12,K323,SUMMARY!$D$21*12,SUMMARY!$D$20),0)</f>
        <v>0</v>
      </c>
      <c r="M323" s="133">
        <f>IF(SUMMARY!$D$21*12&gt;=K323,-PPMT(SUMMARY!$D$22/12,K323,SUMMARY!$D$21*12,SUMMARY!$D$20),0)</f>
        <v>0</v>
      </c>
      <c r="N323" s="160">
        <f t="shared" si="8"/>
        <v>0</v>
      </c>
      <c r="P323" s="199"/>
      <c r="Q323" s="200"/>
      <c r="R323" s="200"/>
      <c r="S323" s="200"/>
    </row>
    <row r="324" spans="11:19" x14ac:dyDescent="0.25">
      <c r="K324" s="159">
        <v>316</v>
      </c>
      <c r="L324" s="133">
        <f>-IF(SUMMARY!$D$21*12&gt;=K324,IPMT(SUMMARY!$D$22/12,K324,SUMMARY!$D$21*12,SUMMARY!$D$20),0)</f>
        <v>0</v>
      </c>
      <c r="M324" s="133">
        <f>IF(SUMMARY!$D$21*12&gt;=K324,-PPMT(SUMMARY!$D$22/12,K324,SUMMARY!$D$21*12,SUMMARY!$D$20),0)</f>
        <v>0</v>
      </c>
      <c r="N324" s="160">
        <f t="shared" si="8"/>
        <v>0</v>
      </c>
      <c r="P324" s="199"/>
      <c r="Q324" s="200"/>
      <c r="R324" s="200"/>
      <c r="S324" s="200"/>
    </row>
    <row r="325" spans="11:19" x14ac:dyDescent="0.25">
      <c r="K325" s="159">
        <v>317</v>
      </c>
      <c r="L325" s="133">
        <f>-IF(SUMMARY!$D$21*12&gt;=K325,IPMT(SUMMARY!$D$22/12,K325,SUMMARY!$D$21*12,SUMMARY!$D$20),0)</f>
        <v>0</v>
      </c>
      <c r="M325" s="133">
        <f>IF(SUMMARY!$D$21*12&gt;=K325,-PPMT(SUMMARY!$D$22/12,K325,SUMMARY!$D$21*12,SUMMARY!$D$20),0)</f>
        <v>0</v>
      </c>
      <c r="N325" s="160">
        <f t="shared" si="8"/>
        <v>0</v>
      </c>
      <c r="P325" s="199"/>
      <c r="Q325" s="200"/>
      <c r="R325" s="200"/>
      <c r="S325" s="200"/>
    </row>
    <row r="326" spans="11:19" x14ac:dyDescent="0.25">
      <c r="K326" s="159">
        <v>318</v>
      </c>
      <c r="L326" s="133">
        <f>-IF(SUMMARY!$D$21*12&gt;=K326,IPMT(SUMMARY!$D$22/12,K326,SUMMARY!$D$21*12,SUMMARY!$D$20),0)</f>
        <v>0</v>
      </c>
      <c r="M326" s="133">
        <f>IF(SUMMARY!$D$21*12&gt;=K326,-PPMT(SUMMARY!$D$22/12,K326,SUMMARY!$D$21*12,SUMMARY!$D$20),0)</f>
        <v>0</v>
      </c>
      <c r="N326" s="160">
        <f t="shared" si="8"/>
        <v>0</v>
      </c>
      <c r="P326" s="199"/>
      <c r="Q326" s="200"/>
      <c r="R326" s="200"/>
      <c r="S326" s="200"/>
    </row>
    <row r="327" spans="11:19" x14ac:dyDescent="0.25">
      <c r="K327" s="159">
        <v>319</v>
      </c>
      <c r="L327" s="133">
        <f>-IF(SUMMARY!$D$21*12&gt;=K327,IPMT(SUMMARY!$D$22/12,K327,SUMMARY!$D$21*12,SUMMARY!$D$20),0)</f>
        <v>0</v>
      </c>
      <c r="M327" s="133">
        <f>IF(SUMMARY!$D$21*12&gt;=K327,-PPMT(SUMMARY!$D$22/12,K327,SUMMARY!$D$21*12,SUMMARY!$D$20),0)</f>
        <v>0</v>
      </c>
      <c r="N327" s="160">
        <f t="shared" si="8"/>
        <v>0</v>
      </c>
      <c r="P327" s="199"/>
      <c r="Q327" s="200"/>
      <c r="R327" s="200"/>
      <c r="S327" s="200"/>
    </row>
    <row r="328" spans="11:19" x14ac:dyDescent="0.25">
      <c r="K328" s="159">
        <v>320</v>
      </c>
      <c r="L328" s="133">
        <f>-IF(SUMMARY!$D$21*12&gt;=K328,IPMT(SUMMARY!$D$22/12,K328,SUMMARY!$D$21*12,SUMMARY!$D$20),0)</f>
        <v>0</v>
      </c>
      <c r="M328" s="133">
        <f>IF(SUMMARY!$D$21*12&gt;=K328,-PPMT(SUMMARY!$D$22/12,K328,SUMMARY!$D$21*12,SUMMARY!$D$20),0)</f>
        <v>0</v>
      </c>
      <c r="N328" s="160">
        <f t="shared" si="8"/>
        <v>0</v>
      </c>
      <c r="P328" s="199"/>
      <c r="Q328" s="200"/>
      <c r="R328" s="200"/>
      <c r="S328" s="200"/>
    </row>
    <row r="329" spans="11:19" x14ac:dyDescent="0.25">
      <c r="K329" s="159">
        <v>321</v>
      </c>
      <c r="L329" s="133">
        <f>-IF(SUMMARY!$D$21*12&gt;=K329,IPMT(SUMMARY!$D$22/12,K329,SUMMARY!$D$21*12,SUMMARY!$D$20),0)</f>
        <v>0</v>
      </c>
      <c r="M329" s="133">
        <f>IF(SUMMARY!$D$21*12&gt;=K329,-PPMT(SUMMARY!$D$22/12,K329,SUMMARY!$D$21*12,SUMMARY!$D$20),0)</f>
        <v>0</v>
      </c>
      <c r="N329" s="160">
        <f t="shared" ref="N329:N368" si="9">+M329+L329</f>
        <v>0</v>
      </c>
      <c r="P329" s="199"/>
      <c r="Q329" s="200"/>
      <c r="R329" s="200"/>
      <c r="S329" s="200"/>
    </row>
    <row r="330" spans="11:19" x14ac:dyDescent="0.25">
      <c r="K330" s="159">
        <v>322</v>
      </c>
      <c r="L330" s="133">
        <f>-IF(SUMMARY!$D$21*12&gt;=K330,IPMT(SUMMARY!$D$22/12,K330,SUMMARY!$D$21*12,SUMMARY!$D$20),0)</f>
        <v>0</v>
      </c>
      <c r="M330" s="133">
        <f>IF(SUMMARY!$D$21*12&gt;=K330,-PPMT(SUMMARY!$D$22/12,K330,SUMMARY!$D$21*12,SUMMARY!$D$20),0)</f>
        <v>0</v>
      </c>
      <c r="N330" s="160">
        <f t="shared" si="9"/>
        <v>0</v>
      </c>
      <c r="P330" s="199"/>
      <c r="Q330" s="200"/>
      <c r="R330" s="200"/>
      <c r="S330" s="200"/>
    </row>
    <row r="331" spans="11:19" x14ac:dyDescent="0.25">
      <c r="K331" s="159">
        <v>323</v>
      </c>
      <c r="L331" s="133">
        <f>-IF(SUMMARY!$D$21*12&gt;=K331,IPMT(SUMMARY!$D$22/12,K331,SUMMARY!$D$21*12,SUMMARY!$D$20),0)</f>
        <v>0</v>
      </c>
      <c r="M331" s="133">
        <f>IF(SUMMARY!$D$21*12&gt;=K331,-PPMT(SUMMARY!$D$22/12,K331,SUMMARY!$D$21*12,SUMMARY!$D$20),0)</f>
        <v>0</v>
      </c>
      <c r="N331" s="160">
        <f t="shared" si="9"/>
        <v>0</v>
      </c>
      <c r="P331" s="199"/>
      <c r="Q331" s="200"/>
      <c r="R331" s="200"/>
      <c r="S331" s="200"/>
    </row>
    <row r="332" spans="11:19" x14ac:dyDescent="0.25">
      <c r="K332" s="159">
        <v>324</v>
      </c>
      <c r="L332" s="133">
        <f>-IF(SUMMARY!$D$21*12&gt;=K332,IPMT(SUMMARY!$D$22/12,K332,SUMMARY!$D$21*12,SUMMARY!$D$20),0)</f>
        <v>0</v>
      </c>
      <c r="M332" s="133">
        <f>IF(SUMMARY!$D$21*12&gt;=K332,-PPMT(SUMMARY!$D$22/12,K332,SUMMARY!$D$21*12,SUMMARY!$D$20),0)</f>
        <v>0</v>
      </c>
      <c r="N332" s="160">
        <f t="shared" si="9"/>
        <v>0</v>
      </c>
      <c r="P332" s="199"/>
      <c r="Q332" s="200"/>
      <c r="R332" s="200"/>
      <c r="S332" s="200"/>
    </row>
    <row r="333" spans="11:19" x14ac:dyDescent="0.25">
      <c r="K333" s="159">
        <v>325</v>
      </c>
      <c r="L333" s="133">
        <f>-IF(SUMMARY!$D$21*12&gt;=K333,IPMT(SUMMARY!$D$22/12,K333,SUMMARY!$D$21*12,SUMMARY!$D$20),0)</f>
        <v>0</v>
      </c>
      <c r="M333" s="133">
        <f>IF(SUMMARY!$D$21*12&gt;=K333,-PPMT(SUMMARY!$D$22/12,K333,SUMMARY!$D$21*12,SUMMARY!$D$20),0)</f>
        <v>0</v>
      </c>
      <c r="N333" s="160">
        <f t="shared" si="9"/>
        <v>0</v>
      </c>
      <c r="P333" s="199"/>
      <c r="Q333" s="200"/>
      <c r="R333" s="200"/>
      <c r="S333" s="200"/>
    </row>
    <row r="334" spans="11:19" x14ac:dyDescent="0.25">
      <c r="K334" s="159">
        <v>326</v>
      </c>
      <c r="L334" s="133">
        <f>-IF(SUMMARY!$D$21*12&gt;=K334,IPMT(SUMMARY!$D$22/12,K334,SUMMARY!$D$21*12,SUMMARY!$D$20),0)</f>
        <v>0</v>
      </c>
      <c r="M334" s="133">
        <f>IF(SUMMARY!$D$21*12&gt;=K334,-PPMT(SUMMARY!$D$22/12,K334,SUMMARY!$D$21*12,SUMMARY!$D$20),0)</f>
        <v>0</v>
      </c>
      <c r="N334" s="160">
        <f t="shared" si="9"/>
        <v>0</v>
      </c>
      <c r="P334" s="199"/>
      <c r="Q334" s="200"/>
      <c r="R334" s="200"/>
      <c r="S334" s="200"/>
    </row>
    <row r="335" spans="11:19" x14ac:dyDescent="0.25">
      <c r="K335" s="159">
        <v>327</v>
      </c>
      <c r="L335" s="133">
        <f>-IF(SUMMARY!$D$21*12&gt;=K335,IPMT(SUMMARY!$D$22/12,K335,SUMMARY!$D$21*12,SUMMARY!$D$20),0)</f>
        <v>0</v>
      </c>
      <c r="M335" s="133">
        <f>IF(SUMMARY!$D$21*12&gt;=K335,-PPMT(SUMMARY!$D$22/12,K335,SUMMARY!$D$21*12,SUMMARY!$D$20),0)</f>
        <v>0</v>
      </c>
      <c r="N335" s="160">
        <f t="shared" si="9"/>
        <v>0</v>
      </c>
      <c r="P335" s="199"/>
      <c r="Q335" s="200"/>
      <c r="R335" s="200"/>
      <c r="S335" s="200"/>
    </row>
    <row r="336" spans="11:19" x14ac:dyDescent="0.25">
      <c r="K336" s="159">
        <v>328</v>
      </c>
      <c r="L336" s="133">
        <f>-IF(SUMMARY!$D$21*12&gt;=K336,IPMT(SUMMARY!$D$22/12,K336,SUMMARY!$D$21*12,SUMMARY!$D$20),0)</f>
        <v>0</v>
      </c>
      <c r="M336" s="133">
        <f>IF(SUMMARY!$D$21*12&gt;=K336,-PPMT(SUMMARY!$D$22/12,K336,SUMMARY!$D$21*12,SUMMARY!$D$20),0)</f>
        <v>0</v>
      </c>
      <c r="N336" s="160">
        <f t="shared" si="9"/>
        <v>0</v>
      </c>
      <c r="P336" s="199"/>
      <c r="Q336" s="200"/>
      <c r="R336" s="200"/>
      <c r="S336" s="200"/>
    </row>
    <row r="337" spans="11:19" x14ac:dyDescent="0.25">
      <c r="K337" s="159">
        <v>329</v>
      </c>
      <c r="L337" s="133">
        <f>-IF(SUMMARY!$D$21*12&gt;=K337,IPMT(SUMMARY!$D$22/12,K337,SUMMARY!$D$21*12,SUMMARY!$D$20),0)</f>
        <v>0</v>
      </c>
      <c r="M337" s="133">
        <f>IF(SUMMARY!$D$21*12&gt;=K337,-PPMT(SUMMARY!$D$22/12,K337,SUMMARY!$D$21*12,SUMMARY!$D$20),0)</f>
        <v>0</v>
      </c>
      <c r="N337" s="160">
        <f t="shared" si="9"/>
        <v>0</v>
      </c>
      <c r="P337" s="199"/>
      <c r="Q337" s="200"/>
      <c r="R337" s="200"/>
      <c r="S337" s="200"/>
    </row>
    <row r="338" spans="11:19" x14ac:dyDescent="0.25">
      <c r="K338" s="159">
        <v>330</v>
      </c>
      <c r="L338" s="133">
        <f>-IF(SUMMARY!$D$21*12&gt;=K338,IPMT(SUMMARY!$D$22/12,K338,SUMMARY!$D$21*12,SUMMARY!$D$20),0)</f>
        <v>0</v>
      </c>
      <c r="M338" s="133">
        <f>IF(SUMMARY!$D$21*12&gt;=K338,-PPMT(SUMMARY!$D$22/12,K338,SUMMARY!$D$21*12,SUMMARY!$D$20),0)</f>
        <v>0</v>
      </c>
      <c r="N338" s="160">
        <f t="shared" si="9"/>
        <v>0</v>
      </c>
      <c r="P338" s="199"/>
      <c r="Q338" s="200"/>
      <c r="R338" s="200"/>
      <c r="S338" s="200"/>
    </row>
    <row r="339" spans="11:19" x14ac:dyDescent="0.25">
      <c r="K339" s="159">
        <v>331</v>
      </c>
      <c r="L339" s="133">
        <f>-IF(SUMMARY!$D$21*12&gt;=K339,IPMT(SUMMARY!$D$22/12,K339,SUMMARY!$D$21*12,SUMMARY!$D$20),0)</f>
        <v>0</v>
      </c>
      <c r="M339" s="133">
        <f>IF(SUMMARY!$D$21*12&gt;=K339,-PPMT(SUMMARY!$D$22/12,K339,SUMMARY!$D$21*12,SUMMARY!$D$20),0)</f>
        <v>0</v>
      </c>
      <c r="N339" s="160">
        <f t="shared" si="9"/>
        <v>0</v>
      </c>
      <c r="P339" s="199"/>
      <c r="Q339" s="200"/>
      <c r="R339" s="200"/>
      <c r="S339" s="200"/>
    </row>
    <row r="340" spans="11:19" x14ac:dyDescent="0.25">
      <c r="K340" s="159">
        <v>332</v>
      </c>
      <c r="L340" s="133">
        <f>-IF(SUMMARY!$D$21*12&gt;=K340,IPMT(SUMMARY!$D$22/12,K340,SUMMARY!$D$21*12,SUMMARY!$D$20),0)</f>
        <v>0</v>
      </c>
      <c r="M340" s="133">
        <f>IF(SUMMARY!$D$21*12&gt;=K340,-PPMT(SUMMARY!$D$22/12,K340,SUMMARY!$D$21*12,SUMMARY!$D$20),0)</f>
        <v>0</v>
      </c>
      <c r="N340" s="160">
        <f t="shared" si="9"/>
        <v>0</v>
      </c>
      <c r="P340" s="199"/>
      <c r="Q340" s="200"/>
      <c r="R340" s="200"/>
      <c r="S340" s="200"/>
    </row>
    <row r="341" spans="11:19" x14ac:dyDescent="0.25">
      <c r="K341" s="159">
        <v>333</v>
      </c>
      <c r="L341" s="133">
        <f>-IF(SUMMARY!$D$21*12&gt;=K341,IPMT(SUMMARY!$D$22/12,K341,SUMMARY!$D$21*12,SUMMARY!$D$20),0)</f>
        <v>0</v>
      </c>
      <c r="M341" s="133">
        <f>IF(SUMMARY!$D$21*12&gt;=K341,-PPMT(SUMMARY!$D$22/12,K341,SUMMARY!$D$21*12,SUMMARY!$D$20),0)</f>
        <v>0</v>
      </c>
      <c r="N341" s="160">
        <f t="shared" si="9"/>
        <v>0</v>
      </c>
      <c r="P341" s="199"/>
      <c r="Q341" s="200"/>
      <c r="R341" s="200"/>
      <c r="S341" s="200"/>
    </row>
    <row r="342" spans="11:19" x14ac:dyDescent="0.25">
      <c r="K342" s="159">
        <v>334</v>
      </c>
      <c r="L342" s="133">
        <f>-IF(SUMMARY!$D$21*12&gt;=K342,IPMT(SUMMARY!$D$22/12,K342,SUMMARY!$D$21*12,SUMMARY!$D$20),0)</f>
        <v>0</v>
      </c>
      <c r="M342" s="133">
        <f>IF(SUMMARY!$D$21*12&gt;=K342,-PPMT(SUMMARY!$D$22/12,K342,SUMMARY!$D$21*12,SUMMARY!$D$20),0)</f>
        <v>0</v>
      </c>
      <c r="N342" s="160">
        <f t="shared" si="9"/>
        <v>0</v>
      </c>
      <c r="P342" s="199"/>
      <c r="Q342" s="200"/>
      <c r="R342" s="200"/>
      <c r="S342" s="200"/>
    </row>
    <row r="343" spans="11:19" x14ac:dyDescent="0.25">
      <c r="K343" s="159">
        <v>335</v>
      </c>
      <c r="L343" s="133">
        <f>-IF(SUMMARY!$D$21*12&gt;=K343,IPMT(SUMMARY!$D$22/12,K343,SUMMARY!$D$21*12,SUMMARY!$D$20),0)</f>
        <v>0</v>
      </c>
      <c r="M343" s="133">
        <f>IF(SUMMARY!$D$21*12&gt;=K343,-PPMT(SUMMARY!$D$22/12,K343,SUMMARY!$D$21*12,SUMMARY!$D$20),0)</f>
        <v>0</v>
      </c>
      <c r="N343" s="160">
        <f t="shared" si="9"/>
        <v>0</v>
      </c>
      <c r="P343" s="199"/>
      <c r="Q343" s="200"/>
      <c r="R343" s="200"/>
      <c r="S343" s="200"/>
    </row>
    <row r="344" spans="11:19" x14ac:dyDescent="0.25">
      <c r="K344" s="159">
        <v>336</v>
      </c>
      <c r="L344" s="133">
        <f>-IF(SUMMARY!$D$21*12&gt;=K344,IPMT(SUMMARY!$D$22/12,K344,SUMMARY!$D$21*12,SUMMARY!$D$20),0)</f>
        <v>0</v>
      </c>
      <c r="M344" s="133">
        <f>IF(SUMMARY!$D$21*12&gt;=K344,-PPMT(SUMMARY!$D$22/12,K344,SUMMARY!$D$21*12,SUMMARY!$D$20),0)</f>
        <v>0</v>
      </c>
      <c r="N344" s="160">
        <f t="shared" si="9"/>
        <v>0</v>
      </c>
      <c r="P344" s="199"/>
      <c r="Q344" s="200"/>
      <c r="R344" s="200"/>
      <c r="S344" s="200"/>
    </row>
    <row r="345" spans="11:19" x14ac:dyDescent="0.25">
      <c r="K345" s="159">
        <v>337</v>
      </c>
      <c r="L345" s="133">
        <f>-IF(SUMMARY!$D$21*12&gt;=K345,IPMT(SUMMARY!$D$22/12,K345,SUMMARY!$D$21*12,SUMMARY!$D$20),0)</f>
        <v>0</v>
      </c>
      <c r="M345" s="133">
        <f>IF(SUMMARY!$D$21*12&gt;=K345,-PPMT(SUMMARY!$D$22/12,K345,SUMMARY!$D$21*12,SUMMARY!$D$20),0)</f>
        <v>0</v>
      </c>
      <c r="N345" s="160">
        <f t="shared" si="9"/>
        <v>0</v>
      </c>
      <c r="P345" s="199"/>
      <c r="Q345" s="200"/>
      <c r="R345" s="200"/>
      <c r="S345" s="200"/>
    </row>
    <row r="346" spans="11:19" x14ac:dyDescent="0.25">
      <c r="K346" s="159">
        <v>338</v>
      </c>
      <c r="L346" s="133">
        <f>-IF(SUMMARY!$D$21*12&gt;=K346,IPMT(SUMMARY!$D$22/12,K346,SUMMARY!$D$21*12,SUMMARY!$D$20),0)</f>
        <v>0</v>
      </c>
      <c r="M346" s="133">
        <f>IF(SUMMARY!$D$21*12&gt;=K346,-PPMT(SUMMARY!$D$22/12,K346,SUMMARY!$D$21*12,SUMMARY!$D$20),0)</f>
        <v>0</v>
      </c>
      <c r="N346" s="160">
        <f t="shared" si="9"/>
        <v>0</v>
      </c>
      <c r="P346" s="199"/>
      <c r="Q346" s="200"/>
      <c r="R346" s="200"/>
      <c r="S346" s="200"/>
    </row>
    <row r="347" spans="11:19" x14ac:dyDescent="0.25">
      <c r="K347" s="159">
        <v>339</v>
      </c>
      <c r="L347" s="133">
        <f>-IF(SUMMARY!$D$21*12&gt;=K347,IPMT(SUMMARY!$D$22/12,K347,SUMMARY!$D$21*12,SUMMARY!$D$20),0)</f>
        <v>0</v>
      </c>
      <c r="M347" s="133">
        <f>IF(SUMMARY!$D$21*12&gt;=K347,-PPMT(SUMMARY!$D$22/12,K347,SUMMARY!$D$21*12,SUMMARY!$D$20),0)</f>
        <v>0</v>
      </c>
      <c r="N347" s="160">
        <f t="shared" si="9"/>
        <v>0</v>
      </c>
      <c r="P347" s="199"/>
      <c r="Q347" s="200"/>
      <c r="R347" s="200"/>
      <c r="S347" s="200"/>
    </row>
    <row r="348" spans="11:19" x14ac:dyDescent="0.25">
      <c r="K348" s="159">
        <v>340</v>
      </c>
      <c r="L348" s="133">
        <f>-IF(SUMMARY!$D$21*12&gt;=K348,IPMT(SUMMARY!$D$22/12,K348,SUMMARY!$D$21*12,SUMMARY!$D$20),0)</f>
        <v>0</v>
      </c>
      <c r="M348" s="133">
        <f>IF(SUMMARY!$D$21*12&gt;=K348,-PPMT(SUMMARY!$D$22/12,K348,SUMMARY!$D$21*12,SUMMARY!$D$20),0)</f>
        <v>0</v>
      </c>
      <c r="N348" s="160">
        <f t="shared" si="9"/>
        <v>0</v>
      </c>
      <c r="P348" s="199"/>
      <c r="Q348" s="200"/>
      <c r="R348" s="200"/>
      <c r="S348" s="200"/>
    </row>
    <row r="349" spans="11:19" x14ac:dyDescent="0.25">
      <c r="K349" s="159">
        <v>341</v>
      </c>
      <c r="L349" s="133">
        <f>-IF(SUMMARY!$D$21*12&gt;=K349,IPMT(SUMMARY!$D$22/12,K349,SUMMARY!$D$21*12,SUMMARY!$D$20),0)</f>
        <v>0</v>
      </c>
      <c r="M349" s="133">
        <f>IF(SUMMARY!$D$21*12&gt;=K349,-PPMT(SUMMARY!$D$22/12,K349,SUMMARY!$D$21*12,SUMMARY!$D$20),0)</f>
        <v>0</v>
      </c>
      <c r="N349" s="160">
        <f t="shared" si="9"/>
        <v>0</v>
      </c>
      <c r="P349" s="199"/>
      <c r="Q349" s="200"/>
      <c r="R349" s="200"/>
      <c r="S349" s="200"/>
    </row>
    <row r="350" spans="11:19" x14ac:dyDescent="0.25">
      <c r="K350" s="159">
        <v>342</v>
      </c>
      <c r="L350" s="133">
        <f>-IF(SUMMARY!$D$21*12&gt;=K350,IPMT(SUMMARY!$D$22/12,K350,SUMMARY!$D$21*12,SUMMARY!$D$20),0)</f>
        <v>0</v>
      </c>
      <c r="M350" s="133">
        <f>IF(SUMMARY!$D$21*12&gt;=K350,-PPMT(SUMMARY!$D$22/12,K350,SUMMARY!$D$21*12,SUMMARY!$D$20),0)</f>
        <v>0</v>
      </c>
      <c r="N350" s="160">
        <f t="shared" si="9"/>
        <v>0</v>
      </c>
      <c r="P350" s="199"/>
      <c r="Q350" s="200"/>
      <c r="R350" s="200"/>
      <c r="S350" s="200"/>
    </row>
    <row r="351" spans="11:19" x14ac:dyDescent="0.25">
      <c r="K351" s="159">
        <v>343</v>
      </c>
      <c r="L351" s="133">
        <f>-IF(SUMMARY!$D$21*12&gt;=K351,IPMT(SUMMARY!$D$22/12,K351,SUMMARY!$D$21*12,SUMMARY!$D$20),0)</f>
        <v>0</v>
      </c>
      <c r="M351" s="133">
        <f>IF(SUMMARY!$D$21*12&gt;=K351,-PPMT(SUMMARY!$D$22/12,K351,SUMMARY!$D$21*12,SUMMARY!$D$20),0)</f>
        <v>0</v>
      </c>
      <c r="N351" s="160">
        <f t="shared" si="9"/>
        <v>0</v>
      </c>
      <c r="P351" s="199"/>
      <c r="Q351" s="200"/>
      <c r="R351" s="200"/>
      <c r="S351" s="200"/>
    </row>
    <row r="352" spans="11:19" x14ac:dyDescent="0.25">
      <c r="K352" s="159">
        <v>344</v>
      </c>
      <c r="L352" s="133">
        <f>-IF(SUMMARY!$D$21*12&gt;=K352,IPMT(SUMMARY!$D$22/12,K352,SUMMARY!$D$21*12,SUMMARY!$D$20),0)</f>
        <v>0</v>
      </c>
      <c r="M352" s="133">
        <f>IF(SUMMARY!$D$21*12&gt;=K352,-PPMT(SUMMARY!$D$22/12,K352,SUMMARY!$D$21*12,SUMMARY!$D$20),0)</f>
        <v>0</v>
      </c>
      <c r="N352" s="160">
        <f t="shared" si="9"/>
        <v>0</v>
      </c>
      <c r="P352" s="199"/>
      <c r="Q352" s="200"/>
      <c r="R352" s="200"/>
      <c r="S352" s="200"/>
    </row>
    <row r="353" spans="11:19" x14ac:dyDescent="0.25">
      <c r="K353" s="159">
        <v>345</v>
      </c>
      <c r="L353" s="133">
        <f>-IF(SUMMARY!$D$21*12&gt;=K353,IPMT(SUMMARY!$D$22/12,K353,SUMMARY!$D$21*12,SUMMARY!$D$20),0)</f>
        <v>0</v>
      </c>
      <c r="M353" s="133">
        <f>IF(SUMMARY!$D$21*12&gt;=K353,-PPMT(SUMMARY!$D$22/12,K353,SUMMARY!$D$21*12,SUMMARY!$D$20),0)</f>
        <v>0</v>
      </c>
      <c r="N353" s="160">
        <f t="shared" si="9"/>
        <v>0</v>
      </c>
      <c r="P353" s="199"/>
      <c r="Q353" s="200"/>
      <c r="R353" s="200"/>
      <c r="S353" s="200"/>
    </row>
    <row r="354" spans="11:19" x14ac:dyDescent="0.25">
      <c r="K354" s="159">
        <v>346</v>
      </c>
      <c r="L354" s="133">
        <f>-IF(SUMMARY!$D$21*12&gt;=K354,IPMT(SUMMARY!$D$22/12,K354,SUMMARY!$D$21*12,SUMMARY!$D$20),0)</f>
        <v>0</v>
      </c>
      <c r="M354" s="133">
        <f>IF(SUMMARY!$D$21*12&gt;=K354,-PPMT(SUMMARY!$D$22/12,K354,SUMMARY!$D$21*12,SUMMARY!$D$20),0)</f>
        <v>0</v>
      </c>
      <c r="N354" s="160">
        <f t="shared" si="9"/>
        <v>0</v>
      </c>
      <c r="P354" s="199"/>
      <c r="Q354" s="200"/>
      <c r="R354" s="200"/>
      <c r="S354" s="200"/>
    </row>
    <row r="355" spans="11:19" x14ac:dyDescent="0.25">
      <c r="K355" s="159">
        <v>347</v>
      </c>
      <c r="L355" s="133">
        <f>-IF(SUMMARY!$D$21*12&gt;=K355,IPMT(SUMMARY!$D$22/12,K355,SUMMARY!$D$21*12,SUMMARY!$D$20),0)</f>
        <v>0</v>
      </c>
      <c r="M355" s="133">
        <f>IF(SUMMARY!$D$21*12&gt;=K355,-PPMT(SUMMARY!$D$22/12,K355,SUMMARY!$D$21*12,SUMMARY!$D$20),0)</f>
        <v>0</v>
      </c>
      <c r="N355" s="160">
        <f t="shared" si="9"/>
        <v>0</v>
      </c>
      <c r="P355" s="199"/>
      <c r="Q355" s="200"/>
      <c r="R355" s="200"/>
      <c r="S355" s="200"/>
    </row>
    <row r="356" spans="11:19" x14ac:dyDescent="0.25">
      <c r="K356" s="159">
        <v>348</v>
      </c>
      <c r="L356" s="133">
        <f>-IF(SUMMARY!$D$21*12&gt;=K356,IPMT(SUMMARY!$D$22/12,K356,SUMMARY!$D$21*12,SUMMARY!$D$20),0)</f>
        <v>0</v>
      </c>
      <c r="M356" s="133">
        <f>IF(SUMMARY!$D$21*12&gt;=K356,-PPMT(SUMMARY!$D$22/12,K356,SUMMARY!$D$21*12,SUMMARY!$D$20),0)</f>
        <v>0</v>
      </c>
      <c r="N356" s="160">
        <f t="shared" si="9"/>
        <v>0</v>
      </c>
      <c r="P356" s="199"/>
      <c r="Q356" s="200"/>
      <c r="R356" s="200"/>
      <c r="S356" s="200"/>
    </row>
    <row r="357" spans="11:19" x14ac:dyDescent="0.25">
      <c r="K357" s="159">
        <v>349</v>
      </c>
      <c r="L357" s="133">
        <f>-IF(SUMMARY!$D$21*12&gt;=K357,IPMT(SUMMARY!$D$22/12,K357,SUMMARY!$D$21*12,SUMMARY!$D$20),0)</f>
        <v>0</v>
      </c>
      <c r="M357" s="133">
        <f>IF(SUMMARY!$D$21*12&gt;=K357,-PPMT(SUMMARY!$D$22/12,K357,SUMMARY!$D$21*12,SUMMARY!$D$20),0)</f>
        <v>0</v>
      </c>
      <c r="N357" s="160">
        <f t="shared" si="9"/>
        <v>0</v>
      </c>
      <c r="P357" s="199"/>
      <c r="Q357" s="200"/>
      <c r="R357" s="200"/>
      <c r="S357" s="200"/>
    </row>
    <row r="358" spans="11:19" x14ac:dyDescent="0.25">
      <c r="K358" s="159">
        <v>350</v>
      </c>
      <c r="L358" s="133">
        <f>-IF(SUMMARY!$D$21*12&gt;=K358,IPMT(SUMMARY!$D$22/12,K358,SUMMARY!$D$21*12,SUMMARY!$D$20),0)</f>
        <v>0</v>
      </c>
      <c r="M358" s="133">
        <f>IF(SUMMARY!$D$21*12&gt;=K358,-PPMT(SUMMARY!$D$22/12,K358,SUMMARY!$D$21*12,SUMMARY!$D$20),0)</f>
        <v>0</v>
      </c>
      <c r="N358" s="160">
        <f t="shared" si="9"/>
        <v>0</v>
      </c>
      <c r="P358" s="199"/>
      <c r="Q358" s="200"/>
      <c r="R358" s="200"/>
      <c r="S358" s="200"/>
    </row>
    <row r="359" spans="11:19" x14ac:dyDescent="0.25">
      <c r="K359" s="159">
        <v>351</v>
      </c>
      <c r="L359" s="133">
        <f>-IF(SUMMARY!$D$21*12&gt;=K359,IPMT(SUMMARY!$D$22/12,K359,SUMMARY!$D$21*12,SUMMARY!$D$20),0)</f>
        <v>0</v>
      </c>
      <c r="M359" s="133">
        <f>IF(SUMMARY!$D$21*12&gt;=K359,-PPMT(SUMMARY!$D$22/12,K359,SUMMARY!$D$21*12,SUMMARY!$D$20),0)</f>
        <v>0</v>
      </c>
      <c r="N359" s="160">
        <f t="shared" si="9"/>
        <v>0</v>
      </c>
      <c r="P359" s="199"/>
      <c r="Q359" s="200"/>
      <c r="R359" s="200"/>
      <c r="S359" s="200"/>
    </row>
    <row r="360" spans="11:19" x14ac:dyDescent="0.25">
      <c r="K360" s="159">
        <v>352</v>
      </c>
      <c r="L360" s="133">
        <f>-IF(SUMMARY!$D$21*12&gt;=K360,IPMT(SUMMARY!$D$22/12,K360,SUMMARY!$D$21*12,SUMMARY!$D$20),0)</f>
        <v>0</v>
      </c>
      <c r="M360" s="133">
        <f>IF(SUMMARY!$D$21*12&gt;=K360,-PPMT(SUMMARY!$D$22/12,K360,SUMMARY!$D$21*12,SUMMARY!$D$20),0)</f>
        <v>0</v>
      </c>
      <c r="N360" s="160">
        <f t="shared" si="9"/>
        <v>0</v>
      </c>
      <c r="P360" s="199"/>
      <c r="Q360" s="200"/>
      <c r="R360" s="200"/>
      <c r="S360" s="200"/>
    </row>
    <row r="361" spans="11:19" x14ac:dyDescent="0.25">
      <c r="K361" s="159">
        <v>353</v>
      </c>
      <c r="L361" s="133">
        <f>-IF(SUMMARY!$D$21*12&gt;=K361,IPMT(SUMMARY!$D$22/12,K361,SUMMARY!$D$21*12,SUMMARY!$D$20),0)</f>
        <v>0</v>
      </c>
      <c r="M361" s="133">
        <f>IF(SUMMARY!$D$21*12&gt;=K361,-PPMT(SUMMARY!$D$22/12,K361,SUMMARY!$D$21*12,SUMMARY!$D$20),0)</f>
        <v>0</v>
      </c>
      <c r="N361" s="160">
        <f t="shared" si="9"/>
        <v>0</v>
      </c>
      <c r="P361" s="199"/>
      <c r="Q361" s="200"/>
      <c r="R361" s="200"/>
      <c r="S361" s="200"/>
    </row>
    <row r="362" spans="11:19" x14ac:dyDescent="0.25">
      <c r="K362" s="159">
        <v>354</v>
      </c>
      <c r="L362" s="133">
        <f>-IF(SUMMARY!$D$21*12&gt;=K362,IPMT(SUMMARY!$D$22/12,K362,SUMMARY!$D$21*12,SUMMARY!$D$20),0)</f>
        <v>0</v>
      </c>
      <c r="M362" s="133">
        <f>IF(SUMMARY!$D$21*12&gt;=K362,-PPMT(SUMMARY!$D$22/12,K362,SUMMARY!$D$21*12,SUMMARY!$D$20),0)</f>
        <v>0</v>
      </c>
      <c r="N362" s="160">
        <f t="shared" si="9"/>
        <v>0</v>
      </c>
      <c r="P362" s="199"/>
      <c r="Q362" s="200"/>
      <c r="R362" s="200"/>
      <c r="S362" s="200"/>
    </row>
    <row r="363" spans="11:19" x14ac:dyDescent="0.25">
      <c r="K363" s="159">
        <v>355</v>
      </c>
      <c r="L363" s="133">
        <f>-IF(SUMMARY!$D$21*12&gt;=K363,IPMT(SUMMARY!$D$22/12,K363,SUMMARY!$D$21*12,SUMMARY!$D$20),0)</f>
        <v>0</v>
      </c>
      <c r="M363" s="133">
        <f>IF(SUMMARY!$D$21*12&gt;=K363,-PPMT(SUMMARY!$D$22/12,K363,SUMMARY!$D$21*12,SUMMARY!$D$20),0)</f>
        <v>0</v>
      </c>
      <c r="N363" s="160">
        <f t="shared" si="9"/>
        <v>0</v>
      </c>
      <c r="P363" s="199"/>
      <c r="Q363" s="200"/>
      <c r="R363" s="200"/>
      <c r="S363" s="200"/>
    </row>
    <row r="364" spans="11:19" x14ac:dyDescent="0.25">
      <c r="K364" s="159">
        <v>356</v>
      </c>
      <c r="L364" s="133">
        <f>-IF(SUMMARY!$D$21*12&gt;=K364,IPMT(SUMMARY!$D$22/12,K364,SUMMARY!$D$21*12,SUMMARY!$D$20),0)</f>
        <v>0</v>
      </c>
      <c r="M364" s="133">
        <f>IF(SUMMARY!$D$21*12&gt;=K364,-PPMT(SUMMARY!$D$22/12,K364,SUMMARY!$D$21*12,SUMMARY!$D$20),0)</f>
        <v>0</v>
      </c>
      <c r="N364" s="160">
        <f t="shared" si="9"/>
        <v>0</v>
      </c>
      <c r="P364" s="199"/>
      <c r="Q364" s="200"/>
      <c r="R364" s="200"/>
      <c r="S364" s="200"/>
    </row>
    <row r="365" spans="11:19" x14ac:dyDescent="0.25">
      <c r="K365" s="159">
        <v>357</v>
      </c>
      <c r="L365" s="133">
        <f>-IF(SUMMARY!$D$21*12&gt;=K365,IPMT(SUMMARY!$D$22/12,K365,SUMMARY!$D$21*12,SUMMARY!$D$20),0)</f>
        <v>0</v>
      </c>
      <c r="M365" s="133">
        <f>IF(SUMMARY!$D$21*12&gt;=K365,-PPMT(SUMMARY!$D$22/12,K365,SUMMARY!$D$21*12,SUMMARY!$D$20),0)</f>
        <v>0</v>
      </c>
      <c r="N365" s="160">
        <f t="shared" si="9"/>
        <v>0</v>
      </c>
      <c r="P365" s="199"/>
      <c r="Q365" s="200"/>
      <c r="R365" s="200"/>
      <c r="S365" s="200"/>
    </row>
    <row r="366" spans="11:19" x14ac:dyDescent="0.25">
      <c r="K366" s="159">
        <v>358</v>
      </c>
      <c r="L366" s="133">
        <f>-IF(SUMMARY!$D$21*12&gt;=K366,IPMT(SUMMARY!$D$22/12,K366,SUMMARY!$D$21*12,SUMMARY!$D$20),0)</f>
        <v>0</v>
      </c>
      <c r="M366" s="133">
        <f>IF(SUMMARY!$D$21*12&gt;=K366,-PPMT(SUMMARY!$D$22/12,K366,SUMMARY!$D$21*12,SUMMARY!$D$20),0)</f>
        <v>0</v>
      </c>
      <c r="N366" s="160">
        <f t="shared" si="9"/>
        <v>0</v>
      </c>
      <c r="P366" s="199"/>
      <c r="Q366" s="200"/>
      <c r="R366" s="200"/>
      <c r="S366" s="200"/>
    </row>
    <row r="367" spans="11:19" x14ac:dyDescent="0.25">
      <c r="K367" s="159">
        <v>359</v>
      </c>
      <c r="L367" s="133">
        <f>-IF(SUMMARY!$D$21*12&gt;=K367,IPMT(SUMMARY!$D$22/12,K367,SUMMARY!$D$21*12,SUMMARY!$D$20),0)</f>
        <v>0</v>
      </c>
      <c r="M367" s="133">
        <f>IF(SUMMARY!$D$21*12&gt;=K367,-PPMT(SUMMARY!$D$22/12,K367,SUMMARY!$D$21*12,SUMMARY!$D$20),0)</f>
        <v>0</v>
      </c>
      <c r="N367" s="160">
        <f t="shared" si="9"/>
        <v>0</v>
      </c>
      <c r="P367" s="199"/>
      <c r="Q367" s="200"/>
      <c r="R367" s="200"/>
      <c r="S367" s="200"/>
    </row>
    <row r="368" spans="11:19" ht="13.8" thickBot="1" x14ac:dyDescent="0.3">
      <c r="K368" s="161">
        <v>360</v>
      </c>
      <c r="L368" s="162">
        <f>-IF(SUMMARY!$D$21*12&gt;=K368,IPMT(SUMMARY!$D$22/12,K368,SUMMARY!$D$21*12,SUMMARY!$D$20),0)</f>
        <v>0</v>
      </c>
      <c r="M368" s="162">
        <f>IF(SUMMARY!$D$21*12&gt;=K368,-PPMT(SUMMARY!$D$22/12,K368,SUMMARY!$D$21*12,SUMMARY!$D$20),0)</f>
        <v>0</v>
      </c>
      <c r="N368" s="163">
        <f t="shared" si="9"/>
        <v>0</v>
      </c>
      <c r="P368" s="199"/>
      <c r="Q368" s="200"/>
      <c r="R368" s="200"/>
      <c r="S368" s="200"/>
    </row>
  </sheetData>
  <mergeCells count="3">
    <mergeCell ref="K5:N5"/>
    <mergeCell ref="B5:F5"/>
    <mergeCell ref="P5:S5"/>
  </mergeCells>
  <pageMargins left="0.75" right="0.75" top="1" bottom="1" header="0.5" footer="0.5"/>
  <pageSetup scale="53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B2:G30"/>
  <sheetViews>
    <sheetView showGridLines="0" workbookViewId="0"/>
  </sheetViews>
  <sheetFormatPr defaultRowHeight="13.2" x14ac:dyDescent="0.25"/>
  <cols>
    <col min="1" max="1" width="30.5546875" customWidth="1"/>
    <col min="2" max="3" width="15.88671875" customWidth="1"/>
    <col min="4" max="4" width="18.44140625" customWidth="1"/>
    <col min="5" max="5" width="17.109375" bestFit="1" customWidth="1"/>
    <col min="6" max="6" width="16.88671875" customWidth="1"/>
  </cols>
  <sheetData>
    <row r="2" spans="2:7" ht="21" x14ac:dyDescent="0.25">
      <c r="B2" s="366" t="s">
        <v>144</v>
      </c>
      <c r="C2" s="366"/>
      <c r="D2" s="366"/>
      <c r="E2" s="366"/>
    </row>
    <row r="5" spans="2:7" x14ac:dyDescent="0.25">
      <c r="B5" s="134" t="s">
        <v>1</v>
      </c>
      <c r="C5" s="134" t="s">
        <v>156</v>
      </c>
      <c r="D5" s="134" t="s">
        <v>160</v>
      </c>
      <c r="E5" s="134" t="s">
        <v>158</v>
      </c>
      <c r="G5" s="57"/>
    </row>
    <row r="6" spans="2:7" ht="13.8" thickBot="1" x14ac:dyDescent="0.3">
      <c r="B6" s="134" t="s">
        <v>155</v>
      </c>
      <c r="C6" s="134" t="s">
        <v>157</v>
      </c>
      <c r="D6" s="134" t="s">
        <v>161</v>
      </c>
      <c r="E6" s="134" t="s">
        <v>159</v>
      </c>
      <c r="F6" s="57"/>
    </row>
    <row r="7" spans="2:7" x14ac:dyDescent="0.25">
      <c r="B7" s="137" t="s">
        <v>150</v>
      </c>
      <c r="C7" s="138">
        <v>3</v>
      </c>
      <c r="D7" s="139">
        <v>36737</v>
      </c>
      <c r="E7" s="305">
        <v>36829</v>
      </c>
    </row>
    <row r="8" spans="2:7" x14ac:dyDescent="0.25">
      <c r="B8" s="140" t="s">
        <v>151</v>
      </c>
      <c r="C8" s="135">
        <v>3</v>
      </c>
      <c r="D8" s="136">
        <v>36768</v>
      </c>
      <c r="E8" s="306">
        <v>36829</v>
      </c>
    </row>
    <row r="9" spans="2:7" x14ac:dyDescent="0.25">
      <c r="B9" s="140" t="s">
        <v>152</v>
      </c>
      <c r="C9" s="135">
        <v>2</v>
      </c>
      <c r="D9" s="136">
        <v>36799</v>
      </c>
      <c r="E9" s="306">
        <v>36829</v>
      </c>
    </row>
    <row r="10" spans="2:7" x14ac:dyDescent="0.25">
      <c r="B10" s="140" t="s">
        <v>153</v>
      </c>
      <c r="C10" s="135">
        <v>3</v>
      </c>
      <c r="D10" s="136">
        <v>36829</v>
      </c>
      <c r="E10" s="306">
        <v>36829</v>
      </c>
    </row>
    <row r="11" spans="2:7" x14ac:dyDescent="0.25">
      <c r="B11" s="140" t="s">
        <v>154</v>
      </c>
      <c r="C11" s="135">
        <v>2</v>
      </c>
      <c r="D11" s="136">
        <v>36860</v>
      </c>
      <c r="E11" s="306">
        <v>36860</v>
      </c>
    </row>
    <row r="12" spans="2:7" x14ac:dyDescent="0.25">
      <c r="B12" s="141" t="s">
        <v>145</v>
      </c>
      <c r="C12" s="135">
        <v>2</v>
      </c>
      <c r="D12" s="136">
        <v>36890</v>
      </c>
      <c r="E12" s="306">
        <v>36890</v>
      </c>
    </row>
    <row r="13" spans="2:7" x14ac:dyDescent="0.25">
      <c r="B13" s="141" t="s">
        <v>146</v>
      </c>
      <c r="C13" s="135">
        <v>3</v>
      </c>
      <c r="D13" s="136">
        <v>36555</v>
      </c>
      <c r="E13" s="306">
        <v>36555</v>
      </c>
    </row>
    <row r="14" spans="2:7" x14ac:dyDescent="0.25">
      <c r="B14" s="141" t="s">
        <v>147</v>
      </c>
      <c r="C14" s="135">
        <v>2</v>
      </c>
      <c r="D14" s="136">
        <v>36950</v>
      </c>
      <c r="E14" s="306">
        <v>36950</v>
      </c>
    </row>
    <row r="15" spans="2:7" x14ac:dyDescent="0.25">
      <c r="B15" s="141" t="s">
        <v>148</v>
      </c>
      <c r="C15" s="135">
        <v>2</v>
      </c>
      <c r="D15" s="136">
        <v>36980</v>
      </c>
      <c r="E15" s="306">
        <v>36980</v>
      </c>
    </row>
    <row r="16" spans="2:7" ht="13.8" thickBot="1" x14ac:dyDescent="0.3">
      <c r="B16" s="142" t="s">
        <v>149</v>
      </c>
      <c r="C16" s="143">
        <v>2</v>
      </c>
      <c r="D16" s="144">
        <v>37011</v>
      </c>
      <c r="E16" s="307">
        <v>37011</v>
      </c>
    </row>
    <row r="18" spans="2:6" ht="13.8" thickBot="1" x14ac:dyDescent="0.3"/>
    <row r="19" spans="2:6" x14ac:dyDescent="0.25">
      <c r="D19" s="5" t="s">
        <v>338</v>
      </c>
      <c r="E19" s="308">
        <v>13500000</v>
      </c>
    </row>
    <row r="20" spans="2:6" x14ac:dyDescent="0.25">
      <c r="D20" s="6" t="s">
        <v>339</v>
      </c>
      <c r="E20" s="309">
        <v>450000</v>
      </c>
    </row>
    <row r="21" spans="2:6" ht="13.8" thickBot="1" x14ac:dyDescent="0.3">
      <c r="D21" s="8" t="s">
        <v>340</v>
      </c>
      <c r="E21" s="310">
        <v>62000</v>
      </c>
      <c r="F21" s="1"/>
    </row>
    <row r="22" spans="2:6" ht="13.8" thickBot="1" x14ac:dyDescent="0.3">
      <c r="D22" s="236" t="s">
        <v>341</v>
      </c>
      <c r="E22" s="310">
        <f>+SUM(E19:E21)</f>
        <v>14012000</v>
      </c>
      <c r="F22" s="1"/>
    </row>
    <row r="23" spans="2:6" x14ac:dyDescent="0.25">
      <c r="D23" s="1"/>
      <c r="E23" s="1"/>
      <c r="F23" s="1"/>
    </row>
    <row r="24" spans="2:6" x14ac:dyDescent="0.25">
      <c r="C24" s="1"/>
      <c r="D24" s="1"/>
      <c r="E24" s="1"/>
      <c r="F24" s="1"/>
    </row>
    <row r="25" spans="2:6" x14ac:dyDescent="0.25">
      <c r="B25" s="1"/>
      <c r="C25" s="1"/>
      <c r="D25" s="1"/>
      <c r="E25" s="1"/>
      <c r="F25" s="1"/>
    </row>
    <row r="26" spans="2:6" x14ac:dyDescent="0.25">
      <c r="B26" s="1"/>
      <c r="C26" s="1"/>
      <c r="D26" s="1"/>
      <c r="E26" s="1"/>
      <c r="F26" s="1"/>
    </row>
    <row r="27" spans="2:6" x14ac:dyDescent="0.25">
      <c r="B27" s="1"/>
      <c r="C27" s="1"/>
      <c r="D27" s="1"/>
      <c r="E27" s="1"/>
      <c r="F27" s="1"/>
    </row>
    <row r="28" spans="2:6" x14ac:dyDescent="0.25">
      <c r="B28" s="1"/>
      <c r="C28" s="1"/>
      <c r="D28" s="1"/>
      <c r="E28" s="1"/>
      <c r="F28" s="1"/>
    </row>
    <row r="29" spans="2:6" x14ac:dyDescent="0.25">
      <c r="B29" s="1"/>
      <c r="C29" s="1"/>
      <c r="D29" s="1"/>
      <c r="E29" s="1"/>
      <c r="F29" s="1"/>
    </row>
    <row r="30" spans="2:6" x14ac:dyDescent="0.25">
      <c r="B30" s="1"/>
      <c r="C30" s="1"/>
      <c r="D30" s="1"/>
      <c r="E30" s="1"/>
      <c r="F30" s="1"/>
    </row>
  </sheetData>
  <mergeCells count="1">
    <mergeCell ref="B2:E2"/>
  </mergeCells>
  <printOptions horizontalCentered="1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Q76"/>
  <sheetViews>
    <sheetView showGridLines="0" tabSelected="1" zoomScale="75" zoomScaleNormal="80" workbookViewId="0">
      <selection activeCell="I20" sqref="I20"/>
    </sheetView>
  </sheetViews>
  <sheetFormatPr defaultRowHeight="13.2" x14ac:dyDescent="0.25"/>
  <cols>
    <col min="1" max="1" width="18.33203125" customWidth="1"/>
    <col min="2" max="4" width="11.33203125" bestFit="1" customWidth="1"/>
    <col min="5" max="8" width="10.33203125" bestFit="1" customWidth="1"/>
    <col min="9" max="11" width="11.33203125" bestFit="1" customWidth="1"/>
    <col min="13" max="13" width="3" customWidth="1"/>
    <col min="14" max="14" width="20.88671875" customWidth="1"/>
    <col min="16" max="16" width="10.88671875" bestFit="1" customWidth="1"/>
  </cols>
  <sheetData>
    <row r="1" spans="1:17" ht="21" x14ac:dyDescent="0.25">
      <c r="A1" s="120" t="s">
        <v>186</v>
      </c>
    </row>
    <row r="2" spans="1:17" ht="13.8" thickBot="1" x14ac:dyDescent="0.3"/>
    <row r="3" spans="1:17" x14ac:dyDescent="0.25">
      <c r="A3" s="89" t="s">
        <v>72</v>
      </c>
      <c r="B3" s="78">
        <v>1</v>
      </c>
      <c r="C3" s="78">
        <v>2</v>
      </c>
      <c r="D3" s="78">
        <v>3</v>
      </c>
      <c r="E3" s="78">
        <v>4</v>
      </c>
      <c r="F3" s="78">
        <v>5</v>
      </c>
      <c r="G3" s="78">
        <v>6</v>
      </c>
      <c r="H3" s="78">
        <v>7</v>
      </c>
      <c r="I3" s="78">
        <v>8</v>
      </c>
      <c r="J3" s="78">
        <v>9</v>
      </c>
      <c r="K3" s="78">
        <v>10</v>
      </c>
      <c r="L3" s="79"/>
    </row>
    <row r="4" spans="1:17" x14ac:dyDescent="0.25">
      <c r="A4" s="90"/>
      <c r="B4" s="31">
        <f>13500+450+62</f>
        <v>14012</v>
      </c>
      <c r="C4" s="31">
        <f>+$B$4*C3</f>
        <v>28024</v>
      </c>
      <c r="D4" s="31">
        <f t="shared" ref="D4:K4" si="0">+$B$4*D3</f>
        <v>42036</v>
      </c>
      <c r="E4" s="31">
        <f t="shared" si="0"/>
        <v>56048</v>
      </c>
      <c r="F4" s="31">
        <f t="shared" si="0"/>
        <v>70060</v>
      </c>
      <c r="G4" s="31">
        <f t="shared" si="0"/>
        <v>84072</v>
      </c>
      <c r="H4" s="31">
        <f t="shared" si="0"/>
        <v>98084</v>
      </c>
      <c r="I4" s="31">
        <f t="shared" si="0"/>
        <v>112096</v>
      </c>
      <c r="J4" s="31">
        <f t="shared" si="0"/>
        <v>126108</v>
      </c>
      <c r="K4" s="31">
        <f t="shared" si="0"/>
        <v>140120</v>
      </c>
      <c r="L4" s="81"/>
      <c r="N4" t="s">
        <v>245</v>
      </c>
    </row>
    <row r="5" spans="1:17" ht="13.8" thickBot="1" x14ac:dyDescent="0.3">
      <c r="A5" s="91"/>
      <c r="B5" s="83"/>
      <c r="C5" s="83"/>
      <c r="D5" s="83"/>
      <c r="E5" s="83"/>
      <c r="F5" s="83"/>
      <c r="G5" s="83"/>
      <c r="H5" s="83"/>
      <c r="I5" s="83"/>
      <c r="J5" s="83"/>
      <c r="K5" s="83"/>
      <c r="L5" s="85"/>
    </row>
    <row r="6" spans="1:17" x14ac:dyDescent="0.25">
      <c r="A6" s="89" t="s">
        <v>73</v>
      </c>
      <c r="B6" s="231">
        <f>9300-(685/2)</f>
        <v>8957.5</v>
      </c>
      <c r="C6" s="217">
        <f>$B$6*C3*$P$6+$B$6*(C3^$P$7)*(1-$P$6)</f>
        <v>16905.950504216587</v>
      </c>
      <c r="D6" s="217">
        <f t="shared" ref="D6:K6" si="1">$B$6*D3*$P$6+$B$6*(D3^$P$7)*(1-$P$6)</f>
        <v>24608.946772611725</v>
      </c>
      <c r="E6" s="217">
        <f t="shared" si="1"/>
        <v>32172.695266448922</v>
      </c>
      <c r="F6" s="217">
        <f t="shared" si="1"/>
        <v>39641.871237971725</v>
      </c>
      <c r="G6" s="217">
        <f t="shared" si="1"/>
        <v>47040.698446197726</v>
      </c>
      <c r="H6" s="217">
        <f t="shared" si="1"/>
        <v>54384.19495632303</v>
      </c>
      <c r="I6" s="217">
        <f t="shared" si="1"/>
        <v>61682.492948802617</v>
      </c>
      <c r="J6" s="217">
        <f t="shared" si="1"/>
        <v>68942.841055512152</v>
      </c>
      <c r="K6" s="217">
        <f t="shared" si="1"/>
        <v>76170.653935648865</v>
      </c>
      <c r="L6" s="79"/>
      <c r="N6" s="219" t="s">
        <v>226</v>
      </c>
      <c r="O6" s="219"/>
      <c r="P6" s="237">
        <v>0.7</v>
      </c>
      <c r="Q6" t="s">
        <v>326</v>
      </c>
    </row>
    <row r="7" spans="1:17" ht="13.8" thickBot="1" x14ac:dyDescent="0.3">
      <c r="A7" s="91"/>
      <c r="B7" s="247">
        <f>B6/B3</f>
        <v>8957.5</v>
      </c>
      <c r="C7" s="247">
        <f t="shared" ref="C7:K7" si="2">C6/C3</f>
        <v>8452.9752521082937</v>
      </c>
      <c r="D7" s="247">
        <f t="shared" si="2"/>
        <v>8202.9822575372418</v>
      </c>
      <c r="E7" s="247">
        <f t="shared" si="2"/>
        <v>8043.1738166122304</v>
      </c>
      <c r="F7" s="247">
        <f t="shared" si="2"/>
        <v>7928.3742475943454</v>
      </c>
      <c r="G7" s="247">
        <f t="shared" si="2"/>
        <v>7840.116407699621</v>
      </c>
      <c r="H7" s="247">
        <f t="shared" si="2"/>
        <v>7769.1707080461474</v>
      </c>
      <c r="I7" s="247">
        <f t="shared" si="2"/>
        <v>7710.3116186003272</v>
      </c>
      <c r="J7" s="247">
        <f t="shared" si="2"/>
        <v>7660.3156728346839</v>
      </c>
      <c r="K7" s="247">
        <f t="shared" si="2"/>
        <v>7617.0653935648861</v>
      </c>
      <c r="L7" s="85"/>
      <c r="N7" s="219" t="s">
        <v>227</v>
      </c>
      <c r="O7" s="219"/>
      <c r="P7" s="237">
        <v>0.7</v>
      </c>
    </row>
    <row r="8" spans="1:17" x14ac:dyDescent="0.25">
      <c r="A8" s="89" t="s">
        <v>80</v>
      </c>
      <c r="B8" s="78">
        <v>4</v>
      </c>
      <c r="C8" s="78">
        <v>10</v>
      </c>
      <c r="D8" s="78">
        <v>16</v>
      </c>
      <c r="E8" s="78">
        <v>24</v>
      </c>
      <c r="F8" s="77"/>
      <c r="G8" s="77"/>
      <c r="H8" s="77"/>
      <c r="I8" s="77"/>
      <c r="J8" s="77"/>
      <c r="K8" s="77"/>
      <c r="L8" s="79"/>
    </row>
    <row r="9" spans="1:17" ht="13.8" thickBot="1" x14ac:dyDescent="0.3">
      <c r="A9" s="91"/>
      <c r="B9" s="86">
        <v>250</v>
      </c>
      <c r="C9" s="86">
        <v>400</v>
      </c>
      <c r="D9" s="86">
        <v>600</v>
      </c>
      <c r="E9" s="86">
        <v>1000</v>
      </c>
      <c r="F9" s="84"/>
      <c r="G9" s="84"/>
      <c r="H9" s="84"/>
      <c r="I9" s="84"/>
      <c r="J9" s="84"/>
      <c r="K9" s="84"/>
      <c r="L9" s="85"/>
    </row>
    <row r="10" spans="1:17" hidden="1" x14ac:dyDescent="0.25">
      <c r="A10" s="92"/>
      <c r="B10" s="58"/>
      <c r="C10" s="58"/>
      <c r="D10" s="58"/>
      <c r="E10" s="58"/>
    </row>
    <row r="11" spans="1:17" ht="13.8" hidden="1" thickBot="1" x14ac:dyDescent="0.3">
      <c r="A11" s="92"/>
      <c r="B11" s="58"/>
      <c r="C11" s="57"/>
      <c r="D11" s="57"/>
      <c r="E11" s="57"/>
      <c r="F11" s="57"/>
      <c r="G11" s="57"/>
      <c r="H11" s="57"/>
    </row>
    <row r="12" spans="1:17" x14ac:dyDescent="0.25">
      <c r="A12" s="89" t="s">
        <v>78</v>
      </c>
      <c r="B12" s="77"/>
      <c r="C12" s="78">
        <v>69</v>
      </c>
      <c r="D12" s="78">
        <v>138</v>
      </c>
      <c r="E12" s="78">
        <v>240</v>
      </c>
      <c r="F12" s="78">
        <v>345</v>
      </c>
      <c r="G12" s="78">
        <v>500</v>
      </c>
      <c r="H12" s="78">
        <v>745</v>
      </c>
      <c r="I12" s="77"/>
      <c r="J12" s="77"/>
      <c r="K12" s="77"/>
      <c r="L12" s="79"/>
    </row>
    <row r="13" spans="1:17" x14ac:dyDescent="0.25">
      <c r="A13" s="92"/>
      <c r="B13" s="224" t="s">
        <v>233</v>
      </c>
      <c r="C13" s="234">
        <f>50+30+120+35</f>
        <v>235</v>
      </c>
      <c r="D13" s="234">
        <f>C13</f>
        <v>235</v>
      </c>
      <c r="E13" s="234">
        <f>D13</f>
        <v>235</v>
      </c>
      <c r="F13" s="234">
        <f>E13</f>
        <v>235</v>
      </c>
      <c r="G13" s="234">
        <f>F13</f>
        <v>235</v>
      </c>
      <c r="H13" s="234">
        <f>G13</f>
        <v>235</v>
      </c>
      <c r="I13" s="7"/>
      <c r="J13" s="7"/>
      <c r="K13" s="7"/>
      <c r="L13" s="81"/>
      <c r="N13" t="s">
        <v>232</v>
      </c>
    </row>
    <row r="14" spans="1:17" x14ac:dyDescent="0.25">
      <c r="A14" s="92"/>
      <c r="B14" s="224" t="s">
        <v>327</v>
      </c>
      <c r="C14" s="234">
        <v>250</v>
      </c>
      <c r="D14" s="234">
        <v>250</v>
      </c>
      <c r="E14" s="234">
        <v>350</v>
      </c>
      <c r="F14" s="234">
        <v>500</v>
      </c>
      <c r="G14" s="234">
        <v>750</v>
      </c>
      <c r="H14" s="234">
        <v>1000</v>
      </c>
      <c r="I14" s="7"/>
      <c r="J14" s="7"/>
      <c r="K14" s="7"/>
      <c r="L14" s="81"/>
      <c r="N14" t="s">
        <v>329</v>
      </c>
    </row>
    <row r="15" spans="1:17" x14ac:dyDescent="0.25">
      <c r="A15" s="92"/>
      <c r="B15" s="224" t="s">
        <v>234</v>
      </c>
      <c r="C15" s="234">
        <v>150</v>
      </c>
      <c r="D15" s="234">
        <v>200</v>
      </c>
      <c r="E15" s="234">
        <v>300</v>
      </c>
      <c r="F15" s="234">
        <v>400</v>
      </c>
      <c r="G15" s="234">
        <v>500</v>
      </c>
      <c r="H15" s="234">
        <v>600</v>
      </c>
      <c r="I15" s="7"/>
      <c r="J15" s="7"/>
      <c r="K15" s="7"/>
      <c r="L15" s="81"/>
      <c r="N15" t="s">
        <v>299</v>
      </c>
    </row>
    <row r="16" spans="1:17" x14ac:dyDescent="0.25">
      <c r="A16" s="90"/>
      <c r="B16" s="80">
        <v>1</v>
      </c>
      <c r="C16" s="235">
        <f>C$15*ROUND(B16/2,0)+C$13+C$14*2</f>
        <v>885</v>
      </c>
      <c r="D16" s="235">
        <f>D$15*ROUND(B16/2,0)+D$13+D$14*2</f>
        <v>935</v>
      </c>
      <c r="E16" s="235">
        <f>E$15*ROUND(B16/2,0)+E$13+E$14*2</f>
        <v>1235</v>
      </c>
      <c r="F16" s="235">
        <f>F$15*ROUND(B16/2,0)+F$13+F$14*2</f>
        <v>1635</v>
      </c>
      <c r="G16" s="235">
        <f>G$15*ROUND(B16/2,0)+G$13+G$14*2</f>
        <v>2235</v>
      </c>
      <c r="H16" s="235">
        <f>H$15*ROUND(B16/2,0)+H$13+H$14*2</f>
        <v>2835</v>
      </c>
      <c r="I16" s="7"/>
      <c r="J16" s="7"/>
      <c r="K16" s="7"/>
      <c r="L16" s="81"/>
      <c r="N16" t="s">
        <v>336</v>
      </c>
    </row>
    <row r="17" spans="1:16" x14ac:dyDescent="0.25">
      <c r="A17" s="90"/>
      <c r="B17" s="80">
        <v>2</v>
      </c>
      <c r="C17" s="235">
        <f t="shared" ref="C17:C25" si="3">C$15*ROUND(B17/2,0)+C$13+C$14*2</f>
        <v>885</v>
      </c>
      <c r="D17" s="235">
        <f t="shared" ref="D17:D25" si="4">D$15*ROUND(B17/2,0)+D$13+D$14*2</f>
        <v>935</v>
      </c>
      <c r="E17" s="235">
        <f t="shared" ref="E17:E25" si="5">E$15*ROUND(B17/2,0)+E$13+E$14*2</f>
        <v>1235</v>
      </c>
      <c r="F17" s="235">
        <f t="shared" ref="F17:F25" si="6">F$15*ROUND(B17/2,0)+F$13+F$14*2</f>
        <v>1635</v>
      </c>
      <c r="G17" s="235">
        <f t="shared" ref="G17:G25" si="7">G$15*ROUND(B17/2,0)+G$13+G$14*2</f>
        <v>2235</v>
      </c>
      <c r="H17" s="235">
        <f t="shared" ref="H17:H25" si="8">H$15*ROUND(B17/2,0)+H$13+H$14*2</f>
        <v>2835</v>
      </c>
      <c r="I17" s="7"/>
      <c r="J17" s="7"/>
      <c r="K17" s="7"/>
      <c r="L17" s="81"/>
      <c r="N17" t="s">
        <v>328</v>
      </c>
    </row>
    <row r="18" spans="1:16" x14ac:dyDescent="0.25">
      <c r="A18" s="90"/>
      <c r="B18" s="80">
        <v>3</v>
      </c>
      <c r="C18" s="235">
        <f t="shared" si="3"/>
        <v>1035</v>
      </c>
      <c r="D18" s="235">
        <f t="shared" si="4"/>
        <v>1135</v>
      </c>
      <c r="E18" s="235">
        <f t="shared" si="5"/>
        <v>1535</v>
      </c>
      <c r="F18" s="235">
        <f t="shared" si="6"/>
        <v>2035</v>
      </c>
      <c r="G18" s="235">
        <f t="shared" si="7"/>
        <v>2735</v>
      </c>
      <c r="H18" s="235">
        <f t="shared" si="8"/>
        <v>3435</v>
      </c>
      <c r="I18" s="7"/>
      <c r="J18" s="7"/>
      <c r="K18" s="7"/>
      <c r="L18" s="81"/>
      <c r="N18" t="s">
        <v>330</v>
      </c>
    </row>
    <row r="19" spans="1:16" x14ac:dyDescent="0.25">
      <c r="A19" s="90"/>
      <c r="B19" s="80">
        <v>4</v>
      </c>
      <c r="C19" s="235">
        <f t="shared" si="3"/>
        <v>1035</v>
      </c>
      <c r="D19" s="235">
        <f t="shared" si="4"/>
        <v>1135</v>
      </c>
      <c r="E19" s="235">
        <f t="shared" si="5"/>
        <v>1535</v>
      </c>
      <c r="F19" s="235">
        <f t="shared" si="6"/>
        <v>2035</v>
      </c>
      <c r="G19" s="235">
        <f t="shared" si="7"/>
        <v>2735</v>
      </c>
      <c r="H19" s="235">
        <f t="shared" si="8"/>
        <v>3435</v>
      </c>
      <c r="I19" s="7"/>
      <c r="J19" s="7"/>
      <c r="K19" s="7"/>
      <c r="L19" s="81"/>
    </row>
    <row r="20" spans="1:16" x14ac:dyDescent="0.25">
      <c r="A20" s="90"/>
      <c r="B20" s="80">
        <v>5</v>
      </c>
      <c r="C20" s="235">
        <f t="shared" si="3"/>
        <v>1185</v>
      </c>
      <c r="D20" s="235">
        <f t="shared" si="4"/>
        <v>1335</v>
      </c>
      <c r="E20" s="235">
        <f t="shared" si="5"/>
        <v>1835</v>
      </c>
      <c r="F20" s="235">
        <f t="shared" si="6"/>
        <v>2435</v>
      </c>
      <c r="G20" s="235">
        <f t="shared" si="7"/>
        <v>3235</v>
      </c>
      <c r="H20" s="235">
        <f t="shared" si="8"/>
        <v>4035</v>
      </c>
      <c r="I20" s="7"/>
      <c r="J20" s="7"/>
      <c r="K20" s="7"/>
      <c r="L20" s="81"/>
    </row>
    <row r="21" spans="1:16" x14ac:dyDescent="0.25">
      <c r="A21" s="90"/>
      <c r="B21" s="80">
        <v>6</v>
      </c>
      <c r="C21" s="235">
        <f t="shared" si="3"/>
        <v>1185</v>
      </c>
      <c r="D21" s="235">
        <f t="shared" si="4"/>
        <v>1335</v>
      </c>
      <c r="E21" s="235">
        <f t="shared" si="5"/>
        <v>1835</v>
      </c>
      <c r="F21" s="235">
        <f t="shared" si="6"/>
        <v>2435</v>
      </c>
      <c r="G21" s="235">
        <f t="shared" si="7"/>
        <v>3235</v>
      </c>
      <c r="H21" s="235">
        <f t="shared" si="8"/>
        <v>4035</v>
      </c>
      <c r="I21" s="7"/>
      <c r="J21" s="7"/>
      <c r="K21" s="7"/>
      <c r="L21" s="81"/>
    </row>
    <row r="22" spans="1:16" x14ac:dyDescent="0.25">
      <c r="A22" s="90"/>
      <c r="B22" s="80">
        <v>7</v>
      </c>
      <c r="C22" s="235">
        <f t="shared" si="3"/>
        <v>1335</v>
      </c>
      <c r="D22" s="235">
        <f t="shared" si="4"/>
        <v>1535</v>
      </c>
      <c r="E22" s="235">
        <f t="shared" si="5"/>
        <v>2135</v>
      </c>
      <c r="F22" s="235">
        <f t="shared" si="6"/>
        <v>2835</v>
      </c>
      <c r="G22" s="235">
        <f t="shared" si="7"/>
        <v>3735</v>
      </c>
      <c r="H22" s="235">
        <f t="shared" si="8"/>
        <v>4635</v>
      </c>
      <c r="I22" s="7"/>
      <c r="J22" s="7"/>
      <c r="K22" s="7"/>
      <c r="L22" s="81"/>
    </row>
    <row r="23" spans="1:16" x14ac:dyDescent="0.25">
      <c r="A23" s="90"/>
      <c r="B23" s="80">
        <v>8</v>
      </c>
      <c r="C23" s="235">
        <f t="shared" si="3"/>
        <v>1335</v>
      </c>
      <c r="D23" s="235">
        <f t="shared" si="4"/>
        <v>1535</v>
      </c>
      <c r="E23" s="235">
        <f t="shared" si="5"/>
        <v>2135</v>
      </c>
      <c r="F23" s="235">
        <f t="shared" si="6"/>
        <v>2835</v>
      </c>
      <c r="G23" s="235">
        <f t="shared" si="7"/>
        <v>3735</v>
      </c>
      <c r="H23" s="235">
        <f t="shared" si="8"/>
        <v>4635</v>
      </c>
      <c r="I23" s="7"/>
      <c r="J23" s="7"/>
      <c r="K23" s="7"/>
      <c r="L23" s="81"/>
    </row>
    <row r="24" spans="1:16" x14ac:dyDescent="0.25">
      <c r="A24" s="90"/>
      <c r="B24" s="80">
        <v>9</v>
      </c>
      <c r="C24" s="235">
        <f t="shared" si="3"/>
        <v>1485</v>
      </c>
      <c r="D24" s="235">
        <f t="shared" si="4"/>
        <v>1735</v>
      </c>
      <c r="E24" s="235">
        <f t="shared" si="5"/>
        <v>2435</v>
      </c>
      <c r="F24" s="235">
        <f t="shared" si="6"/>
        <v>3235</v>
      </c>
      <c r="G24" s="235">
        <f t="shared" si="7"/>
        <v>4235</v>
      </c>
      <c r="H24" s="235">
        <f t="shared" si="8"/>
        <v>5235</v>
      </c>
      <c r="I24" s="7"/>
      <c r="J24" s="7"/>
      <c r="K24" s="7"/>
      <c r="L24" s="81"/>
    </row>
    <row r="25" spans="1:16" ht="13.8" thickBot="1" x14ac:dyDescent="0.3">
      <c r="A25" s="93"/>
      <c r="B25" s="82">
        <v>10</v>
      </c>
      <c r="C25" s="235">
        <f t="shared" si="3"/>
        <v>1485</v>
      </c>
      <c r="D25" s="235">
        <f t="shared" si="4"/>
        <v>1735</v>
      </c>
      <c r="E25" s="235">
        <f t="shared" si="5"/>
        <v>2435</v>
      </c>
      <c r="F25" s="235">
        <f t="shared" si="6"/>
        <v>3235</v>
      </c>
      <c r="G25" s="235">
        <f t="shared" si="7"/>
        <v>4235</v>
      </c>
      <c r="H25" s="235">
        <f t="shared" si="8"/>
        <v>5235</v>
      </c>
      <c r="I25" s="84"/>
      <c r="J25" s="84"/>
      <c r="K25" s="84"/>
      <c r="L25" s="85"/>
    </row>
    <row r="26" spans="1:16" hidden="1" x14ac:dyDescent="0.25">
      <c r="A26" s="90"/>
      <c r="B26" s="1"/>
      <c r="C26" s="1"/>
      <c r="D26" s="1"/>
      <c r="E26" s="1"/>
      <c r="F26" s="1"/>
      <c r="G26" s="1"/>
      <c r="H26" s="1"/>
    </row>
    <row r="27" spans="1:16" hidden="1" x14ac:dyDescent="0.25">
      <c r="A27" s="90"/>
      <c r="B27" s="1"/>
      <c r="C27" s="1"/>
      <c r="D27" s="1"/>
      <c r="E27" s="1"/>
      <c r="F27" s="1"/>
      <c r="G27" s="1"/>
      <c r="H27" s="1"/>
    </row>
    <row r="28" spans="1:16" hidden="1" x14ac:dyDescent="0.25">
      <c r="A28" s="92"/>
    </row>
    <row r="29" spans="1:16" hidden="1" x14ac:dyDescent="0.25">
      <c r="A29" s="90"/>
    </row>
    <row r="30" spans="1:16" x14ac:dyDescent="0.25">
      <c r="A30" s="89" t="s">
        <v>77</v>
      </c>
      <c r="B30" s="78">
        <v>1</v>
      </c>
      <c r="C30" s="78">
        <v>2</v>
      </c>
      <c r="D30" s="78">
        <v>3</v>
      </c>
      <c r="E30" s="78">
        <v>4</v>
      </c>
      <c r="F30" s="78">
        <v>5</v>
      </c>
      <c r="G30" s="78">
        <v>6</v>
      </c>
      <c r="H30" s="78">
        <v>7</v>
      </c>
      <c r="I30" s="78">
        <v>8</v>
      </c>
      <c r="J30" s="78">
        <v>9</v>
      </c>
      <c r="K30" s="78">
        <v>10</v>
      </c>
      <c r="L30" s="79"/>
    </row>
    <row r="31" spans="1:16" ht="13.8" thickBot="1" x14ac:dyDescent="0.3">
      <c r="A31" s="93"/>
      <c r="B31" s="232">
        <v>1000</v>
      </c>
      <c r="C31" s="230">
        <f>+$B$31*C30^$P$31</f>
        <v>1931.872657849691</v>
      </c>
      <c r="D31" s="230">
        <f t="shared" ref="D31:K31" si="9">+$B$31*D30^$P$31</f>
        <v>2839.6524679204776</v>
      </c>
      <c r="E31" s="230">
        <f t="shared" si="9"/>
        <v>3732.1319661472298</v>
      </c>
      <c r="F31" s="230">
        <f t="shared" si="9"/>
        <v>4613.4041729529408</v>
      </c>
      <c r="G31" s="230">
        <f t="shared" si="9"/>
        <v>5485.846960570967</v>
      </c>
      <c r="H31" s="230">
        <f t="shared" si="9"/>
        <v>6351.0149933423363</v>
      </c>
      <c r="I31" s="230">
        <f t="shared" si="9"/>
        <v>7210.0037008866402</v>
      </c>
      <c r="J31" s="230">
        <f t="shared" si="9"/>
        <v>8063.6261385668586</v>
      </c>
      <c r="K31" s="230">
        <f t="shared" si="9"/>
        <v>8912.5093813374569</v>
      </c>
      <c r="L31" s="85"/>
      <c r="N31" s="219" t="s">
        <v>227</v>
      </c>
      <c r="P31" s="237">
        <v>0.95</v>
      </c>
    </row>
    <row r="32" spans="1:16" hidden="1" x14ac:dyDescent="0.25">
      <c r="A32" s="90"/>
    </row>
    <row r="33" spans="1:17" x14ac:dyDescent="0.25">
      <c r="A33" s="89" t="s">
        <v>75</v>
      </c>
      <c r="B33" s="78">
        <f>+B30</f>
        <v>1</v>
      </c>
      <c r="C33" s="78">
        <f t="shared" ref="C33:K33" si="10">+C30</f>
        <v>2</v>
      </c>
      <c r="D33" s="78">
        <f t="shared" si="10"/>
        <v>3</v>
      </c>
      <c r="E33" s="78">
        <f t="shared" si="10"/>
        <v>4</v>
      </c>
      <c r="F33" s="78">
        <f t="shared" si="10"/>
        <v>5</v>
      </c>
      <c r="G33" s="78">
        <f t="shared" si="10"/>
        <v>6</v>
      </c>
      <c r="H33" s="78">
        <f t="shared" si="10"/>
        <v>7</v>
      </c>
      <c r="I33" s="78">
        <f t="shared" si="10"/>
        <v>8</v>
      </c>
      <c r="J33" s="78">
        <f t="shared" si="10"/>
        <v>9</v>
      </c>
      <c r="K33" s="78">
        <f t="shared" si="10"/>
        <v>10</v>
      </c>
      <c r="L33" s="79"/>
    </row>
    <row r="34" spans="1:17" ht="13.8" thickBot="1" x14ac:dyDescent="0.3">
      <c r="A34" s="93"/>
      <c r="B34" s="232">
        <f>280+225+175</f>
        <v>680</v>
      </c>
      <c r="C34" s="230">
        <f>+$B$34*C33^$P$34</f>
        <v>1268.9248684900581</v>
      </c>
      <c r="D34" s="230">
        <f t="shared" ref="D34:K34" si="11">+$B$34*D33^$P$34</f>
        <v>1827.7552580751551</v>
      </c>
      <c r="E34" s="230">
        <f t="shared" si="11"/>
        <v>2367.8975321654575</v>
      </c>
      <c r="F34" s="230">
        <f t="shared" si="11"/>
        <v>2894.5557365706677</v>
      </c>
      <c r="G34" s="230">
        <f t="shared" si="11"/>
        <v>3410.7119124779829</v>
      </c>
      <c r="H34" s="230">
        <f t="shared" si="11"/>
        <v>3918.2951690068908</v>
      </c>
      <c r="I34" s="230">
        <f t="shared" si="11"/>
        <v>4418.6530361779205</v>
      </c>
      <c r="J34" s="230">
        <f t="shared" si="11"/>
        <v>4912.7783579726129</v>
      </c>
      <c r="K34" s="230">
        <f t="shared" si="11"/>
        <v>5401.4319961251158</v>
      </c>
      <c r="L34" s="85"/>
      <c r="N34" s="219" t="s">
        <v>227</v>
      </c>
      <c r="P34" s="237">
        <v>0.9</v>
      </c>
      <c r="Q34" t="s">
        <v>246</v>
      </c>
    </row>
    <row r="35" spans="1:17" hidden="1" x14ac:dyDescent="0.25">
      <c r="A35" s="90"/>
    </row>
    <row r="36" spans="1:17" ht="13.8" thickBot="1" x14ac:dyDescent="0.3">
      <c r="A36" s="94" t="s">
        <v>93</v>
      </c>
      <c r="B36" s="119">
        <v>0.2</v>
      </c>
      <c r="C36" s="2"/>
      <c r="D36" s="2"/>
      <c r="E36" s="2"/>
      <c r="F36" s="2"/>
      <c r="G36" s="2"/>
      <c r="H36" s="2"/>
      <c r="I36" s="2"/>
      <c r="J36" s="2"/>
      <c r="K36" s="2"/>
      <c r="L36" s="87"/>
    </row>
    <row r="37" spans="1:17" hidden="1" x14ac:dyDescent="0.25">
      <c r="A37" s="90"/>
    </row>
    <row r="38" spans="1:17" ht="13.8" thickBot="1" x14ac:dyDescent="0.3">
      <c r="A38" s="94" t="s">
        <v>74</v>
      </c>
      <c r="B38" s="118">
        <v>1000</v>
      </c>
      <c r="C38" s="2"/>
      <c r="D38" s="2"/>
      <c r="E38" s="2"/>
      <c r="F38" s="2"/>
      <c r="G38" s="2"/>
      <c r="H38" s="2"/>
      <c r="I38" s="2"/>
      <c r="J38" s="2"/>
      <c r="K38" s="2"/>
      <c r="L38" s="87"/>
    </row>
    <row r="39" spans="1:17" hidden="1" x14ac:dyDescent="0.25">
      <c r="A39" s="90"/>
    </row>
    <row r="40" spans="1:17" x14ac:dyDescent="0.25">
      <c r="A40" s="89" t="s">
        <v>81</v>
      </c>
      <c r="B40" s="5"/>
      <c r="C40" s="78">
        <f>+B33</f>
        <v>1</v>
      </c>
      <c r="D40" s="78">
        <f>+C40+1</f>
        <v>2</v>
      </c>
      <c r="E40" s="78">
        <f t="shared" ref="E40:L40" si="12">+D40+1</f>
        <v>3</v>
      </c>
      <c r="F40" s="78">
        <f t="shared" si="12"/>
        <v>4</v>
      </c>
      <c r="G40" s="78">
        <f t="shared" si="12"/>
        <v>5</v>
      </c>
      <c r="H40" s="78">
        <f t="shared" si="12"/>
        <v>6</v>
      </c>
      <c r="I40" s="78">
        <f t="shared" si="12"/>
        <v>7</v>
      </c>
      <c r="J40" s="78">
        <f t="shared" si="12"/>
        <v>8</v>
      </c>
      <c r="K40" s="78">
        <f t="shared" si="12"/>
        <v>9</v>
      </c>
      <c r="L40" s="88">
        <f t="shared" si="12"/>
        <v>10</v>
      </c>
      <c r="N40" s="220" t="s">
        <v>215</v>
      </c>
      <c r="O40" s="221" t="s">
        <v>213</v>
      </c>
      <c r="P40" s="222">
        <f>PROJECTCONFIGURATION!$E$25</f>
        <v>600</v>
      </c>
    </row>
    <row r="41" spans="1:17" x14ac:dyDescent="0.25">
      <c r="A41" s="92" t="s">
        <v>139</v>
      </c>
      <c r="B41" s="27">
        <v>100</v>
      </c>
      <c r="C41" s="235">
        <f>$C$43*$P$51*(66/244)*C40^$P$50</f>
        <v>267.78688524590171</v>
      </c>
      <c r="D41" s="235">
        <f t="shared" ref="D41:L41" si="13">$C$43*$P$51*(66/244)*D40^$P$50</f>
        <v>405.88901826143211</v>
      </c>
      <c r="E41" s="235">
        <f t="shared" si="13"/>
        <v>517.68079842557961</v>
      </c>
      <c r="F41" s="235">
        <f t="shared" si="13"/>
        <v>615.21270914349418</v>
      </c>
      <c r="G41" s="235">
        <f t="shared" si="13"/>
        <v>703.3496997530417</v>
      </c>
      <c r="H41" s="235">
        <f t="shared" si="13"/>
        <v>784.65736233798089</v>
      </c>
      <c r="I41" s="235">
        <f t="shared" si="13"/>
        <v>860.6927164772377</v>
      </c>
      <c r="J41" s="235">
        <f t="shared" si="13"/>
        <v>932.48809517653717</v>
      </c>
      <c r="K41" s="235">
        <f t="shared" si="13"/>
        <v>1000.7712245222697</v>
      </c>
      <c r="L41" s="225">
        <f t="shared" si="13"/>
        <v>1066.0787919658001</v>
      </c>
      <c r="N41" s="223" t="s">
        <v>214</v>
      </c>
      <c r="O41" s="224" t="s">
        <v>213</v>
      </c>
      <c r="P41" s="225">
        <v>700</v>
      </c>
    </row>
    <row r="42" spans="1:17" x14ac:dyDescent="0.25">
      <c r="A42" s="90"/>
      <c r="B42" s="27">
        <v>200</v>
      </c>
      <c r="C42" s="235">
        <f>$C$43*$P$51*(143/244)*C40^$P$50</f>
        <v>580.20491803278696</v>
      </c>
      <c r="D42" s="235">
        <f t="shared" ref="D42:L42" si="14">$C$43*$P$51*(143/244)*D40^$P$50</f>
        <v>879.42620623310279</v>
      </c>
      <c r="E42" s="235">
        <f t="shared" si="14"/>
        <v>1121.6417299220889</v>
      </c>
      <c r="F42" s="235">
        <f t="shared" si="14"/>
        <v>1332.9608698109039</v>
      </c>
      <c r="G42" s="235">
        <f t="shared" si="14"/>
        <v>1523.9243494649236</v>
      </c>
      <c r="H42" s="235">
        <f t="shared" si="14"/>
        <v>1700.0909517322916</v>
      </c>
      <c r="I42" s="235">
        <f t="shared" si="14"/>
        <v>1864.8342190340147</v>
      </c>
      <c r="J42" s="235">
        <f t="shared" si="14"/>
        <v>2020.390872882497</v>
      </c>
      <c r="K42" s="235">
        <f t="shared" si="14"/>
        <v>2168.3376531315839</v>
      </c>
      <c r="L42" s="225">
        <f t="shared" si="14"/>
        <v>2309.8373825925664</v>
      </c>
      <c r="N42" s="223" t="s">
        <v>216</v>
      </c>
      <c r="O42" s="224" t="s">
        <v>219</v>
      </c>
      <c r="P42" s="225">
        <v>80</v>
      </c>
    </row>
    <row r="43" spans="1:17" x14ac:dyDescent="0.25">
      <c r="A43" s="92" t="s">
        <v>224</v>
      </c>
      <c r="B43" s="27">
        <v>300</v>
      </c>
      <c r="C43" s="234">
        <v>900</v>
      </c>
      <c r="D43" s="235">
        <f>$C$43*$P$51*D40^$P$50</f>
        <v>1500.5594008452942</v>
      </c>
      <c r="E43" s="235">
        <f t="shared" ref="E43:L43" si="15">$C$43*$P$51*E40^$P$50</f>
        <v>1913.8502244824454</v>
      </c>
      <c r="F43" s="235">
        <f t="shared" si="15"/>
        <v>2274.4227428941299</v>
      </c>
      <c r="G43" s="235">
        <f t="shared" si="15"/>
        <v>2600.2625263597297</v>
      </c>
      <c r="H43" s="235">
        <f t="shared" si="15"/>
        <v>2900.8544910676865</v>
      </c>
      <c r="I43" s="235">
        <f t="shared" si="15"/>
        <v>3181.9548912188784</v>
      </c>
      <c r="J43" s="235">
        <f t="shared" si="15"/>
        <v>3447.3802306526518</v>
      </c>
      <c r="K43" s="235">
        <f t="shared" si="15"/>
        <v>3699.8208906580871</v>
      </c>
      <c r="L43" s="225">
        <f t="shared" si="15"/>
        <v>3941.2609884796234</v>
      </c>
      <c r="N43" s="223" t="s">
        <v>217</v>
      </c>
      <c r="O43" s="224" t="s">
        <v>218</v>
      </c>
      <c r="P43" s="226">
        <v>0.82</v>
      </c>
    </row>
    <row r="44" spans="1:17" x14ac:dyDescent="0.25">
      <c r="A44" s="90"/>
      <c r="B44" s="27">
        <v>400</v>
      </c>
      <c r="C44" s="235">
        <f>$C$43*$P$51*(369/244)*C40^$P$50</f>
        <v>1497.1721311475412</v>
      </c>
      <c r="D44" s="235">
        <f t="shared" ref="D44:L44" si="16">$C$43*$P$51*(369/244)*D40^$P$50</f>
        <v>2269.2886020980063</v>
      </c>
      <c r="E44" s="235">
        <f t="shared" si="16"/>
        <v>2894.3062821066492</v>
      </c>
      <c r="F44" s="235">
        <f t="shared" si="16"/>
        <v>3439.5983283931719</v>
      </c>
      <c r="G44" s="235">
        <f t="shared" si="16"/>
        <v>3932.3642304374603</v>
      </c>
      <c r="H44" s="235">
        <f t="shared" si="16"/>
        <v>4386.9479803441654</v>
      </c>
      <c r="I44" s="235">
        <f t="shared" si="16"/>
        <v>4812.0547330318286</v>
      </c>
      <c r="J44" s="235">
        <f t="shared" si="16"/>
        <v>5213.4561684870023</v>
      </c>
      <c r="K44" s="235">
        <f t="shared" si="16"/>
        <v>5595.2209371017798</v>
      </c>
      <c r="L44" s="225">
        <f t="shared" si="16"/>
        <v>5960.3496096269719</v>
      </c>
      <c r="N44" s="223" t="s">
        <v>220</v>
      </c>
      <c r="O44" s="224" t="s">
        <v>221</v>
      </c>
      <c r="P44" s="225">
        <v>10</v>
      </c>
    </row>
    <row r="45" spans="1:17" ht="13.8" thickBot="1" x14ac:dyDescent="0.3">
      <c r="A45" s="91"/>
      <c r="B45" s="236">
        <v>500</v>
      </c>
      <c r="C45" s="230">
        <f>$C$43*$P$51*(619/244)*C40^$P$50</f>
        <v>2511.5163934426232</v>
      </c>
      <c r="D45" s="230">
        <f t="shared" ref="D45:L45" si="17">$C$43*$P$51*(619/244)*D40^$P$50</f>
        <v>3806.7470046034305</v>
      </c>
      <c r="E45" s="230">
        <f t="shared" si="17"/>
        <v>4855.2183973550555</v>
      </c>
      <c r="F45" s="230">
        <f t="shared" si="17"/>
        <v>5769.9494993912549</v>
      </c>
      <c r="G45" s="230">
        <f t="shared" si="17"/>
        <v>6596.567638592921</v>
      </c>
      <c r="H45" s="230">
        <f t="shared" si="17"/>
        <v>7359.1349588971225</v>
      </c>
      <c r="I45" s="230">
        <f t="shared" si="17"/>
        <v>8072.2544166577281</v>
      </c>
      <c r="J45" s="230">
        <f t="shared" si="17"/>
        <v>8745.6080441557024</v>
      </c>
      <c r="K45" s="230">
        <f t="shared" si="17"/>
        <v>9386.0210299891642</v>
      </c>
      <c r="L45" s="229">
        <f t="shared" si="17"/>
        <v>9998.5268519216679</v>
      </c>
      <c r="N45" s="223" t="s">
        <v>223</v>
      </c>
      <c r="O45" s="224" t="s">
        <v>224</v>
      </c>
      <c r="P45" s="227">
        <f>(0.91+(P42-70)/1000)*((P40+15)/650)^-0.1</f>
        <v>0.92510632749668653</v>
      </c>
    </row>
    <row r="46" spans="1:17" ht="13.8" hidden="1" thickBot="1" x14ac:dyDescent="0.3">
      <c r="A46" s="90"/>
      <c r="N46" s="223"/>
      <c r="O46" s="224"/>
      <c r="P46" s="227"/>
    </row>
    <row r="47" spans="1:17" x14ac:dyDescent="0.25">
      <c r="A47" s="90"/>
      <c r="N47" s="223" t="s">
        <v>225</v>
      </c>
      <c r="O47" s="224" t="s">
        <v>224</v>
      </c>
      <c r="P47" s="227">
        <f>(P41+14.7+5)/(P40+14.7-5)</f>
        <v>1.180416598327046</v>
      </c>
    </row>
    <row r="48" spans="1:17" ht="13.8" thickBot="1" x14ac:dyDescent="0.3">
      <c r="A48" s="90"/>
      <c r="N48" s="228" t="s">
        <v>222</v>
      </c>
      <c r="O48" s="218" t="s">
        <v>230</v>
      </c>
      <c r="P48" s="229">
        <f>P44*((8.584*(460+P42)*P45)/(P43*100*0.231))*((P47)^0.231-1)*0.747</f>
        <v>66.052554341785168</v>
      </c>
    </row>
    <row r="49" spans="1:17" hidden="1" x14ac:dyDescent="0.25">
      <c r="A49" s="90"/>
    </row>
    <row r="50" spans="1:17" x14ac:dyDescent="0.25">
      <c r="A50" s="90"/>
      <c r="N50" s="219" t="s">
        <v>227</v>
      </c>
      <c r="P50" s="237">
        <v>0.6</v>
      </c>
    </row>
    <row r="51" spans="1:17" x14ac:dyDescent="0.25">
      <c r="A51" s="90"/>
      <c r="N51" s="219" t="s">
        <v>231</v>
      </c>
      <c r="P51" s="238">
        <v>1.1000000000000001</v>
      </c>
    </row>
    <row r="52" spans="1:17" ht="13.8" thickBot="1" x14ac:dyDescent="0.3">
      <c r="A52" s="90"/>
    </row>
    <row r="53" spans="1:17" x14ac:dyDescent="0.25">
      <c r="A53" s="89" t="s">
        <v>86</v>
      </c>
      <c r="B53" s="78">
        <f>+B33</f>
        <v>1</v>
      </c>
      <c r="C53" s="78">
        <f t="shared" ref="C53:K53" si="18">+C33</f>
        <v>2</v>
      </c>
      <c r="D53" s="78">
        <f t="shared" si="18"/>
        <v>3</v>
      </c>
      <c r="E53" s="78">
        <f t="shared" si="18"/>
        <v>4</v>
      </c>
      <c r="F53" s="78">
        <f t="shared" si="18"/>
        <v>5</v>
      </c>
      <c r="G53" s="78">
        <f t="shared" si="18"/>
        <v>6</v>
      </c>
      <c r="H53" s="78">
        <f t="shared" si="18"/>
        <v>7</v>
      </c>
      <c r="I53" s="78">
        <f t="shared" si="18"/>
        <v>8</v>
      </c>
      <c r="J53" s="78">
        <f t="shared" si="18"/>
        <v>9</v>
      </c>
      <c r="K53" s="78">
        <f t="shared" si="18"/>
        <v>10</v>
      </c>
      <c r="L53" s="79"/>
    </row>
    <row r="54" spans="1:17" ht="13.8" thickBot="1" x14ac:dyDescent="0.3">
      <c r="A54" s="91"/>
      <c r="B54" s="233">
        <v>600</v>
      </c>
      <c r="C54" s="230">
        <f t="shared" ref="C54:K54" si="19">+$B$54*C53^$P$54</f>
        <v>848.52813742385706</v>
      </c>
      <c r="D54" s="230">
        <f t="shared" si="19"/>
        <v>1039.2304845413264</v>
      </c>
      <c r="E54" s="230">
        <f t="shared" si="19"/>
        <v>1200</v>
      </c>
      <c r="F54" s="230">
        <f t="shared" si="19"/>
        <v>1341.6407864998739</v>
      </c>
      <c r="G54" s="230">
        <f t="shared" si="19"/>
        <v>1469.6938456699068</v>
      </c>
      <c r="H54" s="230">
        <f t="shared" si="19"/>
        <v>1587.4507866387544</v>
      </c>
      <c r="I54" s="230">
        <f t="shared" si="19"/>
        <v>1697.0562748477141</v>
      </c>
      <c r="J54" s="230">
        <f t="shared" si="19"/>
        <v>1800</v>
      </c>
      <c r="K54" s="230">
        <f t="shared" si="19"/>
        <v>1897.3665961010277</v>
      </c>
      <c r="L54" s="85"/>
      <c r="N54" s="219" t="s">
        <v>227</v>
      </c>
      <c r="O54" s="219"/>
      <c r="P54" s="237">
        <v>0.5</v>
      </c>
      <c r="Q54" t="s">
        <v>228</v>
      </c>
    </row>
    <row r="55" spans="1:17" ht="13.8" thickBot="1" x14ac:dyDescent="0.3">
      <c r="A55" s="90"/>
    </row>
    <row r="56" spans="1:17" x14ac:dyDescent="0.25">
      <c r="A56" s="89" t="s">
        <v>116</v>
      </c>
      <c r="B56" s="78">
        <f>+B53</f>
        <v>1</v>
      </c>
      <c r="C56" s="78">
        <f t="shared" ref="C56:K56" si="20">+C53</f>
        <v>2</v>
      </c>
      <c r="D56" s="78">
        <f t="shared" si="20"/>
        <v>3</v>
      </c>
      <c r="E56" s="78">
        <f t="shared" si="20"/>
        <v>4</v>
      </c>
      <c r="F56" s="78">
        <f t="shared" si="20"/>
        <v>5</v>
      </c>
      <c r="G56" s="78">
        <f t="shared" si="20"/>
        <v>6</v>
      </c>
      <c r="H56" s="78">
        <f t="shared" si="20"/>
        <v>7</v>
      </c>
      <c r="I56" s="78">
        <f t="shared" si="20"/>
        <v>8</v>
      </c>
      <c r="J56" s="78">
        <f t="shared" si="20"/>
        <v>9</v>
      </c>
      <c r="K56" s="78">
        <f t="shared" si="20"/>
        <v>10</v>
      </c>
      <c r="L56" s="79"/>
    </row>
    <row r="57" spans="1:17" ht="13.8" thickBot="1" x14ac:dyDescent="0.3">
      <c r="A57" s="93"/>
      <c r="B57" s="233">
        <v>500</v>
      </c>
      <c r="C57" s="230">
        <f>+$B$57*C56^$P$57</f>
        <v>812.25239635623552</v>
      </c>
      <c r="D57" s="230">
        <f t="shared" ref="D57:K57" si="21">+$B$57*D56^$P$57</f>
        <v>1078.8346399872967</v>
      </c>
      <c r="E57" s="230">
        <f t="shared" si="21"/>
        <v>1319.5079107728941</v>
      </c>
      <c r="F57" s="230">
        <f t="shared" si="21"/>
        <v>1542.5846568000238</v>
      </c>
      <c r="G57" s="230">
        <f t="shared" si="21"/>
        <v>1752.5720432035962</v>
      </c>
      <c r="H57" s="230">
        <f t="shared" si="21"/>
        <v>1952.2643885613606</v>
      </c>
      <c r="I57" s="230">
        <f t="shared" si="21"/>
        <v>2143.546925072586</v>
      </c>
      <c r="J57" s="230">
        <f t="shared" si="21"/>
        <v>2327.7683608730395</v>
      </c>
      <c r="K57" s="230">
        <f t="shared" si="21"/>
        <v>2505.9361681363616</v>
      </c>
      <c r="L57" s="85"/>
      <c r="N57" s="219" t="s">
        <v>227</v>
      </c>
      <c r="O57" s="219"/>
      <c r="P57" s="237">
        <v>0.7</v>
      </c>
    </row>
    <row r="58" spans="1:17" x14ac:dyDescent="0.25">
      <c r="A58" s="89" t="s">
        <v>13</v>
      </c>
      <c r="B58" s="78">
        <v>1</v>
      </c>
      <c r="C58" s="78">
        <v>2</v>
      </c>
      <c r="D58" s="78">
        <v>3</v>
      </c>
      <c r="E58" s="78">
        <v>4</v>
      </c>
      <c r="F58" s="78">
        <v>5</v>
      </c>
      <c r="G58" s="78">
        <v>6</v>
      </c>
      <c r="H58" s="78">
        <v>7</v>
      </c>
      <c r="I58" s="78">
        <v>8</v>
      </c>
      <c r="J58" s="78">
        <v>9</v>
      </c>
      <c r="K58" s="78">
        <v>10</v>
      </c>
      <c r="L58" s="79"/>
    </row>
    <row r="59" spans="1:17" ht="13.8" thickBot="1" x14ac:dyDescent="0.3">
      <c r="A59" s="91"/>
      <c r="B59" s="232">
        <v>1250</v>
      </c>
      <c r="C59" s="230">
        <f t="shared" ref="C59:K59" si="22">+$B$59*C58^$P$59</f>
        <v>2253.1261565270756</v>
      </c>
      <c r="D59" s="230">
        <f t="shared" si="22"/>
        <v>3180.2633145513137</v>
      </c>
      <c r="E59" s="230">
        <f t="shared" si="22"/>
        <v>4061.2619817811774</v>
      </c>
      <c r="F59" s="230">
        <f t="shared" si="22"/>
        <v>4909.4689389485266</v>
      </c>
      <c r="G59" s="230">
        <f t="shared" si="22"/>
        <v>5732.4275669272465</v>
      </c>
      <c r="H59" s="230">
        <f t="shared" si="22"/>
        <v>6534.9662202477966</v>
      </c>
      <c r="I59" s="230">
        <f t="shared" si="22"/>
        <v>7320.4284797281252</v>
      </c>
      <c r="J59" s="230">
        <f t="shared" si="22"/>
        <v>8091.2597999047257</v>
      </c>
      <c r="K59" s="230">
        <f t="shared" si="22"/>
        <v>8849.3223048017244</v>
      </c>
      <c r="L59" s="85"/>
      <c r="N59" s="219" t="s">
        <v>227</v>
      </c>
      <c r="O59" s="219"/>
      <c r="P59" s="237">
        <v>0.85</v>
      </c>
      <c r="Q59" t="s">
        <v>229</v>
      </c>
    </row>
    <row r="63" spans="1:17" ht="13.8" thickBot="1" x14ac:dyDescent="0.3"/>
    <row r="64" spans="1:17" x14ac:dyDescent="0.25">
      <c r="A64" s="220" t="s">
        <v>255</v>
      </c>
      <c r="B64" s="77"/>
      <c r="C64" s="221" t="s">
        <v>256</v>
      </c>
      <c r="D64" s="264">
        <f>(60*60)/47</f>
        <v>76.59574468085107</v>
      </c>
    </row>
    <row r="65" spans="1:7" x14ac:dyDescent="0.25">
      <c r="A65" s="6"/>
      <c r="B65" s="224" t="s">
        <v>257</v>
      </c>
      <c r="C65" s="224" t="s">
        <v>258</v>
      </c>
      <c r="D65" s="265">
        <v>3.5</v>
      </c>
    </row>
    <row r="66" spans="1:7" x14ac:dyDescent="0.25">
      <c r="A66" s="6"/>
      <c r="B66" s="7"/>
      <c r="C66" s="224" t="s">
        <v>259</v>
      </c>
      <c r="D66" s="265">
        <f>D65/(1000/D64)</f>
        <v>0.26808510638297872</v>
      </c>
    </row>
    <row r="67" spans="1:7" x14ac:dyDescent="0.25">
      <c r="A67" s="6"/>
      <c r="B67" s="7"/>
      <c r="C67" s="7"/>
      <c r="D67" s="81"/>
    </row>
    <row r="68" spans="1:7" x14ac:dyDescent="0.25">
      <c r="A68" s="223" t="s">
        <v>260</v>
      </c>
      <c r="B68" s="224"/>
      <c r="C68" s="224" t="s">
        <v>256</v>
      </c>
      <c r="D68" s="266">
        <f>((60+60)*1.1*60)/47</f>
        <v>168.51063829787233</v>
      </c>
    </row>
    <row r="69" spans="1:7" x14ac:dyDescent="0.25">
      <c r="A69" s="223"/>
      <c r="B69" s="224" t="s">
        <v>257</v>
      </c>
      <c r="C69" s="224" t="s">
        <v>258</v>
      </c>
      <c r="D69" s="265">
        <v>1.6</v>
      </c>
    </row>
    <row r="70" spans="1:7" x14ac:dyDescent="0.25">
      <c r="A70" s="6"/>
      <c r="B70" s="7"/>
      <c r="C70" s="224" t="s">
        <v>259</v>
      </c>
      <c r="D70" s="265">
        <f>D69/(1000/D68)</f>
        <v>0.26961702127659576</v>
      </c>
    </row>
    <row r="71" spans="1:7" x14ac:dyDescent="0.25">
      <c r="A71" s="6"/>
      <c r="B71" s="7"/>
      <c r="C71" s="7"/>
      <c r="D71" s="81"/>
    </row>
    <row r="72" spans="1:7" ht="13.8" thickBot="1" x14ac:dyDescent="0.3">
      <c r="A72" s="228" t="s">
        <v>261</v>
      </c>
      <c r="B72" s="84"/>
      <c r="C72" s="218" t="s">
        <v>259</v>
      </c>
      <c r="D72" s="267">
        <f>D66+D70</f>
        <v>0.53770212765957448</v>
      </c>
    </row>
    <row r="73" spans="1:7" ht="13.8" thickBot="1" x14ac:dyDescent="0.3"/>
    <row r="74" spans="1:7" x14ac:dyDescent="0.25">
      <c r="A74" s="220" t="s">
        <v>268</v>
      </c>
      <c r="B74" s="221"/>
      <c r="C74" s="221" t="s">
        <v>269</v>
      </c>
      <c r="D74" s="287">
        <f>480000/2</f>
        <v>240000</v>
      </c>
      <c r="E74" s="221" t="s">
        <v>273</v>
      </c>
      <c r="F74" s="77"/>
      <c r="G74" s="79"/>
    </row>
    <row r="75" spans="1:7" x14ac:dyDescent="0.25">
      <c r="A75" s="223" t="s">
        <v>270</v>
      </c>
      <c r="B75" s="224"/>
      <c r="C75" s="224" t="s">
        <v>271</v>
      </c>
      <c r="D75" s="235">
        <v>1314</v>
      </c>
      <c r="E75" s="7"/>
      <c r="F75" s="7"/>
      <c r="G75" s="81"/>
    </row>
    <row r="76" spans="1:7" ht="13.8" thickBot="1" x14ac:dyDescent="0.3">
      <c r="A76" s="228" t="s">
        <v>268</v>
      </c>
      <c r="B76" s="218"/>
      <c r="C76" s="218" t="s">
        <v>272</v>
      </c>
      <c r="D76" s="288">
        <f>D74/D75</f>
        <v>182.64840182648402</v>
      </c>
      <c r="E76" s="84"/>
      <c r="F76" s="84"/>
      <c r="G76" s="85"/>
    </row>
  </sheetData>
  <pageMargins left="0.75" right="0.75" top="0.53" bottom="1" header="0.5" footer="0.5"/>
  <pageSetup scale="59" orientation="landscape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3:C51"/>
  <sheetViews>
    <sheetView workbookViewId="0">
      <selection sqref="A1:C51"/>
    </sheetView>
  </sheetViews>
  <sheetFormatPr defaultRowHeight="13.2" x14ac:dyDescent="0.25"/>
  <cols>
    <col min="2" max="2" width="6" customWidth="1"/>
    <col min="3" max="3" width="107" customWidth="1"/>
    <col min="4" max="4" width="9.88671875" customWidth="1"/>
  </cols>
  <sheetData>
    <row r="3" spans="1:3" x14ac:dyDescent="0.25">
      <c r="A3" s="57" t="s">
        <v>282</v>
      </c>
    </row>
    <row r="4" spans="1:3" x14ac:dyDescent="0.25">
      <c r="A4">
        <v>1</v>
      </c>
      <c r="B4" t="s">
        <v>300</v>
      </c>
    </row>
    <row r="5" spans="1:3" x14ac:dyDescent="0.25">
      <c r="A5">
        <f>A4+1</f>
        <v>2</v>
      </c>
      <c r="B5" t="s">
        <v>283</v>
      </c>
    </row>
    <row r="6" spans="1:3" x14ac:dyDescent="0.25">
      <c r="A6">
        <f>A5+1</f>
        <v>3</v>
      </c>
      <c r="B6" t="s">
        <v>284</v>
      </c>
    </row>
    <row r="7" spans="1:3" x14ac:dyDescent="0.25">
      <c r="A7">
        <f>A6+1</f>
        <v>4</v>
      </c>
      <c r="B7" t="s">
        <v>285</v>
      </c>
    </row>
    <row r="8" spans="1:3" x14ac:dyDescent="0.25">
      <c r="A8">
        <f>A7+1</f>
        <v>5</v>
      </c>
      <c r="B8" t="s">
        <v>286</v>
      </c>
    </row>
    <row r="9" spans="1:3" x14ac:dyDescent="0.25">
      <c r="A9">
        <f>A8+1</f>
        <v>6</v>
      </c>
      <c r="B9" t="s">
        <v>287</v>
      </c>
    </row>
    <row r="10" spans="1:3" x14ac:dyDescent="0.25">
      <c r="C10" t="s">
        <v>288</v>
      </c>
    </row>
    <row r="11" spans="1:3" x14ac:dyDescent="0.25">
      <c r="C11" t="s">
        <v>289</v>
      </c>
    </row>
    <row r="12" spans="1:3" x14ac:dyDescent="0.25">
      <c r="C12" t="s">
        <v>290</v>
      </c>
    </row>
    <row r="15" spans="1:3" x14ac:dyDescent="0.25">
      <c r="A15">
        <f>A9+1</f>
        <v>7</v>
      </c>
      <c r="B15" t="s">
        <v>291</v>
      </c>
    </row>
    <row r="16" spans="1:3" x14ac:dyDescent="0.25">
      <c r="C16" t="s">
        <v>292</v>
      </c>
    </row>
    <row r="17" spans="1:3" x14ac:dyDescent="0.25">
      <c r="C17" t="s">
        <v>293</v>
      </c>
    </row>
    <row r="18" spans="1:3" x14ac:dyDescent="0.25">
      <c r="C18" t="s">
        <v>294</v>
      </c>
    </row>
    <row r="19" spans="1:3" x14ac:dyDescent="0.25">
      <c r="C19" t="s">
        <v>295</v>
      </c>
    </row>
    <row r="21" spans="1:3" x14ac:dyDescent="0.25">
      <c r="A21">
        <f>A15+1</f>
        <v>8</v>
      </c>
      <c r="B21" t="s">
        <v>296</v>
      </c>
    </row>
    <row r="22" spans="1:3" x14ac:dyDescent="0.25">
      <c r="A22">
        <f>A21+1</f>
        <v>9</v>
      </c>
      <c r="B22" t="s">
        <v>301</v>
      </c>
    </row>
    <row r="23" spans="1:3" x14ac:dyDescent="0.25">
      <c r="A23">
        <f>A22+1</f>
        <v>10</v>
      </c>
    </row>
    <row r="24" spans="1:3" x14ac:dyDescent="0.25">
      <c r="A24">
        <f>A23+1</f>
        <v>11</v>
      </c>
    </row>
    <row r="25" spans="1:3" x14ac:dyDescent="0.25">
      <c r="A25">
        <f>A24+1</f>
        <v>12</v>
      </c>
    </row>
    <row r="27" spans="1:3" x14ac:dyDescent="0.25">
      <c r="A27" s="57" t="s">
        <v>302</v>
      </c>
    </row>
    <row r="28" spans="1:3" x14ac:dyDescent="0.25">
      <c r="A28">
        <v>1</v>
      </c>
      <c r="B28" t="s">
        <v>303</v>
      </c>
    </row>
    <row r="29" spans="1:3" x14ac:dyDescent="0.25">
      <c r="A29">
        <f>A28+1</f>
        <v>2</v>
      </c>
      <c r="B29" t="s">
        <v>304</v>
      </c>
    </row>
    <row r="30" spans="1:3" x14ac:dyDescent="0.25">
      <c r="A30">
        <f t="shared" ref="A30:A50" si="0">A29+1</f>
        <v>3</v>
      </c>
      <c r="B30" t="s">
        <v>305</v>
      </c>
    </row>
    <row r="31" spans="1:3" x14ac:dyDescent="0.25">
      <c r="A31">
        <f t="shared" si="0"/>
        <v>4</v>
      </c>
      <c r="B31" t="s">
        <v>306</v>
      </c>
    </row>
    <row r="32" spans="1:3" x14ac:dyDescent="0.25">
      <c r="A32">
        <f t="shared" si="0"/>
        <v>5</v>
      </c>
      <c r="B32" t="s">
        <v>307</v>
      </c>
    </row>
    <row r="33" spans="1:2" x14ac:dyDescent="0.25">
      <c r="A33">
        <f t="shared" si="0"/>
        <v>6</v>
      </c>
      <c r="B33" t="s">
        <v>308</v>
      </c>
    </row>
    <row r="34" spans="1:2" x14ac:dyDescent="0.25">
      <c r="A34">
        <f t="shared" si="0"/>
        <v>7</v>
      </c>
      <c r="B34" t="s">
        <v>309</v>
      </c>
    </row>
    <row r="35" spans="1:2" x14ac:dyDescent="0.25">
      <c r="A35">
        <f t="shared" si="0"/>
        <v>8</v>
      </c>
      <c r="B35" t="s">
        <v>319</v>
      </c>
    </row>
    <row r="36" spans="1:2" x14ac:dyDescent="0.25">
      <c r="A36">
        <f t="shared" si="0"/>
        <v>9</v>
      </c>
      <c r="B36" t="s">
        <v>310</v>
      </c>
    </row>
    <row r="37" spans="1:2" x14ac:dyDescent="0.25">
      <c r="A37">
        <f t="shared" si="0"/>
        <v>10</v>
      </c>
      <c r="B37" t="s">
        <v>311</v>
      </c>
    </row>
    <row r="38" spans="1:2" x14ac:dyDescent="0.25">
      <c r="A38">
        <f t="shared" si="0"/>
        <v>11</v>
      </c>
      <c r="B38" t="s">
        <v>312</v>
      </c>
    </row>
    <row r="39" spans="1:2" x14ac:dyDescent="0.25">
      <c r="A39">
        <f t="shared" si="0"/>
        <v>12</v>
      </c>
      <c r="B39" t="s">
        <v>313</v>
      </c>
    </row>
    <row r="40" spans="1:2" x14ac:dyDescent="0.25">
      <c r="A40">
        <f t="shared" si="0"/>
        <v>13</v>
      </c>
      <c r="B40" t="s">
        <v>314</v>
      </c>
    </row>
    <row r="41" spans="1:2" x14ac:dyDescent="0.25">
      <c r="A41">
        <f t="shared" si="0"/>
        <v>14</v>
      </c>
      <c r="B41" t="s">
        <v>315</v>
      </c>
    </row>
    <row r="42" spans="1:2" x14ac:dyDescent="0.25">
      <c r="A42">
        <f t="shared" si="0"/>
        <v>15</v>
      </c>
      <c r="B42" t="s">
        <v>316</v>
      </c>
    </row>
    <row r="43" spans="1:2" x14ac:dyDescent="0.25">
      <c r="A43">
        <f t="shared" si="0"/>
        <v>16</v>
      </c>
      <c r="B43" t="s">
        <v>317</v>
      </c>
    </row>
    <row r="44" spans="1:2" x14ac:dyDescent="0.25">
      <c r="A44">
        <f t="shared" si="0"/>
        <v>17</v>
      </c>
      <c r="B44" t="s">
        <v>318</v>
      </c>
    </row>
    <row r="45" spans="1:2" x14ac:dyDescent="0.25">
      <c r="A45">
        <f t="shared" si="0"/>
        <v>18</v>
      </c>
      <c r="B45" t="s">
        <v>320</v>
      </c>
    </row>
    <row r="46" spans="1:2" x14ac:dyDescent="0.25">
      <c r="A46">
        <f t="shared" si="0"/>
        <v>19</v>
      </c>
      <c r="B46" t="s">
        <v>321</v>
      </c>
    </row>
    <row r="47" spans="1:2" x14ac:dyDescent="0.25">
      <c r="A47">
        <f t="shared" si="0"/>
        <v>20</v>
      </c>
      <c r="B47" t="s">
        <v>322</v>
      </c>
    </row>
    <row r="48" spans="1:2" x14ac:dyDescent="0.25">
      <c r="A48">
        <f t="shared" si="0"/>
        <v>21</v>
      </c>
      <c r="B48" t="s">
        <v>323</v>
      </c>
    </row>
    <row r="49" spans="1:2" x14ac:dyDescent="0.25">
      <c r="A49">
        <f t="shared" si="0"/>
        <v>22</v>
      </c>
      <c r="B49" t="s">
        <v>324</v>
      </c>
    </row>
    <row r="50" spans="1:2" x14ac:dyDescent="0.25">
      <c r="A50">
        <f t="shared" si="0"/>
        <v>23</v>
      </c>
      <c r="B50" t="s">
        <v>325</v>
      </c>
    </row>
    <row r="51" spans="1:2" x14ac:dyDescent="0.25">
      <c r="A51">
        <f>A50+1</f>
        <v>24</v>
      </c>
      <c r="B51" t="s">
        <v>337</v>
      </c>
    </row>
  </sheetData>
  <pageMargins left="0.75" right="0.75" top="1" bottom="1" header="0.5" footer="0.5"/>
  <pageSetup scale="85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10</vt:i4>
      </vt:variant>
    </vt:vector>
  </HeadingPairs>
  <TitlesOfParts>
    <vt:vector size="18" baseType="lpstr">
      <vt:lpstr>SUMMARY</vt:lpstr>
      <vt:lpstr>PROJECTCONFIGURATION</vt:lpstr>
      <vt:lpstr>OPERATIONAL CHARACTERISTICS</vt:lpstr>
      <vt:lpstr>EPC DETAIL X 2 LM 6000</vt:lpstr>
      <vt:lpstr>FINANCE</vt:lpstr>
      <vt:lpstr>TURBINE AVAILABILITY</vt:lpstr>
      <vt:lpstr>SOURCEDATA</vt:lpstr>
      <vt:lpstr>CLARIFICATIONS</vt:lpstr>
      <vt:lpstr>chillers</vt:lpstr>
      <vt:lpstr>iso</vt:lpstr>
      <vt:lpstr>CLARIFICATIONS!Print_Area</vt:lpstr>
      <vt:lpstr>'EPC DETAIL X 2 LM 6000'!Print_Area</vt:lpstr>
      <vt:lpstr>FINANCE!Print_Area</vt:lpstr>
      <vt:lpstr>'OPERATIONAL CHARACTERISTICS'!Print_Area</vt:lpstr>
      <vt:lpstr>PROJECTCONFIGURATION!Print_Area</vt:lpstr>
      <vt:lpstr>SOURCEDATA!Print_Area</vt:lpstr>
      <vt:lpstr>SUMMARY!Print_Area</vt:lpstr>
      <vt:lpstr>'TURBINE AVAILABILITY'!Print_Area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Bernstein</dc:creator>
  <cp:lastModifiedBy>Havlíček Jan</cp:lastModifiedBy>
  <cp:lastPrinted>2000-01-19T15:05:46Z</cp:lastPrinted>
  <dcterms:created xsi:type="dcterms:W3CDTF">1999-11-18T00:03:45Z</dcterms:created>
  <dcterms:modified xsi:type="dcterms:W3CDTF">2023-09-10T11:57:26Z</dcterms:modified>
</cp:coreProperties>
</file>