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-12" windowWidth="7512" windowHeight="8832" tabRatio="884" firstSheet="4" activeTab="6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Brownsville" sheetId="3" r:id="rId6"/>
    <sheet name="Caledonia" sheetId="2" r:id="rId7"/>
    <sheet name="NewAlbany" sheetId="4" r:id="rId8"/>
    <sheet name="Parts_Refurb $s" sheetId="10" state="hidden" r:id="rId9"/>
  </sheets>
  <externalReferences>
    <externalReference r:id="rId10"/>
  </externalReferences>
  <definedNames>
    <definedName name="_xlnm.Print_Area" localSheetId="5">Brownsville!$A$1:$BG$212</definedName>
    <definedName name="_xlnm.Print_Area" localSheetId="6">Caledonia!$A$1:$BG$213</definedName>
    <definedName name="_xlnm.Print_Area" localSheetId="7">NewAlbany!$A$1:$BG$233</definedName>
    <definedName name="_xlnm.Print_Area" localSheetId="4">Summary!$A$1:$Q$97</definedName>
    <definedName name="_xlnm.Print_Titles" localSheetId="5">Brownsville!$A:$B,Brownsville!$1:$7</definedName>
    <definedName name="_xlnm.Print_Titles" localSheetId="6">Caledonia!$A:$B,Caledonia!$1:$7</definedName>
    <definedName name="_xlnm.Print_Titles" localSheetId="7">NewAlbany!$A:$B,NewAlbany!$1:$7</definedName>
  </definedNames>
  <calcPr calcId="0" fullCalcOnLoad="1"/>
</workbook>
</file>

<file path=xl/calcChain.xml><?xml version="1.0" encoding="utf-8"?>
<calcChain xmlns="http://schemas.openxmlformats.org/spreadsheetml/2006/main">
  <c r="A1" i="3" l="1"/>
  <c r="A2" i="3"/>
  <c r="BC3" i="3"/>
  <c r="BG3" i="3"/>
  <c r="U7" i="3"/>
  <c r="W7" i="3"/>
  <c r="Y7" i="3"/>
  <c r="AA7" i="3"/>
  <c r="AC7" i="3"/>
  <c r="AE7" i="3"/>
  <c r="AG7" i="3"/>
  <c r="AI7" i="3"/>
  <c r="AK7" i="3"/>
  <c r="AM7" i="3"/>
  <c r="AO7" i="3"/>
  <c r="AQ7" i="3"/>
  <c r="AS7" i="3"/>
  <c r="AU7" i="3"/>
  <c r="AW7" i="3"/>
  <c r="AY7" i="3"/>
  <c r="O9" i="3"/>
  <c r="U9" i="3"/>
  <c r="W9" i="3"/>
  <c r="AY9" i="3"/>
  <c r="BA9" i="3"/>
  <c r="BC9" i="3"/>
  <c r="BE9" i="3"/>
  <c r="BG9" i="3"/>
  <c r="O10" i="3"/>
  <c r="AA10" i="3"/>
  <c r="AC10" i="3"/>
  <c r="AE10" i="3"/>
  <c r="AY10" i="3"/>
  <c r="BC10" i="3"/>
  <c r="BE10" i="3"/>
  <c r="BG10" i="3"/>
  <c r="O11" i="3"/>
  <c r="AY11" i="3"/>
  <c r="BC11" i="3"/>
  <c r="BE11" i="3"/>
  <c r="BG11" i="3"/>
  <c r="O12" i="3"/>
  <c r="AY12" i="3"/>
  <c r="BC12" i="3"/>
  <c r="BE12" i="3"/>
  <c r="BG12" i="3"/>
  <c r="O13" i="3"/>
  <c r="AY13" i="3"/>
  <c r="BC13" i="3"/>
  <c r="BE13" i="3"/>
  <c r="BG13" i="3"/>
  <c r="O14" i="3"/>
  <c r="AY14" i="3"/>
  <c r="BC14" i="3"/>
  <c r="BE14" i="3"/>
  <c r="BG14" i="3"/>
  <c r="O15" i="3"/>
  <c r="AY15" i="3"/>
  <c r="BC15" i="3"/>
  <c r="BE15" i="3"/>
  <c r="BG15" i="3"/>
  <c r="AY16" i="3"/>
  <c r="BC16" i="3"/>
  <c r="BE16" i="3"/>
  <c r="BG16" i="3"/>
  <c r="O17" i="3"/>
  <c r="AY17" i="3"/>
  <c r="BC17" i="3"/>
  <c r="BE17" i="3"/>
  <c r="BG17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O20" i="3"/>
  <c r="U20" i="3"/>
  <c r="AA20" i="3"/>
  <c r="AC20" i="3"/>
  <c r="AE20" i="3"/>
  <c r="AK20" i="3"/>
  <c r="AY20" i="3"/>
  <c r="BC20" i="3"/>
  <c r="BE20" i="3"/>
  <c r="BG20" i="3"/>
  <c r="O21" i="3"/>
  <c r="AK21" i="3"/>
  <c r="AY21" i="3"/>
  <c r="BC21" i="3"/>
  <c r="BE21" i="3"/>
  <c r="BG21" i="3"/>
  <c r="O22" i="3"/>
  <c r="AA22" i="3"/>
  <c r="AK22" i="3"/>
  <c r="AY22" i="3"/>
  <c r="BE22" i="3"/>
  <c r="BG22" i="3"/>
  <c r="O23" i="3"/>
  <c r="U23" i="3"/>
  <c r="AK23" i="3"/>
  <c r="AY23" i="3"/>
  <c r="BC23" i="3"/>
  <c r="BE23" i="3"/>
  <c r="BG23" i="3"/>
  <c r="O24" i="3"/>
  <c r="AY24" i="3"/>
  <c r="BE24" i="3"/>
  <c r="BG24" i="3"/>
  <c r="O25" i="3"/>
  <c r="AC25" i="3"/>
  <c r="AY25" i="3"/>
  <c r="BC25" i="3"/>
  <c r="BE25" i="3"/>
  <c r="BG25" i="3"/>
  <c r="O26" i="3"/>
  <c r="AY26" i="3"/>
  <c r="BE26" i="3"/>
  <c r="BG26" i="3"/>
  <c r="O27" i="3"/>
  <c r="AY27" i="3"/>
  <c r="BC27" i="3"/>
  <c r="BE27" i="3"/>
  <c r="BG27" i="3"/>
  <c r="O28" i="3"/>
  <c r="AY28" i="3"/>
  <c r="BC28" i="3"/>
  <c r="BE28" i="3"/>
  <c r="BG28" i="3"/>
  <c r="O29" i="3"/>
  <c r="AY29" i="3"/>
  <c r="BE29" i="3"/>
  <c r="BG29" i="3"/>
  <c r="O30" i="3"/>
  <c r="AC30" i="3"/>
  <c r="AY30" i="3"/>
  <c r="BC30" i="3"/>
  <c r="BE30" i="3"/>
  <c r="BG30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O36" i="3"/>
  <c r="S36" i="3"/>
  <c r="AE36" i="3"/>
  <c r="AG36" i="3"/>
  <c r="AI36" i="3"/>
  <c r="AM36" i="3"/>
  <c r="AO36" i="3"/>
  <c r="AY36" i="3"/>
  <c r="BA36" i="3"/>
  <c r="BC36" i="3"/>
  <c r="BE36" i="3"/>
  <c r="BG36" i="3"/>
  <c r="O37" i="3"/>
  <c r="AY37" i="3"/>
  <c r="BC37" i="3"/>
  <c r="BE37" i="3"/>
  <c r="BG37" i="3"/>
  <c r="O38" i="3"/>
  <c r="AE38" i="3"/>
  <c r="AY38" i="3"/>
  <c r="BA38" i="3"/>
  <c r="BC38" i="3"/>
  <c r="BE38" i="3"/>
  <c r="BG38" i="3"/>
  <c r="O39" i="3"/>
  <c r="S39" i="3"/>
  <c r="AE39" i="3"/>
  <c r="AG39" i="3"/>
  <c r="AI39" i="3"/>
  <c r="AY39" i="3"/>
  <c r="BA39" i="3"/>
  <c r="BC39" i="3"/>
  <c r="BE39" i="3"/>
  <c r="BG39" i="3"/>
  <c r="O40" i="3"/>
  <c r="AY40" i="3"/>
  <c r="BA40" i="3"/>
  <c r="BC40" i="3"/>
  <c r="BE40" i="3"/>
  <c r="BG40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O45" i="3"/>
  <c r="AC45" i="3"/>
  <c r="AY45" i="3"/>
  <c r="BA45" i="3"/>
  <c r="BC45" i="3"/>
  <c r="BE45" i="3"/>
  <c r="BG45" i="3"/>
  <c r="O46" i="3"/>
  <c r="S46" i="3"/>
  <c r="U46" i="3"/>
  <c r="AA46" i="3"/>
  <c r="AC46" i="3"/>
  <c r="AG46" i="3"/>
  <c r="AY46" i="3"/>
  <c r="BA46" i="3"/>
  <c r="BC46" i="3"/>
  <c r="BE46" i="3"/>
  <c r="BG46" i="3"/>
  <c r="O47" i="3"/>
  <c r="AC47" i="3"/>
  <c r="AY47" i="3"/>
  <c r="BA47" i="3"/>
  <c r="BC47" i="3"/>
  <c r="BE47" i="3"/>
  <c r="BG47" i="3"/>
  <c r="O48" i="3"/>
  <c r="W48" i="3"/>
  <c r="Y48" i="3"/>
  <c r="AC48" i="3"/>
  <c r="AY48" i="3"/>
  <c r="BA48" i="3"/>
  <c r="BC48" i="3"/>
  <c r="BE48" i="3"/>
  <c r="BG48" i="3"/>
  <c r="O49" i="3"/>
  <c r="AY49" i="3"/>
  <c r="BA49" i="3"/>
  <c r="BC49" i="3"/>
  <c r="BE49" i="3"/>
  <c r="BG49" i="3"/>
  <c r="O50" i="3"/>
  <c r="AC50" i="3"/>
  <c r="AY50" i="3"/>
  <c r="BA50" i="3"/>
  <c r="BC50" i="3"/>
  <c r="BE50" i="3"/>
  <c r="BG50" i="3"/>
  <c r="O51" i="3"/>
  <c r="AC51" i="3"/>
  <c r="AY51" i="3"/>
  <c r="BA51" i="3"/>
  <c r="BC51" i="3"/>
  <c r="BE51" i="3"/>
  <c r="BG51" i="3"/>
  <c r="O52" i="3"/>
  <c r="AE52" i="3"/>
  <c r="AY52" i="3"/>
  <c r="BA52" i="3"/>
  <c r="BC52" i="3"/>
  <c r="BE52" i="3"/>
  <c r="BG52" i="3"/>
  <c r="O53" i="3"/>
  <c r="AY53" i="3"/>
  <c r="BA53" i="3"/>
  <c r="BC53" i="3"/>
  <c r="BE53" i="3"/>
  <c r="BG53" i="3"/>
  <c r="O54" i="3"/>
  <c r="AY54" i="3"/>
  <c r="BA54" i="3"/>
  <c r="BC54" i="3"/>
  <c r="BE54" i="3"/>
  <c r="BG54" i="3"/>
  <c r="O55" i="3"/>
  <c r="Y55" i="3"/>
  <c r="AY55" i="3"/>
  <c r="BA55" i="3"/>
  <c r="BC55" i="3"/>
  <c r="BE55" i="3"/>
  <c r="BG55" i="3"/>
  <c r="O56" i="3"/>
  <c r="AC56" i="3"/>
  <c r="AY56" i="3"/>
  <c r="BA56" i="3"/>
  <c r="BC56" i="3"/>
  <c r="BE56" i="3"/>
  <c r="BG56" i="3"/>
  <c r="O57" i="3"/>
  <c r="AC57" i="3"/>
  <c r="AY57" i="3"/>
  <c r="BA57" i="3"/>
  <c r="BC57" i="3"/>
  <c r="BE57" i="3"/>
  <c r="BG57" i="3"/>
  <c r="O58" i="3"/>
  <c r="U58" i="3"/>
  <c r="W58" i="3"/>
  <c r="Y58" i="3"/>
  <c r="AY58" i="3"/>
  <c r="BA58" i="3"/>
  <c r="BC58" i="3"/>
  <c r="BE58" i="3"/>
  <c r="BG58" i="3"/>
  <c r="O59" i="3"/>
  <c r="AC59" i="3"/>
  <c r="AE59" i="3"/>
  <c r="AY59" i="3"/>
  <c r="BA59" i="3"/>
  <c r="BC59" i="3"/>
  <c r="BE59" i="3"/>
  <c r="BG59" i="3"/>
  <c r="O60" i="3"/>
  <c r="AY60" i="3"/>
  <c r="BC60" i="3"/>
  <c r="BE60" i="3"/>
  <c r="BG60" i="3"/>
  <c r="O61" i="3"/>
  <c r="AC61" i="3"/>
  <c r="AE61" i="3"/>
  <c r="AG61" i="3"/>
  <c r="AY61" i="3"/>
  <c r="BA61" i="3"/>
  <c r="BC61" i="3"/>
  <c r="BE61" i="3"/>
  <c r="BG61" i="3"/>
  <c r="O62" i="3"/>
  <c r="Y62" i="3"/>
  <c r="AC62" i="3"/>
  <c r="AY62" i="3"/>
  <c r="BA62" i="3"/>
  <c r="BC62" i="3"/>
  <c r="BE62" i="3"/>
  <c r="BG62" i="3"/>
  <c r="O63" i="3"/>
  <c r="AY63" i="3"/>
  <c r="BA63" i="3"/>
  <c r="BC63" i="3"/>
  <c r="BE63" i="3"/>
  <c r="BG63" i="3"/>
  <c r="O64" i="3"/>
  <c r="Q64" i="3"/>
  <c r="S64" i="3"/>
  <c r="AY64" i="3"/>
  <c r="BA64" i="3"/>
  <c r="BC64" i="3"/>
  <c r="BE64" i="3"/>
  <c r="BG64" i="3"/>
  <c r="O65" i="3"/>
  <c r="S65" i="3"/>
  <c r="AA65" i="3"/>
  <c r="AY65" i="3"/>
  <c r="BA65" i="3"/>
  <c r="BC65" i="3"/>
  <c r="BE65" i="3"/>
  <c r="BG65" i="3"/>
  <c r="O66" i="3"/>
  <c r="AY66" i="3"/>
  <c r="BC66" i="3"/>
  <c r="BE66" i="3"/>
  <c r="BG66" i="3"/>
  <c r="K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O70" i="3"/>
  <c r="AY70" i="3"/>
  <c r="BA70" i="3"/>
  <c r="BC70" i="3"/>
  <c r="BE70" i="3"/>
  <c r="BG70" i="3"/>
  <c r="O71" i="3"/>
  <c r="AG71" i="3"/>
  <c r="AY71" i="3"/>
  <c r="BA71" i="3"/>
  <c r="BC71" i="3"/>
  <c r="BE71" i="3"/>
  <c r="BG71" i="3"/>
  <c r="O72" i="3"/>
  <c r="Y72" i="3"/>
  <c r="AG72" i="3"/>
  <c r="AY72" i="3"/>
  <c r="BA72" i="3"/>
  <c r="BC72" i="3"/>
  <c r="BE72" i="3"/>
  <c r="BG72" i="3"/>
  <c r="O73" i="3"/>
  <c r="Y73" i="3"/>
  <c r="AE73" i="3"/>
  <c r="AG73" i="3"/>
  <c r="AI73" i="3"/>
  <c r="AY73" i="3"/>
  <c r="BA73" i="3"/>
  <c r="BC73" i="3"/>
  <c r="BE73" i="3"/>
  <c r="BG73" i="3"/>
  <c r="O74" i="3"/>
  <c r="Y74" i="3"/>
  <c r="AG74" i="3"/>
  <c r="AI74" i="3"/>
  <c r="AY74" i="3"/>
  <c r="BA74" i="3"/>
  <c r="BC74" i="3"/>
  <c r="BE74" i="3"/>
  <c r="BG74" i="3"/>
  <c r="O75" i="3"/>
  <c r="Y75" i="3"/>
  <c r="AG75" i="3"/>
  <c r="AY75" i="3"/>
  <c r="BA75" i="3"/>
  <c r="BC75" i="3"/>
  <c r="BE75" i="3"/>
  <c r="BG75" i="3"/>
  <c r="O76" i="3"/>
  <c r="AE76" i="3"/>
  <c r="AG76" i="3"/>
  <c r="AY76" i="3"/>
  <c r="BA76" i="3"/>
  <c r="BC76" i="3"/>
  <c r="BE76" i="3"/>
  <c r="BG76" i="3"/>
  <c r="O77" i="3"/>
  <c r="AG77" i="3"/>
  <c r="AY77" i="3"/>
  <c r="BA77" i="3"/>
  <c r="BC77" i="3"/>
  <c r="BE77" i="3"/>
  <c r="BG77" i="3"/>
  <c r="O78" i="3"/>
  <c r="AG78" i="3"/>
  <c r="AY78" i="3"/>
  <c r="BA78" i="3"/>
  <c r="BC78" i="3"/>
  <c r="BE78" i="3"/>
  <c r="BG78" i="3"/>
  <c r="AY79" i="3"/>
  <c r="BC79" i="3"/>
  <c r="BE79" i="3"/>
  <c r="BG79" i="3"/>
  <c r="O80" i="3"/>
  <c r="AC80" i="3"/>
  <c r="AG80" i="3"/>
  <c r="AI80" i="3"/>
  <c r="AY80" i="3"/>
  <c r="BA80" i="3"/>
  <c r="BC80" i="3"/>
  <c r="BE80" i="3"/>
  <c r="BG80" i="3"/>
  <c r="O81" i="3"/>
  <c r="AY81" i="3"/>
  <c r="BA81" i="3"/>
  <c r="BC81" i="3"/>
  <c r="BE81" i="3"/>
  <c r="BG81" i="3"/>
  <c r="O82" i="3"/>
  <c r="AG82" i="3"/>
  <c r="AY82" i="3"/>
  <c r="BA82" i="3"/>
  <c r="BC82" i="3"/>
  <c r="BE82" i="3"/>
  <c r="BG82" i="3"/>
  <c r="AY83" i="3"/>
  <c r="BC83" i="3"/>
  <c r="BE83" i="3"/>
  <c r="BG83" i="3"/>
  <c r="O84" i="3"/>
  <c r="AA84" i="3"/>
  <c r="AC84" i="3"/>
  <c r="AE84" i="3"/>
  <c r="AG84" i="3"/>
  <c r="AI84" i="3"/>
  <c r="AY84" i="3"/>
  <c r="BA84" i="3"/>
  <c r="BC84" i="3"/>
  <c r="BE84" i="3"/>
  <c r="BG84" i="3"/>
  <c r="O85" i="3"/>
  <c r="AY85" i="3"/>
  <c r="BA85" i="3"/>
  <c r="BC85" i="3"/>
  <c r="BE85" i="3"/>
  <c r="BG85" i="3"/>
  <c r="O86" i="3"/>
  <c r="AG86" i="3"/>
  <c r="AY86" i="3"/>
  <c r="BA86" i="3"/>
  <c r="BC86" i="3"/>
  <c r="BE86" i="3"/>
  <c r="BG86" i="3"/>
  <c r="O87" i="3"/>
  <c r="AC87" i="3"/>
  <c r="AG87" i="3"/>
  <c r="AY87" i="3"/>
  <c r="BA87" i="3"/>
  <c r="BC87" i="3"/>
  <c r="BE87" i="3"/>
  <c r="BG87" i="3"/>
  <c r="O88" i="3"/>
  <c r="AG88" i="3"/>
  <c r="AI88" i="3"/>
  <c r="AY88" i="3"/>
  <c r="BA88" i="3"/>
  <c r="BC88" i="3"/>
  <c r="BE88" i="3"/>
  <c r="BG88" i="3"/>
  <c r="O89" i="3"/>
  <c r="AY89" i="3"/>
  <c r="BA89" i="3"/>
  <c r="BC89" i="3"/>
  <c r="BE89" i="3"/>
  <c r="BG89" i="3"/>
  <c r="O90" i="3"/>
  <c r="AG90" i="3"/>
  <c r="AY90" i="3"/>
  <c r="BA90" i="3"/>
  <c r="BC90" i="3"/>
  <c r="BE90" i="3"/>
  <c r="BG90" i="3"/>
  <c r="O91" i="3"/>
  <c r="U91" i="3"/>
  <c r="Y91" i="3"/>
  <c r="AC91" i="3"/>
  <c r="AE91" i="3"/>
  <c r="AG91" i="3"/>
  <c r="AY91" i="3"/>
  <c r="BA91" i="3"/>
  <c r="BC91" i="3"/>
  <c r="BE91" i="3"/>
  <c r="BG91" i="3"/>
  <c r="O92" i="3"/>
  <c r="S92" i="3"/>
  <c r="U92" i="3"/>
  <c r="W92" i="3"/>
  <c r="Y92" i="3"/>
  <c r="AA92" i="3"/>
  <c r="AC92" i="3"/>
  <c r="AE92" i="3"/>
  <c r="AG92" i="3"/>
  <c r="AI92" i="3"/>
  <c r="AY92" i="3"/>
  <c r="BA92" i="3"/>
  <c r="BC92" i="3"/>
  <c r="BE92" i="3"/>
  <c r="BG92" i="3"/>
  <c r="AK93" i="3"/>
  <c r="AM93" i="3"/>
  <c r="AO93" i="3"/>
  <c r="AY93" i="3"/>
  <c r="BC93" i="3"/>
  <c r="BE93" i="3"/>
  <c r="BG93" i="3"/>
  <c r="K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O97" i="3"/>
  <c r="AE97" i="3"/>
  <c r="AG97" i="3"/>
  <c r="AY97" i="3"/>
  <c r="BA97" i="3"/>
  <c r="BC97" i="3"/>
  <c r="BE97" i="3"/>
  <c r="BG97" i="3"/>
  <c r="O98" i="3"/>
  <c r="AG98" i="3"/>
  <c r="AY98" i="3"/>
  <c r="BA98" i="3"/>
  <c r="BC98" i="3"/>
  <c r="BE98" i="3"/>
  <c r="BG98" i="3"/>
  <c r="O99" i="3"/>
  <c r="Y99" i="3"/>
  <c r="AG99" i="3"/>
  <c r="AY99" i="3"/>
  <c r="BA99" i="3"/>
  <c r="BC99" i="3"/>
  <c r="BE99" i="3"/>
  <c r="BG99" i="3"/>
  <c r="K100" i="3"/>
  <c r="O100" i="3"/>
  <c r="Y100" i="3"/>
  <c r="AG100" i="3"/>
  <c r="AI100" i="3"/>
  <c r="AY100" i="3"/>
  <c r="BA100" i="3"/>
  <c r="BC100" i="3"/>
  <c r="BE100" i="3"/>
  <c r="BG100" i="3"/>
  <c r="O101" i="3"/>
  <c r="Y101" i="3"/>
  <c r="AG101" i="3"/>
  <c r="AI101" i="3"/>
  <c r="AY101" i="3"/>
  <c r="BA101" i="3"/>
  <c r="BC101" i="3"/>
  <c r="BE101" i="3"/>
  <c r="BG101" i="3"/>
  <c r="K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AY103" i="3"/>
  <c r="BE103" i="3"/>
  <c r="BG103" i="3"/>
  <c r="O104" i="3"/>
  <c r="Y104" i="3"/>
  <c r="AG104" i="3"/>
  <c r="AO104" i="3"/>
  <c r="AY104" i="3"/>
  <c r="BA104" i="3"/>
  <c r="BC104" i="3"/>
  <c r="BE104" i="3"/>
  <c r="BG104" i="3"/>
  <c r="K106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K109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O111" i="3"/>
  <c r="Q111" i="3"/>
  <c r="U111" i="3"/>
  <c r="AA111" i="3"/>
  <c r="AC111" i="3"/>
  <c r="AY111" i="3"/>
  <c r="BA111" i="3"/>
  <c r="BC111" i="3"/>
  <c r="BE111" i="3"/>
  <c r="BG111" i="3"/>
  <c r="O112" i="3"/>
  <c r="BC112" i="3"/>
  <c r="BE112" i="3"/>
  <c r="BG112" i="3"/>
  <c r="K113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O115" i="3"/>
  <c r="W115" i="3"/>
  <c r="AI115" i="3"/>
  <c r="AY115" i="3"/>
  <c r="BC115" i="3"/>
  <c r="BE115" i="3"/>
  <c r="BG115" i="3"/>
  <c r="O117" i="3"/>
  <c r="Q117" i="3"/>
  <c r="AY117" i="3"/>
  <c r="BC117" i="3"/>
  <c r="BE117" i="3"/>
  <c r="BG117" i="3"/>
  <c r="O118" i="3"/>
  <c r="AY118" i="3"/>
  <c r="BC118" i="3"/>
  <c r="BE118" i="3"/>
  <c r="BG118" i="3"/>
  <c r="AY119" i="3"/>
  <c r="BC119" i="3"/>
  <c r="BE119" i="3"/>
  <c r="BG119" i="3"/>
  <c r="K120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E122" i="3"/>
  <c r="Q123" i="3"/>
  <c r="U123" i="3"/>
  <c r="W123" i="3"/>
  <c r="Y123" i="3"/>
  <c r="AA123" i="3"/>
  <c r="AC123" i="3"/>
  <c r="AY123" i="3"/>
  <c r="BE123" i="3"/>
  <c r="BG123" i="3"/>
  <c r="Q124" i="3"/>
  <c r="AY124" i="3"/>
  <c r="BE124" i="3"/>
  <c r="BG124" i="3"/>
  <c r="Q125" i="3"/>
  <c r="AY125" i="3"/>
  <c r="BE125" i="3"/>
  <c r="BG125" i="3"/>
  <c r="Q126" i="3"/>
  <c r="AY126" i="3"/>
  <c r="BE126" i="3"/>
  <c r="BG126" i="3"/>
  <c r="AY127" i="3"/>
  <c r="BE127" i="3"/>
  <c r="BG127" i="3"/>
  <c r="Q128" i="3"/>
  <c r="AY128" i="3"/>
  <c r="BE128" i="3"/>
  <c r="BG128" i="3"/>
  <c r="O129" i="3"/>
  <c r="AM129" i="3"/>
  <c r="AY129" i="3"/>
  <c r="BE129" i="3"/>
  <c r="BG129" i="3"/>
  <c r="K130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O132" i="3"/>
  <c r="AY132" i="3"/>
  <c r="BC132" i="3"/>
  <c r="BE132" i="3"/>
  <c r="BG132" i="3"/>
  <c r="O135" i="3"/>
  <c r="AA135" i="3"/>
  <c r="AY135" i="3"/>
  <c r="BC135" i="3"/>
  <c r="BE135" i="3"/>
  <c r="BG135" i="3"/>
  <c r="K136" i="3"/>
  <c r="O136" i="3"/>
  <c r="AK136" i="3"/>
  <c r="AY136" i="3"/>
  <c r="BC136" i="3"/>
  <c r="BE136" i="3"/>
  <c r="BG136" i="3"/>
  <c r="O137" i="3"/>
  <c r="AA137" i="3"/>
  <c r="AY137" i="3"/>
  <c r="BC137" i="3"/>
  <c r="BE137" i="3"/>
  <c r="BG137" i="3"/>
  <c r="O138" i="3"/>
  <c r="AY138" i="3"/>
  <c r="BC138" i="3"/>
  <c r="BE138" i="3"/>
  <c r="BG138" i="3"/>
  <c r="K139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O141" i="3"/>
  <c r="AA141" i="3"/>
  <c r="AY141" i="3"/>
  <c r="BC141" i="3"/>
  <c r="BE141" i="3"/>
  <c r="BG141" i="3"/>
  <c r="O143" i="3"/>
  <c r="AY143" i="3"/>
  <c r="BC143" i="3"/>
  <c r="BE143" i="3"/>
  <c r="BG143" i="3"/>
  <c r="O145" i="3"/>
  <c r="W145" i="3"/>
  <c r="AA145" i="3"/>
  <c r="AC145" i="3"/>
  <c r="AE145" i="3"/>
  <c r="AY145" i="3"/>
  <c r="BE145" i="3"/>
  <c r="BG145" i="3"/>
  <c r="M147" i="3"/>
  <c r="O147" i="3"/>
  <c r="Q147" i="3"/>
  <c r="S147" i="3"/>
  <c r="U147" i="3"/>
  <c r="W147" i="3"/>
  <c r="Y147" i="3"/>
  <c r="AC147" i="3"/>
  <c r="AE147" i="3"/>
  <c r="AY147" i="3"/>
  <c r="BC147" i="3"/>
  <c r="BE147" i="3"/>
  <c r="BG147" i="3"/>
  <c r="O148" i="3"/>
  <c r="AA148" i="3"/>
  <c r="AY148" i="3"/>
  <c r="BE148" i="3"/>
  <c r="BG148" i="3"/>
  <c r="M149" i="3"/>
  <c r="O149" i="3"/>
  <c r="AY149" i="3"/>
  <c r="BC149" i="3"/>
  <c r="BE149" i="3"/>
  <c r="BG149" i="3"/>
  <c r="M150" i="3"/>
  <c r="O150" i="3"/>
  <c r="AY150" i="3"/>
  <c r="BC150" i="3"/>
  <c r="BE150" i="3"/>
  <c r="BG150" i="3"/>
  <c r="K152" i="3"/>
  <c r="M152" i="3"/>
  <c r="O152" i="3"/>
  <c r="Q152" i="3"/>
  <c r="S152" i="3"/>
  <c r="U152" i="3"/>
  <c r="W152" i="3"/>
  <c r="Y152" i="3"/>
  <c r="AA152" i="3"/>
  <c r="AB152" i="3"/>
  <c r="AC152" i="3"/>
  <c r="AE152" i="3"/>
  <c r="AG152" i="3"/>
  <c r="AI152" i="3"/>
  <c r="AK152" i="3"/>
  <c r="AM152" i="3"/>
  <c r="AO152" i="3"/>
  <c r="AQ152" i="3"/>
  <c r="AS152" i="3"/>
  <c r="AU152" i="3"/>
  <c r="AW152" i="3"/>
  <c r="AY152" i="3"/>
  <c r="BA152" i="3"/>
  <c r="BC152" i="3"/>
  <c r="BE152" i="3"/>
  <c r="BG152" i="3"/>
  <c r="O154" i="3"/>
  <c r="AC154" i="3"/>
  <c r="AY154" i="3"/>
  <c r="BC154" i="3"/>
  <c r="BE154" i="3"/>
  <c r="BG154" i="3"/>
  <c r="S155" i="3"/>
  <c r="AY155" i="3"/>
  <c r="BC155" i="3"/>
  <c r="BE155" i="3"/>
  <c r="BG155" i="3"/>
  <c r="S156" i="3"/>
  <c r="AY156" i="3"/>
  <c r="BE156" i="3"/>
  <c r="BG156" i="3"/>
  <c r="S157" i="3"/>
  <c r="AY157" i="3"/>
  <c r="BC157" i="3"/>
  <c r="BE157" i="3"/>
  <c r="BG157" i="3"/>
  <c r="S158" i="3"/>
  <c r="AQ158" i="3"/>
  <c r="AY158" i="3"/>
  <c r="BA158" i="3"/>
  <c r="BE158" i="3"/>
  <c r="BG158" i="3"/>
  <c r="K159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O161" i="3"/>
  <c r="S161" i="3"/>
  <c r="AY161" i="3"/>
  <c r="BC161" i="3"/>
  <c r="BE161" i="3"/>
  <c r="BG161" i="3"/>
  <c r="AA164" i="3"/>
  <c r="AC164" i="3"/>
  <c r="AE164" i="3"/>
  <c r="AG164" i="3"/>
  <c r="AI164" i="3"/>
  <c r="AY164" i="3"/>
  <c r="BE164" i="3"/>
  <c r="AY165" i="3"/>
  <c r="BE165" i="3"/>
  <c r="AC166" i="3"/>
  <c r="AI166" i="3"/>
  <c r="AK166" i="3"/>
  <c r="AY166" i="3"/>
  <c r="BE166" i="3"/>
  <c r="AC167" i="3"/>
  <c r="AG167" i="3"/>
  <c r="AY167" i="3"/>
  <c r="BE167" i="3"/>
  <c r="AY168" i="3"/>
  <c r="BE168" i="3"/>
  <c r="AY169" i="3"/>
  <c r="BE169" i="3"/>
  <c r="AY170" i="3"/>
  <c r="BE170" i="3"/>
  <c r="AY171" i="3"/>
  <c r="BE171" i="3"/>
  <c r="Q172" i="3"/>
  <c r="AY172" i="3"/>
  <c r="BE172" i="3"/>
  <c r="Q173" i="3"/>
  <c r="AY173" i="3"/>
  <c r="BE173" i="3"/>
  <c r="Q174" i="3"/>
  <c r="AY174" i="3"/>
  <c r="BE174" i="3"/>
  <c r="Q175" i="3"/>
  <c r="AK175" i="3"/>
  <c r="AY175" i="3"/>
  <c r="BE175" i="3"/>
  <c r="AY176" i="3"/>
  <c r="BE176" i="3"/>
  <c r="AY177" i="3"/>
  <c r="BE177" i="3"/>
  <c r="AC178" i="3"/>
  <c r="AG178" i="3"/>
  <c r="AI178" i="3"/>
  <c r="AK178" i="3"/>
  <c r="AY178" i="3"/>
  <c r="BE178" i="3"/>
  <c r="O179" i="3"/>
  <c r="Q179" i="3"/>
  <c r="S179" i="3"/>
  <c r="U179" i="3"/>
  <c r="W179" i="3"/>
  <c r="Y179" i="3"/>
  <c r="AA179" i="3"/>
  <c r="AC179" i="3"/>
  <c r="AE179" i="3"/>
  <c r="AG179" i="3"/>
  <c r="AI179" i="3"/>
  <c r="AK179" i="3"/>
  <c r="AM179" i="3"/>
  <c r="AO179" i="3"/>
  <c r="AQ179" i="3"/>
  <c r="AS179" i="3"/>
  <c r="AU179" i="3"/>
  <c r="AW179" i="3"/>
  <c r="AY179" i="3"/>
  <c r="BA179" i="3"/>
  <c r="BC179" i="3"/>
  <c r="BE179" i="3"/>
  <c r="BG179" i="3"/>
  <c r="Q182" i="3"/>
  <c r="AY182" i="3"/>
  <c r="BE182" i="3"/>
  <c r="AY183" i="3"/>
  <c r="BE183" i="3"/>
  <c r="Q184" i="3"/>
  <c r="AC184" i="3"/>
  <c r="AG184" i="3"/>
  <c r="AK184" i="3"/>
  <c r="AY184" i="3"/>
  <c r="BE184" i="3"/>
  <c r="Q185" i="3"/>
  <c r="U185" i="3"/>
  <c r="AC185" i="3"/>
  <c r="AK185" i="3"/>
  <c r="AY185" i="3"/>
  <c r="BE185" i="3"/>
  <c r="Q186" i="3"/>
  <c r="AY186" i="3"/>
  <c r="BE186" i="3"/>
  <c r="Q187" i="3"/>
  <c r="AY187" i="3"/>
  <c r="BE187" i="3"/>
  <c r="AA188" i="3"/>
  <c r="AC188" i="3"/>
  <c r="AY188" i="3"/>
  <c r="BE188" i="3"/>
  <c r="AY189" i="3"/>
  <c r="BE189" i="3"/>
  <c r="AY190" i="3"/>
  <c r="BE190" i="3"/>
  <c r="AY191" i="3"/>
  <c r="BE191" i="3"/>
  <c r="AC192" i="3"/>
  <c r="AG192" i="3"/>
  <c r="AK192" i="3"/>
  <c r="AM192" i="3"/>
  <c r="AY192" i="3"/>
  <c r="BE192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O195" i="3"/>
  <c r="AY195" i="3"/>
  <c r="BA195" i="3"/>
  <c r="BC195" i="3"/>
  <c r="BE195" i="3"/>
  <c r="BG195" i="3"/>
  <c r="K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K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K200" i="3"/>
  <c r="O200" i="3"/>
  <c r="BE200" i="3"/>
  <c r="O205" i="3"/>
  <c r="AY205" i="3"/>
  <c r="BC205" i="3"/>
  <c r="BE205" i="3"/>
  <c r="BG205" i="3"/>
  <c r="AY206" i="3"/>
  <c r="BE206" i="3"/>
  <c r="K207" i="3"/>
  <c r="M207" i="3"/>
  <c r="O207" i="3"/>
  <c r="AY207" i="3"/>
  <c r="BC207" i="3"/>
  <c r="BE207" i="3"/>
  <c r="BG207" i="3"/>
  <c r="K209" i="3"/>
  <c r="O209" i="3"/>
  <c r="BE209" i="3"/>
  <c r="BG211" i="3"/>
  <c r="O216" i="3"/>
  <c r="U216" i="3"/>
  <c r="W216" i="3"/>
  <c r="BE216" i="3"/>
  <c r="O220" i="3"/>
  <c r="U220" i="3"/>
  <c r="V220" i="3"/>
  <c r="W220" i="3"/>
  <c r="X220" i="3"/>
  <c r="Y220" i="3"/>
  <c r="Z220" i="3"/>
  <c r="BE220" i="3"/>
  <c r="O223" i="3"/>
  <c r="U223" i="3"/>
  <c r="V223" i="3"/>
  <c r="W223" i="3"/>
  <c r="X223" i="3"/>
  <c r="Y223" i="3"/>
  <c r="Z223" i="3"/>
  <c r="BE223" i="3"/>
  <c r="A1" i="2"/>
  <c r="A2" i="2"/>
  <c r="BC3" i="2"/>
  <c r="BG3" i="2"/>
  <c r="U7" i="2"/>
  <c r="W7" i="2"/>
  <c r="Y7" i="2"/>
  <c r="AA7" i="2"/>
  <c r="AC7" i="2"/>
  <c r="AE7" i="2"/>
  <c r="AG7" i="2"/>
  <c r="AI7" i="2"/>
  <c r="AK7" i="2"/>
  <c r="AM7" i="2"/>
  <c r="AO7" i="2"/>
  <c r="AQ7" i="2"/>
  <c r="AS7" i="2"/>
  <c r="AU7" i="2"/>
  <c r="AW7" i="2"/>
  <c r="AY7" i="2"/>
  <c r="BA7" i="2"/>
  <c r="O9" i="2"/>
  <c r="Q9" i="2"/>
  <c r="U9" i="2"/>
  <c r="AO9" i="2"/>
  <c r="AY9" i="2"/>
  <c r="BC9" i="2"/>
  <c r="BE9" i="2"/>
  <c r="BG9" i="2"/>
  <c r="K10" i="2"/>
  <c r="O10" i="2"/>
  <c r="AY10" i="2"/>
  <c r="BC10" i="2"/>
  <c r="BE10" i="2"/>
  <c r="BG10" i="2"/>
  <c r="O11" i="2"/>
  <c r="AY11" i="2"/>
  <c r="BC11" i="2"/>
  <c r="BE11" i="2"/>
  <c r="BG11" i="2"/>
  <c r="O12" i="2"/>
  <c r="AY12" i="2"/>
  <c r="BC12" i="2"/>
  <c r="BE12" i="2"/>
  <c r="BG12" i="2"/>
  <c r="O13" i="2"/>
  <c r="AY13" i="2"/>
  <c r="BC13" i="2"/>
  <c r="BE13" i="2"/>
  <c r="BG13" i="2"/>
  <c r="O14" i="2"/>
  <c r="AY14" i="2"/>
  <c r="BC14" i="2"/>
  <c r="BE14" i="2"/>
  <c r="BG14" i="2"/>
  <c r="O15" i="2"/>
  <c r="AY15" i="2"/>
  <c r="BC15" i="2"/>
  <c r="BE15" i="2"/>
  <c r="BG15" i="2"/>
  <c r="O16" i="2"/>
  <c r="AY16" i="2"/>
  <c r="BC16" i="2"/>
  <c r="BE16" i="2"/>
  <c r="BG16" i="2"/>
  <c r="O17" i="2"/>
  <c r="AY17" i="2"/>
  <c r="BE17" i="2"/>
  <c r="BG17" i="2"/>
  <c r="O18" i="2"/>
  <c r="AY18" i="2"/>
  <c r="BC18" i="2"/>
  <c r="BE18" i="2"/>
  <c r="BG18" i="2"/>
  <c r="AY19" i="2"/>
  <c r="BC19" i="2"/>
  <c r="BE19" i="2"/>
  <c r="BG19" i="2"/>
  <c r="O20" i="2"/>
  <c r="AY20" i="2"/>
  <c r="BC20" i="2"/>
  <c r="BE20" i="2"/>
  <c r="BG20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S21" i="2"/>
  <c r="AU21" i="2"/>
  <c r="AW21" i="2"/>
  <c r="AY21" i="2"/>
  <c r="BA21" i="2"/>
  <c r="BC21" i="2"/>
  <c r="BE21" i="2"/>
  <c r="BG21" i="2"/>
  <c r="O23" i="2"/>
  <c r="Q23" i="2"/>
  <c r="U23" i="2"/>
  <c r="AA23" i="2"/>
  <c r="AC23" i="2"/>
  <c r="AE23" i="2"/>
  <c r="AK23" i="2"/>
  <c r="AY23" i="2"/>
  <c r="BC23" i="2"/>
  <c r="BE23" i="2"/>
  <c r="BG23" i="2"/>
  <c r="O24" i="2"/>
  <c r="AK24" i="2"/>
  <c r="AY24" i="2"/>
  <c r="BC24" i="2"/>
  <c r="BE24" i="2"/>
  <c r="BG24" i="2"/>
  <c r="O25" i="2"/>
  <c r="AK25" i="2"/>
  <c r="AY25" i="2"/>
  <c r="BC25" i="2"/>
  <c r="BE25" i="2"/>
  <c r="BG25" i="2"/>
  <c r="O26" i="2"/>
  <c r="Q26" i="2"/>
  <c r="U26" i="2"/>
  <c r="AC26" i="2"/>
  <c r="AK26" i="2"/>
  <c r="AY26" i="2"/>
  <c r="BC26" i="2"/>
  <c r="BE26" i="2"/>
  <c r="BG26" i="2"/>
  <c r="O27" i="2"/>
  <c r="AY27" i="2"/>
  <c r="BE27" i="2"/>
  <c r="BG27" i="2"/>
  <c r="O28" i="2"/>
  <c r="AY28" i="2"/>
  <c r="BC28" i="2"/>
  <c r="BE28" i="2"/>
  <c r="BG28" i="2"/>
  <c r="O29" i="2"/>
  <c r="AY29" i="2"/>
  <c r="BE29" i="2"/>
  <c r="BG29" i="2"/>
  <c r="O30" i="2"/>
  <c r="AY30" i="2"/>
  <c r="BE30" i="2"/>
  <c r="BG30" i="2"/>
  <c r="O31" i="2"/>
  <c r="AY31" i="2"/>
  <c r="BE31" i="2"/>
  <c r="BG31" i="2"/>
  <c r="O32" i="2"/>
  <c r="AY32" i="2"/>
  <c r="BE32" i="2"/>
  <c r="BG32" i="2"/>
  <c r="O33" i="2"/>
  <c r="AC33" i="2"/>
  <c r="AY33" i="2"/>
  <c r="BC33" i="2"/>
  <c r="BE33" i="2"/>
  <c r="BG33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AM34" i="2"/>
  <c r="AO34" i="2"/>
  <c r="AQ34" i="2"/>
  <c r="AS34" i="2"/>
  <c r="AU34" i="2"/>
  <c r="AW34" i="2"/>
  <c r="AY34" i="2"/>
  <c r="BA34" i="2"/>
  <c r="BC34" i="2"/>
  <c r="BE34" i="2"/>
  <c r="BG34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AM36" i="2"/>
  <c r="AO36" i="2"/>
  <c r="AQ36" i="2"/>
  <c r="AS36" i="2"/>
  <c r="AU36" i="2"/>
  <c r="AW36" i="2"/>
  <c r="AY36" i="2"/>
  <c r="BA36" i="2"/>
  <c r="BC36" i="2"/>
  <c r="BE36" i="2"/>
  <c r="BG36" i="2"/>
  <c r="M39" i="2"/>
  <c r="O39" i="2"/>
  <c r="S39" i="2"/>
  <c r="AE39" i="2"/>
  <c r="AG39" i="2"/>
  <c r="AY39" i="2"/>
  <c r="BA39" i="2"/>
  <c r="BC39" i="2"/>
  <c r="BE39" i="2"/>
  <c r="BG39" i="2"/>
  <c r="O40" i="2"/>
  <c r="AY40" i="2"/>
  <c r="BC40" i="2"/>
  <c r="BE40" i="2"/>
  <c r="BG40" i="2"/>
  <c r="O41" i="2"/>
  <c r="AE41" i="2"/>
  <c r="AG41" i="2"/>
  <c r="AY41" i="2"/>
  <c r="BA41" i="2"/>
  <c r="BC41" i="2"/>
  <c r="BE41" i="2"/>
  <c r="BG41" i="2"/>
  <c r="M42" i="2"/>
  <c r="O42" i="2"/>
  <c r="S42" i="2"/>
  <c r="AE42" i="2"/>
  <c r="AG42" i="2"/>
  <c r="AY42" i="2"/>
  <c r="BA42" i="2"/>
  <c r="BC42" i="2"/>
  <c r="BE42" i="2"/>
  <c r="BG42" i="2"/>
  <c r="O43" i="2"/>
  <c r="AY43" i="2"/>
  <c r="BA43" i="2"/>
  <c r="BC43" i="2"/>
  <c r="BE43" i="2"/>
  <c r="BG43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AM44" i="2"/>
  <c r="AO44" i="2"/>
  <c r="AQ44" i="2"/>
  <c r="AS44" i="2"/>
  <c r="AU44" i="2"/>
  <c r="AW44" i="2"/>
  <c r="AY44" i="2"/>
  <c r="BA44" i="2"/>
  <c r="BC44" i="2"/>
  <c r="BE44" i="2"/>
  <c r="BG44" i="2"/>
  <c r="O48" i="2"/>
  <c r="AY48" i="2"/>
  <c r="BA48" i="2"/>
  <c r="BC48" i="2"/>
  <c r="BE48" i="2"/>
  <c r="BG48" i="2"/>
  <c r="O49" i="2"/>
  <c r="U49" i="2"/>
  <c r="AY49" i="2"/>
  <c r="BA49" i="2"/>
  <c r="BC49" i="2"/>
  <c r="BE49" i="2"/>
  <c r="BG49" i="2"/>
  <c r="O50" i="2"/>
  <c r="AY50" i="2"/>
  <c r="BA50" i="2"/>
  <c r="BC50" i="2"/>
  <c r="BE50" i="2"/>
  <c r="BG50" i="2"/>
  <c r="O51" i="2"/>
  <c r="W51" i="2"/>
  <c r="AY51" i="2"/>
  <c r="BA51" i="2"/>
  <c r="BC51" i="2"/>
  <c r="BE51" i="2"/>
  <c r="BG51" i="2"/>
  <c r="O52" i="2"/>
  <c r="AY52" i="2"/>
  <c r="BC52" i="2"/>
  <c r="BE52" i="2"/>
  <c r="BG52" i="2"/>
  <c r="O53" i="2"/>
  <c r="U53" i="2"/>
  <c r="AY53" i="2"/>
  <c r="BA53" i="2"/>
  <c r="BC53" i="2"/>
  <c r="BE53" i="2"/>
  <c r="BG53" i="2"/>
  <c r="O54" i="2"/>
  <c r="AY54" i="2"/>
  <c r="BA54" i="2"/>
  <c r="BC54" i="2"/>
  <c r="BE54" i="2"/>
  <c r="BG54" i="2"/>
  <c r="AY55" i="2"/>
  <c r="BA55" i="2"/>
  <c r="BC55" i="2"/>
  <c r="BE55" i="2"/>
  <c r="BG55" i="2"/>
  <c r="O56" i="2"/>
  <c r="AY56" i="2"/>
  <c r="BA56" i="2"/>
  <c r="BC56" i="2"/>
  <c r="BE56" i="2"/>
  <c r="BG56" i="2"/>
  <c r="O57" i="2"/>
  <c r="AY57" i="2"/>
  <c r="BC57" i="2"/>
  <c r="BE57" i="2"/>
  <c r="BG57" i="2"/>
  <c r="O58" i="2"/>
  <c r="AY58" i="2"/>
  <c r="BA58" i="2"/>
  <c r="BC58" i="2"/>
  <c r="BE58" i="2"/>
  <c r="BG58" i="2"/>
  <c r="O59" i="2"/>
  <c r="AY59" i="2"/>
  <c r="BA59" i="2"/>
  <c r="BC59" i="2"/>
  <c r="BE59" i="2"/>
  <c r="BG59" i="2"/>
  <c r="O60" i="2"/>
  <c r="AY60" i="2"/>
  <c r="BA60" i="2"/>
  <c r="BC60" i="2"/>
  <c r="BE60" i="2"/>
  <c r="BG60" i="2"/>
  <c r="O61" i="2"/>
  <c r="AY61" i="2"/>
  <c r="BA61" i="2"/>
  <c r="BC61" i="2"/>
  <c r="BE61" i="2"/>
  <c r="BG61" i="2"/>
  <c r="O62" i="2"/>
  <c r="AY62" i="2"/>
  <c r="BC62" i="2"/>
  <c r="BE62" i="2"/>
  <c r="BG62" i="2"/>
  <c r="O63" i="2"/>
  <c r="AY63" i="2"/>
  <c r="BA63" i="2"/>
  <c r="BC63" i="2"/>
  <c r="BE63" i="2"/>
  <c r="BG63" i="2"/>
  <c r="O64" i="2"/>
  <c r="AY64" i="2"/>
  <c r="BC64" i="2"/>
  <c r="BE64" i="2"/>
  <c r="BG64" i="2"/>
  <c r="O65" i="2"/>
  <c r="AY65" i="2"/>
  <c r="BA65" i="2"/>
  <c r="BC65" i="2"/>
  <c r="BE65" i="2"/>
  <c r="BG65" i="2"/>
  <c r="O66" i="2"/>
  <c r="AY66" i="2"/>
  <c r="BA66" i="2"/>
  <c r="BC66" i="2"/>
  <c r="BE66" i="2"/>
  <c r="BG66" i="2"/>
  <c r="O67" i="2"/>
  <c r="AY67" i="2"/>
  <c r="BA67" i="2"/>
  <c r="BC67" i="2"/>
  <c r="BE67" i="2"/>
  <c r="BG67" i="2"/>
  <c r="O68" i="2"/>
  <c r="AY68" i="2"/>
  <c r="BA68" i="2"/>
  <c r="BC68" i="2"/>
  <c r="BE68" i="2"/>
  <c r="BG68" i="2"/>
  <c r="O69" i="2"/>
  <c r="AY69" i="2"/>
  <c r="BA69" i="2"/>
  <c r="BC69" i="2"/>
  <c r="BE69" i="2"/>
  <c r="BG69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AM70" i="2"/>
  <c r="AO70" i="2"/>
  <c r="AQ70" i="2"/>
  <c r="AS70" i="2"/>
  <c r="AU70" i="2"/>
  <c r="AW70" i="2"/>
  <c r="AY70" i="2"/>
  <c r="BA70" i="2"/>
  <c r="BC70" i="2"/>
  <c r="BE70" i="2"/>
  <c r="BG70" i="2"/>
  <c r="BG72" i="2"/>
  <c r="O73" i="2"/>
  <c r="AG73" i="2"/>
  <c r="AY73" i="2"/>
  <c r="BA73" i="2"/>
  <c r="BC73" i="2"/>
  <c r="BE73" i="2"/>
  <c r="BG73" i="2"/>
  <c r="O74" i="2"/>
  <c r="AG74" i="2"/>
  <c r="AY74" i="2"/>
  <c r="BA74" i="2"/>
  <c r="BC74" i="2"/>
  <c r="BE74" i="2"/>
  <c r="BG74" i="2"/>
  <c r="O75" i="2"/>
  <c r="Y75" i="2"/>
  <c r="AC75" i="2"/>
  <c r="AG75" i="2"/>
  <c r="AY75" i="2"/>
  <c r="BA75" i="2"/>
  <c r="BC75" i="2"/>
  <c r="BE75" i="2"/>
  <c r="BG75" i="2"/>
  <c r="O76" i="2"/>
  <c r="Y76" i="2"/>
  <c r="AG76" i="2"/>
  <c r="AY76" i="2"/>
  <c r="BA76" i="2"/>
  <c r="BC76" i="2"/>
  <c r="BE76" i="2"/>
  <c r="BG76" i="2"/>
  <c r="O77" i="2"/>
  <c r="Y77" i="2"/>
  <c r="AG77" i="2"/>
  <c r="AY77" i="2"/>
  <c r="BA77" i="2"/>
  <c r="BC77" i="2"/>
  <c r="BE77" i="2"/>
  <c r="BG77" i="2"/>
  <c r="O78" i="2"/>
  <c r="AG78" i="2"/>
  <c r="AY78" i="2"/>
  <c r="BA78" i="2"/>
  <c r="BC78" i="2"/>
  <c r="BE78" i="2"/>
  <c r="BG78" i="2"/>
  <c r="O79" i="2"/>
  <c r="AG79" i="2"/>
  <c r="AY79" i="2"/>
  <c r="BA79" i="2"/>
  <c r="BC79" i="2"/>
  <c r="BE79" i="2"/>
  <c r="BG79" i="2"/>
  <c r="O80" i="2"/>
  <c r="AY80" i="2"/>
  <c r="BA80" i="2"/>
  <c r="BC80" i="2"/>
  <c r="BE80" i="2"/>
  <c r="BG80" i="2"/>
  <c r="O81" i="2"/>
  <c r="AG81" i="2"/>
  <c r="AY81" i="2"/>
  <c r="BA81" i="2"/>
  <c r="BC81" i="2"/>
  <c r="BE81" i="2"/>
  <c r="BG81" i="2"/>
  <c r="O82" i="2"/>
  <c r="AY82" i="2"/>
  <c r="BC82" i="2"/>
  <c r="BE82" i="2"/>
  <c r="BG82" i="2"/>
  <c r="O83" i="2"/>
  <c r="AG83" i="2"/>
  <c r="AI83" i="2"/>
  <c r="AY83" i="2"/>
  <c r="BA83" i="2"/>
  <c r="BC83" i="2"/>
  <c r="BE83" i="2"/>
  <c r="BG83" i="2"/>
  <c r="O84" i="2"/>
  <c r="AY84" i="2"/>
  <c r="BA84" i="2"/>
  <c r="BC84" i="2"/>
  <c r="BE84" i="2"/>
  <c r="BG84" i="2"/>
  <c r="O85" i="2"/>
  <c r="AG85" i="2"/>
  <c r="AY85" i="2"/>
  <c r="BA85" i="2"/>
  <c r="BC85" i="2"/>
  <c r="BE85" i="2"/>
  <c r="BG85" i="2"/>
  <c r="O86" i="2"/>
  <c r="AY86" i="2"/>
  <c r="BC86" i="2"/>
  <c r="BE86" i="2"/>
  <c r="BG86" i="2"/>
  <c r="O87" i="2"/>
  <c r="AG87" i="2"/>
  <c r="AI87" i="2"/>
  <c r="AY87" i="2"/>
  <c r="BA87" i="2"/>
  <c r="BC87" i="2"/>
  <c r="BE87" i="2"/>
  <c r="BG87" i="2"/>
  <c r="O88" i="2"/>
  <c r="AY88" i="2"/>
  <c r="BA88" i="2"/>
  <c r="BC88" i="2"/>
  <c r="BE88" i="2"/>
  <c r="BG88" i="2"/>
  <c r="O89" i="2"/>
  <c r="AG89" i="2"/>
  <c r="AY89" i="2"/>
  <c r="BA89" i="2"/>
  <c r="BC89" i="2"/>
  <c r="BE89" i="2"/>
  <c r="BG89" i="2"/>
  <c r="O90" i="2"/>
  <c r="AG90" i="2"/>
  <c r="AI90" i="2"/>
  <c r="AY90" i="2"/>
  <c r="BA90" i="2"/>
  <c r="BC90" i="2"/>
  <c r="BE90" i="2"/>
  <c r="BG90" i="2"/>
  <c r="O91" i="2"/>
  <c r="AY91" i="2"/>
  <c r="BA91" i="2"/>
  <c r="BC91" i="2"/>
  <c r="BE91" i="2"/>
  <c r="BG91" i="2"/>
  <c r="O92" i="2"/>
  <c r="AY92" i="2"/>
  <c r="BA92" i="2"/>
  <c r="BC92" i="2"/>
  <c r="BE92" i="2"/>
  <c r="BG92" i="2"/>
  <c r="O93" i="2"/>
  <c r="AY93" i="2"/>
  <c r="BC93" i="2"/>
  <c r="BE93" i="2"/>
  <c r="BG93" i="2"/>
  <c r="O94" i="2"/>
  <c r="Y94" i="2"/>
  <c r="AG94" i="2"/>
  <c r="AY94" i="2"/>
  <c r="BA94" i="2"/>
  <c r="BC94" i="2"/>
  <c r="BE94" i="2"/>
  <c r="BG94" i="2"/>
  <c r="O95" i="2"/>
  <c r="U95" i="2"/>
  <c r="W95" i="2"/>
  <c r="Y95" i="2"/>
  <c r="AG95" i="2"/>
  <c r="AY95" i="2"/>
  <c r="BA95" i="2"/>
  <c r="BC95" i="2"/>
  <c r="BE95" i="2"/>
  <c r="BG95" i="2"/>
  <c r="O96" i="2"/>
  <c r="AY96" i="2"/>
  <c r="BA96" i="2"/>
  <c r="BC96" i="2"/>
  <c r="BE96" i="2"/>
  <c r="BG96" i="2"/>
  <c r="AM97" i="2"/>
  <c r="AY97" i="2"/>
  <c r="BC97" i="2"/>
  <c r="BE97" i="2"/>
  <c r="BG97" i="2"/>
  <c r="K98" i="2"/>
  <c r="M98" i="2"/>
  <c r="O98" i="2"/>
  <c r="Q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BC98" i="2"/>
  <c r="BE98" i="2"/>
  <c r="BG98" i="2"/>
  <c r="O101" i="2"/>
  <c r="Y101" i="2"/>
  <c r="AG101" i="2"/>
  <c r="AY101" i="2"/>
  <c r="BA101" i="2"/>
  <c r="BC101" i="2"/>
  <c r="BE101" i="2"/>
  <c r="BG101" i="2"/>
  <c r="O102" i="2"/>
  <c r="Y102" i="2"/>
  <c r="AG102" i="2"/>
  <c r="AY102" i="2"/>
  <c r="BA102" i="2"/>
  <c r="BC102" i="2"/>
  <c r="BE102" i="2"/>
  <c r="BG102" i="2"/>
  <c r="O103" i="2"/>
  <c r="Y103" i="2"/>
  <c r="AG103" i="2"/>
  <c r="AY103" i="2"/>
  <c r="BA103" i="2"/>
  <c r="BC103" i="2"/>
  <c r="BE103" i="2"/>
  <c r="BG103" i="2"/>
  <c r="K104" i="2"/>
  <c r="O104" i="2"/>
  <c r="Y104" i="2"/>
  <c r="AG104" i="2"/>
  <c r="AI104" i="2"/>
  <c r="AK104" i="2"/>
  <c r="AY104" i="2"/>
  <c r="BA104" i="2"/>
  <c r="BC104" i="2"/>
  <c r="BE104" i="2"/>
  <c r="BG104" i="2"/>
  <c r="O105" i="2"/>
  <c r="Y105" i="2"/>
  <c r="AG105" i="2"/>
  <c r="AI105" i="2"/>
  <c r="AY105" i="2"/>
  <c r="BA105" i="2"/>
  <c r="BC105" i="2"/>
  <c r="BE105" i="2"/>
  <c r="BG105" i="2"/>
  <c r="K106" i="2"/>
  <c r="M106" i="2"/>
  <c r="O106" i="2"/>
  <c r="Q106" i="2"/>
  <c r="S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BC106" i="2"/>
  <c r="BE106" i="2"/>
  <c r="BG106" i="2"/>
  <c r="O108" i="2"/>
  <c r="Y108" i="2"/>
  <c r="AG108" i="2"/>
  <c r="AY108" i="2"/>
  <c r="BA108" i="2"/>
  <c r="BC108" i="2"/>
  <c r="BE108" i="2"/>
  <c r="BG108" i="2"/>
  <c r="BC111" i="2"/>
  <c r="BE111" i="2"/>
  <c r="BG111" i="2"/>
  <c r="AY112" i="2"/>
  <c r="BC112" i="2"/>
  <c r="BE112" i="2"/>
  <c r="BG112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AI113" i="2"/>
  <c r="AK113" i="2"/>
  <c r="AM113" i="2"/>
  <c r="AO113" i="2"/>
  <c r="AQ113" i="2"/>
  <c r="AS113" i="2"/>
  <c r="AU113" i="2"/>
  <c r="AW113" i="2"/>
  <c r="AY113" i="2"/>
  <c r="BA113" i="2"/>
  <c r="BC113" i="2"/>
  <c r="BE113" i="2"/>
  <c r="BG113" i="2"/>
  <c r="O115" i="2"/>
  <c r="BC115" i="2"/>
  <c r="BE115" i="2"/>
  <c r="BG115" i="2"/>
  <c r="K117" i="2"/>
  <c r="M117" i="2"/>
  <c r="O117" i="2"/>
  <c r="Q117" i="2"/>
  <c r="S117" i="2"/>
  <c r="U117" i="2"/>
  <c r="W117" i="2"/>
  <c r="Y117" i="2"/>
  <c r="AA117" i="2"/>
  <c r="AC117" i="2"/>
  <c r="AE117" i="2"/>
  <c r="AG117" i="2"/>
  <c r="AI117" i="2"/>
  <c r="AK117" i="2"/>
  <c r="AM117" i="2"/>
  <c r="AO117" i="2"/>
  <c r="AQ117" i="2"/>
  <c r="AS117" i="2"/>
  <c r="AU117" i="2"/>
  <c r="AW117" i="2"/>
  <c r="AY117" i="2"/>
  <c r="BA117" i="2"/>
  <c r="BC117" i="2"/>
  <c r="BE117" i="2"/>
  <c r="BG117" i="2"/>
  <c r="K119" i="2"/>
  <c r="M119" i="2"/>
  <c r="O119" i="2"/>
  <c r="Q119" i="2"/>
  <c r="S119" i="2"/>
  <c r="U119" i="2"/>
  <c r="W119" i="2"/>
  <c r="Y119" i="2"/>
  <c r="AA119" i="2"/>
  <c r="AC119" i="2"/>
  <c r="AE119" i="2"/>
  <c r="AG119" i="2"/>
  <c r="AI119" i="2"/>
  <c r="AK119" i="2"/>
  <c r="AM119" i="2"/>
  <c r="AO119" i="2"/>
  <c r="AQ119" i="2"/>
  <c r="AS119" i="2"/>
  <c r="AU119" i="2"/>
  <c r="AW119" i="2"/>
  <c r="AY119" i="2"/>
  <c r="BA119" i="2"/>
  <c r="BC119" i="2"/>
  <c r="BE119" i="2"/>
  <c r="BG119" i="2"/>
  <c r="O121" i="2"/>
  <c r="AY121" i="2"/>
  <c r="BA121" i="2"/>
  <c r="BC121" i="2"/>
  <c r="BE121" i="2"/>
  <c r="BG121" i="2"/>
  <c r="O122" i="2"/>
  <c r="AY122" i="2"/>
  <c r="BA122" i="2"/>
  <c r="BC122" i="2"/>
  <c r="BE122" i="2"/>
  <c r="BG122" i="2"/>
  <c r="K123" i="2"/>
  <c r="M123" i="2"/>
  <c r="O123" i="2"/>
  <c r="Q123" i="2"/>
  <c r="S123" i="2"/>
  <c r="U123" i="2"/>
  <c r="W123" i="2"/>
  <c r="Y123" i="2"/>
  <c r="AA123" i="2"/>
  <c r="AC123" i="2"/>
  <c r="AE123" i="2"/>
  <c r="AG123" i="2"/>
  <c r="AI123" i="2"/>
  <c r="AK123" i="2"/>
  <c r="AM123" i="2"/>
  <c r="AO123" i="2"/>
  <c r="AQ123" i="2"/>
  <c r="AS123" i="2"/>
  <c r="AU123" i="2"/>
  <c r="AW123" i="2"/>
  <c r="AY123" i="2"/>
  <c r="BA123" i="2"/>
  <c r="BC123" i="2"/>
  <c r="BE123" i="2"/>
  <c r="BG123" i="2"/>
  <c r="O125" i="2"/>
  <c r="AI125" i="2"/>
  <c r="AY125" i="2"/>
  <c r="BC125" i="2"/>
  <c r="BE125" i="2"/>
  <c r="BG125" i="2"/>
  <c r="K127" i="2"/>
  <c r="O127" i="2"/>
  <c r="Q127" i="2"/>
  <c r="AY127" i="2"/>
  <c r="BC127" i="2"/>
  <c r="BE127" i="2"/>
  <c r="BG127" i="2"/>
  <c r="O128" i="2"/>
  <c r="AY128" i="2"/>
  <c r="BC128" i="2"/>
  <c r="BE128" i="2"/>
  <c r="BG128" i="2"/>
  <c r="K129" i="2"/>
  <c r="O129" i="2"/>
  <c r="AY129" i="2"/>
  <c r="BC129" i="2"/>
  <c r="BE129" i="2"/>
  <c r="BG129" i="2"/>
  <c r="O130" i="2"/>
  <c r="AY130" i="2"/>
  <c r="BC130" i="2"/>
  <c r="BE130" i="2"/>
  <c r="BG130" i="2"/>
  <c r="O131" i="2"/>
  <c r="AY131" i="2"/>
  <c r="BC131" i="2"/>
  <c r="BE131" i="2"/>
  <c r="BG131" i="2"/>
  <c r="O132" i="2"/>
  <c r="AY132" i="2"/>
  <c r="BC132" i="2"/>
  <c r="BE132" i="2"/>
  <c r="BG132" i="2"/>
  <c r="O133" i="2"/>
  <c r="AY133" i="2"/>
  <c r="BC133" i="2"/>
  <c r="BE133" i="2"/>
  <c r="BG133" i="2"/>
  <c r="K134" i="2"/>
  <c r="O134" i="2"/>
  <c r="AY134" i="2"/>
  <c r="BC134" i="2"/>
  <c r="BE134" i="2"/>
  <c r="BG134" i="2"/>
  <c r="O135" i="2"/>
  <c r="AY135" i="2"/>
  <c r="BC135" i="2"/>
  <c r="BE135" i="2"/>
  <c r="BG135" i="2"/>
  <c r="K136" i="2"/>
  <c r="M136" i="2"/>
  <c r="O136" i="2"/>
  <c r="Q136" i="2"/>
  <c r="S136" i="2"/>
  <c r="U136" i="2"/>
  <c r="W136" i="2"/>
  <c r="Y136" i="2"/>
  <c r="AA136" i="2"/>
  <c r="AC136" i="2"/>
  <c r="AE136" i="2"/>
  <c r="AG136" i="2"/>
  <c r="AI136" i="2"/>
  <c r="AK136" i="2"/>
  <c r="AM136" i="2"/>
  <c r="AO136" i="2"/>
  <c r="AQ136" i="2"/>
  <c r="AS136" i="2"/>
  <c r="AU136" i="2"/>
  <c r="AW136" i="2"/>
  <c r="AY136" i="2"/>
  <c r="BA136" i="2"/>
  <c r="BC136" i="2"/>
  <c r="BE136" i="2"/>
  <c r="BG136" i="2"/>
  <c r="O138" i="2"/>
  <c r="S138" i="2"/>
  <c r="AY138" i="2"/>
  <c r="BC138" i="2"/>
  <c r="BE138" i="2"/>
  <c r="BG138" i="2"/>
  <c r="AY139" i="2"/>
  <c r="O141" i="2"/>
  <c r="AY141" i="2"/>
  <c r="BC141" i="2"/>
  <c r="BE141" i="2"/>
  <c r="BG141" i="2"/>
  <c r="O144" i="2"/>
  <c r="AA144" i="2"/>
  <c r="AI144" i="2"/>
  <c r="AY144" i="2"/>
  <c r="BC144" i="2"/>
  <c r="BE144" i="2"/>
  <c r="BG144" i="2"/>
  <c r="K145" i="2"/>
  <c r="O145" i="2"/>
  <c r="AK145" i="2"/>
  <c r="AY145" i="2"/>
  <c r="BC145" i="2"/>
  <c r="BE145" i="2"/>
  <c r="BG145" i="2"/>
  <c r="O146" i="2"/>
  <c r="AY146" i="2"/>
  <c r="BC146" i="2"/>
  <c r="BE146" i="2"/>
  <c r="BG146" i="2"/>
  <c r="M147" i="2"/>
  <c r="O147" i="2"/>
  <c r="AY147" i="2"/>
  <c r="BC147" i="2"/>
  <c r="BE147" i="2"/>
  <c r="BG147" i="2"/>
  <c r="K148" i="2"/>
  <c r="M148" i="2"/>
  <c r="O148" i="2"/>
  <c r="Q148" i="2"/>
  <c r="S148" i="2"/>
  <c r="U148" i="2"/>
  <c r="W148" i="2"/>
  <c r="Y148" i="2"/>
  <c r="AA148" i="2"/>
  <c r="AC148" i="2"/>
  <c r="AE148" i="2"/>
  <c r="AG148" i="2"/>
  <c r="AI148" i="2"/>
  <c r="AK148" i="2"/>
  <c r="AM148" i="2"/>
  <c r="AO148" i="2"/>
  <c r="AQ148" i="2"/>
  <c r="AS148" i="2"/>
  <c r="AU148" i="2"/>
  <c r="AW148" i="2"/>
  <c r="AY148" i="2"/>
  <c r="BA148" i="2"/>
  <c r="BC148" i="2"/>
  <c r="BE148" i="2"/>
  <c r="BG148" i="2"/>
  <c r="O150" i="2"/>
  <c r="U150" i="2"/>
  <c r="AG150" i="2"/>
  <c r="AY150" i="2"/>
  <c r="BA150" i="2"/>
  <c r="BC150" i="2"/>
  <c r="BE150" i="2"/>
  <c r="BG150" i="2"/>
  <c r="O152" i="2"/>
  <c r="U152" i="2"/>
  <c r="AY152" i="2"/>
  <c r="BC152" i="2"/>
  <c r="BE152" i="2"/>
  <c r="BG152" i="2"/>
  <c r="O154" i="2"/>
  <c r="W154" i="2"/>
  <c r="AC154" i="2"/>
  <c r="AE154" i="2"/>
  <c r="AY154" i="2"/>
  <c r="BE154" i="2"/>
  <c r="BG154" i="2"/>
  <c r="M156" i="2"/>
  <c r="O156" i="2"/>
  <c r="Q156" i="2"/>
  <c r="S156" i="2"/>
  <c r="U156" i="2"/>
  <c r="W156" i="2"/>
  <c r="Y156" i="2"/>
  <c r="AC156" i="2"/>
  <c r="AE156" i="2"/>
  <c r="AY156" i="2"/>
  <c r="BC156" i="2"/>
  <c r="BE156" i="2"/>
  <c r="BG156" i="2"/>
  <c r="O157" i="2"/>
  <c r="AA157" i="2"/>
  <c r="AY157" i="2"/>
  <c r="BE157" i="2"/>
  <c r="BG157" i="2"/>
  <c r="M158" i="2"/>
  <c r="O158" i="2"/>
  <c r="AY158" i="2"/>
  <c r="BC158" i="2"/>
  <c r="BE158" i="2"/>
  <c r="BG158" i="2"/>
  <c r="M159" i="2"/>
  <c r="O159" i="2"/>
  <c r="Y159" i="2"/>
  <c r="AA159" i="2"/>
  <c r="AY159" i="2"/>
  <c r="BC159" i="2"/>
  <c r="BE159" i="2"/>
  <c r="BG159" i="2"/>
  <c r="K161" i="2"/>
  <c r="M161" i="2"/>
  <c r="O161" i="2"/>
  <c r="Q161" i="2"/>
  <c r="S161" i="2"/>
  <c r="U161" i="2"/>
  <c r="W161" i="2"/>
  <c r="Y161" i="2"/>
  <c r="AA161" i="2"/>
  <c r="AC161" i="2"/>
  <c r="AD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BC161" i="2"/>
  <c r="BE161" i="2"/>
  <c r="BG161" i="2"/>
  <c r="O163" i="2"/>
  <c r="AC163" i="2"/>
  <c r="AY163" i="2"/>
  <c r="BC163" i="2"/>
  <c r="BE163" i="2"/>
  <c r="BG163" i="2"/>
  <c r="S164" i="2"/>
  <c r="AY164" i="2"/>
  <c r="BC164" i="2"/>
  <c r="BE164" i="2"/>
  <c r="BG164" i="2"/>
  <c r="S165" i="2"/>
  <c r="AY165" i="2"/>
  <c r="BE165" i="2"/>
  <c r="BG165" i="2"/>
  <c r="S166" i="2"/>
  <c r="AY166" i="2"/>
  <c r="BC166" i="2"/>
  <c r="BE166" i="2"/>
  <c r="BG166" i="2"/>
  <c r="AY167" i="2"/>
  <c r="BC167" i="2"/>
  <c r="BE167" i="2"/>
  <c r="BG167" i="2"/>
  <c r="S168" i="2"/>
  <c r="AQ168" i="2"/>
  <c r="AY168" i="2"/>
  <c r="BA168" i="2"/>
  <c r="BE168" i="2"/>
  <c r="BG168" i="2"/>
  <c r="K169" i="2"/>
  <c r="M169" i="2"/>
  <c r="O169" i="2"/>
  <c r="Q169" i="2"/>
  <c r="S169" i="2"/>
  <c r="U169" i="2"/>
  <c r="W169" i="2"/>
  <c r="Y169" i="2"/>
  <c r="AA169" i="2"/>
  <c r="AC169" i="2"/>
  <c r="AE169" i="2"/>
  <c r="AG169" i="2"/>
  <c r="AI169" i="2"/>
  <c r="AK169" i="2"/>
  <c r="AM169" i="2"/>
  <c r="AO169" i="2"/>
  <c r="AQ169" i="2"/>
  <c r="AS169" i="2"/>
  <c r="AU169" i="2"/>
  <c r="AW169" i="2"/>
  <c r="AY169" i="2"/>
  <c r="BA169" i="2"/>
  <c r="BC169" i="2"/>
  <c r="BE169" i="2"/>
  <c r="BG169" i="2"/>
  <c r="S171" i="2"/>
  <c r="AY171" i="2"/>
  <c r="BC171" i="2"/>
  <c r="BE171" i="2"/>
  <c r="BG171" i="2"/>
  <c r="BE173" i="2"/>
  <c r="U174" i="2"/>
  <c r="W174" i="2"/>
  <c r="AA174" i="2"/>
  <c r="AE174" i="2"/>
  <c r="AG174" i="2"/>
  <c r="AY174" i="2"/>
  <c r="BE174" i="2"/>
  <c r="AY175" i="2"/>
  <c r="BE175" i="2"/>
  <c r="Q176" i="2"/>
  <c r="AC176" i="2"/>
  <c r="AK176" i="2"/>
  <c r="AY176" i="2"/>
  <c r="BE176" i="2"/>
  <c r="U177" i="2"/>
  <c r="AC177" i="2"/>
  <c r="AG177" i="2"/>
  <c r="AY177" i="2"/>
  <c r="BE177" i="2"/>
  <c r="AY178" i="2"/>
  <c r="BE178" i="2"/>
  <c r="AY179" i="2"/>
  <c r="BE179" i="2"/>
  <c r="AY180" i="2"/>
  <c r="BE180" i="2"/>
  <c r="Q181" i="2"/>
  <c r="AY181" i="2"/>
  <c r="BE181" i="2"/>
  <c r="AC182" i="2"/>
  <c r="AE182" i="2"/>
  <c r="AG182" i="2"/>
  <c r="AI182" i="2"/>
  <c r="AO182" i="2"/>
  <c r="AY182" i="2"/>
  <c r="BE182" i="2"/>
  <c r="Q183" i="2"/>
  <c r="AK183" i="2"/>
  <c r="AY183" i="2"/>
  <c r="BE183" i="2"/>
  <c r="O184" i="2"/>
  <c r="Q184" i="2"/>
  <c r="S184" i="2"/>
  <c r="U184" i="2"/>
  <c r="W184" i="2"/>
  <c r="Y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BC184" i="2"/>
  <c r="BE184" i="2"/>
  <c r="BG184" i="2"/>
  <c r="Q187" i="2"/>
  <c r="AC187" i="2"/>
  <c r="AG187" i="2"/>
  <c r="AK187" i="2"/>
  <c r="AY187" i="2"/>
  <c r="BE187" i="2"/>
  <c r="AY188" i="2"/>
  <c r="BE188" i="2"/>
  <c r="Q189" i="2"/>
  <c r="AY189" i="2"/>
  <c r="BE189" i="2"/>
  <c r="Q190" i="2"/>
  <c r="AC190" i="2"/>
  <c r="AK190" i="2"/>
  <c r="AY190" i="2"/>
  <c r="BE190" i="2"/>
  <c r="AY191" i="2"/>
  <c r="BE191" i="2"/>
  <c r="AC192" i="2"/>
  <c r="AG192" i="2"/>
  <c r="AK192" i="2"/>
  <c r="AM192" i="2"/>
  <c r="AO192" i="2"/>
  <c r="AY192" i="2"/>
  <c r="BE192" i="2"/>
  <c r="O193" i="2"/>
  <c r="Q193" i="2"/>
  <c r="S193" i="2"/>
  <c r="U193" i="2"/>
  <c r="V193" i="2"/>
  <c r="W193" i="2"/>
  <c r="X193" i="2"/>
  <c r="Y193" i="2"/>
  <c r="Z193" i="2"/>
  <c r="AA193" i="2"/>
  <c r="AB193" i="2"/>
  <c r="AC193" i="2"/>
  <c r="AD193" i="2"/>
  <c r="AE193" i="2"/>
  <c r="AG193" i="2"/>
  <c r="AI193" i="2"/>
  <c r="AK193" i="2"/>
  <c r="AM193" i="2"/>
  <c r="AO193" i="2"/>
  <c r="AQ193" i="2"/>
  <c r="AR193" i="2"/>
  <c r="AS193" i="2"/>
  <c r="AT193" i="2"/>
  <c r="AU193" i="2"/>
  <c r="AV193" i="2"/>
  <c r="AW193" i="2"/>
  <c r="AX193" i="2"/>
  <c r="AY193" i="2"/>
  <c r="BA193" i="2"/>
  <c r="BC193" i="2"/>
  <c r="BE193" i="2"/>
  <c r="BG193" i="2"/>
  <c r="O195" i="2"/>
  <c r="AE195" i="2"/>
  <c r="AY195" i="2"/>
  <c r="BA195" i="2"/>
  <c r="BC195" i="2"/>
  <c r="BE195" i="2"/>
  <c r="BG195" i="2"/>
  <c r="K197" i="2"/>
  <c r="M197" i="2"/>
  <c r="O197" i="2"/>
  <c r="Q197" i="2"/>
  <c r="S197" i="2"/>
  <c r="U197" i="2"/>
  <c r="W197" i="2"/>
  <c r="Y197" i="2"/>
  <c r="AA197" i="2"/>
  <c r="AC197" i="2"/>
  <c r="AE197" i="2"/>
  <c r="AG197" i="2"/>
  <c r="AI197" i="2"/>
  <c r="AK197" i="2"/>
  <c r="AM197" i="2"/>
  <c r="AO197" i="2"/>
  <c r="AQ197" i="2"/>
  <c r="AS197" i="2"/>
  <c r="AU197" i="2"/>
  <c r="AW197" i="2"/>
  <c r="AY197" i="2"/>
  <c r="BA197" i="2"/>
  <c r="BC197" i="2"/>
  <c r="BE197" i="2"/>
  <c r="BG197" i="2"/>
  <c r="K199" i="2"/>
  <c r="M199" i="2"/>
  <c r="O199" i="2"/>
  <c r="Q199" i="2"/>
  <c r="S199" i="2"/>
  <c r="U199" i="2"/>
  <c r="W199" i="2"/>
  <c r="Y199" i="2"/>
  <c r="AA199" i="2"/>
  <c r="AC199" i="2"/>
  <c r="AE199" i="2"/>
  <c r="AG199" i="2"/>
  <c r="AI199" i="2"/>
  <c r="AK199" i="2"/>
  <c r="AM199" i="2"/>
  <c r="AO199" i="2"/>
  <c r="AQ199" i="2"/>
  <c r="AS199" i="2"/>
  <c r="AU199" i="2"/>
  <c r="AW199" i="2"/>
  <c r="AY199" i="2"/>
  <c r="BA199" i="2"/>
  <c r="BC199" i="2"/>
  <c r="BE199" i="2"/>
  <c r="BG199" i="2"/>
  <c r="K201" i="2"/>
  <c r="O201" i="2"/>
  <c r="BE201" i="2"/>
  <c r="O206" i="2"/>
  <c r="AY206" i="2"/>
  <c r="BC206" i="2"/>
  <c r="BE206" i="2"/>
  <c r="BG206" i="2"/>
  <c r="AY207" i="2"/>
  <c r="BE207" i="2"/>
  <c r="K208" i="2"/>
  <c r="M208" i="2"/>
  <c r="O208" i="2"/>
  <c r="AY208" i="2"/>
  <c r="BC208" i="2"/>
  <c r="BE208" i="2"/>
  <c r="BG208" i="2"/>
  <c r="K210" i="2"/>
  <c r="O210" i="2"/>
  <c r="BE210" i="2"/>
  <c r="BG212" i="2"/>
  <c r="O217" i="2"/>
  <c r="BE217" i="2"/>
  <c r="O221" i="2"/>
  <c r="Q221" i="2"/>
  <c r="S221" i="2"/>
  <c r="BE221" i="2"/>
  <c r="O224" i="2"/>
  <c r="BE224" i="2"/>
  <c r="G6" i="6"/>
  <c r="G7" i="6"/>
  <c r="G8" i="6"/>
  <c r="G10" i="6"/>
  <c r="G12" i="6"/>
  <c r="C14" i="6"/>
  <c r="E14" i="6"/>
  <c r="G14" i="6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A1" i="4"/>
  <c r="A2" i="4"/>
  <c r="BC3" i="4"/>
  <c r="BG3" i="4"/>
  <c r="U7" i="4"/>
  <c r="W7" i="4"/>
  <c r="Y7" i="4"/>
  <c r="AA7" i="4"/>
  <c r="AC7" i="4"/>
  <c r="AE7" i="4"/>
  <c r="AG7" i="4"/>
  <c r="AI7" i="4"/>
  <c r="AK7" i="4"/>
  <c r="AM7" i="4"/>
  <c r="AO7" i="4"/>
  <c r="AQ7" i="4"/>
  <c r="AS7" i="4"/>
  <c r="AU7" i="4"/>
  <c r="AW7" i="4"/>
  <c r="AY7" i="4"/>
  <c r="BA7" i="4"/>
  <c r="O9" i="4"/>
  <c r="Q9" i="4"/>
  <c r="AY9" i="4"/>
  <c r="BC9" i="4"/>
  <c r="BE9" i="4"/>
  <c r="BG9" i="4"/>
  <c r="BK9" i="4"/>
  <c r="O10" i="4"/>
  <c r="Q10" i="4"/>
  <c r="AY10" i="4"/>
  <c r="BC10" i="4"/>
  <c r="BE10" i="4"/>
  <c r="BG10" i="4"/>
  <c r="BK10" i="4"/>
  <c r="K11" i="4"/>
  <c r="O11" i="4"/>
  <c r="Q11" i="4"/>
  <c r="AY11" i="4"/>
  <c r="BC11" i="4"/>
  <c r="BE11" i="4"/>
  <c r="BG11" i="4"/>
  <c r="BK11" i="4"/>
  <c r="O12" i="4"/>
  <c r="Q12" i="4"/>
  <c r="AY12" i="4"/>
  <c r="BE12" i="4"/>
  <c r="BG12" i="4"/>
  <c r="BK12" i="4"/>
  <c r="O13" i="4"/>
  <c r="AY13" i="4"/>
  <c r="BC13" i="4"/>
  <c r="BE13" i="4"/>
  <c r="BG13" i="4"/>
  <c r="BK13" i="4"/>
  <c r="O14" i="4"/>
  <c r="AY14" i="4"/>
  <c r="BC14" i="4"/>
  <c r="BE14" i="4"/>
  <c r="BG14" i="4"/>
  <c r="BK14" i="4"/>
  <c r="O15" i="4"/>
  <c r="Q15" i="4"/>
  <c r="AY15" i="4"/>
  <c r="BC15" i="4"/>
  <c r="BE15" i="4"/>
  <c r="BG15" i="4"/>
  <c r="BK15" i="4"/>
  <c r="O16" i="4"/>
  <c r="U16" i="4"/>
  <c r="Y16" i="4"/>
  <c r="AA16" i="4"/>
  <c r="AC16" i="4"/>
  <c r="AE16" i="4"/>
  <c r="AG16" i="4"/>
  <c r="AY16" i="4"/>
  <c r="BA16" i="4"/>
  <c r="BC16" i="4"/>
  <c r="BE16" i="4"/>
  <c r="BG16" i="4"/>
  <c r="BJ16" i="4"/>
  <c r="BK16" i="4"/>
  <c r="O17" i="4"/>
  <c r="AY17" i="4"/>
  <c r="BC17" i="4"/>
  <c r="BE17" i="4"/>
  <c r="BG17" i="4"/>
  <c r="BK17" i="4"/>
  <c r="O18" i="4"/>
  <c r="AY18" i="4"/>
  <c r="BC18" i="4"/>
  <c r="BE18" i="4"/>
  <c r="BG18" i="4"/>
  <c r="BK18" i="4"/>
  <c r="O19" i="4"/>
  <c r="AY19" i="4"/>
  <c r="BC19" i="4"/>
  <c r="BE19" i="4"/>
  <c r="BG19" i="4"/>
  <c r="BK19" i="4"/>
  <c r="O20" i="4"/>
  <c r="Q20" i="4"/>
  <c r="AY20" i="4"/>
  <c r="BC20" i="4"/>
  <c r="BE20" i="4"/>
  <c r="BG20" i="4"/>
  <c r="BK20" i="4"/>
  <c r="O21" i="4"/>
  <c r="AY21" i="4"/>
  <c r="BC21" i="4"/>
  <c r="BE21" i="4"/>
  <c r="BG21" i="4"/>
  <c r="BK21" i="4"/>
  <c r="O22" i="4"/>
  <c r="U22" i="4"/>
  <c r="Y22" i="4"/>
  <c r="AY22" i="4"/>
  <c r="BE22" i="4"/>
  <c r="BG22" i="4"/>
  <c r="BJ22" i="4"/>
  <c r="BK22" i="4"/>
  <c r="AY23" i="4"/>
  <c r="BC23" i="4"/>
  <c r="BE23" i="4"/>
  <c r="BG23" i="4"/>
  <c r="K24" i="4"/>
  <c r="O24" i="4"/>
  <c r="Q24" i="4"/>
  <c r="U24" i="4"/>
  <c r="Y24" i="4"/>
  <c r="AA24" i="4"/>
  <c r="AC24" i="4"/>
  <c r="AE24" i="4"/>
  <c r="AG24" i="4"/>
  <c r="AI24" i="4"/>
  <c r="AM24" i="4"/>
  <c r="AO24" i="4"/>
  <c r="AY24" i="4"/>
  <c r="BC24" i="4"/>
  <c r="BE24" i="4"/>
  <c r="BG24" i="4"/>
  <c r="BI24" i="4"/>
  <c r="BK24" i="4"/>
  <c r="K25" i="4"/>
  <c r="M25" i="4"/>
  <c r="O25" i="4"/>
  <c r="Q25" i="4"/>
  <c r="S25" i="4"/>
  <c r="U25" i="4"/>
  <c r="W25" i="4"/>
  <c r="Y25" i="4"/>
  <c r="AA25" i="4"/>
  <c r="AC25" i="4"/>
  <c r="AE25" i="4"/>
  <c r="AG25" i="4"/>
  <c r="AI25" i="4"/>
  <c r="AK25" i="4"/>
  <c r="AM25" i="4"/>
  <c r="AO25" i="4"/>
  <c r="AQ25" i="4"/>
  <c r="AS25" i="4"/>
  <c r="AU25" i="4"/>
  <c r="AW25" i="4"/>
  <c r="AY25" i="4"/>
  <c r="BA25" i="4"/>
  <c r="BC25" i="4"/>
  <c r="BE25" i="4"/>
  <c r="BG25" i="4"/>
  <c r="BJ25" i="4"/>
  <c r="BK25" i="4"/>
  <c r="O27" i="4"/>
  <c r="Q27" i="4"/>
  <c r="U27" i="4"/>
  <c r="Y27" i="4"/>
  <c r="AA27" i="4"/>
  <c r="AC27" i="4"/>
  <c r="AE27" i="4"/>
  <c r="AI27" i="4"/>
  <c r="AK27" i="4"/>
  <c r="AM27" i="4"/>
  <c r="AY27" i="4"/>
  <c r="BE27" i="4"/>
  <c r="BG27" i="4"/>
  <c r="BK27" i="4"/>
  <c r="O28" i="4"/>
  <c r="AY28" i="4"/>
  <c r="BC28" i="4"/>
  <c r="BE28" i="4"/>
  <c r="BG28" i="4"/>
  <c r="O30" i="4"/>
  <c r="Q30" i="4"/>
  <c r="Y30" i="4"/>
  <c r="AC30" i="4"/>
  <c r="AE30" i="4"/>
  <c r="AK30" i="4"/>
  <c r="AY30" i="4"/>
  <c r="BE30" i="4"/>
  <c r="BG30" i="4"/>
  <c r="BK30" i="4"/>
  <c r="M31" i="4"/>
  <c r="O31" i="4"/>
  <c r="AK31" i="4"/>
  <c r="AY31" i="4"/>
  <c r="BC31" i="4"/>
  <c r="BE31" i="4"/>
  <c r="BG31" i="4"/>
  <c r="BK31" i="4"/>
  <c r="M32" i="4"/>
  <c r="O32" i="4"/>
  <c r="AK32" i="4"/>
  <c r="AY32" i="4"/>
  <c r="BC32" i="4"/>
  <c r="BE32" i="4"/>
  <c r="BG32" i="4"/>
  <c r="BK32" i="4"/>
  <c r="O33" i="4"/>
  <c r="Q33" i="4"/>
  <c r="U33" i="4"/>
  <c r="W33" i="4"/>
  <c r="Y33" i="4"/>
  <c r="AC33" i="4"/>
  <c r="AK33" i="4"/>
  <c r="AY33" i="4"/>
  <c r="BE33" i="4"/>
  <c r="BG33" i="4"/>
  <c r="BK33" i="4"/>
  <c r="O34" i="4"/>
  <c r="AY34" i="4"/>
  <c r="BC34" i="4"/>
  <c r="BE34" i="4"/>
  <c r="BG34" i="4"/>
  <c r="O35" i="4"/>
  <c r="AY35" i="4"/>
  <c r="BC35" i="4"/>
  <c r="BE35" i="4"/>
  <c r="BG35" i="4"/>
  <c r="O36" i="4"/>
  <c r="AY36" i="4"/>
  <c r="BE36" i="4"/>
  <c r="BG36" i="4"/>
  <c r="BK36" i="4"/>
  <c r="O37" i="4"/>
  <c r="AY37" i="4"/>
  <c r="BE37" i="4"/>
  <c r="BG37" i="4"/>
  <c r="BK37" i="4"/>
  <c r="O38" i="4"/>
  <c r="AY38" i="4"/>
  <c r="BE38" i="4"/>
  <c r="BG38" i="4"/>
  <c r="BK38" i="4"/>
  <c r="O39" i="4"/>
  <c r="AY39" i="4"/>
  <c r="BE39" i="4"/>
  <c r="BG39" i="4"/>
  <c r="BK39" i="4"/>
  <c r="O40" i="4"/>
  <c r="AC40" i="4"/>
  <c r="AY40" i="4"/>
  <c r="BE40" i="4"/>
  <c r="BG40" i="4"/>
  <c r="BK40" i="4"/>
  <c r="K41" i="4"/>
  <c r="M41" i="4"/>
  <c r="O41" i="4"/>
  <c r="Q41" i="4"/>
  <c r="S41" i="4"/>
  <c r="U41" i="4"/>
  <c r="W41" i="4"/>
  <c r="Y41" i="4"/>
  <c r="AA41" i="4"/>
  <c r="AC41" i="4"/>
  <c r="AE41" i="4"/>
  <c r="AG41" i="4"/>
  <c r="AI41" i="4"/>
  <c r="AK41" i="4"/>
  <c r="AM41" i="4"/>
  <c r="AO41" i="4"/>
  <c r="AQ41" i="4"/>
  <c r="AS41" i="4"/>
  <c r="AU41" i="4"/>
  <c r="AW41" i="4"/>
  <c r="AY41" i="4"/>
  <c r="BA41" i="4"/>
  <c r="BC41" i="4"/>
  <c r="BE41" i="4"/>
  <c r="BG41" i="4"/>
  <c r="K43" i="4"/>
  <c r="M43" i="4"/>
  <c r="O43" i="4"/>
  <c r="Q43" i="4"/>
  <c r="S43" i="4"/>
  <c r="U43" i="4"/>
  <c r="W43" i="4"/>
  <c r="Y43" i="4"/>
  <c r="AA43" i="4"/>
  <c r="AC43" i="4"/>
  <c r="AE43" i="4"/>
  <c r="AG43" i="4"/>
  <c r="AI43" i="4"/>
  <c r="AK43" i="4"/>
  <c r="AM43" i="4"/>
  <c r="AO43" i="4"/>
  <c r="AQ43" i="4"/>
  <c r="AS43" i="4"/>
  <c r="AU43" i="4"/>
  <c r="AW43" i="4"/>
  <c r="AY43" i="4"/>
  <c r="BA43" i="4"/>
  <c r="BC43" i="4"/>
  <c r="BE43" i="4"/>
  <c r="BG43" i="4"/>
  <c r="BJ43" i="4"/>
  <c r="BK43" i="4"/>
  <c r="M46" i="4"/>
  <c r="O46" i="4"/>
  <c r="S46" i="4"/>
  <c r="AA46" i="4"/>
  <c r="AE46" i="4"/>
  <c r="AG46" i="4"/>
  <c r="AI46" i="4"/>
  <c r="AY46" i="4"/>
  <c r="BA46" i="4"/>
  <c r="BC46" i="4"/>
  <c r="BE46" i="4"/>
  <c r="BG46" i="4"/>
  <c r="O47" i="4"/>
  <c r="AY47" i="4"/>
  <c r="BC47" i="4"/>
  <c r="BE47" i="4"/>
  <c r="BG47" i="4"/>
  <c r="O48" i="4"/>
  <c r="AE48" i="4"/>
  <c r="AG48" i="4"/>
  <c r="AY48" i="4"/>
  <c r="BA48" i="4"/>
  <c r="BC48" i="4"/>
  <c r="BE48" i="4"/>
  <c r="BG48" i="4"/>
  <c r="M49" i="4"/>
  <c r="O49" i="4"/>
  <c r="S49" i="4"/>
  <c r="U49" i="4"/>
  <c r="AE49" i="4"/>
  <c r="AG49" i="4"/>
  <c r="AI49" i="4"/>
  <c r="AY49" i="4"/>
  <c r="BA49" i="4"/>
  <c r="BC49" i="4"/>
  <c r="BE49" i="4"/>
  <c r="BG49" i="4"/>
  <c r="O50" i="4"/>
  <c r="AE50" i="4"/>
  <c r="AY50" i="4"/>
  <c r="BA50" i="4"/>
  <c r="BC50" i="4"/>
  <c r="BE50" i="4"/>
  <c r="BG50" i="4"/>
  <c r="K51" i="4"/>
  <c r="M51" i="4"/>
  <c r="O51" i="4"/>
  <c r="Q51" i="4"/>
  <c r="S51" i="4"/>
  <c r="U51" i="4"/>
  <c r="W51" i="4"/>
  <c r="Y51" i="4"/>
  <c r="AA51" i="4"/>
  <c r="AC51" i="4"/>
  <c r="AE51" i="4"/>
  <c r="AG51" i="4"/>
  <c r="AI51" i="4"/>
  <c r="AK51" i="4"/>
  <c r="AM51" i="4"/>
  <c r="AO51" i="4"/>
  <c r="AQ51" i="4"/>
  <c r="AS51" i="4"/>
  <c r="AU51" i="4"/>
  <c r="AW51" i="4"/>
  <c r="AY51" i="4"/>
  <c r="BA51" i="4"/>
  <c r="BC51" i="4"/>
  <c r="BE51" i="4"/>
  <c r="BG51" i="4"/>
  <c r="BK51" i="4"/>
  <c r="M55" i="4"/>
  <c r="O55" i="4"/>
  <c r="AY55" i="4"/>
  <c r="BA55" i="4"/>
  <c r="BC55" i="4"/>
  <c r="BE55" i="4"/>
  <c r="BG55" i="4"/>
  <c r="O56" i="4"/>
  <c r="AY56" i="4"/>
  <c r="BA56" i="4"/>
  <c r="BC56" i="4"/>
  <c r="BE56" i="4"/>
  <c r="BG56" i="4"/>
  <c r="O57" i="4"/>
  <c r="AY57" i="4"/>
  <c r="BA57" i="4"/>
  <c r="BC57" i="4"/>
  <c r="BE57" i="4"/>
  <c r="BG57" i="4"/>
  <c r="O58" i="4"/>
  <c r="W58" i="4"/>
  <c r="AY58" i="4"/>
  <c r="BA58" i="4"/>
  <c r="BC58" i="4"/>
  <c r="BE58" i="4"/>
  <c r="BG58" i="4"/>
  <c r="O59" i="4"/>
  <c r="AY59" i="4"/>
  <c r="BA59" i="4"/>
  <c r="BC59" i="4"/>
  <c r="BE59" i="4"/>
  <c r="BG59" i="4"/>
  <c r="O60" i="4"/>
  <c r="AY60" i="4"/>
  <c r="BA60" i="4"/>
  <c r="BC60" i="4"/>
  <c r="BE60" i="4"/>
  <c r="BG60" i="4"/>
  <c r="O61" i="4"/>
  <c r="AY61" i="4"/>
  <c r="BA61" i="4"/>
  <c r="BC61" i="4"/>
  <c r="BE61" i="4"/>
  <c r="BG61" i="4"/>
  <c r="O62" i="4"/>
  <c r="AY62" i="4"/>
  <c r="BA62" i="4"/>
  <c r="BC62" i="4"/>
  <c r="BE62" i="4"/>
  <c r="BG62" i="4"/>
  <c r="O63" i="4"/>
  <c r="AY63" i="4"/>
  <c r="BA63" i="4"/>
  <c r="BC63" i="4"/>
  <c r="BE63" i="4"/>
  <c r="BG63" i="4"/>
  <c r="O64" i="4"/>
  <c r="AY64" i="4"/>
  <c r="BA64" i="4"/>
  <c r="BC64" i="4"/>
  <c r="BE64" i="4"/>
  <c r="BG64" i="4"/>
  <c r="O65" i="4"/>
  <c r="U65" i="4"/>
  <c r="AY65" i="4"/>
  <c r="BA65" i="4"/>
  <c r="BC65" i="4"/>
  <c r="BE65" i="4"/>
  <c r="BG65" i="4"/>
  <c r="O66" i="4"/>
  <c r="AY66" i="4"/>
  <c r="BA66" i="4"/>
  <c r="BC66" i="4"/>
  <c r="BE66" i="4"/>
  <c r="BG66" i="4"/>
  <c r="O67" i="4"/>
  <c r="AY67" i="4"/>
  <c r="BA67" i="4"/>
  <c r="BC67" i="4"/>
  <c r="BE67" i="4"/>
  <c r="BG67" i="4"/>
  <c r="M68" i="4"/>
  <c r="O68" i="4"/>
  <c r="AY68" i="4"/>
  <c r="BA68" i="4"/>
  <c r="BC68" i="4"/>
  <c r="BE68" i="4"/>
  <c r="BG68" i="4"/>
  <c r="O69" i="4"/>
  <c r="AY69" i="4"/>
  <c r="BC69" i="4"/>
  <c r="BE69" i="4"/>
  <c r="BG69" i="4"/>
  <c r="O70" i="4"/>
  <c r="AY70" i="4"/>
  <c r="BA70" i="4"/>
  <c r="BC70" i="4"/>
  <c r="BE70" i="4"/>
  <c r="BG70" i="4"/>
  <c r="O71" i="4"/>
  <c r="AY71" i="4"/>
  <c r="BA71" i="4"/>
  <c r="BC71" i="4"/>
  <c r="BE71" i="4"/>
  <c r="BG71" i="4"/>
  <c r="O72" i="4"/>
  <c r="AY72" i="4"/>
  <c r="BA72" i="4"/>
  <c r="BC72" i="4"/>
  <c r="BE72" i="4"/>
  <c r="BG72" i="4"/>
  <c r="O73" i="4"/>
  <c r="AY73" i="4"/>
  <c r="BC73" i="4"/>
  <c r="BE73" i="4"/>
  <c r="BG73" i="4"/>
  <c r="O74" i="4"/>
  <c r="S74" i="4"/>
  <c r="AY74" i="4"/>
  <c r="BA74" i="4"/>
  <c r="BC74" i="4"/>
  <c r="BE74" i="4"/>
  <c r="BG74" i="4"/>
  <c r="Q75" i="4"/>
  <c r="AY75" i="4"/>
  <c r="BC75" i="4"/>
  <c r="BE75" i="4"/>
  <c r="BG75" i="4"/>
  <c r="AY76" i="4"/>
  <c r="BC76" i="4"/>
  <c r="BE76" i="4"/>
  <c r="BG76" i="4"/>
  <c r="AY77" i="4"/>
  <c r="BC77" i="4"/>
  <c r="BE77" i="4"/>
  <c r="BG77" i="4"/>
  <c r="AY78" i="4"/>
  <c r="BC78" i="4"/>
  <c r="BE78" i="4"/>
  <c r="BG78" i="4"/>
  <c r="AY79" i="4"/>
  <c r="BC79" i="4"/>
  <c r="BE79" i="4"/>
  <c r="BG79" i="4"/>
  <c r="K80" i="4"/>
  <c r="M80" i="4"/>
  <c r="O80" i="4"/>
  <c r="Q80" i="4"/>
  <c r="S80" i="4"/>
  <c r="U80" i="4"/>
  <c r="W80" i="4"/>
  <c r="Y80" i="4"/>
  <c r="AA80" i="4"/>
  <c r="AC80" i="4"/>
  <c r="AE80" i="4"/>
  <c r="AG80" i="4"/>
  <c r="AI80" i="4"/>
  <c r="AK80" i="4"/>
  <c r="AM80" i="4"/>
  <c r="AO80" i="4"/>
  <c r="AQ80" i="4"/>
  <c r="AS80" i="4"/>
  <c r="AU80" i="4"/>
  <c r="AW80" i="4"/>
  <c r="AY80" i="4"/>
  <c r="BA80" i="4"/>
  <c r="BC80" i="4"/>
  <c r="BE80" i="4"/>
  <c r="BG80" i="4"/>
  <c r="O83" i="4"/>
  <c r="AY83" i="4"/>
  <c r="BC83" i="4"/>
  <c r="BE83" i="4"/>
  <c r="BG83" i="4"/>
  <c r="O84" i="4"/>
  <c r="AY84" i="4"/>
  <c r="BC84" i="4"/>
  <c r="BE84" i="4"/>
  <c r="BG84" i="4"/>
  <c r="O85" i="4"/>
  <c r="AY85" i="4"/>
  <c r="BC85" i="4"/>
  <c r="BE85" i="4"/>
  <c r="BG85" i="4"/>
  <c r="O86" i="4"/>
  <c r="AY86" i="4"/>
  <c r="BC86" i="4"/>
  <c r="BE86" i="4"/>
  <c r="BG86" i="4"/>
  <c r="K87" i="4"/>
  <c r="M87" i="4"/>
  <c r="O87" i="4"/>
  <c r="Q87" i="4"/>
  <c r="S87" i="4"/>
  <c r="U87" i="4"/>
  <c r="W87" i="4"/>
  <c r="Y87" i="4"/>
  <c r="AA87" i="4"/>
  <c r="AC87" i="4"/>
  <c r="AE87" i="4"/>
  <c r="AG87" i="4"/>
  <c r="AI87" i="4"/>
  <c r="AK87" i="4"/>
  <c r="AM87" i="4"/>
  <c r="AO87" i="4"/>
  <c r="AQ87" i="4"/>
  <c r="AS87" i="4"/>
  <c r="AU87" i="4"/>
  <c r="AW87" i="4"/>
  <c r="AY87" i="4"/>
  <c r="BA87" i="4"/>
  <c r="BC87" i="4"/>
  <c r="BE87" i="4"/>
  <c r="BG87" i="4"/>
  <c r="O90" i="4"/>
  <c r="AG90" i="4"/>
  <c r="AY90" i="4"/>
  <c r="BA90" i="4"/>
  <c r="BC90" i="4"/>
  <c r="BE90" i="4"/>
  <c r="BG90" i="4"/>
  <c r="O91" i="4"/>
  <c r="AG91" i="4"/>
  <c r="AY91" i="4"/>
  <c r="BA91" i="4"/>
  <c r="BC91" i="4"/>
  <c r="BE91" i="4"/>
  <c r="BG91" i="4"/>
  <c r="O92" i="4"/>
  <c r="Y92" i="4"/>
  <c r="AG92" i="4"/>
  <c r="AY92" i="4"/>
  <c r="BA92" i="4"/>
  <c r="BC92" i="4"/>
  <c r="BE92" i="4"/>
  <c r="BG92" i="4"/>
  <c r="O93" i="4"/>
  <c r="Y93" i="4"/>
  <c r="AG93" i="4"/>
  <c r="AY93" i="4"/>
  <c r="BA93" i="4"/>
  <c r="BC93" i="4"/>
  <c r="BE93" i="4"/>
  <c r="BG93" i="4"/>
  <c r="O94" i="4"/>
  <c r="Y94" i="4"/>
  <c r="AG94" i="4"/>
  <c r="AY94" i="4"/>
  <c r="BA94" i="4"/>
  <c r="BC94" i="4"/>
  <c r="BE94" i="4"/>
  <c r="BG94" i="4"/>
  <c r="O95" i="4"/>
  <c r="AG95" i="4"/>
  <c r="AY95" i="4"/>
  <c r="BA95" i="4"/>
  <c r="BC95" i="4"/>
  <c r="BE95" i="4"/>
  <c r="BG95" i="4"/>
  <c r="O96" i="4"/>
  <c r="AG96" i="4"/>
  <c r="AY96" i="4"/>
  <c r="BA96" i="4"/>
  <c r="BC96" i="4"/>
  <c r="BE96" i="4"/>
  <c r="BG96" i="4"/>
  <c r="O97" i="4"/>
  <c r="AG97" i="4"/>
  <c r="AY97" i="4"/>
  <c r="BA97" i="4"/>
  <c r="BC97" i="4"/>
  <c r="BE97" i="4"/>
  <c r="BG97" i="4"/>
  <c r="O98" i="4"/>
  <c r="AG98" i="4"/>
  <c r="AY98" i="4"/>
  <c r="BA98" i="4"/>
  <c r="BC98" i="4"/>
  <c r="BE98" i="4"/>
  <c r="BG98" i="4"/>
  <c r="O99" i="4"/>
  <c r="AY99" i="4"/>
  <c r="BC99" i="4"/>
  <c r="BE99" i="4"/>
  <c r="BG99" i="4"/>
  <c r="O100" i="4"/>
  <c r="AG100" i="4"/>
  <c r="AY100" i="4"/>
  <c r="BA100" i="4"/>
  <c r="BC100" i="4"/>
  <c r="BE100" i="4"/>
  <c r="BG100" i="4"/>
  <c r="O101" i="4"/>
  <c r="AY101" i="4"/>
  <c r="BA101" i="4"/>
  <c r="BC101" i="4"/>
  <c r="BE101" i="4"/>
  <c r="BG101" i="4"/>
  <c r="O102" i="4"/>
  <c r="AG102" i="4"/>
  <c r="AY102" i="4"/>
  <c r="BA102" i="4"/>
  <c r="BC102" i="4"/>
  <c r="BE102" i="4"/>
  <c r="BG102" i="4"/>
  <c r="O103" i="4"/>
  <c r="AY103" i="4"/>
  <c r="BC103" i="4"/>
  <c r="BE103" i="4"/>
  <c r="BG103" i="4"/>
  <c r="O104" i="4"/>
  <c r="AG104" i="4"/>
  <c r="AY104" i="4"/>
  <c r="BA104" i="4"/>
  <c r="BC104" i="4"/>
  <c r="BE104" i="4"/>
  <c r="BG104" i="4"/>
  <c r="O105" i="4"/>
  <c r="AY105" i="4"/>
  <c r="BA105" i="4"/>
  <c r="BC105" i="4"/>
  <c r="BE105" i="4"/>
  <c r="BG105" i="4"/>
  <c r="O106" i="4"/>
  <c r="AG106" i="4"/>
  <c r="AY106" i="4"/>
  <c r="BA106" i="4"/>
  <c r="BC106" i="4"/>
  <c r="BE106" i="4"/>
  <c r="BG106" i="4"/>
  <c r="O107" i="4"/>
  <c r="AG107" i="4"/>
  <c r="AI107" i="4"/>
  <c r="AY107" i="4"/>
  <c r="BA107" i="4"/>
  <c r="BC107" i="4"/>
  <c r="BE107" i="4"/>
  <c r="BG107" i="4"/>
  <c r="O108" i="4"/>
  <c r="AY108" i="4"/>
  <c r="BA108" i="4"/>
  <c r="BC108" i="4"/>
  <c r="BE108" i="4"/>
  <c r="BG108" i="4"/>
  <c r="O109" i="4"/>
  <c r="AY109" i="4"/>
  <c r="BA109" i="4"/>
  <c r="BC109" i="4"/>
  <c r="BE109" i="4"/>
  <c r="BG109" i="4"/>
  <c r="O110" i="4"/>
  <c r="AY110" i="4"/>
  <c r="BC110" i="4"/>
  <c r="BE110" i="4"/>
  <c r="BG110" i="4"/>
  <c r="O111" i="4"/>
  <c r="AG111" i="4"/>
  <c r="AI111" i="4"/>
  <c r="AM111" i="4"/>
  <c r="AY111" i="4"/>
  <c r="BA111" i="4"/>
  <c r="BC111" i="4"/>
  <c r="BE111" i="4"/>
  <c r="BG111" i="4"/>
  <c r="O112" i="4"/>
  <c r="Y112" i="4"/>
  <c r="AG112" i="4"/>
  <c r="AY112" i="4"/>
  <c r="BA112" i="4"/>
  <c r="BC112" i="4"/>
  <c r="BE112" i="4"/>
  <c r="BG112" i="4"/>
  <c r="O113" i="4"/>
  <c r="AY113" i="4"/>
  <c r="BC113" i="4"/>
  <c r="BE113" i="4"/>
  <c r="BG113" i="4"/>
  <c r="O114" i="4"/>
  <c r="AY114" i="4"/>
  <c r="BC114" i="4"/>
  <c r="BE114" i="4"/>
  <c r="BG114" i="4"/>
  <c r="O115" i="4"/>
  <c r="AY115" i="4"/>
  <c r="BC115" i="4"/>
  <c r="BE115" i="4"/>
  <c r="BG115" i="4"/>
  <c r="O116" i="4"/>
  <c r="AY116" i="4"/>
  <c r="BC116" i="4"/>
  <c r="BE116" i="4"/>
  <c r="BG116" i="4"/>
  <c r="O117" i="4"/>
  <c r="AY117" i="4"/>
  <c r="BC117" i="4"/>
  <c r="BE117" i="4"/>
  <c r="BG117" i="4"/>
  <c r="O118" i="4"/>
  <c r="S118" i="4"/>
  <c r="U118" i="4"/>
  <c r="W118" i="4"/>
  <c r="Y118" i="4"/>
  <c r="AC118" i="4"/>
  <c r="AG118" i="4"/>
  <c r="AY118" i="4"/>
  <c r="BA118" i="4"/>
  <c r="BC118" i="4"/>
  <c r="BE118" i="4"/>
  <c r="BG118" i="4"/>
  <c r="K119" i="4"/>
  <c r="M119" i="4"/>
  <c r="O119" i="4"/>
  <c r="AI119" i="4"/>
  <c r="AY119" i="4"/>
  <c r="BA119" i="4"/>
  <c r="BC119" i="4"/>
  <c r="BE119" i="4"/>
  <c r="BG119" i="4"/>
  <c r="AK120" i="4"/>
  <c r="AM120" i="4"/>
  <c r="AY120" i="4"/>
  <c r="BC120" i="4"/>
  <c r="BE120" i="4"/>
  <c r="BG120" i="4"/>
  <c r="K121" i="4"/>
  <c r="L121" i="4"/>
  <c r="M121" i="4"/>
  <c r="N121" i="4"/>
  <c r="O121" i="4"/>
  <c r="P121" i="4"/>
  <c r="Q121" i="4"/>
  <c r="S121" i="4"/>
  <c r="U121" i="4"/>
  <c r="W121" i="4"/>
  <c r="Y121" i="4"/>
  <c r="AA121" i="4"/>
  <c r="AC121" i="4"/>
  <c r="AE121" i="4"/>
  <c r="AG121" i="4"/>
  <c r="AI121" i="4"/>
  <c r="AK121" i="4"/>
  <c r="AM121" i="4"/>
  <c r="AO121" i="4"/>
  <c r="AQ121" i="4"/>
  <c r="AS121" i="4"/>
  <c r="AU121" i="4"/>
  <c r="AW121" i="4"/>
  <c r="AY121" i="4"/>
  <c r="BA121" i="4"/>
  <c r="BC121" i="4"/>
  <c r="BE121" i="4"/>
  <c r="BG121" i="4"/>
  <c r="O125" i="4"/>
  <c r="Y125" i="4"/>
  <c r="AG125" i="4"/>
  <c r="AI125" i="4"/>
  <c r="AM125" i="4"/>
  <c r="AY125" i="4"/>
  <c r="BA125" i="4"/>
  <c r="BC125" i="4"/>
  <c r="BE125" i="4"/>
  <c r="BG125" i="4"/>
  <c r="O126" i="4"/>
  <c r="Y126" i="4"/>
  <c r="AG126" i="4"/>
  <c r="AY126" i="4"/>
  <c r="BA126" i="4"/>
  <c r="BC126" i="4"/>
  <c r="BE126" i="4"/>
  <c r="BG126" i="4"/>
  <c r="M127" i="4"/>
  <c r="O127" i="4"/>
  <c r="Y127" i="4"/>
  <c r="AG127" i="4"/>
  <c r="AI127" i="4"/>
  <c r="AY127" i="4"/>
  <c r="BA127" i="4"/>
  <c r="BC127" i="4"/>
  <c r="BE127" i="4"/>
  <c r="BG127" i="4"/>
  <c r="M128" i="4"/>
  <c r="O128" i="4"/>
  <c r="Y128" i="4"/>
  <c r="AG128" i="4"/>
  <c r="AY128" i="4"/>
  <c r="BA128" i="4"/>
  <c r="BC128" i="4"/>
  <c r="BE128" i="4"/>
  <c r="BG128" i="4"/>
  <c r="O129" i="4"/>
  <c r="AY129" i="4"/>
  <c r="BC129" i="4"/>
  <c r="BE129" i="4"/>
  <c r="BG129" i="4"/>
  <c r="O130" i="4"/>
  <c r="AY130" i="4"/>
  <c r="BC130" i="4"/>
  <c r="BE130" i="4"/>
  <c r="BG130" i="4"/>
  <c r="O131" i="4"/>
  <c r="AY131" i="4"/>
  <c r="BC131" i="4"/>
  <c r="BE131" i="4"/>
  <c r="BG131" i="4"/>
  <c r="K132" i="4"/>
  <c r="M132" i="4"/>
  <c r="O132" i="4"/>
  <c r="Q132" i="4"/>
  <c r="S132" i="4"/>
  <c r="U132" i="4"/>
  <c r="W132" i="4"/>
  <c r="Y132" i="4"/>
  <c r="AA132" i="4"/>
  <c r="AC132" i="4"/>
  <c r="AE132" i="4"/>
  <c r="AG132" i="4"/>
  <c r="AI132" i="4"/>
  <c r="AK132" i="4"/>
  <c r="AM132" i="4"/>
  <c r="AO132" i="4"/>
  <c r="AQ132" i="4"/>
  <c r="AS132" i="4"/>
  <c r="AU132" i="4"/>
  <c r="AW132" i="4"/>
  <c r="AY132" i="4"/>
  <c r="BA132" i="4"/>
  <c r="BC132" i="4"/>
  <c r="BE132" i="4"/>
  <c r="BG132" i="4"/>
  <c r="M134" i="4"/>
  <c r="O134" i="4"/>
  <c r="Y134" i="4"/>
  <c r="AG134" i="4"/>
  <c r="AY134" i="4"/>
  <c r="BA134" i="4"/>
  <c r="BC134" i="4"/>
  <c r="BE134" i="4"/>
  <c r="BG134" i="4"/>
  <c r="O135" i="4"/>
  <c r="BC135" i="4"/>
  <c r="BE135" i="4"/>
  <c r="BG135" i="4"/>
  <c r="O137" i="4"/>
  <c r="AY137" i="4"/>
  <c r="BE137" i="4"/>
  <c r="BG137" i="4"/>
  <c r="O139" i="4"/>
  <c r="AY139" i="4"/>
  <c r="BC139" i="4"/>
  <c r="BE139" i="4"/>
  <c r="BG139" i="4"/>
  <c r="K141" i="4"/>
  <c r="M141" i="4"/>
  <c r="O141" i="4"/>
  <c r="Q141" i="4"/>
  <c r="S141" i="4"/>
  <c r="U141" i="4"/>
  <c r="W141" i="4"/>
  <c r="Y141" i="4"/>
  <c r="AA141" i="4"/>
  <c r="AC141" i="4"/>
  <c r="AE141" i="4"/>
  <c r="AG141" i="4"/>
  <c r="AI141" i="4"/>
  <c r="AK141" i="4"/>
  <c r="AM141" i="4"/>
  <c r="AO141" i="4"/>
  <c r="AQ141" i="4"/>
  <c r="AS141" i="4"/>
  <c r="AU141" i="4"/>
  <c r="AW141" i="4"/>
  <c r="AY141" i="4"/>
  <c r="BA141" i="4"/>
  <c r="BC141" i="4"/>
  <c r="BE141" i="4"/>
  <c r="BG141" i="4"/>
  <c r="BK141" i="4"/>
  <c r="K143" i="4"/>
  <c r="M143" i="4"/>
  <c r="O143" i="4"/>
  <c r="Q143" i="4"/>
  <c r="S143" i="4"/>
  <c r="U143" i="4"/>
  <c r="W143" i="4"/>
  <c r="Y143" i="4"/>
  <c r="AA143" i="4"/>
  <c r="AC143" i="4"/>
  <c r="AE143" i="4"/>
  <c r="AG143" i="4"/>
  <c r="AI143" i="4"/>
  <c r="AK143" i="4"/>
  <c r="AM143" i="4"/>
  <c r="AO143" i="4"/>
  <c r="AQ143" i="4"/>
  <c r="AS143" i="4"/>
  <c r="AU143" i="4"/>
  <c r="AW143" i="4"/>
  <c r="AY143" i="4"/>
  <c r="BA143" i="4"/>
  <c r="BC143" i="4"/>
  <c r="BE143" i="4"/>
  <c r="BG143" i="4"/>
  <c r="BJ143" i="4"/>
  <c r="BK143" i="4"/>
  <c r="O145" i="4"/>
  <c r="Q145" i="4"/>
  <c r="U145" i="4"/>
  <c r="AO145" i="4"/>
  <c r="AY145" i="4"/>
  <c r="BA145" i="4"/>
  <c r="BC145" i="4"/>
  <c r="BE145" i="4"/>
  <c r="BG145" i="4"/>
  <c r="O146" i="4"/>
  <c r="AY146" i="4"/>
  <c r="BC146" i="4"/>
  <c r="BE146" i="4"/>
  <c r="BG146" i="4"/>
  <c r="K147" i="4"/>
  <c r="M147" i="4"/>
  <c r="O147" i="4"/>
  <c r="Q147" i="4"/>
  <c r="S147" i="4"/>
  <c r="U147" i="4"/>
  <c r="W147" i="4"/>
  <c r="Y147" i="4"/>
  <c r="AA147" i="4"/>
  <c r="AC147" i="4"/>
  <c r="AE147" i="4"/>
  <c r="AG147" i="4"/>
  <c r="AI147" i="4"/>
  <c r="AK147" i="4"/>
  <c r="AM147" i="4"/>
  <c r="AO147" i="4"/>
  <c r="AQ147" i="4"/>
  <c r="AS147" i="4"/>
  <c r="AU147" i="4"/>
  <c r="AW147" i="4"/>
  <c r="AY147" i="4"/>
  <c r="BA147" i="4"/>
  <c r="BC147" i="4"/>
  <c r="BE147" i="4"/>
  <c r="BG147" i="4"/>
  <c r="O149" i="4"/>
  <c r="AY149" i="4"/>
  <c r="BC149" i="4"/>
  <c r="BE149" i="4"/>
  <c r="BG149" i="4"/>
  <c r="K151" i="4"/>
  <c r="O151" i="4"/>
  <c r="Q151" i="4"/>
  <c r="AY151" i="4"/>
  <c r="BC151" i="4"/>
  <c r="BE151" i="4"/>
  <c r="BG151" i="4"/>
  <c r="O152" i="4"/>
  <c r="AY152" i="4"/>
  <c r="BE152" i="4"/>
  <c r="BG152" i="4"/>
  <c r="K153" i="4"/>
  <c r="M153" i="4"/>
  <c r="O153" i="4"/>
  <c r="Q153" i="4"/>
  <c r="S153" i="4"/>
  <c r="U153" i="4"/>
  <c r="W153" i="4"/>
  <c r="Y153" i="4"/>
  <c r="AA153" i="4"/>
  <c r="AC153" i="4"/>
  <c r="AE153" i="4"/>
  <c r="AG153" i="4"/>
  <c r="AI153" i="4"/>
  <c r="AK153" i="4"/>
  <c r="AM153" i="4"/>
  <c r="AO153" i="4"/>
  <c r="AQ153" i="4"/>
  <c r="AS153" i="4"/>
  <c r="AU153" i="4"/>
  <c r="AW153" i="4"/>
  <c r="AY153" i="4"/>
  <c r="BA153" i="4"/>
  <c r="BC153" i="4"/>
  <c r="BE153" i="4"/>
  <c r="BG153" i="4"/>
  <c r="O155" i="4"/>
  <c r="Q155" i="4"/>
  <c r="S155" i="4"/>
  <c r="W155" i="4"/>
  <c r="AY155" i="4"/>
  <c r="BC155" i="4"/>
  <c r="BE155" i="4"/>
  <c r="BG155" i="4"/>
  <c r="AM156" i="4"/>
  <c r="AY156" i="4"/>
  <c r="BC156" i="4"/>
  <c r="BE156" i="4"/>
  <c r="BG156" i="4"/>
  <c r="K157" i="4"/>
  <c r="M157" i="4"/>
  <c r="O157" i="4"/>
  <c r="Q157" i="4"/>
  <c r="S157" i="4"/>
  <c r="U157" i="4"/>
  <c r="W157" i="4"/>
  <c r="Y157" i="4"/>
  <c r="AA157" i="4"/>
  <c r="AC157" i="4"/>
  <c r="AE157" i="4"/>
  <c r="AG157" i="4"/>
  <c r="AI157" i="4"/>
  <c r="AK157" i="4"/>
  <c r="AM157" i="4"/>
  <c r="AO157" i="4"/>
  <c r="AQ157" i="4"/>
  <c r="AS157" i="4"/>
  <c r="AU157" i="4"/>
  <c r="AW157" i="4"/>
  <c r="AY157" i="4"/>
  <c r="BA157" i="4"/>
  <c r="BC157" i="4"/>
  <c r="BE157" i="4"/>
  <c r="BG157" i="4"/>
  <c r="O159" i="4"/>
  <c r="AY159" i="4"/>
  <c r="BC159" i="4"/>
  <c r="BE159" i="4"/>
  <c r="BG159" i="4"/>
  <c r="BE161" i="4"/>
  <c r="O162" i="4"/>
  <c r="AA162" i="4"/>
  <c r="AY162" i="4"/>
  <c r="BC162" i="4"/>
  <c r="BE162" i="4"/>
  <c r="BG162" i="4"/>
  <c r="K163" i="4"/>
  <c r="O163" i="4"/>
  <c r="AK163" i="4"/>
  <c r="AY163" i="4"/>
  <c r="BC163" i="4"/>
  <c r="BE163" i="4"/>
  <c r="BG163" i="4"/>
  <c r="O164" i="4"/>
  <c r="AY164" i="4"/>
  <c r="BC164" i="4"/>
  <c r="BE164" i="4"/>
  <c r="BG164" i="4"/>
  <c r="M165" i="4"/>
  <c r="O165" i="4"/>
  <c r="AI165" i="4"/>
  <c r="AY165" i="4"/>
  <c r="BC165" i="4"/>
  <c r="BE165" i="4"/>
  <c r="BG165" i="4"/>
  <c r="K166" i="4"/>
  <c r="M166" i="4"/>
  <c r="O166" i="4"/>
  <c r="Q166" i="4"/>
  <c r="S166" i="4"/>
  <c r="U166" i="4"/>
  <c r="W166" i="4"/>
  <c r="Y166" i="4"/>
  <c r="AA166" i="4"/>
  <c r="AC166" i="4"/>
  <c r="AE166" i="4"/>
  <c r="AG166" i="4"/>
  <c r="AI166" i="4"/>
  <c r="AK166" i="4"/>
  <c r="AM166" i="4"/>
  <c r="AO166" i="4"/>
  <c r="AQ166" i="4"/>
  <c r="AS166" i="4"/>
  <c r="AU166" i="4"/>
  <c r="AW166" i="4"/>
  <c r="AY166" i="4"/>
  <c r="BA166" i="4"/>
  <c r="BC166" i="4"/>
  <c r="BE166" i="4"/>
  <c r="BG166" i="4"/>
  <c r="O168" i="4"/>
  <c r="U168" i="4"/>
  <c r="AG168" i="4"/>
  <c r="AY168" i="4"/>
  <c r="BA168" i="4"/>
  <c r="BC168" i="4"/>
  <c r="BE168" i="4"/>
  <c r="BG168" i="4"/>
  <c r="O170" i="4"/>
  <c r="Y170" i="4"/>
  <c r="AY170" i="4"/>
  <c r="BA170" i="4"/>
  <c r="BC170" i="4"/>
  <c r="BE170" i="4"/>
  <c r="BG170" i="4"/>
  <c r="O172" i="4"/>
  <c r="AC172" i="4"/>
  <c r="AE172" i="4"/>
  <c r="AG172" i="4"/>
  <c r="AY172" i="4"/>
  <c r="BE172" i="4"/>
  <c r="BG172" i="4"/>
  <c r="M174" i="4"/>
  <c r="O174" i="4"/>
  <c r="Q174" i="4"/>
  <c r="U174" i="4"/>
  <c r="W174" i="4"/>
  <c r="Y174" i="4"/>
  <c r="AC174" i="4"/>
  <c r="AE174" i="4"/>
  <c r="AY174" i="4"/>
  <c r="BC174" i="4"/>
  <c r="BE174" i="4"/>
  <c r="BG174" i="4"/>
  <c r="O175" i="4"/>
  <c r="AA175" i="4"/>
  <c r="AY175" i="4"/>
  <c r="BE175" i="4"/>
  <c r="BG175" i="4"/>
  <c r="M176" i="4"/>
  <c r="O176" i="4"/>
  <c r="AA176" i="4"/>
  <c r="AY176" i="4"/>
  <c r="BC176" i="4"/>
  <c r="BE176" i="4"/>
  <c r="BG176" i="4"/>
  <c r="M177" i="4"/>
  <c r="O177" i="4"/>
  <c r="AY177" i="4"/>
  <c r="BC177" i="4"/>
  <c r="BE177" i="4"/>
  <c r="BG177" i="4"/>
  <c r="K179" i="4"/>
  <c r="M179" i="4"/>
  <c r="O179" i="4"/>
  <c r="Q179" i="4"/>
  <c r="S179" i="4"/>
  <c r="U179" i="4"/>
  <c r="W179" i="4"/>
  <c r="Y179" i="4"/>
  <c r="AA179" i="4"/>
  <c r="AB179" i="4"/>
  <c r="AC179" i="4"/>
  <c r="AD179" i="4"/>
  <c r="AE179" i="4"/>
  <c r="AG179" i="4"/>
  <c r="AI179" i="4"/>
  <c r="AK179" i="4"/>
  <c r="AM179" i="4"/>
  <c r="AO179" i="4"/>
  <c r="AQ179" i="4"/>
  <c r="AS179" i="4"/>
  <c r="AU179" i="4"/>
  <c r="AW179" i="4"/>
  <c r="AY179" i="4"/>
  <c r="BA179" i="4"/>
  <c r="BC179" i="4"/>
  <c r="BE179" i="4"/>
  <c r="BG179" i="4"/>
  <c r="O183" i="4"/>
  <c r="AC183" i="4"/>
  <c r="AY183" i="4"/>
  <c r="BC183" i="4"/>
  <c r="BE183" i="4"/>
  <c r="BG183" i="4"/>
  <c r="O184" i="4"/>
  <c r="S184" i="4"/>
  <c r="AY184" i="4"/>
  <c r="BC184" i="4"/>
  <c r="BE184" i="4"/>
  <c r="BG184" i="4"/>
  <c r="O185" i="4"/>
  <c r="S185" i="4"/>
  <c r="AY185" i="4"/>
  <c r="BE185" i="4"/>
  <c r="BG185" i="4"/>
  <c r="O186" i="4"/>
  <c r="S186" i="4"/>
  <c r="AY186" i="4"/>
  <c r="BC186" i="4"/>
  <c r="BE186" i="4"/>
  <c r="BG186" i="4"/>
  <c r="AY187" i="4"/>
  <c r="BC187" i="4"/>
  <c r="BE187" i="4"/>
  <c r="BG187" i="4"/>
  <c r="O188" i="4"/>
  <c r="S188" i="4"/>
  <c r="AQ188" i="4"/>
  <c r="AY188" i="4"/>
  <c r="BA188" i="4"/>
  <c r="BE188" i="4"/>
  <c r="BG188" i="4"/>
  <c r="K189" i="4"/>
  <c r="M189" i="4"/>
  <c r="O189" i="4"/>
  <c r="Q189" i="4"/>
  <c r="S189" i="4"/>
  <c r="U189" i="4"/>
  <c r="W189" i="4"/>
  <c r="Y189" i="4"/>
  <c r="AA189" i="4"/>
  <c r="AC189" i="4"/>
  <c r="AE189" i="4"/>
  <c r="AG189" i="4"/>
  <c r="AI189" i="4"/>
  <c r="AK189" i="4"/>
  <c r="AM189" i="4"/>
  <c r="AO189" i="4"/>
  <c r="AQ189" i="4"/>
  <c r="AS189" i="4"/>
  <c r="AU189" i="4"/>
  <c r="AW189" i="4"/>
  <c r="AY189" i="4"/>
  <c r="BA189" i="4"/>
  <c r="BC189" i="4"/>
  <c r="BE189" i="4"/>
  <c r="BG189" i="4"/>
  <c r="M191" i="4"/>
  <c r="O191" i="4"/>
  <c r="Q191" i="4"/>
  <c r="AY191" i="4"/>
  <c r="BC191" i="4"/>
  <c r="BE191" i="4"/>
  <c r="BG191" i="4"/>
  <c r="BE193" i="4"/>
  <c r="U194" i="4"/>
  <c r="W194" i="4"/>
  <c r="AA194" i="4"/>
  <c r="AC194" i="4"/>
  <c r="AE194" i="4"/>
  <c r="AM194" i="4"/>
  <c r="AY194" i="4"/>
  <c r="BE194" i="4"/>
  <c r="AY195" i="4"/>
  <c r="BE195" i="4"/>
  <c r="Q196" i="4"/>
  <c r="AC196" i="4"/>
  <c r="AK196" i="4"/>
  <c r="AY196" i="4"/>
  <c r="BE196" i="4"/>
  <c r="AC197" i="4"/>
  <c r="AG197" i="4"/>
  <c r="AY197" i="4"/>
  <c r="BE197" i="4"/>
  <c r="Q198" i="4"/>
  <c r="U198" i="4"/>
  <c r="AY198" i="4"/>
  <c r="BE198" i="4"/>
  <c r="AY199" i="4"/>
  <c r="BE199" i="4"/>
  <c r="AY200" i="4"/>
  <c r="BE200" i="4"/>
  <c r="Q201" i="4"/>
  <c r="AK201" i="4"/>
  <c r="AY201" i="4"/>
  <c r="BE201" i="4"/>
  <c r="AC202" i="4"/>
  <c r="AG202" i="4"/>
  <c r="AI202" i="4"/>
  <c r="AK202" i="4"/>
  <c r="AY202" i="4"/>
  <c r="BE202" i="4"/>
  <c r="AY203" i="4"/>
  <c r="BE203" i="4"/>
  <c r="Q204" i="4"/>
  <c r="AY204" i="4"/>
  <c r="BE204" i="4"/>
  <c r="O205" i="4"/>
  <c r="Q205" i="4"/>
  <c r="S205" i="4"/>
  <c r="U205" i="4"/>
  <c r="W205" i="4"/>
  <c r="Y205" i="4"/>
  <c r="AA205" i="4"/>
  <c r="AC205" i="4"/>
  <c r="AE205" i="4"/>
  <c r="AG205" i="4"/>
  <c r="AI205" i="4"/>
  <c r="AK205" i="4"/>
  <c r="AM205" i="4"/>
  <c r="AO205" i="4"/>
  <c r="AQ205" i="4"/>
  <c r="AS205" i="4"/>
  <c r="AU205" i="4"/>
  <c r="AW205" i="4"/>
  <c r="AY205" i="4"/>
  <c r="BA205" i="4"/>
  <c r="BC205" i="4"/>
  <c r="BE205" i="4"/>
  <c r="BG205" i="4"/>
  <c r="Q208" i="4"/>
  <c r="AY208" i="4"/>
  <c r="BE208" i="4"/>
  <c r="Q209" i="4"/>
  <c r="AC209" i="4"/>
  <c r="AG209" i="4"/>
  <c r="AK209" i="4"/>
  <c r="AY209" i="4"/>
  <c r="BE209" i="4"/>
  <c r="AY210" i="4"/>
  <c r="BE210" i="4"/>
  <c r="AY211" i="4"/>
  <c r="BE211" i="4"/>
  <c r="AY212" i="4"/>
  <c r="BE212" i="4"/>
  <c r="AC213" i="4"/>
  <c r="AG213" i="4"/>
  <c r="AK213" i="4"/>
  <c r="AM213" i="4"/>
  <c r="AY213" i="4"/>
  <c r="BE213" i="4"/>
  <c r="Q214" i="4"/>
  <c r="U214" i="4"/>
  <c r="AC214" i="4"/>
  <c r="AK214" i="4"/>
  <c r="AY214" i="4"/>
  <c r="BE214" i="4"/>
  <c r="O215" i="4"/>
  <c r="Q215" i="4"/>
  <c r="S215" i="4"/>
  <c r="U215" i="4"/>
  <c r="W215" i="4"/>
  <c r="Y215" i="4"/>
  <c r="AA215" i="4"/>
  <c r="AC215" i="4"/>
  <c r="AE215" i="4"/>
  <c r="AG215" i="4"/>
  <c r="AI215" i="4"/>
  <c r="AK215" i="4"/>
  <c r="AM215" i="4"/>
  <c r="AO215" i="4"/>
  <c r="AQ215" i="4"/>
  <c r="AS215" i="4"/>
  <c r="AU215" i="4"/>
  <c r="AW215" i="4"/>
  <c r="AY215" i="4"/>
  <c r="BA215" i="4"/>
  <c r="BC215" i="4"/>
  <c r="BE215" i="4"/>
  <c r="BG215" i="4"/>
  <c r="O217" i="4"/>
  <c r="AE217" i="4"/>
  <c r="AY217" i="4"/>
  <c r="BC217" i="4"/>
  <c r="BE217" i="4"/>
  <c r="BG217" i="4"/>
  <c r="K219" i="4"/>
  <c r="M219" i="4"/>
  <c r="O219" i="4"/>
  <c r="Q219" i="4"/>
  <c r="S219" i="4"/>
  <c r="U219" i="4"/>
  <c r="W219" i="4"/>
  <c r="Y219" i="4"/>
  <c r="AA219" i="4"/>
  <c r="AC219" i="4"/>
  <c r="AE219" i="4"/>
  <c r="AG219" i="4"/>
  <c r="AI219" i="4"/>
  <c r="AK219" i="4"/>
  <c r="AM219" i="4"/>
  <c r="AO219" i="4"/>
  <c r="AQ219" i="4"/>
  <c r="AS219" i="4"/>
  <c r="AU219" i="4"/>
  <c r="AW219" i="4"/>
  <c r="AY219" i="4"/>
  <c r="BA219" i="4"/>
  <c r="BC219" i="4"/>
  <c r="BE219" i="4"/>
  <c r="BG219" i="4"/>
  <c r="K221" i="4"/>
  <c r="M221" i="4"/>
  <c r="O221" i="4"/>
  <c r="Q221" i="4"/>
  <c r="S221" i="4"/>
  <c r="U221" i="4"/>
  <c r="W221" i="4"/>
  <c r="Y221" i="4"/>
  <c r="AA221" i="4"/>
  <c r="AC221" i="4"/>
  <c r="AE221" i="4"/>
  <c r="AG221" i="4"/>
  <c r="AI221" i="4"/>
  <c r="AK221" i="4"/>
  <c r="AM221" i="4"/>
  <c r="AO221" i="4"/>
  <c r="AQ221" i="4"/>
  <c r="AS221" i="4"/>
  <c r="AU221" i="4"/>
  <c r="AW221" i="4"/>
  <c r="AY221" i="4"/>
  <c r="BA221" i="4"/>
  <c r="BC221" i="4"/>
  <c r="BE221" i="4"/>
  <c r="BG221" i="4"/>
  <c r="K223" i="4"/>
  <c r="O223" i="4"/>
  <c r="BE223" i="4"/>
  <c r="O226" i="4"/>
  <c r="AY226" i="4"/>
  <c r="BC226" i="4"/>
  <c r="BE226" i="4"/>
  <c r="BG226" i="4"/>
  <c r="AY227" i="4"/>
  <c r="BE227" i="4"/>
  <c r="K228" i="4"/>
  <c r="M228" i="4"/>
  <c r="O228" i="4"/>
  <c r="AY228" i="4"/>
  <c r="BC228" i="4"/>
  <c r="BE228" i="4"/>
  <c r="BG228" i="4"/>
  <c r="K230" i="4"/>
  <c r="O230" i="4"/>
  <c r="BE230" i="4"/>
  <c r="Y231" i="4"/>
  <c r="BG232" i="4"/>
  <c r="BE237" i="4"/>
  <c r="BE241" i="4"/>
  <c r="BE244" i="4"/>
  <c r="B15" i="10"/>
  <c r="D15" i="10"/>
  <c r="B19" i="10"/>
  <c r="B21" i="10"/>
  <c r="B24" i="10"/>
  <c r="B43" i="10"/>
  <c r="D43" i="10"/>
  <c r="K14" i="8"/>
  <c r="K15" i="8"/>
  <c r="K16" i="8"/>
  <c r="E18" i="8"/>
  <c r="G18" i="8"/>
  <c r="I18" i="8"/>
  <c r="K18" i="8"/>
  <c r="O2" i="5"/>
  <c r="E7" i="5"/>
  <c r="G7" i="5"/>
  <c r="I7" i="5"/>
  <c r="K7" i="5"/>
  <c r="E9" i="5"/>
  <c r="G9" i="5"/>
  <c r="I9" i="5"/>
  <c r="K9" i="5"/>
  <c r="M9" i="5"/>
  <c r="O9" i="5"/>
  <c r="E11" i="5"/>
  <c r="G11" i="5"/>
  <c r="I11" i="5"/>
  <c r="K11" i="5"/>
  <c r="M11" i="5"/>
  <c r="O11" i="5"/>
  <c r="E13" i="5"/>
  <c r="G13" i="5"/>
  <c r="I13" i="5"/>
  <c r="K13" i="5"/>
  <c r="M13" i="5"/>
  <c r="O13" i="5"/>
  <c r="G15" i="5"/>
  <c r="K15" i="5"/>
  <c r="C17" i="5"/>
  <c r="E17" i="5"/>
  <c r="G17" i="5"/>
  <c r="I17" i="5"/>
  <c r="K17" i="5"/>
  <c r="M17" i="5"/>
  <c r="O17" i="5"/>
  <c r="E19" i="5"/>
  <c r="K19" i="5"/>
  <c r="C39" i="5"/>
  <c r="C40" i="5"/>
  <c r="C41" i="5"/>
  <c r="C42" i="5"/>
  <c r="C44" i="5"/>
  <c r="C45" i="5"/>
  <c r="C46" i="5"/>
  <c r="C47" i="5"/>
  <c r="C48" i="5"/>
  <c r="C49" i="5"/>
  <c r="C50" i="5"/>
  <c r="C51" i="5"/>
  <c r="C52" i="5"/>
  <c r="C54" i="5"/>
  <c r="C56" i="5"/>
  <c r="C57" i="5"/>
  <c r="C58" i="5"/>
  <c r="C59" i="5"/>
  <c r="C61" i="5"/>
  <c r="C62" i="5"/>
  <c r="C63" i="5"/>
  <c r="C64" i="5"/>
  <c r="C65" i="5"/>
  <c r="C66" i="5"/>
  <c r="E66" i="5"/>
  <c r="C67" i="5"/>
  <c r="C69" i="5"/>
  <c r="C71" i="5"/>
  <c r="C72" i="5"/>
  <c r="C73" i="5"/>
  <c r="C75" i="5"/>
  <c r="C76" i="5"/>
  <c r="C77" i="5"/>
  <c r="C78" i="5"/>
  <c r="C79" i="5"/>
  <c r="C80" i="5"/>
  <c r="C82" i="5"/>
  <c r="C83" i="5"/>
  <c r="C84" i="5"/>
  <c r="C85" i="5"/>
  <c r="C86" i="5"/>
  <c r="E86" i="5"/>
  <c r="C87" i="5"/>
  <c r="C88" i="5"/>
  <c r="E88" i="5"/>
  <c r="C89" i="5"/>
  <c r="C90" i="5"/>
  <c r="C92" i="5"/>
  <c r="A97" i="5"/>
</calcChain>
</file>

<file path=xl/comments1.xml><?xml version="1.0" encoding="utf-8"?>
<comments xmlns="http://schemas.openxmlformats.org/spreadsheetml/2006/main">
  <authors>
    <author>apearce</author>
    <author>Stacey Aune</author>
    <author>tshepperd</author>
  </authors>
  <commentList>
    <comment ref="BA111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$250K / 3 projects for incr in O&amp;M manpower req's.</t>
        </r>
      </text>
    </comment>
    <comment ref="W123" authorId="1" shapeId="0">
      <text>
        <r>
          <rPr>
            <b/>
            <sz val="12"/>
            <color indexed="81"/>
            <rFont val="Tahoma"/>
            <family val="2"/>
          </rPr>
          <t>Stacey Aune:</t>
        </r>
        <r>
          <rPr>
            <sz val="12"/>
            <color indexed="81"/>
            <rFont val="Tahoma"/>
            <family val="2"/>
          </rPr>
          <t xml:space="preserve">
Payment made to Layne Central . Invoiced by Neel-Schaffer
</t>
        </r>
      </text>
    </comment>
    <comment ref="Y123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Payment made to Layne Central . Invoiced by Neel-Schaffer
</t>
        </r>
      </text>
    </comment>
    <comment ref="K141" authorId="1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10/26/98 per MJ Glasscock
</t>
        </r>
      </text>
    </comment>
    <comment ref="BC143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$22,049 plus possible trueup of $10K per David Marshall thru 7/15</t>
        </r>
      </text>
    </comment>
    <comment ref="K147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
</t>
        </r>
      </text>
    </comment>
    <comment ref="AC192" authorId="0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 from Faith Killen for project Cheetah erroneously booked to her RC</t>
        </r>
      </text>
    </comment>
    <comment ref="K193" authorId="2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Hearn.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apearce</author>
    <author>Stacey Aune</author>
    <author>tshepperd</author>
  </authors>
  <commentList>
    <comment ref="K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combined the original amount of $168,000 with a line labeled "Delete 64G2/21 Y funchtion" with a credit of $(7,200)</t>
        </r>
      </text>
    </comment>
    <comment ref="AE23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 xml:space="preserve">Includes a reclass from 7/98 for $953K.  Cal's piece is $238K plus Fulton's piece of $314K.
</t>
        </r>
      </text>
    </comment>
    <comment ref="BA121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$250K / 3 plants of addl' manpower req's</t>
        </r>
      </text>
    </comment>
    <comment ref="K150" authorId="2" shapeId="0">
      <text>
        <r>
          <rPr>
            <b/>
            <sz val="8"/>
            <color indexed="81"/>
            <rFont val="Tahoma"/>
          </rPr>
          <t>Stacey Aune:</t>
        </r>
        <r>
          <rPr>
            <sz val="8"/>
            <color indexed="81"/>
            <rFont val="Tahoma"/>
          </rPr>
          <t xml:space="preserve">
New estimate per MJ Glasscock 10/26/98
</t>
        </r>
      </text>
    </comment>
    <comment ref="BA15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$57,950 per David Marshall thru 7/15</t>
        </r>
      </text>
    </comment>
    <comment ref="K156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Off balance sheet in 99
Not based on current cash flows
</t>
        </r>
      </text>
    </comment>
    <comment ref="AC192" authorId="1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$119K reclassed by Faith Killen for Project Cheetah costs erroneously booked to her RC</t>
        </r>
      </text>
    </comment>
    <comment ref="K193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reduced to $350,000 based on original model and conversation with Ed Hearn
</t>
        </r>
      </text>
    </comment>
  </commentList>
</comments>
</file>

<file path=xl/comments3.xml><?xml version="1.0" encoding="utf-8"?>
<comments xmlns="http://schemas.openxmlformats.org/spreadsheetml/2006/main">
  <authors>
    <author>Shelly May</author>
    <author>Stacey Aune</author>
    <author>apearce</author>
    <author>tshepperd</author>
  </authors>
  <commentList>
    <comment ref="Y16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$110,166 to American Navigation for moving #1&amp;2 from Pens to NA</t>
        </r>
      </text>
    </comment>
    <comment ref="U22" authorId="1" shapeId="0">
      <text>
        <r>
          <rPr>
            <b/>
            <sz val="11"/>
            <color indexed="81"/>
            <rFont val="Tahoma"/>
            <family val="2"/>
          </rPr>
          <t>Stacey Aune:</t>
        </r>
        <r>
          <rPr>
            <sz val="11"/>
            <color indexed="81"/>
            <rFont val="Tahoma"/>
            <family val="2"/>
          </rPr>
          <t xml:space="preserve">
Amount represents freight costs for four turbines of which 25% stays on New Albany</t>
        </r>
      </text>
    </comment>
    <comment ref="Y22" authorId="0" shapeId="0">
      <text>
        <r>
          <rPr>
            <b/>
            <sz val="11"/>
            <color indexed="81"/>
            <rFont val="Tahoma"/>
            <family val="2"/>
          </rPr>
          <t>Shelly May:</t>
        </r>
        <r>
          <rPr>
            <sz val="11"/>
            <color indexed="81"/>
            <rFont val="Tahoma"/>
            <family val="2"/>
          </rPr>
          <t xml:space="preserve">
includes $536,221 to Intermarine for moving #5&amp;6 from Masan to Pens; I unit here and 1 unit to Walton</t>
        </r>
      </text>
    </comment>
    <comment ref="Y24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incl $(113)k for scrap sale of BOP from Korea and $593 refurb contr scope change + 10% IBC fee ($652k)</t>
        </r>
      </text>
    </comment>
    <comment ref="AC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BI2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reclassed to Doyle project - DOW units</t>
        </r>
      </text>
    </comment>
    <comment ref="AK30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Includes $52,451 for repair of transformer which caught on fire.</t>
        </r>
      </text>
    </comment>
    <comment ref="AI111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move $1282565 back down to contract labor on 8/24 report
</t>
        </r>
      </text>
    </comment>
    <comment ref="BA145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2"/>
            <color indexed="81"/>
            <rFont val="Tahoma"/>
            <family val="2"/>
          </rPr>
          <t>includes 250K / 3 plants of add'l manpower req's</t>
        </r>
      </text>
    </comment>
    <comment ref="BC170" authorId="2" shapeId="0">
      <text>
        <r>
          <rPr>
            <b/>
            <sz val="12"/>
            <color indexed="81"/>
            <rFont val="Tahoma"/>
            <family val="2"/>
          </rPr>
          <t>apearce:</t>
        </r>
        <r>
          <rPr>
            <sz val="12"/>
            <color indexed="81"/>
            <rFont val="Tahoma"/>
            <family val="2"/>
          </rPr>
          <t xml:space="preserve">
per david marshall, $82,918 plus possible trueup of $20K thru 8/31</t>
        </r>
      </text>
    </comment>
    <comment ref="K174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98 capital 7.5%
99 capital 7.0%
Not based on current cash flows
</t>
        </r>
      </text>
    </comment>
    <comment ref="AC214" authorId="2" shapeId="0">
      <text>
        <r>
          <rPr>
            <b/>
            <sz val="8"/>
            <color indexed="81"/>
            <rFont val="Tahoma"/>
          </rPr>
          <t>apearce: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includes $119K reclassed by Faith Killen for Project Cheetah legal exps erroneously booked to her RC</t>
        </r>
      </text>
    </comment>
    <comment ref="K215" authorId="3" shapeId="0">
      <text>
        <r>
          <rPr>
            <b/>
            <sz val="8"/>
            <color indexed="81"/>
            <rFont val="Tahoma"/>
          </rPr>
          <t>tshepperd:</t>
        </r>
        <r>
          <rPr>
            <sz val="8"/>
            <color indexed="81"/>
            <rFont val="Tahoma"/>
          </rPr>
          <t xml:space="preserve">
This should probably be around $350,000 based on original Model and conversation with Ed Hearn
</t>
        </r>
      </text>
    </comment>
  </commentList>
</comments>
</file>

<file path=xl/sharedStrings.xml><?xml version="1.0" encoding="utf-8"?>
<sst xmlns="http://schemas.openxmlformats.org/spreadsheetml/2006/main" count="1580" uniqueCount="554">
  <si>
    <t>ECT</t>
  </si>
  <si>
    <t>Responsibility</t>
  </si>
  <si>
    <t>Enron Contact</t>
  </si>
  <si>
    <t>Certainty</t>
  </si>
  <si>
    <t>CONTROL BUDGET</t>
  </si>
  <si>
    <t>Comments</t>
  </si>
  <si>
    <t>MAJOR EQUIPMENT</t>
  </si>
  <si>
    <t>IBC/GE-7B</t>
  </si>
  <si>
    <t>MM</t>
  </si>
  <si>
    <t>Bob Emerson</t>
  </si>
  <si>
    <t>TURBINE COMMISSION 10%</t>
  </si>
  <si>
    <t>IBC</t>
  </si>
  <si>
    <t>EQUIP DECONSTRUCT MOVE TO PORT</t>
  </si>
  <si>
    <t>POWER TRANSFORMERS</t>
  </si>
  <si>
    <t>ABB</t>
  </si>
  <si>
    <t>SG/MJG</t>
  </si>
  <si>
    <t>AUX TRANSFORMERS</t>
  </si>
  <si>
    <t>SG</t>
  </si>
  <si>
    <t>LOAD CENTER TRANSFORMERS</t>
  </si>
  <si>
    <t>CIRCUIT BREAKERS</t>
  </si>
  <si>
    <t>TD OF I-ABB</t>
  </si>
  <si>
    <t>estimate</t>
  </si>
  <si>
    <t>FREIGHT - TRANSFORMERS</t>
  </si>
  <si>
    <t>TRANSFORMER INSTALLATION</t>
  </si>
  <si>
    <t>OFF LOAD CIRCUIT BREAKERS</t>
  </si>
  <si>
    <t>MISC TVA REQUIREMENTS</t>
  </si>
  <si>
    <t>TOTAL MAJOR EQUIPMENT</t>
  </si>
  <si>
    <t>EECC PROGRAM MGT</t>
  </si>
  <si>
    <t>HOME OFFICE</t>
  </si>
  <si>
    <t>EECC</t>
  </si>
  <si>
    <t>FIELD COORDINATION</t>
  </si>
  <si>
    <t>TVA INTERFACE COORDINATION</t>
  </si>
  <si>
    <t>EXPENSES</t>
  </si>
  <si>
    <t>TOTAL EECC PROGRAM MGT</t>
  </si>
  <si>
    <t>ENGINEERED BOP EQUIPMENT</t>
  </si>
  <si>
    <t>ELECTRICAL</t>
  </si>
  <si>
    <t>NEPCO</t>
  </si>
  <si>
    <t>David Lindquist</t>
  </si>
  <si>
    <t>FREIGHT</t>
  </si>
  <si>
    <t>TOTAL ENGINEERED BOP EQUIP</t>
  </si>
  <si>
    <t>BULK MATERIAL</t>
  </si>
  <si>
    <t>PIPING</t>
  </si>
  <si>
    <t>CIVIL</t>
  </si>
  <si>
    <t>INSTRUMENTATION</t>
  </si>
  <si>
    <t>TOTAL BULK MATERIAL</t>
  </si>
  <si>
    <t>CONSTRUCTION</t>
  </si>
  <si>
    <t>CIVIL WORK &amp; FOUNDATIONS</t>
  </si>
  <si>
    <t>MAJOR EQUIPMENT ERECTION</t>
  </si>
  <si>
    <t>BOP EQUIPMENT ERECTION</t>
  </si>
  <si>
    <t xml:space="preserve">PIPING EXTERNAL TO EQUIPMENT </t>
  </si>
  <si>
    <t>ELECTRICAL/I&amp;C INSTALLATION</t>
  </si>
  <si>
    <t>TOTAL CONSTRUCTION</t>
  </si>
  <si>
    <t>ENGINEERING</t>
  </si>
  <si>
    <t>PROJECT MANAGEMENT</t>
  </si>
  <si>
    <t>CONSTRUCTION MANAGEMENT</t>
  </si>
  <si>
    <t>TOTAL ENGINEERING</t>
  </si>
  <si>
    <t>OTHER COSTS - G&amp;A</t>
  </si>
  <si>
    <t>STARTUP &amp; COMMISSIONING</t>
  </si>
  <si>
    <t>TOTAL EECC &amp; NEPCO SCOPE</t>
  </si>
  <si>
    <t>MOBILIZATION OF O&amp;M</t>
  </si>
  <si>
    <t>EI</t>
  </si>
  <si>
    <t>D. Regan</t>
  </si>
  <si>
    <t>Noles</t>
  </si>
  <si>
    <t>EI Hourly Billing</t>
  </si>
  <si>
    <t>SPARE PARTS</t>
  </si>
  <si>
    <t>BV</t>
  </si>
  <si>
    <t>Bob Virgo</t>
  </si>
  <si>
    <t>LAND ACQUISITION</t>
  </si>
  <si>
    <t>BV/MJG</t>
  </si>
  <si>
    <t>Ben Jacoby</t>
  </si>
  <si>
    <t>Title Insurance</t>
  </si>
  <si>
    <t>ENVIRONMENTAL PERMITTING</t>
  </si>
  <si>
    <t>swag</t>
  </si>
  <si>
    <t>Neel- Schaffer</t>
  </si>
  <si>
    <t>GAS INTERCONNECTION</t>
  </si>
  <si>
    <t>Chris Meyer</t>
  </si>
  <si>
    <t>ELECTRICAL INTERCONNECTION</t>
  </si>
  <si>
    <t>W.O. Cost</t>
  </si>
  <si>
    <t>Pmt 1 on 11/30 25% of Budget per Heather Kroll</t>
  </si>
  <si>
    <t>O.H Cost (21.6%)</t>
  </si>
  <si>
    <t>SALES TAX ON EQUIPMENT</t>
  </si>
  <si>
    <t>SG/MG</t>
  </si>
  <si>
    <t>Pat Maloy</t>
  </si>
  <si>
    <t>INSURANCE DURING CONSTR</t>
  </si>
  <si>
    <t>BV/MG</t>
  </si>
  <si>
    <t>David Marshall</t>
  </si>
  <si>
    <t>CAPITALIZED SALARIES</t>
  </si>
  <si>
    <t>TS</t>
  </si>
  <si>
    <t>Mike Miller</t>
  </si>
  <si>
    <t>INTEREST DURING CONSTRUCTION</t>
  </si>
  <si>
    <t>Subtotal - CapX</t>
  </si>
  <si>
    <t>FINANCING FEE</t>
  </si>
  <si>
    <t>RM</t>
  </si>
  <si>
    <t>R. Malcolm</t>
  </si>
  <si>
    <t>DEVELOPMENT EXPENSES</t>
  </si>
  <si>
    <t>Travel Expenses</t>
  </si>
  <si>
    <t>Deloitte &amp; Touche</t>
  </si>
  <si>
    <t>HARC Development Service- Tom Young</t>
  </si>
  <si>
    <t>Harry Leather and Ron Anderson</t>
  </si>
  <si>
    <t>Maps</t>
  </si>
  <si>
    <t>Engineering Assessment</t>
  </si>
  <si>
    <t>ICF - Studies</t>
  </si>
  <si>
    <t>LEGAL EXPENSES</t>
  </si>
  <si>
    <t>TS/MM</t>
  </si>
  <si>
    <t>Doug Pedigo</t>
  </si>
  <si>
    <t>Andrews &amp; Kurth</t>
  </si>
  <si>
    <t>Vinson &amp; Elkins</t>
  </si>
  <si>
    <t>Gerald &amp; Brand</t>
  </si>
  <si>
    <t>Subtotal - Expense</t>
  </si>
  <si>
    <t>CURRENT ESTIMATE</t>
  </si>
  <si>
    <t>TO COMPLETE</t>
  </si>
  <si>
    <t>VARIANCE</t>
  </si>
  <si>
    <t>TURBINE UNITS - 7B'S (1 ea)</t>
  </si>
  <si>
    <t>IBC/DOW-7B</t>
  </si>
  <si>
    <t>Paid</t>
  </si>
  <si>
    <t>Miller</t>
  </si>
  <si>
    <t>From Fulton</t>
  </si>
  <si>
    <t>Miler</t>
  </si>
  <si>
    <t>IBC PRE-PAY ON COMMISSION</t>
  </si>
  <si>
    <t>Vendor quote</t>
  </si>
  <si>
    <t>EI Hourly billing</t>
  </si>
  <si>
    <t>Is this related to above payments</t>
  </si>
  <si>
    <t>Title Charges, reclass $10,000 from Brownsville</t>
  </si>
  <si>
    <t>Additional land acquisition option</t>
  </si>
  <si>
    <t>$854,000 to be paid by Columbia Gas</t>
  </si>
  <si>
    <t>Larry Soderquist</t>
  </si>
  <si>
    <t>Will net against IBC Commission</t>
  </si>
  <si>
    <t>TOTAL DEVELOPMENT EXPENSE</t>
  </si>
  <si>
    <t>TOTAL LEGAL EXPENSE</t>
  </si>
  <si>
    <t>TOTAL NEW ALBANY</t>
  </si>
  <si>
    <t>TURBINE UNITS - 7EA'S (6 ea)</t>
  </si>
  <si>
    <t>GE-7B</t>
  </si>
  <si>
    <t>HMI CONTROLS</t>
  </si>
  <si>
    <t>GE</t>
  </si>
  <si>
    <t>GENERATOR POTENTIAL XFRMR</t>
  </si>
  <si>
    <t>DESCRETE 78 RELAY</t>
  </si>
  <si>
    <t>GEN DESCRETE WATT TRANSDUCER</t>
  </si>
  <si>
    <t>GEN DESCRETE VAR TRANSDUCER</t>
  </si>
  <si>
    <t>GENERATOR MWH METER</t>
  </si>
  <si>
    <t>EXHAUST STACK LADDER</t>
  </si>
  <si>
    <t>HISTORIAN</t>
  </si>
  <si>
    <t>TOTAL GE EQUIP</t>
  </si>
  <si>
    <t>TOTAL ABB EQUIP</t>
  </si>
  <si>
    <t>DEVELOPMENT AND PERMIT SPPT</t>
  </si>
  <si>
    <t>D. Regain</t>
  </si>
  <si>
    <t>VIRGO</t>
  </si>
  <si>
    <t>Oscar Dalton/Clay Spears</t>
  </si>
  <si>
    <t>Land Option to Emily Boney</t>
  </si>
  <si>
    <t>Land Purchase Boney</t>
  </si>
  <si>
    <t>Land Option Dalton</t>
  </si>
  <si>
    <t>Land Option Stennis</t>
  </si>
  <si>
    <t>Land Option to Cantrell</t>
  </si>
  <si>
    <t>Land Purchase Cantrell</t>
  </si>
  <si>
    <t>Updated 10/27</t>
  </si>
  <si>
    <t>R. Malcom</t>
  </si>
  <si>
    <t>Deloitt &amp; Touche</t>
  </si>
  <si>
    <t>TOTAL DEVELOPMENT COST</t>
  </si>
  <si>
    <t>SG/MM/MJG</t>
  </si>
  <si>
    <t>Clay Spears</t>
  </si>
  <si>
    <t>LEGAL EXPENSE</t>
  </si>
  <si>
    <t>TOTAL CALEDONIA</t>
  </si>
  <si>
    <t>ESTIMATE</t>
  </si>
  <si>
    <t>Increase/(Savings)</t>
  </si>
  <si>
    <t>TURBINE UNITS - 5D'S (4ea)</t>
  </si>
  <si>
    <t>WH</t>
  </si>
  <si>
    <t>Vendor Quote</t>
  </si>
  <si>
    <t>TD OF 1</t>
  </si>
  <si>
    <t xml:space="preserve">REDUNDANT DPU'S </t>
  </si>
  <si>
    <t>LADDERS &amp; PLATFORMS</t>
  </si>
  <si>
    <t>LIGHT KITS</t>
  </si>
  <si>
    <t>FUEL METERING</t>
  </si>
  <si>
    <t>WATT/VAR METERING</t>
  </si>
  <si>
    <t>85 dBa ATTENUATION</t>
  </si>
  <si>
    <t>TOTAL WH EQUIP</t>
  </si>
  <si>
    <t>Title Charges and Option Payment</t>
  </si>
  <si>
    <t>Additional fee paid for loss of crops</t>
  </si>
  <si>
    <t>MJG</t>
  </si>
  <si>
    <t>Neel-Schaffer</t>
  </si>
  <si>
    <t>TN. Department of Environment &amp; Conservation</t>
  </si>
  <si>
    <t>Walter Powell Surveying</t>
  </si>
  <si>
    <t xml:space="preserve">Health Department </t>
  </si>
  <si>
    <t>TOTAL ENVIRONMENTAL PERMITTING</t>
  </si>
  <si>
    <t>Haywood County Trustee (re-zonimg)</t>
  </si>
  <si>
    <t>Southwest Tennessee Electric Membership Corp.</t>
  </si>
  <si>
    <t>Waring Cox PLC</t>
  </si>
  <si>
    <t>Stokes &amp; Bartholomew</t>
  </si>
  <si>
    <t>McCutcheon, Doyle, Brown &amp; Emersen</t>
  </si>
  <si>
    <t>TOTAL BROWNSVILLE</t>
  </si>
  <si>
    <t>BROWNSVILLE, TN</t>
  </si>
  <si>
    <t>Current Estimate</t>
  </si>
  <si>
    <t>Actuals to Date</t>
  </si>
  <si>
    <t>%</t>
  </si>
  <si>
    <t>Complete</t>
  </si>
  <si>
    <t>MW</t>
  </si>
  <si>
    <t>TARGET $$/MW</t>
  </si>
  <si>
    <t>Project</t>
  </si>
  <si>
    <t>TOTAL PROGRAM</t>
  </si>
  <si>
    <t>Goodin, Macbride</t>
  </si>
  <si>
    <t>CALEDONIA, MS</t>
  </si>
  <si>
    <t>NEW ALBANY,MS</t>
  </si>
  <si>
    <t>New Albany:</t>
  </si>
  <si>
    <t>Utility Consulting Services (Infinergy)</t>
  </si>
  <si>
    <t>D'Lomar Media</t>
  </si>
  <si>
    <t>11/16</t>
  </si>
  <si>
    <t>11/10</t>
  </si>
  <si>
    <t>Estimate to Complete</t>
  </si>
  <si>
    <t>Decrease costs due to reduced interest expectation and reduced financing fees.</t>
  </si>
  <si>
    <t>Decrease costs due to reduced spare part expense.</t>
  </si>
  <si>
    <t>Increased costs related to increased O&amp;M/Startup costs</t>
  </si>
  <si>
    <t>Increased cost related to $7.5 MM for DLN equipment</t>
  </si>
  <si>
    <t>INTEREST/BANK FEES ON LATE PAYMENT TO IBC (KEPCO)</t>
  </si>
  <si>
    <t>Southern Rents &amp; Sales</t>
  </si>
  <si>
    <t>VALVES/PIPE SPECIALTIES</t>
  </si>
  <si>
    <t>BUS DUCT</t>
  </si>
  <si>
    <t>DRY XMFERS &amp; PANEL</t>
  </si>
  <si>
    <t>5KV &amp; 480 V SWITCHGEAR &amp; MCCS</t>
  </si>
  <si>
    <t>CONTROL PANEL/TERM BOXES</t>
  </si>
  <si>
    <t>DCS</t>
  </si>
  <si>
    <t>UPS SYSTEM</t>
  </si>
  <si>
    <t>DC SYSTEM</t>
  </si>
  <si>
    <t>STACK MONITORING</t>
  </si>
  <si>
    <t>CONTROL VALVES</t>
  </si>
  <si>
    <t>PUMPS</t>
  </si>
  <si>
    <t>BRIDGE CRANE</t>
  </si>
  <si>
    <t>MINOR MECH EQUIP</t>
  </si>
  <si>
    <t>15 KV SWITCHGEAR</t>
  </si>
  <si>
    <t>PRESSURE REDUCING STATIONS</t>
  </si>
  <si>
    <t>GAS FILTER</t>
  </si>
  <si>
    <t>FIELD/SHOP FAB VESSELS</t>
  </si>
  <si>
    <t>OIL/WATER SEPARATOR</t>
  </si>
  <si>
    <t>SITE PREPARATION</t>
  </si>
  <si>
    <t>SITE IMPROVEMENTS</t>
  </si>
  <si>
    <t>UNDERGROUND ELECTRICAL (LAB &amp; MAT)</t>
  </si>
  <si>
    <t>UNDERGROUND PIPING (LAB &amp; MAT)</t>
  </si>
  <si>
    <t>CONCRETE</t>
  </si>
  <si>
    <t>STRUCTURAL STEEL (LAB &amp; MAT)</t>
  </si>
  <si>
    <t>ARCHECTURAL</t>
  </si>
  <si>
    <t>SUBCONTRACT ERECTED BLDG'S</t>
  </si>
  <si>
    <t>ABOVE GROUND PIPING</t>
  </si>
  <si>
    <t xml:space="preserve">  MATERIAL</t>
  </si>
  <si>
    <t xml:space="preserve">  SUBCONTRACT</t>
  </si>
  <si>
    <t xml:space="preserve">  LABOR</t>
  </si>
  <si>
    <t>ABOVE GROUND ELECTRICAL</t>
  </si>
  <si>
    <t>PAINTING</t>
  </si>
  <si>
    <t>OTSG'S</t>
  </si>
  <si>
    <t>INSULATION</t>
  </si>
  <si>
    <t>MAJOR MECHANICAL EQUIP</t>
  </si>
  <si>
    <t>SWITCHYARD</t>
  </si>
  <si>
    <t>INDIRECTS</t>
  </si>
  <si>
    <t>ENGINEERING DIRECT LABOR</t>
  </si>
  <si>
    <t>ENGINEERING CONTRACT LABOR</t>
  </si>
  <si>
    <t>EQUIPMENT RENTAL , FUEL SMALL TOOLS</t>
  </si>
  <si>
    <t>TOTAL INDIRECTS</t>
  </si>
  <si>
    <t>TOTAL NEPCO SCOPE</t>
  </si>
  <si>
    <t>David Lundquist</t>
  </si>
  <si>
    <t>DEVELOPMENT &amp; PERMIT SUPPORT</t>
  </si>
  <si>
    <t>VALVES &amp; SPECIALTIES</t>
  </si>
  <si>
    <t>EQUIP &amp; DEVICES</t>
  </si>
  <si>
    <t>PUMPS\</t>
  </si>
  <si>
    <t>OTHER</t>
  </si>
  <si>
    <t/>
  </si>
  <si>
    <t>SWITCHYARD INCREASE</t>
  </si>
  <si>
    <t>TOTAL NEPCO</t>
  </si>
  <si>
    <t>DISASSEMBLE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</si>
  <si>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</si>
  <si>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</si>
  <si>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</si>
  <si>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</si>
  <si>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</si>
  <si>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</si>
  <si>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</si>
  <si>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>System Impact Study</t>
  </si>
  <si>
    <t>Facilities Study</t>
  </si>
  <si>
    <t>Facilities Stdy</t>
  </si>
  <si>
    <t>NOT IDENTIFIED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</si>
  <si>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</si>
  <si>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</si>
  <si>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</si>
  <si>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</si>
  <si>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</si>
  <si>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</si>
  <si>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</si>
  <si>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</si>
  <si>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</si>
  <si>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</si>
  <si>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</si>
  <si>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</si>
  <si>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</si>
  <si>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</si>
  <si>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</si>
  <si>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</si>
  <si>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</si>
  <si>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</si>
  <si>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</si>
  <si>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</si>
  <si>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</si>
  <si>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</si>
  <si>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</si>
  <si>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</si>
  <si>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</si>
  <si>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</si>
  <si>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</si>
  <si>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</si>
  <si>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</si>
  <si>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</si>
  <si>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</si>
  <si>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</si>
  <si>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</si>
  <si>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</si>
  <si>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</si>
  <si>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</si>
  <si>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</si>
  <si>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</si>
  <si>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LESS STEAM TURBINE</t>
  </si>
  <si>
    <t>FFREIGHT COMMISSION</t>
  </si>
  <si>
    <t>TURBINE REFURBISHMENT &amp; DLN (7 UNITS)</t>
  </si>
  <si>
    <t xml:space="preserve">  PURCHASE, DISASSEMBLY, FREIGHT</t>
  </si>
  <si>
    <t>IBC/DOW &amp; GE-7B</t>
  </si>
  <si>
    <t>Decrease Development</t>
  </si>
  <si>
    <t>Issues/Savings</t>
  </si>
  <si>
    <t xml:space="preserve">TVA Peaking Plant </t>
  </si>
  <si>
    <t>Net Increase</t>
  </si>
  <si>
    <t>Savings Recognized</t>
  </si>
  <si>
    <t>12/09</t>
  </si>
  <si>
    <t>Recognition of Switchyard increase (NEPCO)</t>
  </si>
  <si>
    <t>Stokes and Bartholomew</t>
  </si>
  <si>
    <t>Spencer Martin Surveying</t>
  </si>
  <si>
    <t>Wilson Well</t>
  </si>
  <si>
    <t>RESALE HANDLING FEES (.25%)</t>
  </si>
  <si>
    <t>.</t>
  </si>
  <si>
    <t>P Maloy</t>
  </si>
  <si>
    <t>Right of Way Easement-Todd Chilcutt</t>
  </si>
  <si>
    <t>Escrow</t>
  </si>
  <si>
    <t>Legal Fees</t>
  </si>
  <si>
    <t>Insurance</t>
  </si>
  <si>
    <t>Other</t>
  </si>
  <si>
    <t>Beck Professional Services</t>
  </si>
  <si>
    <t>Brownsville:</t>
  </si>
  <si>
    <t>Caledonia: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</si>
  <si>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</si>
  <si>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</si>
  <si>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</si>
  <si>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</si>
  <si>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</si>
  <si>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</si>
  <si>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</si>
  <si>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</si>
  <si>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</si>
  <si>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</si>
  <si>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</si>
  <si>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</si>
  <si>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in cell "O3" drop in date of Project Tracking report used as backup</t>
  </si>
  <si>
    <t>Go to LLC tab</t>
  </si>
  <si>
    <t>unhide all columns</t>
  </si>
  <si>
    <t>update actuals for applicable month</t>
  </si>
  <si>
    <t>check totals</t>
  </si>
  <si>
    <t>tie budget and current estimate to report from week before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</si>
  <si>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</si>
  <si>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</si>
  <si>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</si>
  <si>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</si>
  <si>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</si>
  <si>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</si>
  <si>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 xml:space="preserve">NOTE:  </t>
  </si>
  <si>
    <t>Financing fees more than expected</t>
  </si>
  <si>
    <t>START-UP FUEL</t>
  </si>
  <si>
    <t>K Presto</t>
  </si>
  <si>
    <t>TOTAL</t>
  </si>
  <si>
    <t>PROJECT</t>
  </si>
  <si>
    <t>will be expensed as part of O&amp;M agreement vs. capitalized</t>
  </si>
  <si>
    <t>Other (RW Beck)</t>
  </si>
  <si>
    <t>KEPCO TURBINE UNITS - 7B'S (4 ea) (Kunsan)</t>
  </si>
  <si>
    <t>KEPCO TURBINE - 7B (1 ea) (Youngwol)</t>
  </si>
  <si>
    <t>1/26</t>
  </si>
  <si>
    <t>Remove cost associated with dedicated train</t>
  </si>
  <si>
    <t>Decrease estimated Interest Charges for Interest Rate Swap (7.5% Cap Chg vs. 5.75% swap)</t>
  </si>
  <si>
    <t>Increase for Startup fuel not in original Budget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</si>
  <si>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</si>
  <si>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</si>
  <si>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</si>
  <si>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</si>
  <si>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</si>
  <si>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</si>
  <si>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</si>
  <si>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</si>
  <si>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</si>
  <si>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</si>
  <si>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</si>
  <si>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</si>
  <si>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</si>
  <si>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</si>
  <si>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</si>
  <si>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 xml:space="preserve">   MATERIAL</t>
  </si>
  <si>
    <t xml:space="preserve">   SUBCONTRACT </t>
  </si>
  <si>
    <t xml:space="preserve">   LABOR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</si>
  <si>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</si>
  <si>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</si>
  <si>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</si>
  <si>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</si>
  <si>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</si>
  <si>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Estimated overrun on EECC Program Mgmt. based on EECC's revised budget captions</t>
  </si>
  <si>
    <t>Steam/WATER SEPARATOR</t>
  </si>
  <si>
    <t>eecc shows credit of 40200 for fixators</t>
  </si>
  <si>
    <t>+109906930-408000-40200=109458730 per eecc</t>
  </si>
  <si>
    <t>ELECTRICAL DEVICES</t>
  </si>
  <si>
    <t>Subtotal GE</t>
  </si>
  <si>
    <t>leave at 1347000; do not reflect turbine switch</t>
  </si>
  <si>
    <t>leave at 1274025; do not reflect turbine switch</t>
  </si>
  <si>
    <t>Per EECC report</t>
  </si>
  <si>
    <t>2/2</t>
  </si>
  <si>
    <t>Final approved New Albany NEPCO/EECC budget presented in 1/99 (excludes turbine switch)-incr of $483k</t>
  </si>
  <si>
    <t>Financing fees more than expected-ECT</t>
  </si>
  <si>
    <t>OTSG (Once-through Steam Generator)</t>
  </si>
  <si>
    <t>eecc has 62500 for estimate</t>
  </si>
  <si>
    <t>FIXATORS</t>
  </si>
  <si>
    <t>EECC Program Management</t>
  </si>
  <si>
    <t>Hale Headrick</t>
  </si>
  <si>
    <t>COST SUMMARY ($ thousands)</t>
  </si>
  <si>
    <t>1999 TVA PEAKING PLANTS</t>
  </si>
  <si>
    <t>Target $$/MW</t>
  </si>
  <si>
    <t>(without Debt Res)</t>
  </si>
  <si>
    <t>TARGET $$/MW (without Debt Reserve)</t>
  </si>
  <si>
    <t>DEBT RESERVE</t>
  </si>
  <si>
    <t>TOTAL BROWNSVILLE (with Debt Reserve</t>
  </si>
  <si>
    <t>TOTAL CALEDONIA (with Debt Reserve</t>
  </si>
  <si>
    <t>HI VOLT DEVICES</t>
  </si>
  <si>
    <t>ENGINEERING REWORK</t>
  </si>
  <si>
    <t>TOTAL NEW ALBANY (with Debt Reserve</t>
  </si>
  <si>
    <t>SPECIAL SYSTEMS</t>
  </si>
  <si>
    <t xml:space="preserve">UPS SYSTEM </t>
  </si>
  <si>
    <t>leave at Dow actual; do not reflect turbine switch (407000 per IBC Contract)</t>
  </si>
  <si>
    <t>Cost overrun on Spare Parts</t>
  </si>
  <si>
    <t>Cost overrun on Korean (Kunsan) units deconstruction/move/transport</t>
  </si>
  <si>
    <t>Dow</t>
  </si>
  <si>
    <t>per Invy Detail</t>
  </si>
  <si>
    <t>Dynegy</t>
  </si>
  <si>
    <t>Selkirk</t>
  </si>
  <si>
    <t>Natole</t>
  </si>
  <si>
    <t>Turbine Resources</t>
  </si>
  <si>
    <t>Not yet paid</t>
  </si>
  <si>
    <t>Elliot</t>
  </si>
  <si>
    <t>incl in Dow Turbine line of budget</t>
  </si>
  <si>
    <t>Spare parts before adjustment</t>
  </si>
  <si>
    <t>Refurbishment</t>
  </si>
  <si>
    <t>Scrap sale</t>
  </si>
  <si>
    <t>WH Rent</t>
  </si>
  <si>
    <t>Misc Credit</t>
  </si>
  <si>
    <t>Waterway lease and Port of Pensacola chgs</t>
  </si>
  <si>
    <t>TTS out of scope refurb expenses</t>
  </si>
  <si>
    <t>Total Estimate</t>
  </si>
  <si>
    <t>IBC Contract Payment #1</t>
  </si>
  <si>
    <t>IBC Contract Payment #2</t>
  </si>
  <si>
    <t>IBC Contract Payment #3</t>
  </si>
  <si>
    <t>IBC Contract Payment #4 - Final</t>
  </si>
  <si>
    <t>Other costs to complete</t>
  </si>
  <si>
    <t>Per final refurb analysis</t>
  </si>
  <si>
    <t>Refurb cost before adjustment</t>
  </si>
  <si>
    <t>IBC Refurb of spares (Wood Group)</t>
  </si>
  <si>
    <t>Parts staying at New Albany</t>
  </si>
  <si>
    <t>Refurb cost of parts staying at New Albany</t>
  </si>
  <si>
    <t>Adjustment amount to New Albany cost summary</t>
  </si>
  <si>
    <t>Spare parts after adjustment for Units 1-4</t>
  </si>
  <si>
    <t>Estimate to complete Units 5-6 at New Albany</t>
  </si>
  <si>
    <t>Total Estimated Project cost for spares at New Albany</t>
  </si>
  <si>
    <t>Dow 7B removal/shipping cost savings</t>
  </si>
  <si>
    <t>Not yet paid need to reconcile with IBC</t>
  </si>
  <si>
    <t xml:space="preserve"> Contract Out of Scope Work</t>
  </si>
  <si>
    <t>LEC Combustion Burners ($593k scope change + 10% IBC fee)</t>
  </si>
  <si>
    <t>KEPCO Youngwol units (incl cost of trans one unit from Korea to Pensacola)</t>
  </si>
  <si>
    <t>(incl cost of moving #1-4 from Korea to Pensacola and #1-6 from Pensacola to New Albany)</t>
  </si>
  <si>
    <t>Subtotal ABB</t>
  </si>
  <si>
    <t>Subtotal Land Acquisition</t>
  </si>
  <si>
    <t>Subtotal Electrical Interconnection</t>
  </si>
  <si>
    <t>Subtotal EI</t>
  </si>
  <si>
    <t>Reconciliation to Work Order:</t>
  </si>
  <si>
    <t>Balance per Work Order</t>
  </si>
  <si>
    <t>Balance per Weekly Summary</t>
  </si>
  <si>
    <t>Difference</t>
  </si>
  <si>
    <t>HIGH VOLTAGE DEVICES</t>
  </si>
  <si>
    <t>DEDICATED EXPEDITORS</t>
  </si>
  <si>
    <t>3/30</t>
  </si>
  <si>
    <t>Overrun on Refurbishment of KEPCO units (estimated costs NOT FINAL)</t>
  </si>
  <si>
    <t>All Plants</t>
  </si>
  <si>
    <t>Weekly Beginning</t>
  </si>
  <si>
    <t>COMMITMENT FEE</t>
  </si>
  <si>
    <t>SWAP GAIN/LOSS</t>
  </si>
  <si>
    <t>Interest Credit on Unused Cash</t>
  </si>
  <si>
    <t>Interest Credit on Usused Cash</t>
  </si>
  <si>
    <t>BROWNSVILLE  (458 MW)</t>
  </si>
  <si>
    <t>CALEDONIA (442 MW)</t>
  </si>
  <si>
    <t>Electrical Interconnection</t>
  </si>
  <si>
    <t>Layne Christensen (Water Wells)</t>
  </si>
  <si>
    <t>Changes to Current Estimate Explanations</t>
  </si>
  <si>
    <t xml:space="preserve">Increased EI Startup primarily for augmenting O&amp;M staffing during the startup and commissioning due to the compressed commissioning </t>
  </si>
  <si>
    <t xml:space="preserve">  and turnover schedule.</t>
  </si>
  <si>
    <t>Increased Insurance costs to carry additional 30-60 days of Builder's Risk insurance.</t>
  </si>
  <si>
    <t>Updated IDC, commitment fee and swap gain / (loss) based on actual draws to date and current interest rates.</t>
  </si>
  <si>
    <t>Insurance during construction</t>
  </si>
  <si>
    <t>TURBINE COMMISSION IBC/NATOLE - IBC fee 10%</t>
  </si>
  <si>
    <t>Need to break out labor piece &amp; move</t>
  </si>
  <si>
    <t>Per Suzie G, put Backcharges &amp; Changeorders here</t>
  </si>
  <si>
    <t>Interest credit on unused cash</t>
  </si>
  <si>
    <t>Circuit Breakers - movement of actuals from transformers</t>
  </si>
  <si>
    <t>Pat Mann</t>
  </si>
  <si>
    <t xml:space="preserve">Other </t>
  </si>
  <si>
    <t>GLC Consulting</t>
  </si>
  <si>
    <t>MINOR MECHANICAL EQUIP</t>
  </si>
  <si>
    <t>Commitment fee (trueup to actuals)</t>
  </si>
  <si>
    <t>Electrical interconnection</t>
  </si>
  <si>
    <t>922,500 should be allocated;EECC missing this amount</t>
  </si>
  <si>
    <t>ECT development / land acquisition / permitting cost overages</t>
  </si>
  <si>
    <t xml:space="preserve">EECC missing 10/15 pmt. of $6,831,000; </t>
  </si>
  <si>
    <t>CHANGE ORDERS</t>
  </si>
  <si>
    <t>INSTALLATION OF CIRCUIT BREAKERS</t>
  </si>
  <si>
    <t>MISC CHANGE ORDERS</t>
  </si>
  <si>
    <t>CIRCUIT BREAKER INSTALLATION</t>
  </si>
  <si>
    <t>Major Equipment (progress pymts to ABB for transformers and circuit breakers, change orders and circuit breaker installation)</t>
  </si>
  <si>
    <t>Major Equipment variance (include change orders and circuit breaker installation)</t>
  </si>
  <si>
    <t>Remove $268K from column AI after entry hits</t>
  </si>
  <si>
    <t>Mississippi Bond Issuance</t>
  </si>
  <si>
    <t xml:space="preserve">Sales tax savings </t>
  </si>
  <si>
    <t>Startup fuel</t>
  </si>
  <si>
    <t>TTS Scope</t>
  </si>
  <si>
    <t>ECT development / land acquisition / permitting cost overages / legal / insurance</t>
  </si>
  <si>
    <t>ECT development / land acquisition / permitting cost overages / insurance</t>
  </si>
  <si>
    <t>GENERAL PROVISIONS, OVERHEAD, IND CON LABOR</t>
  </si>
  <si>
    <t>STARTUP, TRAINING, MANUALS, CONTING, PRO ALLOW</t>
  </si>
  <si>
    <t>STARTUP, TRAINING, MANUALS, CONTINGs, PRORAT ALLOW</t>
  </si>
  <si>
    <t>GENERAL PROVISIONS, OVERHEAD, INDIR LABOR</t>
  </si>
  <si>
    <t>NEPCO - (primarily construction - maj. mech. equip, above ground electrical, TTS Scope)</t>
  </si>
  <si>
    <t>Construction variance-NEPCO (primarily major mechanical, startup, training, manuals, above and below ground electrical)</t>
  </si>
  <si>
    <t>NEPCO (primarily major mechanical, Above and Underground Electrical, and Startup, Training, Manauals)</t>
  </si>
  <si>
    <t>Less: Depreciation</t>
  </si>
  <si>
    <t>-</t>
  </si>
  <si>
    <t>Third Party</t>
  </si>
  <si>
    <t>LESS:  DEPRECIATION (BEG 6/99)</t>
  </si>
  <si>
    <t>LESS:  DEPRECIATION  (BEG 6/99)</t>
  </si>
  <si>
    <t>LESS DEPRECIATION (BEG 7/99)</t>
  </si>
  <si>
    <t>Power Systems SPC</t>
  </si>
  <si>
    <t>Major equipment variance (incl change orders and circuit breaker installation &amp; transformer repair)</t>
  </si>
  <si>
    <t>12/21-12/31/98</t>
  </si>
  <si>
    <t>as of 10/1/99</t>
  </si>
  <si>
    <t>Balance per Weekly Summary (less mobil exp and spare parts)</t>
  </si>
  <si>
    <t>KVB Entertec</t>
  </si>
  <si>
    <t>INTEREST CHARGES</t>
  </si>
  <si>
    <t>NEPCO Interest Charges</t>
  </si>
  <si>
    <r>
      <t>This summary includes updates reported in the</t>
    </r>
    <r>
      <rPr>
        <b/>
        <sz val="10"/>
        <rFont val="Arial"/>
        <family val="2"/>
      </rPr>
      <t xml:space="preserve"> September </t>
    </r>
    <r>
      <rPr>
        <sz val="10"/>
        <rFont val="Arial"/>
        <family val="2"/>
      </rPr>
      <t>Detailed Cost Status Report received from EE&amp;CC.</t>
    </r>
  </si>
  <si>
    <t>CAPITAL SPARES</t>
  </si>
  <si>
    <t xml:space="preserve">         (thru 11/99)</t>
  </si>
  <si>
    <t>Other  (RW Beck)</t>
  </si>
  <si>
    <t>Revision # 60</t>
  </si>
  <si>
    <t>as of 01/07/00</t>
  </si>
  <si>
    <t>Everest</t>
  </si>
  <si>
    <t>NEW ALBANY (387MW)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</si>
</sst>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5" formatCode="m/d"/>
  </numFmts>
  <fonts count="33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color indexed="56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10"/>
      <color indexed="53"/>
      <name val="Arial"/>
      <family val="2"/>
    </font>
    <font>
      <sz val="10"/>
      <color indexed="14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2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 vertical="center"/>
    </xf>
    <xf numFmtId="164" fontId="6" fillId="0" borderId="0" xfId="1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164" fontId="8" fillId="0" borderId="0" xfId="1" applyNumberFormat="1" applyFont="1"/>
    <xf numFmtId="166" fontId="9" fillId="0" borderId="0" xfId="1" applyNumberFormat="1" applyFont="1"/>
    <xf numFmtId="164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1" applyNumberFormat="1" applyFont="1"/>
    <xf numFmtId="164" fontId="6" fillId="0" borderId="1" xfId="1" applyNumberFormat="1" applyFont="1" applyBorder="1"/>
    <xf numFmtId="164" fontId="8" fillId="0" borderId="1" xfId="1" applyNumberFormat="1" applyFont="1" applyBorder="1"/>
    <xf numFmtId="164" fontId="9" fillId="0" borderId="0" xfId="1" applyNumberFormat="1" applyFont="1"/>
    <xf numFmtId="164" fontId="9" fillId="0" borderId="0" xfId="1" applyNumberFormat="1" applyFont="1" applyBorder="1"/>
    <xf numFmtId="0" fontId="8" fillId="0" borderId="2" xfId="0" applyFont="1" applyBorder="1"/>
    <xf numFmtId="164" fontId="9" fillId="0" borderId="3" xfId="1" applyNumberFormat="1" applyFont="1" applyBorder="1"/>
    <xf numFmtId="0" fontId="8" fillId="0" borderId="0" xfId="0" applyFont="1" applyBorder="1"/>
    <xf numFmtId="164" fontId="6" fillId="0" borderId="0" xfId="1" applyNumberFormat="1" applyFont="1" applyBorder="1"/>
    <xf numFmtId="164" fontId="8" fillId="0" borderId="0" xfId="1" applyNumberFormat="1" applyFont="1" applyBorder="1"/>
    <xf numFmtId="164" fontId="11" fillId="0" borderId="0" xfId="1" applyNumberFormat="1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64" fontId="9" fillId="2" borderId="0" xfId="1" applyNumberFormat="1" applyFont="1" applyFill="1"/>
    <xf numFmtId="0" fontId="8" fillId="0" borderId="2" xfId="0" applyFont="1" applyFill="1" applyBorder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164" fontId="9" fillId="0" borderId="0" xfId="1" applyNumberFormat="1" applyFont="1" applyFill="1"/>
    <xf numFmtId="164" fontId="12" fillId="0" borderId="0" xfId="1" applyNumberFormat="1" applyFont="1"/>
    <xf numFmtId="0" fontId="8" fillId="0" borderId="0" xfId="0" applyFont="1" applyFill="1" applyBorder="1" applyAlignment="1">
      <alignment vertical="center"/>
    </xf>
    <xf numFmtId="3" fontId="9" fillId="0" borderId="0" xfId="0" applyNumberFormat="1" applyFont="1"/>
    <xf numFmtId="164" fontId="9" fillId="0" borderId="1" xfId="1" applyNumberFormat="1" applyFont="1" applyBorder="1"/>
    <xf numFmtId="164" fontId="10" fillId="0" borderId="0" xfId="1" applyNumberFormat="1" applyFont="1" applyBorder="1"/>
    <xf numFmtId="164" fontId="10" fillId="0" borderId="1" xfId="1" applyNumberFormat="1" applyFont="1" applyBorder="1"/>
    <xf numFmtId="0" fontId="3" fillId="0" borderId="0" xfId="0" applyFont="1"/>
    <xf numFmtId="0" fontId="2" fillId="0" borderId="0" xfId="0" applyFont="1" applyFill="1" applyBorder="1"/>
    <xf numFmtId="0" fontId="8" fillId="2" borderId="2" xfId="0" applyFont="1" applyFill="1" applyBorder="1"/>
    <xf numFmtId="164" fontId="8" fillId="0" borderId="0" xfId="0" applyNumberFormat="1" applyFont="1"/>
    <xf numFmtId="0" fontId="8" fillId="0" borderId="1" xfId="0" applyFont="1" applyBorder="1"/>
    <xf numFmtId="0" fontId="9" fillId="0" borderId="0" xfId="0" applyFont="1"/>
    <xf numFmtId="0" fontId="10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164" fontId="8" fillId="0" borderId="0" xfId="1" applyNumberFormat="1" applyFont="1" applyFill="1"/>
    <xf numFmtId="166" fontId="2" fillId="0" borderId="0" xfId="1" applyNumberFormat="1" applyFont="1"/>
    <xf numFmtId="164" fontId="13" fillId="0" borderId="0" xfId="1" applyNumberFormat="1" applyFont="1"/>
    <xf numFmtId="0" fontId="2" fillId="0" borderId="0" xfId="0" applyFont="1"/>
    <xf numFmtId="168" fontId="0" fillId="0" borderId="0" xfId="2" applyNumberFormat="1" applyFont="1"/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14" fontId="9" fillId="0" borderId="5" xfId="0" applyNumberFormat="1" applyFont="1" applyBorder="1" applyAlignment="1">
      <alignment horizontal="center"/>
    </xf>
    <xf numFmtId="0" fontId="0" fillId="0" borderId="4" xfId="0" applyBorder="1"/>
    <xf numFmtId="0" fontId="9" fillId="0" borderId="5" xfId="0" applyFont="1" applyBorder="1" applyAlignment="1">
      <alignment horizontal="center"/>
    </xf>
    <xf numFmtId="0" fontId="9" fillId="0" borderId="6" xfId="0" applyFont="1" applyBorder="1"/>
    <xf numFmtId="168" fontId="9" fillId="0" borderId="6" xfId="2" applyNumberFormat="1" applyFont="1" applyBorder="1"/>
    <xf numFmtId="168" fontId="0" fillId="0" borderId="6" xfId="2" applyNumberFormat="1" applyFont="1" applyBorder="1"/>
    <xf numFmtId="169" fontId="9" fillId="0" borderId="6" xfId="3" applyNumberFormat="1" applyFont="1" applyBorder="1"/>
    <xf numFmtId="0" fontId="0" fillId="0" borderId="6" xfId="0" applyBorder="1"/>
    <xf numFmtId="169" fontId="0" fillId="0" borderId="6" xfId="3" applyNumberFormat="1" applyFont="1" applyBorder="1"/>
    <xf numFmtId="0" fontId="0" fillId="0" borderId="0" xfId="0" applyBorder="1"/>
    <xf numFmtId="0" fontId="9" fillId="2" borderId="5" xfId="0" applyFont="1" applyFill="1" applyBorder="1"/>
    <xf numFmtId="168" fontId="9" fillId="2" borderId="5" xfId="2" applyNumberFormat="1" applyFont="1" applyFill="1" applyBorder="1"/>
    <xf numFmtId="0" fontId="8" fillId="0" borderId="0" xfId="0" applyFont="1" applyFill="1" applyBorder="1"/>
    <xf numFmtId="0" fontId="0" fillId="0" borderId="0" xfId="0" applyFill="1" applyBorder="1"/>
    <xf numFmtId="168" fontId="9" fillId="0" borderId="0" xfId="2" applyNumberFormat="1" applyFont="1" applyFill="1" applyBorder="1"/>
    <xf numFmtId="0" fontId="9" fillId="0" borderId="0" xfId="0" applyFont="1" applyBorder="1"/>
    <xf numFmtId="0" fontId="9" fillId="2" borderId="6" xfId="0" applyFont="1" applyFill="1" applyBorder="1"/>
    <xf numFmtId="168" fontId="9" fillId="2" borderId="6" xfId="2" applyNumberFormat="1" applyFont="1" applyFill="1" applyBorder="1"/>
    <xf numFmtId="169" fontId="9" fillId="2" borderId="5" xfId="3" applyNumberFormat="1" applyFont="1" applyFill="1" applyBorder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/>
    <xf numFmtId="169" fontId="9" fillId="0" borderId="0" xfId="3" applyNumberFormat="1" applyFont="1" applyFill="1" applyBorder="1"/>
    <xf numFmtId="0" fontId="0" fillId="0" borderId="0" xfId="0" applyFill="1"/>
    <xf numFmtId="168" fontId="9" fillId="0" borderId="0" xfId="0" applyNumberFormat="1" applyFont="1" applyBorder="1"/>
    <xf numFmtId="0" fontId="14" fillId="0" borderId="0" xfId="0" applyFont="1" applyBorder="1"/>
    <xf numFmtId="168" fontId="9" fillId="0" borderId="0" xfId="2" applyNumberFormat="1" applyFont="1" applyBorder="1"/>
    <xf numFmtId="169" fontId="9" fillId="0" borderId="0" xfId="3" applyNumberFormat="1" applyFont="1" applyBorder="1"/>
    <xf numFmtId="0" fontId="8" fillId="0" borderId="0" xfId="0" quotePrefix="1" applyFont="1"/>
    <xf numFmtId="164" fontId="6" fillId="0" borderId="1" xfId="1" applyNumberFormat="1" applyFont="1" applyFill="1" applyBorder="1"/>
    <xf numFmtId="164" fontId="10" fillId="0" borderId="0" xfId="1" applyNumberFormat="1" applyFont="1" applyFill="1"/>
    <xf numFmtId="164" fontId="9" fillId="0" borderId="3" xfId="1" applyNumberFormat="1" applyFont="1" applyFill="1" applyBorder="1"/>
    <xf numFmtId="164" fontId="9" fillId="0" borderId="0" xfId="1" applyNumberFormat="1" applyFont="1" applyFill="1" applyBorder="1"/>
    <xf numFmtId="164" fontId="7" fillId="0" borderId="0" xfId="1" applyNumberFormat="1" applyFont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0" quotePrefix="1"/>
    <xf numFmtId="164" fontId="0" fillId="0" borderId="0" xfId="0" applyNumberFormat="1"/>
    <xf numFmtId="164" fontId="9" fillId="0" borderId="0" xfId="0" applyNumberFormat="1" applyFont="1"/>
    <xf numFmtId="164" fontId="0" fillId="0" borderId="0" xfId="1" applyNumberFormat="1" applyFont="1" applyFill="1"/>
    <xf numFmtId="164" fontId="0" fillId="0" borderId="1" xfId="1" applyNumberFormat="1" applyFont="1" applyFill="1" applyBorder="1"/>
    <xf numFmtId="164" fontId="0" fillId="0" borderId="0" xfId="0" applyNumberFormat="1" applyFill="1"/>
    <xf numFmtId="0" fontId="15" fillId="0" borderId="0" xfId="0" applyFont="1"/>
    <xf numFmtId="164" fontId="0" fillId="0" borderId="0" xfId="1" quotePrefix="1" applyNumberFormat="1" applyFont="1" applyFill="1" applyAlignment="1">
      <alignment horizontal="right"/>
    </xf>
    <xf numFmtId="164" fontId="9" fillId="0" borderId="3" xfId="0" applyNumberFormat="1" applyFont="1" applyBorder="1"/>
    <xf numFmtId="164" fontId="8" fillId="0" borderId="0" xfId="0" applyNumberFormat="1" applyFont="1" applyBorder="1"/>
    <xf numFmtId="164" fontId="9" fillId="0" borderId="7" xfId="0" applyNumberFormat="1" applyFont="1" applyBorder="1"/>
    <xf numFmtId="164" fontId="9" fillId="0" borderId="1" xfId="0" applyNumberFormat="1" applyFont="1" applyBorder="1"/>
    <xf numFmtId="0" fontId="0" fillId="0" borderId="0" xfId="0" applyAlignment="1">
      <alignment horizontal="center"/>
    </xf>
    <xf numFmtId="164" fontId="0" fillId="0" borderId="1" xfId="0" applyNumberFormat="1" applyBorder="1"/>
    <xf numFmtId="164" fontId="0" fillId="0" borderId="0" xfId="1" applyNumberFormat="1" applyFont="1" applyBorder="1"/>
    <xf numFmtId="164" fontId="0" fillId="0" borderId="0" xfId="0" applyNumberFormat="1" applyBorder="1"/>
    <xf numFmtId="14" fontId="9" fillId="0" borderId="5" xfId="0" quotePrefix="1" applyNumberFormat="1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left"/>
    </xf>
    <xf numFmtId="164" fontId="9" fillId="0" borderId="8" xfId="1" applyNumberFormat="1" applyFont="1" applyBorder="1"/>
    <xf numFmtId="164" fontId="9" fillId="0" borderId="8" xfId="1" applyNumberFormat="1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165" fontId="8" fillId="0" borderId="2" xfId="3" quotePrefix="1" applyNumberFormat="1" applyFont="1" applyFill="1" applyBorder="1" applyAlignment="1">
      <alignment horizontal="left" vertical="center"/>
    </xf>
    <xf numFmtId="165" fontId="8" fillId="0" borderId="0" xfId="3" applyNumberFormat="1" applyFont="1" applyFill="1" applyBorder="1" applyAlignment="1">
      <alignment vertical="center"/>
    </xf>
    <xf numFmtId="165" fontId="8" fillId="0" borderId="0" xfId="3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12" fillId="0" borderId="2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left" vertical="center"/>
    </xf>
    <xf numFmtId="168" fontId="9" fillId="0" borderId="9" xfId="2" applyNumberFormat="1" applyFont="1" applyFill="1" applyBorder="1" applyAlignment="1">
      <alignment horizontal="left" vertical="center"/>
    </xf>
    <xf numFmtId="164" fontId="8" fillId="0" borderId="8" xfId="1" applyNumberFormat="1" applyFont="1" applyBorder="1"/>
    <xf numFmtId="164" fontId="8" fillId="0" borderId="1" xfId="1" applyNumberFormat="1" applyFont="1" applyFill="1" applyBorder="1"/>
    <xf numFmtId="166" fontId="9" fillId="0" borderId="0" xfId="0" applyNumberFormat="1" applyFont="1"/>
    <xf numFmtId="164" fontId="16" fillId="0" borderId="0" xfId="1" applyNumberFormat="1" applyFont="1"/>
    <xf numFmtId="164" fontId="17" fillId="0" borderId="0" xfId="1" applyNumberFormat="1" applyFont="1" applyAlignment="1">
      <alignment horizontal="center"/>
    </xf>
    <xf numFmtId="164" fontId="16" fillId="0" borderId="1" xfId="1" applyNumberFormat="1" applyFont="1" applyBorder="1"/>
    <xf numFmtId="164" fontId="17" fillId="0" borderId="0" xfId="1" applyNumberFormat="1" applyFont="1"/>
    <xf numFmtId="164" fontId="17" fillId="0" borderId="0" xfId="1" applyNumberFormat="1" applyFont="1" applyBorder="1"/>
    <xf numFmtId="164" fontId="17" fillId="0" borderId="3" xfId="1" applyNumberFormat="1" applyFont="1" applyBorder="1"/>
    <xf numFmtId="164" fontId="16" fillId="0" borderId="0" xfId="1" applyNumberFormat="1" applyFont="1" applyBorder="1"/>
    <xf numFmtId="164" fontId="17" fillId="0" borderId="8" xfId="1" applyNumberFormat="1" applyFont="1" applyBorder="1"/>
    <xf numFmtId="164" fontId="17" fillId="0" borderId="8" xfId="1" applyNumberFormat="1" applyFont="1" applyFill="1" applyBorder="1"/>
    <xf numFmtId="164" fontId="17" fillId="2" borderId="0" xfId="1" applyNumberFormat="1" applyFont="1" applyFill="1"/>
    <xf numFmtId="164" fontId="17" fillId="0" borderId="0" xfId="1" applyNumberFormat="1" applyFont="1" applyFill="1"/>
    <xf numFmtId="164" fontId="16" fillId="0" borderId="8" xfId="1" applyNumberFormat="1" applyFont="1" applyBorder="1"/>
    <xf numFmtId="164" fontId="16" fillId="0" borderId="0" xfId="1" applyNumberFormat="1" applyFont="1" applyFill="1"/>
    <xf numFmtId="164" fontId="16" fillId="0" borderId="1" xfId="1" applyNumberFormat="1" applyFont="1" applyFill="1" applyBorder="1"/>
    <xf numFmtId="0" fontId="2" fillId="2" borderId="2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1" applyNumberFormat="1" applyFont="1"/>
    <xf numFmtId="164" fontId="18" fillId="0" borderId="0" xfId="1" applyNumberFormat="1" applyFont="1"/>
    <xf numFmtId="164" fontId="19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19" fillId="0" borderId="1" xfId="1" applyNumberFormat="1" applyFont="1" applyBorder="1" applyAlignment="1">
      <alignment horizontal="center"/>
    </xf>
    <xf numFmtId="14" fontId="18" fillId="0" borderId="0" xfId="1" applyNumberFormat="1" applyFont="1"/>
    <xf numFmtId="1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6" fillId="0" borderId="0" xfId="0" applyFont="1"/>
    <xf numFmtId="0" fontId="16" fillId="0" borderId="0" xfId="0" applyFont="1" applyBorder="1"/>
    <xf numFmtId="164" fontId="17" fillId="0" borderId="1" xfId="1" applyNumberFormat="1" applyFont="1" applyFill="1" applyBorder="1"/>
    <xf numFmtId="0" fontId="16" fillId="2" borderId="0" xfId="0" applyFont="1" applyFill="1"/>
    <xf numFmtId="0" fontId="17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0" fontId="8" fillId="0" borderId="0" xfId="0" quotePrefix="1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168" fontId="9" fillId="0" borderId="9" xfId="2" applyNumberFormat="1" applyFont="1" applyBorder="1"/>
    <xf numFmtId="0" fontId="18" fillId="0" borderId="0" xfId="0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4" fontId="8" fillId="0" borderId="0" xfId="0" applyNumberFormat="1" applyFont="1" applyFill="1" applyBorder="1" applyAlignment="1">
      <alignment vertical="center"/>
    </xf>
    <xf numFmtId="164" fontId="8" fillId="0" borderId="0" xfId="1" applyNumberFormat="1" applyFont="1" applyFill="1" applyBorder="1"/>
    <xf numFmtId="164" fontId="16" fillId="0" borderId="0" xfId="1" applyNumberFormat="1" applyFont="1" applyFill="1" applyBorder="1"/>
    <xf numFmtId="164" fontId="18" fillId="0" borderId="0" xfId="1" applyNumberFormat="1" applyFont="1" applyFill="1"/>
    <xf numFmtId="164" fontId="19" fillId="0" borderId="0" xfId="1" applyNumberFormat="1" applyFont="1" applyFill="1" applyAlignment="1">
      <alignment horizontal="center"/>
    </xf>
    <xf numFmtId="14" fontId="19" fillId="0" borderId="1" xfId="1" applyNumberFormat="1" applyFont="1" applyFill="1" applyBorder="1" applyAlignment="1">
      <alignment horizontal="center"/>
    </xf>
    <xf numFmtId="0" fontId="16" fillId="0" borderId="0" xfId="0" applyFont="1" applyFill="1"/>
    <xf numFmtId="164" fontId="17" fillId="0" borderId="0" xfId="1" applyNumberFormat="1" applyFont="1" applyFill="1" applyBorder="1"/>
    <xf numFmtId="164" fontId="17" fillId="0" borderId="3" xfId="1" applyNumberFormat="1" applyFont="1" applyFill="1" applyBorder="1"/>
    <xf numFmtId="0" fontId="9" fillId="2" borderId="2" xfId="0" applyFont="1" applyFill="1" applyBorder="1" applyAlignment="1">
      <alignment vertical="center"/>
    </xf>
    <xf numFmtId="164" fontId="8" fillId="0" borderId="8" xfId="1" applyNumberFormat="1" applyFont="1" applyFill="1" applyBorder="1"/>
    <xf numFmtId="164" fontId="6" fillId="0" borderId="0" xfId="1" applyNumberFormat="1" applyFont="1" applyFill="1"/>
    <xf numFmtId="164" fontId="10" fillId="0" borderId="0" xfId="1" applyNumberFormat="1" applyFont="1" applyFill="1" applyBorder="1"/>
    <xf numFmtId="0" fontId="20" fillId="0" borderId="0" xfId="0" applyFont="1"/>
    <xf numFmtId="169" fontId="9" fillId="2" borderId="4" xfId="3" applyNumberFormat="1" applyFont="1" applyFill="1" applyBorder="1"/>
    <xf numFmtId="0" fontId="9" fillId="2" borderId="4" xfId="0" applyFont="1" applyFill="1" applyBorder="1"/>
    <xf numFmtId="0" fontId="20" fillId="0" borderId="0" xfId="0" applyFont="1" applyAlignment="1">
      <alignment horizontal="right"/>
    </xf>
    <xf numFmtId="14" fontId="19" fillId="0" borderId="0" xfId="1" applyNumberFormat="1" applyFont="1" applyBorder="1" applyAlignment="1">
      <alignment horizontal="center"/>
    </xf>
    <xf numFmtId="0" fontId="21" fillId="0" borderId="0" xfId="0" applyFont="1"/>
    <xf numFmtId="164" fontId="0" fillId="0" borderId="7" xfId="1" applyNumberFormat="1" applyFont="1" applyBorder="1"/>
    <xf numFmtId="14" fontId="0" fillId="0" borderId="0" xfId="0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168" fontId="0" fillId="0" borderId="10" xfId="2" applyNumberFormat="1" applyFont="1" applyBorder="1"/>
    <xf numFmtId="0" fontId="9" fillId="0" borderId="11" xfId="0" applyFont="1" applyBorder="1" applyAlignment="1">
      <alignment horizontal="center"/>
    </xf>
    <xf numFmtId="0" fontId="0" fillId="0" borderId="12" xfId="0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4" fontId="9" fillId="0" borderId="15" xfId="0" quotePrefix="1" applyNumberFormat="1" applyFont="1" applyBorder="1" applyAlignment="1">
      <alignment horizontal="center"/>
    </xf>
    <xf numFmtId="14" fontId="9" fillId="0" borderId="16" xfId="0" quotePrefix="1" applyNumberFormat="1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168" fontId="9" fillId="0" borderId="19" xfId="2" applyNumberFormat="1" applyFont="1" applyBorder="1"/>
    <xf numFmtId="168" fontId="9" fillId="0" borderId="20" xfId="2" applyNumberFormat="1" applyFont="1" applyBorder="1"/>
    <xf numFmtId="168" fontId="0" fillId="0" borderId="19" xfId="2" applyNumberFormat="1" applyFont="1" applyBorder="1"/>
    <xf numFmtId="168" fontId="0" fillId="0" borderId="20" xfId="2" applyNumberFormat="1" applyFont="1" applyBorder="1"/>
    <xf numFmtId="0" fontId="0" fillId="0" borderId="15" xfId="0" applyBorder="1"/>
    <xf numFmtId="0" fontId="0" fillId="0" borderId="16" xfId="0" applyBorder="1"/>
    <xf numFmtId="168" fontId="9" fillId="2" borderId="19" xfId="2" applyNumberFormat="1" applyFont="1" applyFill="1" applyBorder="1"/>
    <xf numFmtId="168" fontId="9" fillId="2" borderId="20" xfId="2" applyNumberFormat="1" applyFont="1" applyFill="1" applyBorder="1"/>
    <xf numFmtId="168" fontId="9" fillId="2" borderId="21" xfId="2" applyNumberFormat="1" applyFont="1" applyFill="1" applyBorder="1"/>
    <xf numFmtId="168" fontId="9" fillId="0" borderId="22" xfId="2" applyNumberFormat="1" applyFont="1" applyFill="1" applyBorder="1"/>
    <xf numFmtId="168" fontId="9" fillId="2" borderId="23" xfId="2" applyNumberFormat="1" applyFont="1" applyFill="1" applyBorder="1"/>
    <xf numFmtId="0" fontId="0" fillId="0" borderId="24" xfId="0" applyBorder="1"/>
    <xf numFmtId="168" fontId="9" fillId="2" borderId="25" xfId="2" applyNumberFormat="1" applyFont="1" applyFill="1" applyBorder="1"/>
    <xf numFmtId="0" fontId="3" fillId="0" borderId="26" xfId="0" applyFont="1" applyBorder="1"/>
    <xf numFmtId="0" fontId="8" fillId="0" borderId="26" xfId="0" applyFont="1" applyBorder="1"/>
    <xf numFmtId="0" fontId="9" fillId="0" borderId="26" xfId="0" applyFont="1" applyFill="1" applyBorder="1" applyAlignment="1">
      <alignment vertical="center"/>
    </xf>
    <xf numFmtId="0" fontId="8" fillId="0" borderId="26" xfId="0" quotePrefix="1" applyFont="1" applyFill="1" applyBorder="1" applyAlignment="1">
      <alignment horizontal="left" vertical="center"/>
    </xf>
    <xf numFmtId="0" fontId="2" fillId="2" borderId="26" xfId="0" quotePrefix="1" applyFont="1" applyFill="1" applyBorder="1" applyAlignment="1">
      <alignment horizontal="left" vertical="center"/>
    </xf>
    <xf numFmtId="0" fontId="2" fillId="0" borderId="26" xfId="0" quotePrefix="1" applyFont="1" applyFill="1" applyBorder="1" applyAlignment="1">
      <alignment horizontal="left" vertical="center"/>
    </xf>
    <xf numFmtId="165" fontId="8" fillId="0" borderId="26" xfId="3" quotePrefix="1" applyNumberFormat="1" applyFont="1" applyFill="1" applyBorder="1" applyAlignment="1">
      <alignment horizontal="left" vertical="center"/>
    </xf>
    <xf numFmtId="0" fontId="8" fillId="0" borderId="26" xfId="0" applyFont="1" applyFill="1" applyBorder="1" applyAlignment="1">
      <alignment vertical="center"/>
    </xf>
    <xf numFmtId="164" fontId="23" fillId="0" borderId="0" xfId="1" applyNumberFormat="1" applyFont="1"/>
    <xf numFmtId="49" fontId="8" fillId="0" borderId="0" xfId="1" applyNumberFormat="1" applyFont="1"/>
    <xf numFmtId="49" fontId="0" fillId="0" borderId="0" xfId="0" applyNumberFormat="1"/>
    <xf numFmtId="49" fontId="18" fillId="0" borderId="0" xfId="0" applyNumberFormat="1" applyFont="1"/>
    <xf numFmtId="49" fontId="18" fillId="0" borderId="0" xfId="1" applyNumberFormat="1" applyFont="1"/>
    <xf numFmtId="49" fontId="16" fillId="0" borderId="0" xfId="1" applyNumberFormat="1" applyFont="1"/>
    <xf numFmtId="49" fontId="16" fillId="0" borderId="0" xfId="0" applyNumberFormat="1" applyFont="1"/>
    <xf numFmtId="49" fontId="16" fillId="2" borderId="0" xfId="0" applyNumberFormat="1" applyFont="1" applyFill="1"/>
    <xf numFmtId="49" fontId="17" fillId="0" borderId="0" xfId="1" applyNumberFormat="1" applyFont="1"/>
    <xf numFmtId="49" fontId="17" fillId="0" borderId="0" xfId="0" applyNumberFormat="1" applyFont="1"/>
    <xf numFmtId="164" fontId="23" fillId="0" borderId="0" xfId="1" applyNumberFormat="1" applyFont="1" applyBorder="1"/>
    <xf numFmtId="164" fontId="23" fillId="0" borderId="0" xfId="1" applyNumberFormat="1" applyFont="1" applyFill="1"/>
    <xf numFmtId="49" fontId="16" fillId="0" borderId="0" xfId="1" applyNumberFormat="1" applyFont="1" applyBorder="1"/>
    <xf numFmtId="49" fontId="16" fillId="0" borderId="0" xfId="1" applyNumberFormat="1" applyFont="1" applyFill="1"/>
    <xf numFmtId="49" fontId="16" fillId="0" borderId="0" xfId="1" applyNumberFormat="1" applyFont="1" applyFill="1" applyBorder="1"/>
    <xf numFmtId="49" fontId="17" fillId="0" borderId="0" xfId="1" applyNumberFormat="1" applyFont="1" applyFill="1"/>
    <xf numFmtId="49" fontId="17" fillId="0" borderId="0" xfId="1" applyNumberFormat="1" applyFont="1" applyBorder="1"/>
    <xf numFmtId="49" fontId="16" fillId="0" borderId="0" xfId="0" quotePrefix="1" applyNumberFormat="1" applyFont="1"/>
    <xf numFmtId="49" fontId="16" fillId="0" borderId="0" xfId="1" quotePrefix="1" applyNumberFormat="1" applyFont="1"/>
    <xf numFmtId="169" fontId="9" fillId="2" borderId="6" xfId="3" applyNumberFormat="1" applyFont="1" applyFill="1" applyBorder="1"/>
    <xf numFmtId="0" fontId="9" fillId="2" borderId="6" xfId="0" applyFont="1" applyFill="1" applyBorder="1" applyAlignment="1">
      <alignment horizontal="center"/>
    </xf>
    <xf numFmtId="49" fontId="9" fillId="0" borderId="0" xfId="1" applyNumberFormat="1" applyFont="1"/>
    <xf numFmtId="168" fontId="9" fillId="0" borderId="10" xfId="2" applyNumberFormat="1" applyFont="1" applyBorder="1"/>
    <xf numFmtId="1" fontId="17" fillId="0" borderId="0" xfId="0" applyNumberFormat="1" applyFont="1"/>
    <xf numFmtId="164" fontId="10" fillId="2" borderId="0" xfId="1" applyNumberFormat="1" applyFont="1" applyFill="1"/>
    <xf numFmtId="43" fontId="16" fillId="0" borderId="0" xfId="1" applyFont="1" applyFill="1"/>
    <xf numFmtId="43" fontId="1" fillId="0" borderId="0" xfId="1"/>
    <xf numFmtId="43" fontId="1" fillId="0" borderId="0" xfId="1" applyFont="1"/>
    <xf numFmtId="43" fontId="9" fillId="0" borderId="0" xfId="1" applyFont="1"/>
    <xf numFmtId="43" fontId="9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43" fontId="21" fillId="0" borderId="0" xfId="1" applyFont="1" applyBorder="1" applyAlignment="1">
      <alignment horizontal="center"/>
    </xf>
    <xf numFmtId="43" fontId="1" fillId="0" borderId="8" xfId="1" applyBorder="1"/>
    <xf numFmtId="43" fontId="1" fillId="0" borderId="0" xfId="1" applyBorder="1"/>
    <xf numFmtId="43" fontId="1" fillId="0" borderId="3" xfId="1" applyBorder="1"/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16" fontId="0" fillId="0" borderId="0" xfId="0" quotePrefix="1" applyNumberFormat="1" applyAlignment="1">
      <alignment horizontal="left"/>
    </xf>
    <xf numFmtId="16" fontId="0" fillId="0" borderId="0" xfId="0" applyNumberFormat="1" applyAlignment="1">
      <alignment horizontal="left"/>
    </xf>
    <xf numFmtId="175" fontId="0" fillId="0" borderId="0" xfId="0" quotePrefix="1" applyNumberFormat="1" applyAlignment="1">
      <alignment horizontal="center"/>
    </xf>
    <xf numFmtId="164" fontId="26" fillId="0" borderId="0" xfId="1" applyNumberFormat="1" applyFont="1"/>
    <xf numFmtId="49" fontId="17" fillId="0" borderId="0" xfId="0" applyNumberFormat="1" applyFont="1" applyBorder="1"/>
    <xf numFmtId="164" fontId="9" fillId="2" borderId="6" xfId="1" applyNumberFormat="1" applyFont="1" applyFill="1" applyBorder="1"/>
    <xf numFmtId="164" fontId="16" fillId="0" borderId="0" xfId="0" applyNumberFormat="1" applyFont="1"/>
    <xf numFmtId="1" fontId="16" fillId="0" borderId="0" xfId="0" applyNumberFormat="1" applyFont="1"/>
    <xf numFmtId="0" fontId="28" fillId="0" borderId="0" xfId="0" applyFont="1"/>
    <xf numFmtId="14" fontId="19" fillId="0" borderId="0" xfId="1" applyNumberFormat="1" applyFont="1" applyFill="1" applyBorder="1" applyAlignment="1">
      <alignment horizontal="center"/>
    </xf>
    <xf numFmtId="164" fontId="26" fillId="0" borderId="0" xfId="1" applyNumberFormat="1" applyFont="1" applyFill="1"/>
    <xf numFmtId="0" fontId="26" fillId="0" borderId="0" xfId="0" applyFont="1" applyBorder="1"/>
    <xf numFmtId="0" fontId="26" fillId="0" borderId="0" xfId="0" applyFont="1" applyFill="1" applyBorder="1" applyAlignment="1">
      <alignment vertical="center"/>
    </xf>
    <xf numFmtId="169" fontId="9" fillId="0" borderId="6" xfId="3" quotePrefix="1" applyNumberFormat="1" applyFont="1" applyBorder="1" applyAlignment="1">
      <alignment horizontal="right"/>
    </xf>
    <xf numFmtId="164" fontId="22" fillId="0" borderId="0" xfId="1" applyNumberFormat="1" applyFont="1" applyFill="1" applyBorder="1"/>
    <xf numFmtId="0" fontId="2" fillId="2" borderId="2" xfId="0" quotePrefix="1" applyFont="1" applyFill="1" applyBorder="1" applyAlignment="1">
      <alignment vertical="center"/>
    </xf>
    <xf numFmtId="0" fontId="2" fillId="2" borderId="0" xfId="0" applyFont="1" applyFill="1" applyBorder="1" applyAlignment="1"/>
    <xf numFmtId="0" fontId="3" fillId="0" borderId="0" xfId="0" applyFont="1" applyAlignment="1"/>
    <xf numFmtId="164" fontId="3" fillId="0" borderId="0" xfId="1" applyNumberFormat="1" applyFont="1" applyAlignment="1"/>
    <xf numFmtId="164" fontId="18" fillId="0" borderId="0" xfId="1" applyNumberFormat="1" applyFont="1" applyAlignment="1"/>
    <xf numFmtId="49" fontId="3" fillId="0" borderId="0" xfId="1" applyNumberFormat="1" applyFont="1" applyAlignment="1"/>
    <xf numFmtId="0" fontId="2" fillId="2" borderId="26" xfId="0" quotePrefix="1" applyFont="1" applyFill="1" applyBorder="1" applyAlignment="1">
      <alignment vertical="center"/>
    </xf>
    <xf numFmtId="166" fontId="2" fillId="0" borderId="0" xfId="1" applyNumberFormat="1" applyFont="1" applyAlignment="1"/>
    <xf numFmtId="0" fontId="2" fillId="0" borderId="26" xfId="0" quotePrefix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Alignment="1"/>
    <xf numFmtId="0" fontId="3" fillId="0" borderId="26" xfId="0" applyFont="1" applyBorder="1" applyAlignment="1"/>
    <xf numFmtId="0" fontId="2" fillId="0" borderId="0" xfId="0" applyFont="1" applyAlignment="1"/>
    <xf numFmtId="0" fontId="2" fillId="0" borderId="1" xfId="0" applyFont="1" applyBorder="1" applyAlignment="1"/>
    <xf numFmtId="164" fontId="2" fillId="0" borderId="1" xfId="1" applyNumberFormat="1" applyFont="1" applyBorder="1" applyAlignment="1"/>
    <xf numFmtId="0" fontId="8" fillId="0" borderId="26" xfId="0" applyFont="1" applyBorder="1" applyAlignment="1"/>
    <xf numFmtId="0" fontId="8" fillId="0" borderId="0" xfId="0" applyFont="1" applyFill="1" applyBorder="1" applyAlignment="1"/>
    <xf numFmtId="0" fontId="8" fillId="0" borderId="0" xfId="0" applyFont="1" applyAlignment="1"/>
    <xf numFmtId="164" fontId="8" fillId="0" borderId="0" xfId="1" applyNumberFormat="1" applyFont="1" applyAlignment="1"/>
    <xf numFmtId="164" fontId="17" fillId="0" borderId="0" xfId="1" applyNumberFormat="1" applyFont="1" applyAlignment="1"/>
    <xf numFmtId="49" fontId="8" fillId="0" borderId="0" xfId="1" applyNumberFormat="1" applyFont="1" applyAlignment="1"/>
    <xf numFmtId="164" fontId="16" fillId="0" borderId="0" xfId="1" applyNumberFormat="1" applyFont="1" applyAlignment="1"/>
    <xf numFmtId="164" fontId="9" fillId="0" borderId="0" xfId="1" applyNumberFormat="1" applyFont="1" applyAlignment="1"/>
    <xf numFmtId="0" fontId="8" fillId="0" borderId="26" xfId="0" quotePrefix="1" applyFont="1" applyFill="1" applyBorder="1" applyAlignment="1">
      <alignment vertical="center"/>
    </xf>
    <xf numFmtId="164" fontId="6" fillId="0" borderId="0" xfId="1" applyNumberFormat="1" applyFont="1" applyAlignment="1"/>
    <xf numFmtId="164" fontId="23" fillId="0" borderId="0" xfId="1" applyNumberFormat="1" applyFont="1" applyAlignment="1"/>
    <xf numFmtId="164" fontId="28" fillId="0" borderId="0" xfId="1" applyNumberFormat="1" applyFont="1" applyAlignment="1"/>
    <xf numFmtId="164" fontId="26" fillId="0" borderId="0" xfId="1" applyNumberFormat="1" applyFont="1" applyAlignment="1"/>
    <xf numFmtId="164" fontId="10" fillId="0" borderId="0" xfId="1" applyNumberFormat="1" applyFont="1" applyAlignment="1"/>
    <xf numFmtId="164" fontId="6" fillId="0" borderId="1" xfId="1" applyNumberFormat="1" applyFont="1" applyBorder="1" applyAlignment="1"/>
    <xf numFmtId="164" fontId="16" fillId="0" borderId="1" xfId="1" applyNumberFormat="1" applyFont="1" applyBorder="1" applyAlignment="1"/>
    <xf numFmtId="164" fontId="16" fillId="0" borderId="0" xfId="1" applyNumberFormat="1" applyFont="1" applyBorder="1" applyAlignment="1"/>
    <xf numFmtId="164" fontId="8" fillId="0" borderId="1" xfId="1" applyNumberFormat="1" applyFont="1" applyBorder="1" applyAlignment="1"/>
    <xf numFmtId="164" fontId="10" fillId="0" borderId="1" xfId="1" applyNumberFormat="1" applyFont="1" applyBorder="1" applyAlignment="1"/>
    <xf numFmtId="165" fontId="8" fillId="0" borderId="26" xfId="3" quotePrefix="1" applyNumberFormat="1" applyFont="1" applyFill="1" applyBorder="1" applyAlignment="1">
      <alignment vertical="center"/>
    </xf>
    <xf numFmtId="0" fontId="8" fillId="0" borderId="2" xfId="0" quotePrefix="1" applyFont="1" applyFill="1" applyBorder="1" applyAlignment="1">
      <alignment vertical="center"/>
    </xf>
    <xf numFmtId="164" fontId="9" fillId="0" borderId="0" xfId="1" applyNumberFormat="1" applyFont="1" applyBorder="1" applyAlignment="1"/>
    <xf numFmtId="164" fontId="17" fillId="0" borderId="0" xfId="1" applyNumberFormat="1" applyFont="1" applyBorder="1" applyAlignment="1"/>
    <xf numFmtId="164" fontId="29" fillId="0" borderId="0" xfId="1" applyNumberFormat="1" applyFont="1" applyBorder="1" applyAlignment="1"/>
    <xf numFmtId="164" fontId="10" fillId="0" borderId="8" xfId="1" applyNumberFormat="1" applyFont="1" applyBorder="1" applyAlignment="1"/>
    <xf numFmtId="0" fontId="8" fillId="0" borderId="2" xfId="0" applyFont="1" applyBorder="1" applyAlignment="1"/>
    <xf numFmtId="164" fontId="9" fillId="0" borderId="3" xfId="1" applyNumberFormat="1" applyFont="1" applyBorder="1" applyAlignment="1"/>
    <xf numFmtId="164" fontId="9" fillId="0" borderId="3" xfId="1" applyNumberFormat="1" applyFont="1" applyFill="1" applyBorder="1" applyAlignment="1"/>
    <xf numFmtId="164" fontId="17" fillId="0" borderId="3" xfId="1" applyNumberFormat="1" applyFont="1" applyBorder="1" applyAlignment="1"/>
    <xf numFmtId="164" fontId="10" fillId="0" borderId="7" xfId="1" applyNumberFormat="1" applyFont="1" applyBorder="1" applyAlignment="1"/>
    <xf numFmtId="0" fontId="8" fillId="0" borderId="0" xfId="0" applyFont="1" applyBorder="1" applyAlignment="1"/>
    <xf numFmtId="164" fontId="16" fillId="0" borderId="0" xfId="1" applyNumberFormat="1" applyFont="1" applyFill="1" applyAlignment="1"/>
    <xf numFmtId="164" fontId="6" fillId="0" borderId="0" xfId="1" applyNumberFormat="1" applyFont="1" applyBorder="1" applyAlignment="1"/>
    <xf numFmtId="164" fontId="16" fillId="0" borderId="0" xfId="1" applyNumberFormat="1" applyFont="1" applyFill="1" applyBorder="1" applyAlignment="1"/>
    <xf numFmtId="164" fontId="6" fillId="0" borderId="1" xfId="1" applyNumberFormat="1" applyFont="1" applyFill="1" applyBorder="1" applyAlignment="1"/>
    <xf numFmtId="164" fontId="9" fillId="0" borderId="0" xfId="1" applyNumberFormat="1" applyFont="1" applyFill="1" applyBorder="1" applyAlignment="1"/>
    <xf numFmtId="164" fontId="17" fillId="0" borderId="8" xfId="1" applyNumberFormat="1" applyFont="1" applyBorder="1" applyAlignment="1"/>
    <xf numFmtId="164" fontId="9" fillId="0" borderId="8" xfId="1" applyNumberFormat="1" applyFont="1" applyBorder="1" applyAlignment="1"/>
    <xf numFmtId="164" fontId="30" fillId="0" borderId="0" xfId="1" applyNumberFormat="1" applyFont="1" applyAlignment="1"/>
    <xf numFmtId="49" fontId="8" fillId="0" borderId="0" xfId="1" quotePrefix="1" applyNumberFormat="1" applyFont="1" applyAlignment="1"/>
    <xf numFmtId="164" fontId="8" fillId="0" borderId="0" xfId="1" applyNumberFormat="1" applyFont="1" applyBorder="1" applyAlignment="1"/>
    <xf numFmtId="0" fontId="9" fillId="0" borderId="0" xfId="0" quotePrefix="1" applyFont="1" applyAlignment="1"/>
    <xf numFmtId="164" fontId="10" fillId="0" borderId="0" xfId="1" applyNumberFormat="1" applyFont="1" applyBorder="1" applyAlignment="1"/>
    <xf numFmtId="0" fontId="8" fillId="0" borderId="0" xfId="0" quotePrefix="1" applyFont="1" applyAlignment="1"/>
    <xf numFmtId="164" fontId="26" fillId="0" borderId="0" xfId="1" applyNumberFormat="1" applyFont="1" applyBorder="1" applyAlignment="1"/>
    <xf numFmtId="0" fontId="8" fillId="0" borderId="1" xfId="0" applyFont="1" applyBorder="1" applyAlignment="1"/>
    <xf numFmtId="164" fontId="26" fillId="0" borderId="1" xfId="1" applyNumberFormat="1" applyFont="1" applyBorder="1" applyAlignment="1"/>
    <xf numFmtId="164" fontId="17" fillId="0" borderId="0" xfId="1" applyNumberFormat="1" applyFont="1" applyFill="1" applyAlignment="1"/>
    <xf numFmtId="164" fontId="17" fillId="0" borderId="8" xfId="1" applyNumberFormat="1" applyFont="1" applyFill="1" applyBorder="1" applyAlignment="1"/>
    <xf numFmtId="164" fontId="17" fillId="0" borderId="0" xfId="1" applyNumberFormat="1" applyFont="1" applyFill="1" applyBorder="1" applyAlignment="1"/>
    <xf numFmtId="164" fontId="9" fillId="0" borderId="8" xfId="1" applyNumberFormat="1" applyFont="1" applyFill="1" applyBorder="1" applyAlignment="1"/>
    <xf numFmtId="164" fontId="11" fillId="0" borderId="0" xfId="1" applyNumberFormat="1" applyFont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/>
    <xf numFmtId="164" fontId="9" fillId="2" borderId="0" xfId="1" applyNumberFormat="1" applyFont="1" applyFill="1" applyAlignment="1"/>
    <xf numFmtId="164" fontId="17" fillId="2" borderId="0" xfId="1" applyNumberFormat="1" applyFont="1" applyFill="1" applyAlignment="1"/>
    <xf numFmtId="49" fontId="9" fillId="2" borderId="0" xfId="1" applyNumberFormat="1" applyFont="1" applyFill="1" applyAlignment="1"/>
    <xf numFmtId="0" fontId="8" fillId="0" borderId="2" xfId="0" applyFont="1" applyFill="1" applyBorder="1" applyAlignment="1"/>
    <xf numFmtId="0" fontId="8" fillId="0" borderId="0" xfId="0" applyFont="1" applyFill="1" applyAlignment="1"/>
    <xf numFmtId="164" fontId="9" fillId="0" borderId="0" xfId="1" applyNumberFormat="1" applyFont="1" applyFill="1" applyAlignment="1"/>
    <xf numFmtId="49" fontId="8" fillId="0" borderId="0" xfId="1" applyNumberFormat="1" applyFont="1" applyFill="1" applyAlignment="1"/>
    <xf numFmtId="164" fontId="8" fillId="0" borderId="0" xfId="1" applyNumberFormat="1" applyFont="1" applyFill="1" applyAlignment="1"/>
    <xf numFmtId="164" fontId="12" fillId="0" borderId="0" xfId="1" applyNumberFormat="1" applyFont="1" applyAlignment="1"/>
    <xf numFmtId="3" fontId="8" fillId="0" borderId="0" xfId="0" applyNumberFormat="1" applyFont="1" applyAlignment="1"/>
    <xf numFmtId="3" fontId="9" fillId="0" borderId="0" xfId="0" applyNumberFormat="1" applyFont="1" applyAlignment="1"/>
    <xf numFmtId="164" fontId="8" fillId="0" borderId="2" xfId="1" quotePrefix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8" xfId="1" applyNumberFormat="1" applyFont="1" applyBorder="1" applyAlignment="1"/>
    <xf numFmtId="164" fontId="16" fillId="0" borderId="8" xfId="1" applyNumberFormat="1" applyFont="1" applyBorder="1" applyAlignment="1"/>
    <xf numFmtId="49" fontId="8" fillId="0" borderId="0" xfId="1" applyNumberFormat="1" applyFont="1" applyBorder="1" applyAlignment="1"/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2" borderId="0" xfId="0" applyFont="1" applyFill="1" applyBorder="1" applyAlignment="1"/>
    <xf numFmtId="168" fontId="9" fillId="0" borderId="9" xfId="2" applyNumberFormat="1" applyFont="1" applyFill="1" applyBorder="1" applyAlignment="1">
      <alignment vertical="center"/>
    </xf>
    <xf numFmtId="0" fontId="0" fillId="0" borderId="0" xfId="0" applyAlignment="1"/>
    <xf numFmtId="49" fontId="0" fillId="0" borderId="0" xfId="0" applyNumberFormat="1" applyAlignment="1"/>
    <xf numFmtId="164" fontId="0" fillId="0" borderId="0" xfId="0" applyNumberFormat="1" applyAlignment="1"/>
    <xf numFmtId="0" fontId="9" fillId="0" borderId="0" xfId="0" applyFont="1" applyAlignment="1"/>
    <xf numFmtId="49" fontId="9" fillId="0" borderId="0" xfId="1" applyNumberFormat="1" applyFont="1" applyAlignment="1"/>
    <xf numFmtId="168" fontId="9" fillId="0" borderId="10" xfId="2" applyNumberFormat="1" applyFont="1" applyBorder="1" applyAlignment="1"/>
    <xf numFmtId="0" fontId="20" fillId="0" borderId="0" xfId="0" applyFont="1" applyAlignment="1"/>
    <xf numFmtId="164" fontId="3" fillId="0" borderId="0" xfId="1" applyNumberFormat="1" applyFont="1" applyAlignment="1">
      <alignment horizontal="center"/>
    </xf>
    <xf numFmtId="164" fontId="18" fillId="0" borderId="0" xfId="1" applyNumberFormat="1" applyFont="1" applyAlignment="1">
      <alignment horizontal="center"/>
    </xf>
    <xf numFmtId="14" fontId="3" fillId="0" borderId="0" xfId="1" applyNumberFormat="1" applyFont="1" applyAlignment="1">
      <alignment horizontal="center"/>
    </xf>
    <xf numFmtId="14" fontId="18" fillId="0" borderId="0" xfId="1" applyNumberFormat="1" applyFont="1" applyAlignment="1">
      <alignment horizontal="center"/>
    </xf>
    <xf numFmtId="164" fontId="9" fillId="0" borderId="1" xfId="1" applyNumberFormat="1" applyFont="1" applyBorder="1" applyAlignment="1"/>
    <xf numFmtId="166" fontId="17" fillId="0" borderId="0" xfId="0" applyNumberFormat="1" applyFont="1" applyAlignment="1">
      <alignment horizontal="right"/>
    </xf>
    <xf numFmtId="14" fontId="19" fillId="0" borderId="1" xfId="1" quotePrefix="1" applyNumberFormat="1" applyFont="1" applyBorder="1" applyAlignment="1">
      <alignment horizontal="center"/>
    </xf>
    <xf numFmtId="0" fontId="17" fillId="0" borderId="6" xfId="0" quotePrefix="1" applyFont="1" applyBorder="1"/>
    <xf numFmtId="0" fontId="19" fillId="0" borderId="0" xfId="0" applyFont="1"/>
    <xf numFmtId="164" fontId="26" fillId="0" borderId="0" xfId="1" applyNumberFormat="1" applyFont="1" applyBorder="1"/>
    <xf numFmtId="164" fontId="26" fillId="0" borderId="1" xfId="1" applyNumberFormat="1" applyFont="1" applyBorder="1"/>
    <xf numFmtId="0" fontId="9" fillId="0" borderId="2" xfId="0" applyFont="1" applyBorder="1" applyAlignment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Flash/1999/genco%20deprec%20cap%20chg%2012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"/>
      <sheetName val="Summary"/>
      <sheetName val="Genco 2000 budget"/>
      <sheetName val="Trading P&amp;L"/>
      <sheetName val="Cap Chg"/>
    </sheetNames>
    <sheetDataSet>
      <sheetData sheetId="0">
        <row r="29">
          <cell r="D29">
            <v>-1725105.6680733333</v>
          </cell>
          <cell r="F29">
            <v>-2099365.1001033327</v>
          </cell>
          <cell r="H29">
            <v>-1831144.689966666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26" sqref="G26"/>
    </sheetView>
  </sheetViews>
  <sheetFormatPr defaultRowHeight="13.2" x14ac:dyDescent="0.25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 x14ac:dyDescent="0.3">
      <c r="A1" s="48" t="s">
        <v>320</v>
      </c>
    </row>
    <row r="2" spans="1:11" ht="15.6" x14ac:dyDescent="0.3">
      <c r="A2" s="48" t="s">
        <v>319</v>
      </c>
    </row>
    <row r="4" spans="1:11" x14ac:dyDescent="0.25">
      <c r="A4" s="41" t="s">
        <v>309</v>
      </c>
    </row>
    <row r="6" spans="1:11" x14ac:dyDescent="0.25">
      <c r="A6" t="s">
        <v>306</v>
      </c>
    </row>
    <row r="7" spans="1:11" x14ac:dyDescent="0.25">
      <c r="A7" t="s">
        <v>312</v>
      </c>
    </row>
    <row r="8" spans="1:11" x14ac:dyDescent="0.25">
      <c r="A8" t="s">
        <v>311</v>
      </c>
    </row>
    <row r="11" spans="1:11" x14ac:dyDescent="0.25">
      <c r="A11" s="41" t="s">
        <v>322</v>
      </c>
    </row>
    <row r="12" spans="1:11" x14ac:dyDescent="0.25">
      <c r="A12" s="41"/>
      <c r="E12" s="11" t="s">
        <v>267</v>
      </c>
      <c r="F12" s="100"/>
      <c r="G12" s="11" t="s">
        <v>268</v>
      </c>
      <c r="H12" s="100"/>
      <c r="I12" s="11" t="s">
        <v>266</v>
      </c>
      <c r="K12" s="11" t="s">
        <v>269</v>
      </c>
    </row>
    <row r="13" spans="1:11" x14ac:dyDescent="0.25">
      <c r="A13" s="41"/>
    </row>
    <row r="14" spans="1:11" x14ac:dyDescent="0.25">
      <c r="A14" t="s">
        <v>307</v>
      </c>
      <c r="E14" s="86">
        <v>-310000</v>
      </c>
      <c r="F14" s="86"/>
      <c r="G14" s="86">
        <v>-300000</v>
      </c>
      <c r="H14" s="86"/>
      <c r="I14" s="86">
        <v>-233000</v>
      </c>
      <c r="K14" s="89">
        <f>SUM(E14:I14)</f>
        <v>-843000</v>
      </c>
    </row>
    <row r="15" spans="1:11" x14ac:dyDescent="0.25">
      <c r="A15" t="s">
        <v>308</v>
      </c>
      <c r="E15" s="86">
        <v>-550000</v>
      </c>
      <c r="F15" s="86"/>
      <c r="G15" s="86">
        <v>-550000</v>
      </c>
      <c r="H15" s="86"/>
      <c r="I15" s="86">
        <v>-350000</v>
      </c>
      <c r="K15" s="89">
        <f>SUM(E15:I15)</f>
        <v>-1450000</v>
      </c>
    </row>
    <row r="16" spans="1:11" x14ac:dyDescent="0.25">
      <c r="A16" t="s">
        <v>318</v>
      </c>
      <c r="E16" s="87">
        <v>-200000</v>
      </c>
      <c r="F16" s="86"/>
      <c r="G16" s="87">
        <v>-200000</v>
      </c>
      <c r="H16" s="86"/>
      <c r="I16" s="87">
        <v>-200000</v>
      </c>
      <c r="K16" s="101">
        <f>SUM(E16:I16)</f>
        <v>-600000</v>
      </c>
    </row>
    <row r="17" spans="1:11" x14ac:dyDescent="0.25">
      <c r="E17" s="102"/>
      <c r="F17" s="86"/>
      <c r="G17" s="102"/>
      <c r="H17" s="86"/>
      <c r="I17" s="102"/>
      <c r="K17" s="103"/>
    </row>
    <row r="18" spans="1:11" x14ac:dyDescent="0.25">
      <c r="A18" s="41" t="s">
        <v>310</v>
      </c>
      <c r="E18" s="90">
        <f>SUM(E14:E16)</f>
        <v>-1060000</v>
      </c>
      <c r="F18" s="41"/>
      <c r="G18" s="90">
        <f>SUM(G14:G16)</f>
        <v>-1050000</v>
      </c>
      <c r="H18" s="41"/>
      <c r="I18" s="90">
        <f>SUM(I14:I16)</f>
        <v>-783000</v>
      </c>
      <c r="J18" s="41"/>
      <c r="K18" s="90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4" workbookViewId="0">
      <selection activeCell="E35" sqref="E35"/>
    </sheetView>
  </sheetViews>
  <sheetFormatPr defaultRowHeight="13.2" x14ac:dyDescent="0.25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 x14ac:dyDescent="0.3">
      <c r="A1" s="94" t="s">
        <v>267</v>
      </c>
    </row>
    <row r="2" spans="1:5" ht="17.399999999999999" x14ac:dyDescent="0.3">
      <c r="A2" s="94" t="s">
        <v>279</v>
      </c>
    </row>
    <row r="5" spans="1:5" x14ac:dyDescent="0.25">
      <c r="A5" s="41" t="s">
        <v>280</v>
      </c>
    </row>
    <row r="6" spans="1:5" x14ac:dyDescent="0.25">
      <c r="A6" t="s">
        <v>282</v>
      </c>
      <c r="E6" s="49">
        <v>26785396</v>
      </c>
    </row>
    <row r="7" spans="1:5" x14ac:dyDescent="0.25">
      <c r="B7" t="s">
        <v>281</v>
      </c>
      <c r="E7" s="87">
        <f>32000000-E6</f>
        <v>5214604</v>
      </c>
    </row>
    <row r="8" spans="1:5" x14ac:dyDescent="0.25">
      <c r="E8" s="86">
        <f>SUM(E6:E7)</f>
        <v>32000000</v>
      </c>
    </row>
    <row r="10" spans="1:5" x14ac:dyDescent="0.25">
      <c r="A10" s="41" t="s">
        <v>283</v>
      </c>
    </row>
    <row r="11" spans="1:5" x14ac:dyDescent="0.25">
      <c r="B11" t="s">
        <v>295</v>
      </c>
      <c r="E11" s="91">
        <v>1347000</v>
      </c>
    </row>
    <row r="12" spans="1:5" x14ac:dyDescent="0.25">
      <c r="B12" t="s">
        <v>285</v>
      </c>
      <c r="E12" s="91">
        <v>500000</v>
      </c>
    </row>
    <row r="13" spans="1:5" x14ac:dyDescent="0.25">
      <c r="B13" t="s">
        <v>292</v>
      </c>
      <c r="E13" s="92">
        <f>E11*0.1</f>
        <v>134700</v>
      </c>
    </row>
    <row r="14" spans="1:5" x14ac:dyDescent="0.25">
      <c r="E14" s="91">
        <f>SUM(E11:E13)</f>
        <v>1981700</v>
      </c>
    </row>
    <row r="15" spans="1:5" x14ac:dyDescent="0.25">
      <c r="E15" s="75"/>
    </row>
    <row r="16" spans="1:5" x14ac:dyDescent="0.25">
      <c r="A16" s="41" t="s">
        <v>286</v>
      </c>
      <c r="E16" s="75"/>
    </row>
    <row r="17" spans="1:7" x14ac:dyDescent="0.25">
      <c r="B17" t="s">
        <v>287</v>
      </c>
      <c r="E17" s="91">
        <v>27502700</v>
      </c>
    </row>
    <row r="18" spans="1:7" x14ac:dyDescent="0.25">
      <c r="B18" t="s">
        <v>303</v>
      </c>
      <c r="E18" s="91">
        <f>3600000-E19</f>
        <v>2700000</v>
      </c>
    </row>
    <row r="19" spans="1:7" x14ac:dyDescent="0.25">
      <c r="B19" t="s">
        <v>304</v>
      </c>
      <c r="E19" s="91">
        <v>900000</v>
      </c>
    </row>
    <row r="20" spans="1:7" x14ac:dyDescent="0.25">
      <c r="B20" t="s">
        <v>288</v>
      </c>
      <c r="E20" s="95">
        <v>-700000</v>
      </c>
      <c r="G20" t="s">
        <v>298</v>
      </c>
    </row>
    <row r="21" spans="1:7" x14ac:dyDescent="0.25">
      <c r="B21" t="s">
        <v>293</v>
      </c>
      <c r="E21" s="91">
        <v>1307660</v>
      </c>
    </row>
    <row r="22" spans="1:7" x14ac:dyDescent="0.25">
      <c r="B22" t="s">
        <v>288</v>
      </c>
      <c r="E22" s="91">
        <v>-200500</v>
      </c>
      <c r="G22" t="s">
        <v>298</v>
      </c>
    </row>
    <row r="23" spans="1:7" x14ac:dyDescent="0.25">
      <c r="B23" t="s">
        <v>297</v>
      </c>
      <c r="E23" s="91">
        <f>254805*5</f>
        <v>1274025</v>
      </c>
    </row>
    <row r="24" spans="1:7" x14ac:dyDescent="0.25">
      <c r="B24" t="s">
        <v>288</v>
      </c>
      <c r="E24" s="91">
        <v>-100000</v>
      </c>
      <c r="G24" t="s">
        <v>298</v>
      </c>
    </row>
    <row r="25" spans="1:7" x14ac:dyDescent="0.25">
      <c r="B25" t="s">
        <v>296</v>
      </c>
      <c r="E25" s="92">
        <f>E23*0.07</f>
        <v>89181.750000000015</v>
      </c>
    </row>
    <row r="26" spans="1:7" x14ac:dyDescent="0.25">
      <c r="E26" s="93">
        <f>SUM(E17:E25)</f>
        <v>32773066.75</v>
      </c>
    </row>
    <row r="29" spans="1:7" x14ac:dyDescent="0.25">
      <c r="A29" s="41" t="s">
        <v>289</v>
      </c>
    </row>
    <row r="30" spans="1:7" x14ac:dyDescent="0.25">
      <c r="B30" s="88" t="s">
        <v>290</v>
      </c>
      <c r="E30" s="86">
        <f>27500000/4</f>
        <v>6875000</v>
      </c>
    </row>
    <row r="31" spans="1:7" x14ac:dyDescent="0.25">
      <c r="B31" t="s">
        <v>291</v>
      </c>
      <c r="E31" s="86">
        <f>2000000/4</f>
        <v>500000</v>
      </c>
    </row>
    <row r="32" spans="1:7" x14ac:dyDescent="0.25">
      <c r="B32" t="s">
        <v>284</v>
      </c>
      <c r="E32" s="87">
        <v>0</v>
      </c>
    </row>
    <row r="33" spans="1:7" x14ac:dyDescent="0.25">
      <c r="E33" s="39">
        <f>SUM(E30:E32)</f>
        <v>7375000</v>
      </c>
    </row>
    <row r="34" spans="1:7" x14ac:dyDescent="0.25">
      <c r="E34" s="39"/>
    </row>
    <row r="35" spans="1:7" x14ac:dyDescent="0.25">
      <c r="A35" s="41" t="s">
        <v>294</v>
      </c>
      <c r="E35" s="97">
        <v>0</v>
      </c>
      <c r="G35" t="s">
        <v>305</v>
      </c>
    </row>
    <row r="36" spans="1:7" ht="8.25" customHeight="1" x14ac:dyDescent="0.25">
      <c r="E36" s="61"/>
    </row>
    <row r="37" spans="1:7" x14ac:dyDescent="0.25">
      <c r="A37" s="41" t="s">
        <v>300</v>
      </c>
      <c r="E37" s="98">
        <f>E35+E33+E26+E14+E8</f>
        <v>74129766.75</v>
      </c>
    </row>
    <row r="39" spans="1:7" x14ac:dyDescent="0.25">
      <c r="A39" s="41" t="s">
        <v>299</v>
      </c>
      <c r="E39" s="99">
        <v>10870000</v>
      </c>
    </row>
    <row r="40" spans="1:7" ht="8.25" customHeight="1" x14ac:dyDescent="0.25"/>
    <row r="41" spans="1:7" ht="13.8" thickBot="1" x14ac:dyDescent="0.3">
      <c r="A41" s="41" t="s">
        <v>301</v>
      </c>
      <c r="E41" s="96">
        <f>E37+E39</f>
        <v>84999766.75</v>
      </c>
    </row>
    <row r="42" spans="1:7" ht="13.8" thickTop="1" x14ac:dyDescent="0.25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 x14ac:dyDescent="0.25"/>
  <cols>
    <col min="1" max="1" width="11.33203125" style="86" customWidth="1"/>
    <col min="2" max="2" width="5.5546875" style="86" customWidth="1"/>
    <col min="3" max="3" width="11.33203125" style="86" bestFit="1" customWidth="1"/>
    <col min="4" max="4" width="3.33203125" style="86" customWidth="1"/>
    <col min="5" max="5" width="10.33203125" style="86" bestFit="1" customWidth="1"/>
    <col min="6" max="6" width="2.6640625" style="86" customWidth="1"/>
    <col min="7" max="7" width="13.44140625" style="86" bestFit="1" customWidth="1"/>
    <col min="8" max="8" width="2.33203125" style="86" customWidth="1"/>
    <col min="9" max="16384" width="9.109375" style="86"/>
  </cols>
  <sheetData>
    <row r="1" spans="1:7" ht="17.399999999999999" x14ac:dyDescent="0.3">
      <c r="A1" s="85" t="s">
        <v>264</v>
      </c>
    </row>
    <row r="3" spans="1:7" x14ac:dyDescent="0.25">
      <c r="C3" s="10" t="s">
        <v>275</v>
      </c>
      <c r="E3" s="10" t="s">
        <v>270</v>
      </c>
    </row>
    <row r="4" spans="1:7" x14ac:dyDescent="0.25">
      <c r="C4" s="10" t="s">
        <v>276</v>
      </c>
      <c r="E4" s="10" t="s">
        <v>277</v>
      </c>
      <c r="G4" s="10" t="s">
        <v>321</v>
      </c>
    </row>
    <row r="5" spans="1:7" x14ac:dyDescent="0.25">
      <c r="C5" s="10"/>
    </row>
    <row r="6" spans="1:7" x14ac:dyDescent="0.25">
      <c r="A6" s="15" t="s">
        <v>266</v>
      </c>
      <c r="C6" s="86">
        <v>395276</v>
      </c>
      <c r="E6" s="86">
        <v>587051</v>
      </c>
      <c r="G6" s="86">
        <f>E6-C6</f>
        <v>191775</v>
      </c>
    </row>
    <row r="7" spans="1:7" x14ac:dyDescent="0.25">
      <c r="A7" s="15"/>
      <c r="G7" s="86">
        <f t="shared" ref="G7:G14" si="0">E7-C7</f>
        <v>0</v>
      </c>
    </row>
    <row r="8" spans="1:7" x14ac:dyDescent="0.25">
      <c r="A8" s="15" t="s">
        <v>268</v>
      </c>
      <c r="C8" s="86">
        <v>395276</v>
      </c>
      <c r="E8" s="86">
        <v>620100</v>
      </c>
      <c r="G8" s="86">
        <f t="shared" si="0"/>
        <v>224824</v>
      </c>
    </row>
    <row r="9" spans="1:7" x14ac:dyDescent="0.25">
      <c r="A9" s="15"/>
    </row>
    <row r="10" spans="1:7" x14ac:dyDescent="0.25">
      <c r="A10" s="15" t="s">
        <v>267</v>
      </c>
      <c r="C10" s="86">
        <v>395276</v>
      </c>
      <c r="E10" s="86">
        <v>641831</v>
      </c>
      <c r="G10" s="86">
        <f t="shared" si="0"/>
        <v>246555</v>
      </c>
    </row>
    <row r="11" spans="1:7" x14ac:dyDescent="0.25">
      <c r="A11" s="15"/>
    </row>
    <row r="12" spans="1:7" x14ac:dyDescent="0.25">
      <c r="A12" s="15" t="s">
        <v>265</v>
      </c>
      <c r="C12" s="87">
        <v>395276</v>
      </c>
      <c r="E12" s="87">
        <v>225000</v>
      </c>
      <c r="F12" s="86" t="s">
        <v>278</v>
      </c>
      <c r="G12" s="87">
        <f t="shared" si="0"/>
        <v>-170276</v>
      </c>
    </row>
    <row r="14" spans="1:7" s="15" customFormat="1" x14ac:dyDescent="0.25">
      <c r="A14" s="15" t="s">
        <v>269</v>
      </c>
      <c r="C14" s="15">
        <f>SUM(C6:C12)</f>
        <v>1581104</v>
      </c>
      <c r="E14" s="15">
        <f>SUM(E6:E12)</f>
        <v>2073982</v>
      </c>
      <c r="G14" s="15">
        <f t="shared" si="0"/>
        <v>492878</v>
      </c>
    </row>
    <row r="16" spans="1:7" x14ac:dyDescent="0.25">
      <c r="E16" s="86" t="s">
        <v>302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C33" sqref="C33"/>
    </sheetView>
  </sheetViews>
  <sheetFormatPr defaultRowHeight="13.2" x14ac:dyDescent="0.25"/>
  <cols>
    <col min="1" max="1" width="2" bestFit="1" customWidth="1"/>
    <col min="2" max="3" width="4.6640625" customWidth="1"/>
  </cols>
  <sheetData>
    <row r="1" spans="1:4" x14ac:dyDescent="0.25">
      <c r="B1" s="189" t="s">
        <v>349</v>
      </c>
    </row>
    <row r="3" spans="1:4" x14ac:dyDescent="0.25">
      <c r="A3">
        <v>1</v>
      </c>
      <c r="B3" t="s">
        <v>359</v>
      </c>
    </row>
    <row r="5" spans="1:4" x14ac:dyDescent="0.25">
      <c r="A5">
        <v>2</v>
      </c>
      <c r="B5" t="s">
        <v>350</v>
      </c>
    </row>
    <row r="6" spans="1:4" x14ac:dyDescent="0.25">
      <c r="C6" t="s">
        <v>351</v>
      </c>
    </row>
    <row r="8" spans="1:4" x14ac:dyDescent="0.25">
      <c r="A8">
        <v>3</v>
      </c>
      <c r="B8" t="s">
        <v>352</v>
      </c>
    </row>
    <row r="9" spans="1:4" x14ac:dyDescent="0.25">
      <c r="C9" t="s">
        <v>353</v>
      </c>
    </row>
    <row r="10" spans="1:4" x14ac:dyDescent="0.25">
      <c r="C10" t="s">
        <v>354</v>
      </c>
    </row>
    <row r="11" spans="1:4" x14ac:dyDescent="0.25">
      <c r="C11" t="s">
        <v>355</v>
      </c>
    </row>
    <row r="12" spans="1:4" x14ac:dyDescent="0.25">
      <c r="D12" t="s">
        <v>356</v>
      </c>
    </row>
    <row r="13" spans="1:4" x14ac:dyDescent="0.25">
      <c r="D13" t="s">
        <v>357</v>
      </c>
    </row>
    <row r="15" spans="1:4" x14ac:dyDescent="0.25">
      <c r="A15">
        <v>4</v>
      </c>
      <c r="B15" t="s">
        <v>350</v>
      </c>
    </row>
    <row r="16" spans="1:4" x14ac:dyDescent="0.25">
      <c r="C16" t="s">
        <v>358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view="pageBreakPreview" topLeftCell="A3" zoomScaleNormal="90" zoomScaleSheetLayoutView="100" workbookViewId="0">
      <selection activeCell="I8" sqref="I8"/>
    </sheetView>
  </sheetViews>
  <sheetFormatPr defaultRowHeight="13.2" x14ac:dyDescent="0.25"/>
  <cols>
    <col min="1" max="1" width="19" customWidth="1"/>
    <col min="2" max="2" width="6.33203125" customWidth="1"/>
    <col min="3" max="3" width="15" customWidth="1"/>
    <col min="4" max="4" width="2.44140625" customWidth="1"/>
    <col min="5" max="5" width="15.88671875" bestFit="1" customWidth="1"/>
    <col min="6" max="6" width="2.44140625" customWidth="1"/>
    <col min="7" max="7" width="14.5546875" bestFit="1" customWidth="1"/>
    <col min="8" max="8" width="2.44140625" customWidth="1"/>
    <col min="9" max="9" width="20.33203125" bestFit="1" customWidth="1"/>
    <col min="10" max="10" width="2.44140625" customWidth="1"/>
    <col min="11" max="11" width="17.109375" bestFit="1" customWidth="1"/>
    <col min="12" max="12" width="2.6640625" customWidth="1"/>
    <col min="13" max="13" width="10" customWidth="1"/>
    <col min="14" max="14" width="2.6640625" customWidth="1"/>
    <col min="15" max="15" width="19.33203125" customWidth="1"/>
    <col min="16" max="16" width="2.6640625" customWidth="1"/>
    <col min="17" max="17" width="9.33203125" customWidth="1"/>
  </cols>
  <sheetData>
    <row r="1" spans="1:31" ht="15.6" x14ac:dyDescent="0.3">
      <c r="A1" s="48" t="s">
        <v>344</v>
      </c>
    </row>
    <row r="2" spans="1:31" ht="15.6" x14ac:dyDescent="0.3">
      <c r="A2" s="48" t="s">
        <v>418</v>
      </c>
      <c r="G2" s="9"/>
      <c r="J2" s="41" t="s">
        <v>341</v>
      </c>
      <c r="O2" s="9">
        <f ca="1">NOW()</f>
        <v>36536.561047569441</v>
      </c>
    </row>
    <row r="3" spans="1:31" ht="15.6" x14ac:dyDescent="0.3">
      <c r="A3" s="48" t="s">
        <v>417</v>
      </c>
      <c r="J3" s="41" t="s">
        <v>342</v>
      </c>
      <c r="O3" s="379" t="s">
        <v>551</v>
      </c>
    </row>
    <row r="4" spans="1:31" ht="16.2" thickBot="1" x14ac:dyDescent="0.35">
      <c r="A4" s="382" t="s">
        <v>550</v>
      </c>
      <c r="I4" s="50"/>
      <c r="O4" s="130"/>
    </row>
    <row r="5" spans="1:31" ht="16.2" thickBot="1" x14ac:dyDescent="0.35">
      <c r="A5" s="48"/>
      <c r="G5" s="386" t="s">
        <v>339</v>
      </c>
      <c r="H5" s="387"/>
      <c r="I5" s="387"/>
      <c r="J5" s="387"/>
      <c r="K5" s="388"/>
      <c r="L5" s="48"/>
      <c r="M5" s="48"/>
    </row>
    <row r="6" spans="1:31" x14ac:dyDescent="0.25">
      <c r="A6" s="53"/>
      <c r="C6" s="53"/>
      <c r="E6" s="51" t="s">
        <v>189</v>
      </c>
      <c r="G6" s="194" t="s">
        <v>190</v>
      </c>
      <c r="H6" s="195"/>
      <c r="I6" s="196" t="s">
        <v>205</v>
      </c>
      <c r="J6" s="195"/>
      <c r="K6" s="197" t="s">
        <v>345</v>
      </c>
      <c r="M6" s="51" t="s">
        <v>360</v>
      </c>
      <c r="O6" s="51" t="s">
        <v>191</v>
      </c>
    </row>
    <row r="7" spans="1:31" x14ac:dyDescent="0.25">
      <c r="A7" s="54" t="s">
        <v>195</v>
      </c>
      <c r="C7" s="54" t="s">
        <v>193</v>
      </c>
      <c r="E7" s="52" t="str">
        <f>+O3</f>
        <v>as of 01/07/00</v>
      </c>
      <c r="G7" s="198" t="str">
        <f>+O3</f>
        <v>as of 01/07/00</v>
      </c>
      <c r="H7" s="61"/>
      <c r="I7" s="104" t="str">
        <f>+O3</f>
        <v>as of 01/07/00</v>
      </c>
      <c r="J7" s="61"/>
      <c r="K7" s="199" t="str">
        <f>+O3</f>
        <v>as of 01/07/00</v>
      </c>
      <c r="M7" s="52" t="s">
        <v>362</v>
      </c>
      <c r="O7" s="52" t="s">
        <v>192</v>
      </c>
    </row>
    <row r="8" spans="1:31" ht="8.1" customHeight="1" x14ac:dyDescent="0.25">
      <c r="A8" s="53"/>
      <c r="C8" s="51"/>
      <c r="E8" s="53"/>
      <c r="G8" s="200"/>
      <c r="H8" s="61"/>
      <c r="I8" s="53"/>
      <c r="J8" s="61"/>
      <c r="K8" s="201"/>
      <c r="M8" s="53"/>
      <c r="O8" s="53"/>
    </row>
    <row r="9" spans="1:31" x14ac:dyDescent="0.25">
      <c r="A9" s="55" t="s">
        <v>188</v>
      </c>
      <c r="C9" s="55">
        <v>458</v>
      </c>
      <c r="D9" s="49"/>
      <c r="E9" s="56">
        <f>Brownsville!O198/1000</f>
        <v>123741.985472</v>
      </c>
      <c r="F9" s="49"/>
      <c r="G9" s="202">
        <f>Brownsville!AY198/1000</f>
        <v>127778.25899333334</v>
      </c>
      <c r="H9" s="61"/>
      <c r="I9" s="56">
        <f>+Brownsville!BC198/1000</f>
        <v>365.87966199999988</v>
      </c>
      <c r="J9" s="61"/>
      <c r="K9" s="203">
        <f>+I9+G9</f>
        <v>128144.13865533334</v>
      </c>
      <c r="M9" s="56">
        <f>+E9-K9</f>
        <v>-4402.1531833333429</v>
      </c>
      <c r="O9" s="58">
        <f>+G9/K9</f>
        <v>0.9971447803556267</v>
      </c>
    </row>
    <row r="10" spans="1:31" ht="8.1" customHeight="1" x14ac:dyDescent="0.25">
      <c r="A10" s="59"/>
      <c r="C10" s="55"/>
      <c r="D10" s="49"/>
      <c r="E10" s="57"/>
      <c r="F10" s="49"/>
      <c r="G10" s="204"/>
      <c r="H10" s="61"/>
      <c r="I10" s="57"/>
      <c r="J10" s="61"/>
      <c r="K10" s="205"/>
      <c r="M10" s="57"/>
      <c r="O10" s="60"/>
    </row>
    <row r="11" spans="1:31" x14ac:dyDescent="0.25">
      <c r="A11" s="55" t="s">
        <v>198</v>
      </c>
      <c r="C11" s="55">
        <v>442</v>
      </c>
      <c r="D11" s="49"/>
      <c r="E11" s="56">
        <f>Caledonia!O199/1000</f>
        <v>148897.992616</v>
      </c>
      <c r="F11" s="49"/>
      <c r="G11" s="202">
        <f>Caledonia!AY199/1000</f>
        <v>154125.99396333331</v>
      </c>
      <c r="H11" s="61"/>
      <c r="I11" s="56">
        <f>+Caledonia!BC199/1000</f>
        <v>679.71699599999999</v>
      </c>
      <c r="J11" s="61"/>
      <c r="K11" s="203">
        <f>+I11+G11</f>
        <v>154805.71095933332</v>
      </c>
      <c r="M11" s="56">
        <f>+E11-K11</f>
        <v>-5907.7183433333121</v>
      </c>
      <c r="O11" s="58">
        <f>+G11/K11</f>
        <v>0.99560922531999763</v>
      </c>
    </row>
    <row r="12" spans="1:31" ht="8.1" customHeight="1" x14ac:dyDescent="0.25">
      <c r="A12" s="59"/>
      <c r="C12" s="55"/>
      <c r="D12" s="49"/>
      <c r="E12" s="57"/>
      <c r="F12" s="49"/>
      <c r="G12" s="204"/>
      <c r="H12" s="61"/>
      <c r="I12" s="57"/>
      <c r="J12" s="61"/>
      <c r="K12" s="205"/>
      <c r="M12" s="57"/>
      <c r="O12" s="60"/>
    </row>
    <row r="13" spans="1:31" x14ac:dyDescent="0.25">
      <c r="A13" s="55" t="s">
        <v>199</v>
      </c>
      <c r="C13" s="55">
        <v>360</v>
      </c>
      <c r="D13" s="49"/>
      <c r="E13" s="56">
        <f>NewAlbany!O221/1000</f>
        <v>128386.30014115444</v>
      </c>
      <c r="F13" s="49"/>
      <c r="G13" s="202">
        <f>NewAlbany!AY221/1000</f>
        <v>147891.08930333331</v>
      </c>
      <c r="H13" s="61"/>
      <c r="I13" s="56">
        <f>+NewAlbany!BC221/1000</f>
        <v>583.29428399999529</v>
      </c>
      <c r="J13" s="61"/>
      <c r="K13" s="203">
        <f>+I13+G13</f>
        <v>148474.38358733332</v>
      </c>
      <c r="M13" s="56">
        <f>+E13-K13</f>
        <v>-20088.083446178876</v>
      </c>
      <c r="O13" s="58">
        <f>+G13/K13</f>
        <v>0.99607141467836502</v>
      </c>
      <c r="AE13" t="s">
        <v>385</v>
      </c>
    </row>
    <row r="14" spans="1:31" ht="7.5" customHeight="1" x14ac:dyDescent="0.25">
      <c r="A14" s="55"/>
      <c r="C14" s="55"/>
      <c r="D14" s="49"/>
      <c r="E14" s="56"/>
      <c r="F14" s="49"/>
      <c r="G14" s="202"/>
      <c r="H14" s="61"/>
      <c r="I14" s="56"/>
      <c r="J14" s="61"/>
      <c r="K14" s="203"/>
      <c r="M14" s="56"/>
      <c r="O14" s="58"/>
    </row>
    <row r="15" spans="1:31" x14ac:dyDescent="0.25">
      <c r="A15" s="55" t="s">
        <v>532</v>
      </c>
      <c r="C15" s="55"/>
      <c r="D15" s="49"/>
      <c r="E15" s="56"/>
      <c r="F15" s="49"/>
      <c r="G15" s="202">
        <f>(+Brownsville!BE206+Caledonia!BE207+NewAlbany!BE227)/1000</f>
        <v>-5655.615458143332</v>
      </c>
      <c r="H15" s="61"/>
      <c r="I15" s="56">
        <v>0</v>
      </c>
      <c r="J15" s="61"/>
      <c r="K15" s="203">
        <f>+I15+G15</f>
        <v>-5655.615458143332</v>
      </c>
      <c r="M15" s="56">
        <v>0</v>
      </c>
      <c r="O15" s="274" t="s">
        <v>533</v>
      </c>
    </row>
    <row r="16" spans="1:31" ht="12" customHeight="1" x14ac:dyDescent="0.25">
      <c r="A16" s="381" t="s">
        <v>548</v>
      </c>
      <c r="B16" s="61"/>
      <c r="C16" s="105"/>
      <c r="D16" s="61"/>
      <c r="E16" s="105"/>
      <c r="F16" s="61"/>
      <c r="G16" s="206"/>
      <c r="H16" s="61"/>
      <c r="I16" s="105"/>
      <c r="J16" s="61"/>
      <c r="K16" s="207"/>
      <c r="L16" s="61"/>
      <c r="M16" s="105"/>
      <c r="N16" s="61"/>
      <c r="O16" s="59"/>
    </row>
    <row r="17" spans="1:15" x14ac:dyDescent="0.25">
      <c r="A17" s="186" t="s">
        <v>196</v>
      </c>
      <c r="B17" s="67"/>
      <c r="C17" s="266">
        <f>SUM(C9:C13)</f>
        <v>1260</v>
      </c>
      <c r="D17" s="66"/>
      <c r="E17" s="69">
        <f>SUM(E9:E13)</f>
        <v>401026.27822915441</v>
      </c>
      <c r="F17" s="66"/>
      <c r="G17" s="208">
        <f>SUM(G9:G13)+G15</f>
        <v>424139.7268018566</v>
      </c>
      <c r="H17" s="66"/>
      <c r="I17" s="69">
        <f>SUM(I9:I13)</f>
        <v>1628.8909419999952</v>
      </c>
      <c r="J17" s="61"/>
      <c r="K17" s="209">
        <f>SUM(K9:K13)+K15</f>
        <v>425768.61774385662</v>
      </c>
      <c r="L17" s="61"/>
      <c r="M17" s="69">
        <f>SUM(M8:M13)-1</f>
        <v>-30398.954972845531</v>
      </c>
      <c r="N17" s="61"/>
      <c r="O17" s="185">
        <f>(+G17-G15)/(K17-K15)</f>
        <v>0.99622438700322757</v>
      </c>
    </row>
    <row r="18" spans="1:15" x14ac:dyDescent="0.25">
      <c r="A18" s="243" t="s">
        <v>419</v>
      </c>
      <c r="B18" s="67"/>
      <c r="C18" s="68"/>
      <c r="D18" s="66"/>
      <c r="E18" s="69"/>
      <c r="F18" s="66"/>
      <c r="G18" s="208"/>
      <c r="H18" s="66"/>
      <c r="I18" s="69"/>
      <c r="J18" s="61"/>
      <c r="K18" s="209"/>
      <c r="L18" s="61"/>
      <c r="M18" s="69"/>
      <c r="N18" s="61"/>
      <c r="O18" s="242"/>
    </row>
    <row r="19" spans="1:15" ht="13.8" thickBot="1" x14ac:dyDescent="0.3">
      <c r="A19" s="62" t="s">
        <v>420</v>
      </c>
      <c r="B19" s="67"/>
      <c r="C19" s="62"/>
      <c r="D19" s="66"/>
      <c r="E19" s="63">
        <f>E17/C17</f>
        <v>318.2748239913924</v>
      </c>
      <c r="F19" s="66"/>
      <c r="G19" s="210"/>
      <c r="H19" s="211"/>
      <c r="I19" s="212"/>
      <c r="J19" s="213"/>
      <c r="K19" s="214">
        <f>K17/C17</f>
        <v>337.91160138401318</v>
      </c>
      <c r="L19" s="61"/>
      <c r="M19" s="63"/>
      <c r="N19" s="61"/>
      <c r="O19" s="70"/>
    </row>
    <row r="20" spans="1:15" s="75" customFormat="1" x14ac:dyDescent="0.25">
      <c r="A20" s="73"/>
      <c r="B20" s="73"/>
      <c r="C20" s="66"/>
      <c r="D20" s="66"/>
      <c r="E20" s="66"/>
      <c r="F20" s="66"/>
      <c r="G20" s="66"/>
      <c r="H20" s="66"/>
      <c r="I20" s="66"/>
      <c r="J20" s="65"/>
      <c r="K20" s="65"/>
      <c r="L20" s="65"/>
      <c r="M20" s="65"/>
      <c r="N20" s="65"/>
      <c r="O20" s="74"/>
    </row>
    <row r="21" spans="1:15" ht="13.8" thickBot="1" x14ac:dyDescent="0.3"/>
    <row r="22" spans="1:15" ht="13.8" thickBot="1" x14ac:dyDescent="0.3">
      <c r="A22" s="389" t="s">
        <v>492</v>
      </c>
      <c r="B22" s="390"/>
      <c r="C22" s="390"/>
      <c r="D22" s="390"/>
      <c r="E22" s="390"/>
      <c r="F22" s="390"/>
      <c r="G22" s="390"/>
      <c r="H22" s="390"/>
      <c r="I22" s="390"/>
      <c r="J22" s="390"/>
      <c r="K22" s="390"/>
      <c r="L22" s="390"/>
      <c r="M22" s="390"/>
      <c r="N22" s="390"/>
      <c r="O22" s="391"/>
    </row>
    <row r="24" spans="1:15" x14ac:dyDescent="0.25">
      <c r="A24" s="106" t="s">
        <v>482</v>
      </c>
      <c r="B24" s="258" t="s">
        <v>204</v>
      </c>
      <c r="C24" t="s">
        <v>206</v>
      </c>
    </row>
    <row r="25" spans="1:15" x14ac:dyDescent="0.25">
      <c r="A25" s="260"/>
      <c r="B25" s="258" t="s">
        <v>203</v>
      </c>
      <c r="C25" t="s">
        <v>207</v>
      </c>
    </row>
    <row r="26" spans="1:15" x14ac:dyDescent="0.25">
      <c r="A26" s="106"/>
      <c r="B26" s="100"/>
      <c r="C26" t="s">
        <v>208</v>
      </c>
    </row>
    <row r="27" spans="1:15" x14ac:dyDescent="0.25">
      <c r="A27" s="260"/>
      <c r="B27" s="258" t="s">
        <v>323</v>
      </c>
      <c r="C27" t="s">
        <v>324</v>
      </c>
    </row>
    <row r="28" spans="1:15" x14ac:dyDescent="0.25">
      <c r="A28" s="261"/>
      <c r="B28" s="259" t="s">
        <v>373</v>
      </c>
      <c r="C28" s="75" t="s">
        <v>375</v>
      </c>
      <c r="D28" s="75"/>
      <c r="E28" s="75"/>
      <c r="F28" s="75"/>
      <c r="G28" s="75"/>
      <c r="H28" s="75"/>
      <c r="I28" s="75"/>
      <c r="J28" s="75"/>
      <c r="K28" s="75"/>
      <c r="L28" s="75"/>
    </row>
    <row r="29" spans="1:15" x14ac:dyDescent="0.25">
      <c r="A29" s="261"/>
      <c r="B29" s="259"/>
      <c r="C29" s="75" t="s">
        <v>376</v>
      </c>
      <c r="D29" s="75"/>
      <c r="E29" s="75"/>
      <c r="F29" s="75"/>
      <c r="G29" s="75"/>
      <c r="H29" s="75"/>
      <c r="I29" s="75"/>
      <c r="J29" s="75"/>
      <c r="K29" s="75"/>
      <c r="L29" s="75"/>
    </row>
    <row r="30" spans="1:15" x14ac:dyDescent="0.25">
      <c r="A30" s="261"/>
      <c r="B30" s="263">
        <v>36277</v>
      </c>
      <c r="C30" s="75" t="s">
        <v>495</v>
      </c>
      <c r="D30" s="75"/>
      <c r="E30" s="75"/>
      <c r="F30" s="75"/>
      <c r="G30" s="75"/>
      <c r="H30" s="75"/>
      <c r="I30" s="75"/>
      <c r="J30" s="75"/>
      <c r="K30" s="75"/>
      <c r="L30" s="75"/>
    </row>
    <row r="31" spans="1:15" x14ac:dyDescent="0.25">
      <c r="A31" s="262" t="s">
        <v>483</v>
      </c>
      <c r="B31" s="259" t="s">
        <v>480</v>
      </c>
      <c r="C31" s="75" t="s">
        <v>496</v>
      </c>
      <c r="D31" s="75"/>
      <c r="E31" s="75"/>
      <c r="F31" s="75"/>
      <c r="G31" s="75"/>
      <c r="H31" s="75"/>
      <c r="I31" s="75"/>
      <c r="J31" s="75"/>
      <c r="K31" s="75"/>
      <c r="L31" s="75"/>
    </row>
    <row r="32" spans="1:15" x14ac:dyDescent="0.25">
      <c r="A32" s="261"/>
      <c r="B32" s="100"/>
      <c r="C32" s="75"/>
      <c r="D32" s="75"/>
      <c r="E32" s="75"/>
      <c r="F32" s="75"/>
      <c r="G32" s="75"/>
      <c r="H32" s="75"/>
      <c r="I32" s="75"/>
      <c r="J32" s="75"/>
      <c r="K32" s="75"/>
      <c r="L32" s="75"/>
    </row>
    <row r="33" spans="1:15" x14ac:dyDescent="0.25">
      <c r="A33" s="106" t="s">
        <v>267</v>
      </c>
      <c r="B33" s="258" t="s">
        <v>203</v>
      </c>
      <c r="C33" s="75" t="s">
        <v>209</v>
      </c>
      <c r="D33" s="75"/>
      <c r="E33" s="75"/>
      <c r="F33" s="75"/>
      <c r="G33" s="75"/>
      <c r="H33" s="75"/>
      <c r="I33" s="75"/>
      <c r="J33" s="75"/>
      <c r="K33" s="75"/>
      <c r="L33" s="75"/>
    </row>
    <row r="34" spans="1:15" x14ac:dyDescent="0.25">
      <c r="A34" s="261"/>
      <c r="B34" s="258" t="s">
        <v>409</v>
      </c>
      <c r="C34" s="75" t="s">
        <v>410</v>
      </c>
      <c r="D34" s="75"/>
      <c r="E34" s="75"/>
      <c r="F34" s="75"/>
      <c r="G34" s="75"/>
      <c r="H34" s="75"/>
      <c r="I34" s="75"/>
      <c r="J34" s="75"/>
      <c r="K34" s="75"/>
      <c r="L34" s="75"/>
    </row>
    <row r="35" spans="1:15" x14ac:dyDescent="0.25">
      <c r="A35" s="106" t="s">
        <v>268</v>
      </c>
      <c r="B35" s="258" t="s">
        <v>373</v>
      </c>
      <c r="C35" s="75" t="s">
        <v>374</v>
      </c>
      <c r="D35" s="75"/>
      <c r="E35" s="75"/>
      <c r="F35" s="75"/>
      <c r="G35" s="75"/>
      <c r="H35" s="75"/>
      <c r="I35" s="75"/>
      <c r="J35" s="75"/>
      <c r="K35" s="75"/>
    </row>
    <row r="36" spans="1:15" ht="13.8" thickBot="1" x14ac:dyDescent="0.3"/>
    <row r="37" spans="1:15" ht="13.8" thickBot="1" x14ac:dyDescent="0.3">
      <c r="A37" s="389" t="s">
        <v>361</v>
      </c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</row>
    <row r="39" spans="1:15" x14ac:dyDescent="0.25">
      <c r="A39" s="106" t="s">
        <v>337</v>
      </c>
      <c r="C39" s="49">
        <f>+Brownsville!BG33/1000</f>
        <v>-2073.1014400000126</v>
      </c>
      <c r="E39" t="s">
        <v>517</v>
      </c>
    </row>
    <row r="40" spans="1:15" x14ac:dyDescent="0.25">
      <c r="A40" s="71"/>
      <c r="C40" s="102">
        <f>+Brownsville!BG41/1000</f>
        <v>-147.67172000000002</v>
      </c>
      <c r="E40" t="s">
        <v>415</v>
      </c>
    </row>
    <row r="41" spans="1:15" x14ac:dyDescent="0.25">
      <c r="A41" s="191"/>
      <c r="C41" s="102">
        <f>+Brownsville!BG94/1000+Brownsville!BG67/1000+Brownsville!BG102/1000+Brownsville!BG104/1000</f>
        <v>-762.95670000000155</v>
      </c>
      <c r="E41" t="s">
        <v>531</v>
      </c>
    </row>
    <row r="42" spans="1:15" x14ac:dyDescent="0.25">
      <c r="A42" s="191"/>
      <c r="C42" s="102">
        <f>(Brownsville!BG111+Brownsville!BG112)/1000</f>
        <v>-13.750400000000024</v>
      </c>
      <c r="E42" t="s">
        <v>493</v>
      </c>
    </row>
    <row r="43" spans="1:15" x14ac:dyDescent="0.25">
      <c r="A43" s="191"/>
      <c r="C43" s="102"/>
      <c r="E43" s="88" t="s">
        <v>494</v>
      </c>
    </row>
    <row r="44" spans="1:15" x14ac:dyDescent="0.25">
      <c r="A44" s="191"/>
      <c r="C44" s="86">
        <f>+Brownsville!BG130/1000+Brownsville!BG120/1000+Brownsville!BG179/1000+Brownsville!BG145/1000+Brownsville!BG193/1000+Brownsville!BG161/1000</f>
        <v>-1303.3203800000001</v>
      </c>
      <c r="E44" t="s">
        <v>510</v>
      </c>
    </row>
    <row r="45" spans="1:15" x14ac:dyDescent="0.25">
      <c r="A45" s="191"/>
      <c r="C45" s="86">
        <f>+Brownsville!BG138/1000</f>
        <v>-3.1374100000000036</v>
      </c>
      <c r="E45" t="s">
        <v>490</v>
      </c>
    </row>
    <row r="46" spans="1:15" x14ac:dyDescent="0.25">
      <c r="A46" s="191"/>
      <c r="C46" s="86">
        <f>+Brownsville!BG148/1000</f>
        <v>-1.7250000000000001</v>
      </c>
      <c r="E46" t="s">
        <v>501</v>
      </c>
    </row>
    <row r="47" spans="1:15" x14ac:dyDescent="0.25">
      <c r="A47" s="191"/>
      <c r="C47" s="86">
        <f>+Brownsville!BG159/1000</f>
        <v>-62.103723333333384</v>
      </c>
      <c r="E47" t="s">
        <v>411</v>
      </c>
    </row>
    <row r="48" spans="1:15" x14ac:dyDescent="0.25">
      <c r="A48" s="191"/>
      <c r="C48" s="86">
        <f>+Brownsville!BG195/1000</f>
        <v>771.94889000000001</v>
      </c>
      <c r="E48" t="s">
        <v>521</v>
      </c>
    </row>
    <row r="49" spans="1:5" x14ac:dyDescent="0.25">
      <c r="A49" s="191"/>
      <c r="C49" s="86">
        <f>+Brownsville!BG143/1000</f>
        <v>-4.3860000000000001</v>
      </c>
      <c r="E49" t="s">
        <v>497</v>
      </c>
    </row>
    <row r="50" spans="1:5" x14ac:dyDescent="0.25">
      <c r="A50" s="191"/>
      <c r="C50" s="86">
        <f>+Brownsville!BG149/1000</f>
        <v>-19.325300000000002</v>
      </c>
      <c r="E50" t="s">
        <v>507</v>
      </c>
    </row>
    <row r="51" spans="1:5" x14ac:dyDescent="0.25">
      <c r="A51" s="191"/>
      <c r="C51" s="86">
        <f>+Brownsville!BG103/1000</f>
        <v>-284</v>
      </c>
      <c r="E51" t="s">
        <v>545</v>
      </c>
    </row>
    <row r="52" spans="1:5" x14ac:dyDescent="0.25">
      <c r="A52" s="191"/>
      <c r="C52" s="86">
        <f>+Brownsville!BG115/1000</f>
        <v>-497.62681000000003</v>
      </c>
      <c r="E52" t="s">
        <v>281</v>
      </c>
    </row>
    <row r="53" spans="1:5" ht="5.25" customHeight="1" x14ac:dyDescent="0.25">
      <c r="A53" s="106"/>
      <c r="C53" s="86"/>
    </row>
    <row r="54" spans="1:5" x14ac:dyDescent="0.25">
      <c r="A54" s="106"/>
      <c r="C54" s="190">
        <f>SUM(C39:C53)-1</f>
        <v>-4402.1559933333483</v>
      </c>
    </row>
    <row r="55" spans="1:5" ht="6" customHeight="1" x14ac:dyDescent="0.25">
      <c r="C55" s="86"/>
    </row>
    <row r="56" spans="1:5" x14ac:dyDescent="0.25">
      <c r="A56" s="106" t="s">
        <v>338</v>
      </c>
      <c r="C56" s="49">
        <f>+Caledonia!BG36/1000</f>
        <v>-2416.8989199999955</v>
      </c>
      <c r="E56" t="s">
        <v>516</v>
      </c>
    </row>
    <row r="57" spans="1:5" x14ac:dyDescent="0.25">
      <c r="A57" s="71"/>
      <c r="C57" s="86">
        <f>Caledonia!BG44/1000</f>
        <v>-165.85420999999999</v>
      </c>
      <c r="E57" t="s">
        <v>415</v>
      </c>
    </row>
    <row r="58" spans="1:5" x14ac:dyDescent="0.25">
      <c r="A58" s="192"/>
      <c r="C58" s="102">
        <f>+Caledonia!BG98/1000+Caledonia!BG70/1000+Caledonia!BG106/1000+Caledonia!BG108/1000</f>
        <v>-3655.150149999999</v>
      </c>
      <c r="E58" t="s">
        <v>530</v>
      </c>
    </row>
    <row r="59" spans="1:5" x14ac:dyDescent="0.25">
      <c r="A59" s="191"/>
      <c r="C59" s="86">
        <f>(Caledonia!BG121+Caledonia!BG122)/1000</f>
        <v>115.95956000000005</v>
      </c>
      <c r="E59" t="s">
        <v>493</v>
      </c>
    </row>
    <row r="60" spans="1:5" x14ac:dyDescent="0.25">
      <c r="A60" s="191"/>
      <c r="C60" s="86"/>
      <c r="E60" s="88" t="s">
        <v>494</v>
      </c>
    </row>
    <row r="61" spans="1:5" x14ac:dyDescent="0.25">
      <c r="A61" s="191"/>
      <c r="C61" s="86">
        <f>+Caledonia!BG138/1000+Caledonia!BG136/1000+Caledonia!BG193/1000+Caledonia!BG184/1000+Caledonia!BG154/1000+Caledonia!BG152/1000</f>
        <v>-920.99477000000002</v>
      </c>
      <c r="E61" t="s">
        <v>523</v>
      </c>
    </row>
    <row r="62" spans="1:5" x14ac:dyDescent="0.25">
      <c r="A62" s="191"/>
      <c r="C62" s="86">
        <f>+Caledonia!BG148/1000</f>
        <v>-125.11226000000019</v>
      </c>
      <c r="E62" t="s">
        <v>508</v>
      </c>
    </row>
    <row r="63" spans="1:5" x14ac:dyDescent="0.25">
      <c r="A63" s="191"/>
      <c r="C63" s="86">
        <f>+Caledonia!BG157/1000</f>
        <v>117.884</v>
      </c>
      <c r="E63" t="s">
        <v>501</v>
      </c>
    </row>
    <row r="64" spans="1:5" x14ac:dyDescent="0.25">
      <c r="A64" s="191"/>
      <c r="C64" s="86">
        <f>+Caledonia!BG150/1000</f>
        <v>805.31700000000001</v>
      </c>
      <c r="E64" t="s">
        <v>520</v>
      </c>
    </row>
    <row r="65" spans="1:11" x14ac:dyDescent="0.25">
      <c r="A65" s="191"/>
      <c r="C65" s="86">
        <f>+Caledonia!BG195/1000</f>
        <v>863.96392999999989</v>
      </c>
      <c r="E65" t="s">
        <v>521</v>
      </c>
    </row>
    <row r="66" spans="1:11" x14ac:dyDescent="0.25">
      <c r="A66" s="191"/>
      <c r="C66" s="86">
        <f>+Caledonia!BG112/1000</f>
        <v>-283</v>
      </c>
      <c r="E66" t="str">
        <f>+E51</f>
        <v>NEPCO Interest Charges</v>
      </c>
    </row>
    <row r="67" spans="1:11" x14ac:dyDescent="0.25">
      <c r="A67" s="191"/>
      <c r="C67" s="102">
        <f>Caledonia!BG169/1000</f>
        <v>-243.35271333333327</v>
      </c>
      <c r="E67" t="s">
        <v>411</v>
      </c>
    </row>
    <row r="68" spans="1:11" ht="5.25" customHeight="1" x14ac:dyDescent="0.25">
      <c r="A68" s="106"/>
      <c r="C68" s="102"/>
    </row>
    <row r="69" spans="1:11" x14ac:dyDescent="0.25">
      <c r="A69" s="106"/>
      <c r="C69" s="190">
        <f>SUM(C56:C68)-1</f>
        <v>-5908.2385333333286</v>
      </c>
    </row>
    <row r="70" spans="1:11" ht="6" customHeight="1" x14ac:dyDescent="0.25">
      <c r="C70" s="86"/>
    </row>
    <row r="71" spans="1:11" x14ac:dyDescent="0.25">
      <c r="A71" t="s">
        <v>200</v>
      </c>
      <c r="C71" s="49">
        <f>NewAlbany!BG10/1000</f>
        <v>100.67737</v>
      </c>
      <c r="E71" t="s">
        <v>464</v>
      </c>
    </row>
    <row r="72" spans="1:11" x14ac:dyDescent="0.25">
      <c r="C72" s="86">
        <f>+(NewAlbany!BG30+NewAlbany!BG34+NewAlbany!BG35+NewAlbany!BG36+NewAlbany!BG37+NewAlbany!BG38+NewAlbany!BG39+NewAlbany!BG40)/1000+NewAlbany!BG23/1000</f>
        <v>-1931.9509500000001</v>
      </c>
      <c r="E72" t="s">
        <v>539</v>
      </c>
    </row>
    <row r="73" spans="1:11" x14ac:dyDescent="0.25">
      <c r="A73" s="72"/>
      <c r="C73" s="86">
        <f>(NewAlbany!BG15+NewAlbany!BG28)/1000+NewAlbany!BG20/1000+NewAlbany!BG16/1000</f>
        <v>-2968.9786600000002</v>
      </c>
      <c r="E73" t="s">
        <v>432</v>
      </c>
    </row>
    <row r="74" spans="1:11" x14ac:dyDescent="0.25">
      <c r="A74" s="72"/>
      <c r="E74" t="s">
        <v>469</v>
      </c>
    </row>
    <row r="75" spans="1:11" x14ac:dyDescent="0.25">
      <c r="A75" s="72"/>
      <c r="C75" s="86">
        <f>+NewAlbany!BG33/1000</f>
        <v>-17.178959999999964</v>
      </c>
      <c r="E75" t="s">
        <v>502</v>
      </c>
    </row>
    <row r="76" spans="1:11" x14ac:dyDescent="0.25">
      <c r="A76" s="192"/>
      <c r="C76" s="102">
        <f>NewAlbany!BG22/1000</f>
        <v>-964.41296000000091</v>
      </c>
      <c r="E76" s="75" t="s">
        <v>468</v>
      </c>
      <c r="F76" s="75"/>
      <c r="G76" s="75"/>
      <c r="H76" s="75"/>
      <c r="I76" s="75"/>
      <c r="J76" s="75"/>
      <c r="K76" s="75"/>
    </row>
    <row r="77" spans="1:11" x14ac:dyDescent="0.25">
      <c r="A77" s="192"/>
      <c r="C77" s="102">
        <f>NewAlbany!BG24/1000</f>
        <v>-8506.6374800000012</v>
      </c>
      <c r="E77" s="75" t="s">
        <v>481</v>
      </c>
      <c r="F77" s="75"/>
      <c r="G77" s="75"/>
      <c r="H77" s="75"/>
      <c r="I77" s="75"/>
      <c r="J77" s="75"/>
      <c r="K77" s="75"/>
    </row>
    <row r="78" spans="1:11" x14ac:dyDescent="0.25">
      <c r="A78" s="72"/>
      <c r="C78" s="86">
        <f>NewAlbany!BG27/1000</f>
        <v>-2526.1565300000002</v>
      </c>
      <c r="E78" t="s">
        <v>431</v>
      </c>
    </row>
    <row r="79" spans="1:11" x14ac:dyDescent="0.25">
      <c r="A79" s="71"/>
      <c r="C79" s="102">
        <f>NewAlbany!BG51/1000</f>
        <v>-557.84799999999996</v>
      </c>
      <c r="E79" t="s">
        <v>400</v>
      </c>
    </row>
    <row r="80" spans="1:11" x14ac:dyDescent="0.25">
      <c r="A80" s="72"/>
      <c r="C80" s="86">
        <f>(NewAlbany!BG145+NewAlbany!BG146)/1000</f>
        <v>-93.608589999999964</v>
      </c>
      <c r="E80" t="s">
        <v>493</v>
      </c>
    </row>
    <row r="81" spans="1:17" x14ac:dyDescent="0.25">
      <c r="A81" s="72"/>
      <c r="C81" s="86"/>
      <c r="E81" s="88" t="s">
        <v>494</v>
      </c>
    </row>
    <row r="82" spans="1:17" x14ac:dyDescent="0.25">
      <c r="A82" s="72"/>
      <c r="C82" s="86">
        <f>+NewAlbany!BG141/1000-NewAlbany!BG137/1000</f>
        <v>-2165.1991699999999</v>
      </c>
      <c r="E82" t="s">
        <v>529</v>
      </c>
    </row>
    <row r="83" spans="1:17" x14ac:dyDescent="0.25">
      <c r="A83" s="71"/>
      <c r="C83" s="102">
        <f>(NewAlbany!BG155+NewAlbany!BG156)/1000+NewAlbany!BG153/1000+NewAlbany!BG215/1000+NewAlbany!BG205/1000+NewAlbany!BG172/1000+NewAlbany!BG170/1000</f>
        <v>-969.13338999999996</v>
      </c>
      <c r="E83" t="s">
        <v>524</v>
      </c>
    </row>
    <row r="84" spans="1:17" x14ac:dyDescent="0.25">
      <c r="A84" s="191"/>
      <c r="C84" s="102">
        <f>NewAlbany!BG189/1000</f>
        <v>-112.10270333333327</v>
      </c>
      <c r="E84" t="s">
        <v>364</v>
      </c>
    </row>
    <row r="85" spans="1:17" x14ac:dyDescent="0.25">
      <c r="A85" s="191"/>
      <c r="C85" s="102">
        <f>+NewAlbany!BG175/1000</f>
        <v>64.384</v>
      </c>
      <c r="E85" t="s">
        <v>501</v>
      </c>
    </row>
    <row r="86" spans="1:17" x14ac:dyDescent="0.25">
      <c r="A86" s="191"/>
      <c r="C86" s="102">
        <f>+NewAlbany!BG168/1000</f>
        <v>263</v>
      </c>
      <c r="E86" t="str">
        <f>+E64</f>
        <v xml:space="preserve">Sales tax savings </v>
      </c>
    </row>
    <row r="87" spans="1:17" x14ac:dyDescent="0.25">
      <c r="A87" s="191"/>
      <c r="C87" s="102">
        <f>+NewAlbany!BG217/1000</f>
        <v>624.98426000000006</v>
      </c>
      <c r="E87" t="s">
        <v>521</v>
      </c>
    </row>
    <row r="88" spans="1:17" x14ac:dyDescent="0.25">
      <c r="A88" s="191"/>
      <c r="C88" s="102">
        <f>+NewAlbany!BG137/1000</f>
        <v>-260</v>
      </c>
      <c r="E88" t="str">
        <f>+E66</f>
        <v>NEPCO Interest Charges</v>
      </c>
    </row>
    <row r="89" spans="1:17" x14ac:dyDescent="0.25">
      <c r="A89" s="191"/>
      <c r="C89" s="102">
        <f>+NewAlbany!BG166/1000</f>
        <v>-68.973239999999947</v>
      </c>
      <c r="E89" t="s">
        <v>490</v>
      </c>
    </row>
    <row r="90" spans="1:17" x14ac:dyDescent="0.25">
      <c r="A90" s="71"/>
      <c r="C90" s="190">
        <f>SUM(C71:C89)+1</f>
        <v>-20088.135003333336</v>
      </c>
    </row>
    <row r="91" spans="1:17" ht="6" customHeight="1" x14ac:dyDescent="0.25">
      <c r="A91" s="106"/>
      <c r="C91" s="49"/>
    </row>
    <row r="92" spans="1:17" ht="13.8" thickBot="1" x14ac:dyDescent="0.3">
      <c r="A92" s="106"/>
      <c r="C92" s="193">
        <f>+C90+C69+C54-1</f>
        <v>-30399.529530000014</v>
      </c>
    </row>
    <row r="93" spans="1:17" ht="13.8" thickTop="1" x14ac:dyDescent="0.25"/>
    <row r="95" spans="1:17" x14ac:dyDescent="0.25">
      <c r="A95" s="50" t="s">
        <v>363</v>
      </c>
      <c r="B95" s="6" t="s">
        <v>546</v>
      </c>
      <c r="C95" s="67"/>
      <c r="D95" s="61"/>
      <c r="E95" s="76"/>
      <c r="F95" s="61"/>
      <c r="G95" s="76"/>
      <c r="H95" s="61"/>
      <c r="I95" s="76"/>
      <c r="J95" s="77"/>
      <c r="K95" s="78"/>
      <c r="L95" s="61"/>
      <c r="M95" s="61"/>
      <c r="N95" s="61"/>
      <c r="O95" s="61"/>
      <c r="P95" s="61"/>
      <c r="Q95" s="79"/>
    </row>
    <row r="97" spans="1:3" x14ac:dyDescent="0.25">
      <c r="A97" s="184" t="str">
        <f ca="1">CELL("FILENAME")</f>
        <v>O:\Fin_Ops\Engysvc\PowerPlants\TVA Plants\TVA Draw Schedules\[TVADraw011100.xls]New Albany</v>
      </c>
      <c r="B97" s="41"/>
      <c r="C97" s="41"/>
    </row>
  </sheetData>
  <mergeCells count="3">
    <mergeCell ref="G5:K5"/>
    <mergeCell ref="A22:O22"/>
    <mergeCell ref="A37:O37"/>
  </mergeCells>
  <printOptions horizontalCentered="1" verticalCentered="1"/>
  <pageMargins left="0.5" right="0.25" top="0.25" bottom="0.25" header="0.5" footer="0.5"/>
  <pageSetup scale="61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3"/>
  <sheetViews>
    <sheetView view="pageBreakPreview" zoomScale="75" zoomScaleNormal="75" workbookViewId="0">
      <pane xSplit="9" ySplit="6" topLeftCell="J173" activePane="bottomRight" state="frozen"/>
      <selection activeCell="A16" sqref="A16"/>
      <selection pane="topRight" activeCell="A16" sqref="A16"/>
      <selection pane="bottomLeft" activeCell="A16" sqref="A16"/>
      <selection pane="bottomRight" activeCell="AY207" sqref="AY207"/>
    </sheetView>
  </sheetViews>
  <sheetFormatPr defaultColWidth="9.109375" defaultRowHeight="13.2" x14ac:dyDescent="0.25"/>
  <cols>
    <col min="1" max="1" width="4.6640625" style="6" customWidth="1"/>
    <col min="2" max="2" width="41.88671875" style="6" bestFit="1" customWidth="1"/>
    <col min="3" max="3" width="7.6640625" style="6" hidden="1" customWidth="1"/>
    <col min="4" max="4" width="2.5546875" style="6" hidden="1" customWidth="1"/>
    <col min="5" max="5" width="16.88671875" style="6" hidden="1" customWidth="1"/>
    <col min="6" max="6" width="0.88671875" style="6" hidden="1" customWidth="1"/>
    <col min="7" max="7" width="17.109375" style="7" hidden="1" customWidth="1"/>
    <col min="8" max="8" width="2.5546875" style="6" hidden="1" customWidth="1"/>
    <col min="9" max="9" width="12.44140625" style="6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7.33203125" style="8" hidden="1" customWidth="1"/>
    <col min="16" max="16" width="2.5546875" style="6" hidden="1" customWidth="1"/>
    <col min="17" max="17" width="19.109375" style="131" hidden="1" customWidth="1"/>
    <col min="18" max="18" width="0.88671875" style="224" hidden="1" customWidth="1"/>
    <col min="19" max="19" width="19.109375" style="131" hidden="1" customWidth="1"/>
    <col min="20" max="20" width="0.88671875" style="224" hidden="1" customWidth="1"/>
    <col min="21" max="21" width="16" style="131" hidden="1" customWidth="1"/>
    <col min="22" max="22" width="0.88671875" style="8" hidden="1" customWidth="1"/>
    <col min="23" max="23" width="16" style="131" hidden="1" customWidth="1"/>
    <col min="24" max="24" width="0.88671875" style="131" hidden="1" customWidth="1"/>
    <col min="25" max="25" width="16" style="131" hidden="1" customWidth="1"/>
    <col min="26" max="26" width="0.88671875" style="131" hidden="1" customWidth="1"/>
    <col min="27" max="27" width="16" style="131" hidden="1" customWidth="1"/>
    <col min="28" max="28" width="0.88671875" style="131" hidden="1" customWidth="1"/>
    <col min="29" max="29" width="16" style="131" hidden="1" customWidth="1"/>
    <col min="30" max="30" width="0.88671875" style="131" hidden="1" customWidth="1"/>
    <col min="31" max="31" width="16" style="131" hidden="1" customWidth="1"/>
    <col min="32" max="32" width="1" style="131" hidden="1" customWidth="1"/>
    <col min="33" max="33" width="16" style="131" hidden="1" customWidth="1"/>
    <col min="34" max="34" width="1.109375" style="131" hidden="1" customWidth="1"/>
    <col min="35" max="35" width="16" style="131" hidden="1" customWidth="1"/>
    <col min="36" max="36" width="1.5546875" style="131" hidden="1" customWidth="1"/>
    <col min="37" max="37" width="18.5546875" style="131" hidden="1" customWidth="1"/>
    <col min="38" max="38" width="1.33203125" style="131" hidden="1" customWidth="1"/>
    <col min="39" max="39" width="20.109375" style="131" hidden="1" customWidth="1"/>
    <col min="40" max="40" width="1.44140625" style="131" hidden="1" customWidth="1"/>
    <col min="41" max="41" width="20.109375" style="131" hidden="1" customWidth="1"/>
    <col min="42" max="42" width="1.6640625" style="131" hidden="1" customWidth="1"/>
    <col min="43" max="43" width="20.109375" style="131" hidden="1" customWidth="1"/>
    <col min="44" max="44" width="1.33203125" style="131" hidden="1" customWidth="1"/>
    <col min="45" max="45" width="20.109375" style="131" hidden="1" customWidth="1"/>
    <col min="46" max="46" width="1.33203125" style="131" hidden="1" customWidth="1"/>
    <col min="47" max="47" width="20.109375" style="131" hidden="1" customWidth="1"/>
    <col min="48" max="48" width="1.33203125" style="131" hidden="1" customWidth="1"/>
    <col min="49" max="49" width="20.109375" style="131" hidden="1" customWidth="1"/>
    <col min="50" max="50" width="1.33203125" style="131" customWidth="1"/>
    <col min="51" max="51" width="19.109375" style="8" customWidth="1"/>
    <col min="52" max="52" width="1" style="6" customWidth="1"/>
    <col min="53" max="53" width="23.88671875" style="131" customWidth="1"/>
    <col min="54" max="54" width="0.88671875" style="6" customWidth="1"/>
    <col min="55" max="55" width="24" style="8" customWidth="1"/>
    <col min="56" max="56" width="2.5546875" style="6" customWidth="1"/>
    <col min="57" max="57" width="21.5546875" style="8" customWidth="1"/>
    <col min="58" max="58" width="2.5546875" style="6" customWidth="1"/>
    <col min="59" max="59" width="18.6640625" style="8" customWidth="1"/>
    <col min="60" max="60" width="0.88671875" style="6" customWidth="1"/>
    <col min="61" max="61" width="64.88671875" style="6" customWidth="1"/>
    <col min="62" max="16384" width="9.109375" style="6"/>
  </cols>
  <sheetData>
    <row r="1" spans="1:61" s="36" customFormat="1" ht="15.6" x14ac:dyDescent="0.3">
      <c r="A1" s="276" t="str">
        <f>+Summary!A1</f>
        <v>ENRON CAPITAL &amp; TRADE RESOURCES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8"/>
      <c r="O1" s="279"/>
      <c r="P1" s="278"/>
      <c r="Q1" s="280"/>
      <c r="R1" s="281"/>
      <c r="S1" s="280"/>
      <c r="T1" s="281"/>
      <c r="U1" s="280"/>
      <c r="V1" s="279"/>
      <c r="W1" s="280"/>
      <c r="X1" s="280"/>
      <c r="Y1" s="280"/>
      <c r="Z1" s="280"/>
      <c r="AA1" s="280"/>
      <c r="AB1" s="280"/>
      <c r="AC1" s="280"/>
      <c r="AD1" s="280"/>
      <c r="AE1" s="280"/>
      <c r="AF1" s="280"/>
      <c r="AG1" s="280"/>
      <c r="AH1" s="280"/>
      <c r="AI1" s="280"/>
      <c r="AJ1" s="280"/>
      <c r="AK1" s="280"/>
      <c r="AL1" s="280"/>
      <c r="AM1" s="280"/>
      <c r="AN1" s="280"/>
      <c r="AO1" s="280"/>
      <c r="AP1" s="280"/>
      <c r="AQ1" s="280"/>
      <c r="AR1" s="280"/>
      <c r="AS1" s="280"/>
      <c r="AT1" s="280"/>
      <c r="AU1" s="280"/>
      <c r="AV1" s="280"/>
      <c r="AW1" s="280"/>
      <c r="AX1" s="280"/>
      <c r="AY1" s="279"/>
      <c r="AZ1" s="278"/>
      <c r="BA1" s="280"/>
      <c r="BB1" s="278"/>
      <c r="BC1" s="279"/>
      <c r="BD1" s="278"/>
      <c r="BE1" s="279"/>
      <c r="BF1" s="278"/>
      <c r="BG1" s="279"/>
    </row>
    <row r="2" spans="1:61" s="36" customFormat="1" ht="15.6" x14ac:dyDescent="0.3">
      <c r="A2" s="276" t="str">
        <f>+Summary!A3</f>
        <v>COST SUMMARY ($ thousands)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8"/>
      <c r="O2" s="279"/>
      <c r="P2" s="278"/>
      <c r="Q2" s="280"/>
      <c r="R2" s="281"/>
      <c r="S2" s="280"/>
      <c r="T2" s="281"/>
      <c r="U2" s="280"/>
      <c r="V2" s="279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80"/>
      <c r="AU2" s="280"/>
      <c r="AV2" s="280"/>
      <c r="AW2" s="280"/>
      <c r="AX2" s="280"/>
      <c r="AY2" s="279"/>
      <c r="AZ2" s="278"/>
      <c r="BA2" s="280"/>
      <c r="BB2" s="278"/>
      <c r="BC2" s="279"/>
      <c r="BD2" s="278"/>
      <c r="BE2" s="279"/>
      <c r="BF2" s="278"/>
      <c r="BG2" s="279"/>
    </row>
    <row r="3" spans="1:61" s="36" customFormat="1" ht="15.6" x14ac:dyDescent="0.3">
      <c r="A3" s="282" t="s">
        <v>488</v>
      </c>
      <c r="B3" s="277"/>
      <c r="C3" s="277"/>
      <c r="D3" s="277"/>
      <c r="E3" s="277"/>
      <c r="F3" s="277"/>
      <c r="G3" s="277"/>
      <c r="H3" s="277"/>
      <c r="I3" s="277"/>
      <c r="J3" s="277"/>
      <c r="K3" s="277">
        <v>458</v>
      </c>
      <c r="L3" s="277" t="s">
        <v>193</v>
      </c>
      <c r="M3" s="277"/>
      <c r="N3" s="278"/>
      <c r="O3" s="279"/>
      <c r="P3" s="278"/>
      <c r="Q3" s="280"/>
      <c r="R3" s="281"/>
      <c r="S3" s="280"/>
      <c r="T3" s="281"/>
      <c r="U3" s="280"/>
      <c r="V3" s="279"/>
      <c r="W3" s="280"/>
      <c r="X3" s="280"/>
      <c r="Y3" s="280"/>
      <c r="Z3" s="280"/>
      <c r="AA3" s="280"/>
      <c r="AB3" s="280"/>
      <c r="AC3" s="280"/>
      <c r="AD3" s="280"/>
      <c r="AE3" s="280"/>
      <c r="AF3" s="280"/>
      <c r="AG3" s="280"/>
      <c r="AH3" s="280"/>
      <c r="AI3" s="280"/>
      <c r="AJ3" s="280"/>
      <c r="AK3" s="280"/>
      <c r="AL3" s="280"/>
      <c r="AM3" s="280"/>
      <c r="AN3" s="280"/>
      <c r="AO3" s="280"/>
      <c r="AP3" s="280"/>
      <c r="AQ3" s="280"/>
      <c r="AR3" s="280"/>
      <c r="AS3" s="280"/>
      <c r="AT3" s="280"/>
      <c r="AU3" s="280"/>
      <c r="AV3" s="280"/>
      <c r="AW3" s="280"/>
      <c r="AX3" s="280"/>
      <c r="AY3" s="279"/>
      <c r="AZ3" s="278"/>
      <c r="BA3" s="280"/>
      <c r="BB3" s="278"/>
      <c r="BC3" s="283">
        <f ca="1">NOW()</f>
        <v>36536.561047569441</v>
      </c>
      <c r="BD3" s="278"/>
      <c r="BE3" s="283"/>
      <c r="BF3" s="278"/>
      <c r="BG3" s="283" t="str">
        <f>Summary!A4</f>
        <v>Revision # 60</v>
      </c>
    </row>
    <row r="4" spans="1:61" s="36" customFormat="1" ht="15.6" x14ac:dyDescent="0.3">
      <c r="A4" s="284"/>
      <c r="B4" s="285"/>
      <c r="C4" s="286"/>
      <c r="D4" s="278"/>
      <c r="E4" s="278"/>
      <c r="F4" s="278"/>
      <c r="G4" s="278"/>
      <c r="H4" s="278"/>
      <c r="I4" s="278"/>
      <c r="J4" s="278"/>
      <c r="K4" s="279"/>
      <c r="L4" s="278"/>
      <c r="M4" s="279"/>
      <c r="N4" s="278"/>
      <c r="O4" s="374"/>
      <c r="P4" s="278"/>
      <c r="Q4" s="149"/>
      <c r="R4" s="281"/>
      <c r="S4" s="149"/>
      <c r="T4" s="281"/>
      <c r="U4" s="149" t="s">
        <v>339</v>
      </c>
      <c r="V4" s="374"/>
      <c r="W4" s="149" t="s">
        <v>339</v>
      </c>
      <c r="X4" s="375"/>
      <c r="Y4" s="149" t="s">
        <v>339</v>
      </c>
      <c r="Z4" s="375"/>
      <c r="AA4" s="149" t="s">
        <v>339</v>
      </c>
      <c r="AB4" s="375"/>
      <c r="AC4" s="149" t="s">
        <v>339</v>
      </c>
      <c r="AD4" s="375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R4" s="149"/>
      <c r="AS4" s="149" t="s">
        <v>277</v>
      </c>
      <c r="AT4" s="149"/>
      <c r="AU4" s="149" t="s">
        <v>277</v>
      </c>
      <c r="AV4" s="149"/>
      <c r="AW4" s="149" t="s">
        <v>277</v>
      </c>
      <c r="AX4" s="149"/>
      <c r="AY4" s="150"/>
      <c r="AZ4" s="278"/>
      <c r="BA4" s="149" t="s">
        <v>346</v>
      </c>
      <c r="BB4" s="278"/>
      <c r="BC4" s="287"/>
      <c r="BD4" s="278"/>
      <c r="BE4" s="287"/>
      <c r="BF4" s="278"/>
      <c r="BG4" s="287"/>
    </row>
    <row r="5" spans="1:61" s="36" customFormat="1" ht="15.6" x14ac:dyDescent="0.3">
      <c r="A5" s="288"/>
      <c r="B5" s="278"/>
      <c r="C5" s="278"/>
      <c r="D5" s="278"/>
      <c r="E5" s="278"/>
      <c r="F5" s="278"/>
      <c r="G5" s="278"/>
      <c r="H5" s="278"/>
      <c r="I5" s="278"/>
      <c r="J5" s="278"/>
      <c r="K5" s="150" t="s">
        <v>0</v>
      </c>
      <c r="L5" s="278"/>
      <c r="M5" s="287"/>
      <c r="N5" s="278"/>
      <c r="O5" s="150" t="s">
        <v>0</v>
      </c>
      <c r="P5" s="278"/>
      <c r="Q5" s="149" t="s">
        <v>190</v>
      </c>
      <c r="R5" s="281"/>
      <c r="S5" s="149" t="s">
        <v>190</v>
      </c>
      <c r="T5" s="281"/>
      <c r="U5" s="149" t="s">
        <v>340</v>
      </c>
      <c r="V5" s="374"/>
      <c r="W5" s="149" t="s">
        <v>340</v>
      </c>
      <c r="X5" s="375"/>
      <c r="Y5" s="149" t="s">
        <v>340</v>
      </c>
      <c r="Z5" s="375"/>
      <c r="AA5" s="149" t="s">
        <v>340</v>
      </c>
      <c r="AB5" s="375"/>
      <c r="AC5" s="149" t="s">
        <v>340</v>
      </c>
      <c r="AD5" s="375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R5" s="149"/>
      <c r="AS5" s="149" t="s">
        <v>340</v>
      </c>
      <c r="AT5" s="149"/>
      <c r="AU5" s="149" t="s">
        <v>340</v>
      </c>
      <c r="AV5" s="149"/>
      <c r="AW5" s="149" t="s">
        <v>340</v>
      </c>
      <c r="AX5" s="149"/>
      <c r="AY5" s="150" t="s">
        <v>190</v>
      </c>
      <c r="AZ5" s="146"/>
      <c r="BA5" s="149" t="s">
        <v>347</v>
      </c>
      <c r="BB5" s="146"/>
      <c r="BC5" s="150" t="s">
        <v>161</v>
      </c>
      <c r="BD5" s="146"/>
      <c r="BE5" s="150" t="s">
        <v>367</v>
      </c>
      <c r="BF5" s="146"/>
      <c r="BG5" s="150"/>
    </row>
    <row r="6" spans="1:61" s="36" customFormat="1" ht="15.6" x14ac:dyDescent="0.3">
      <c r="A6" s="288"/>
      <c r="B6" s="278"/>
      <c r="C6" s="278"/>
      <c r="D6" s="278"/>
      <c r="E6" s="289" t="s">
        <v>1</v>
      </c>
      <c r="F6" s="278"/>
      <c r="G6" s="290" t="s">
        <v>2</v>
      </c>
      <c r="H6" s="278"/>
      <c r="I6" s="289" t="s">
        <v>3</v>
      </c>
      <c r="J6" s="278"/>
      <c r="K6" s="291" t="s">
        <v>4</v>
      </c>
      <c r="L6" s="278"/>
      <c r="M6" s="291" t="s">
        <v>162</v>
      </c>
      <c r="N6" s="278"/>
      <c r="O6" s="291" t="s">
        <v>109</v>
      </c>
      <c r="P6" s="278"/>
      <c r="Q6" s="153">
        <v>36150</v>
      </c>
      <c r="R6" s="281"/>
      <c r="S6" s="153" t="s">
        <v>540</v>
      </c>
      <c r="T6" s="281"/>
      <c r="U6" s="153">
        <v>36191</v>
      </c>
      <c r="V6" s="376"/>
      <c r="W6" s="153">
        <v>36219</v>
      </c>
      <c r="X6" s="377"/>
      <c r="Y6" s="153">
        <v>36250</v>
      </c>
      <c r="Z6" s="377"/>
      <c r="AA6" s="153">
        <v>36280</v>
      </c>
      <c r="AB6" s="377"/>
      <c r="AC6" s="153">
        <v>36311</v>
      </c>
      <c r="AD6" s="377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88"/>
      <c r="AM6" s="153">
        <v>36464</v>
      </c>
      <c r="AN6" s="188"/>
      <c r="AO6" s="153">
        <v>36494</v>
      </c>
      <c r="AP6" s="188"/>
      <c r="AQ6" s="153">
        <v>36525</v>
      </c>
      <c r="AR6" s="188"/>
      <c r="AS6" s="153">
        <v>36556</v>
      </c>
      <c r="AT6" s="188"/>
      <c r="AU6" s="153">
        <v>36585</v>
      </c>
      <c r="AV6" s="188"/>
      <c r="AW6" s="153">
        <v>36616</v>
      </c>
      <c r="AX6" s="188"/>
      <c r="AY6" s="155" t="s">
        <v>343</v>
      </c>
      <c r="AZ6" s="146"/>
      <c r="BA6" s="153" t="s">
        <v>348</v>
      </c>
      <c r="BB6" s="146"/>
      <c r="BC6" s="155" t="s">
        <v>110</v>
      </c>
      <c r="BD6" s="146"/>
      <c r="BE6" s="155" t="s">
        <v>368</v>
      </c>
      <c r="BF6" s="146"/>
      <c r="BG6" s="155" t="s">
        <v>111</v>
      </c>
      <c r="BI6" s="150" t="s">
        <v>5</v>
      </c>
    </row>
    <row r="7" spans="1:61" x14ac:dyDescent="0.25">
      <c r="A7" s="292"/>
      <c r="B7" s="293"/>
      <c r="C7" s="115"/>
      <c r="D7" s="294"/>
      <c r="E7" s="294"/>
      <c r="F7" s="294"/>
      <c r="G7" s="294"/>
      <c r="H7" s="294"/>
      <c r="I7" s="294"/>
      <c r="J7" s="294"/>
      <c r="K7" s="295"/>
      <c r="L7" s="294"/>
      <c r="M7" s="295"/>
      <c r="N7" s="294"/>
      <c r="O7" s="295"/>
      <c r="P7" s="294"/>
      <c r="Q7" s="296" t="s">
        <v>541</v>
      </c>
      <c r="R7" s="297"/>
      <c r="S7" s="296" t="s">
        <v>541</v>
      </c>
      <c r="T7" s="297"/>
      <c r="U7" s="296" t="str">
        <f>+Summary!$O$3</f>
        <v>as of 01/07/00</v>
      </c>
      <c r="V7" s="295"/>
      <c r="W7" s="296" t="str">
        <f>+Summary!$O$3</f>
        <v>as of 01/07/00</v>
      </c>
      <c r="X7" s="298"/>
      <c r="Y7" s="296" t="str">
        <f>+Summary!$O$3</f>
        <v>as of 01/07/00</v>
      </c>
      <c r="Z7" s="298"/>
      <c r="AA7" s="296" t="str">
        <f>+Summary!$O$3</f>
        <v>as of 01/07/00</v>
      </c>
      <c r="AB7" s="298"/>
      <c r="AC7" s="296" t="str">
        <f>+Summary!$O$3</f>
        <v>as of 01/07/00</v>
      </c>
      <c r="AD7" s="298"/>
      <c r="AE7" s="296" t="str">
        <f>+Summary!$O$3</f>
        <v>as of 01/07/00</v>
      </c>
      <c r="AF7" s="296"/>
      <c r="AG7" s="296" t="str">
        <f>+Summary!$O$3</f>
        <v>as of 01/07/00</v>
      </c>
      <c r="AH7" s="296"/>
      <c r="AI7" s="296" t="str">
        <f>+Summary!$O$3</f>
        <v>as of 01/07/00</v>
      </c>
      <c r="AJ7" s="296"/>
      <c r="AK7" s="296" t="str">
        <f>+Summary!$O$3</f>
        <v>as of 01/07/00</v>
      </c>
      <c r="AL7" s="296"/>
      <c r="AM7" s="296" t="str">
        <f>+Summary!$O$3</f>
        <v>as of 01/07/00</v>
      </c>
      <c r="AN7" s="296"/>
      <c r="AO7" s="296" t="str">
        <f>+Summary!$O$3</f>
        <v>as of 01/07/00</v>
      </c>
      <c r="AP7" s="296"/>
      <c r="AQ7" s="296" t="str">
        <f>+Summary!$O$3</f>
        <v>as of 01/07/00</v>
      </c>
      <c r="AR7" s="296"/>
      <c r="AS7" s="296" t="str">
        <f>+Summary!$O$3</f>
        <v>as of 01/07/00</v>
      </c>
      <c r="AT7" s="296"/>
      <c r="AU7" s="296" t="str">
        <f>+Summary!$O$3</f>
        <v>as of 01/07/00</v>
      </c>
      <c r="AV7" s="296"/>
      <c r="AW7" s="296" t="str">
        <f>+Summary!$O$3</f>
        <v>as of 01/07/00</v>
      </c>
      <c r="AX7" s="296"/>
      <c r="AY7" s="299" t="str">
        <f>+Summary!$O$3</f>
        <v>as of 01/07/00</v>
      </c>
      <c r="AZ7" s="294"/>
      <c r="BA7" s="296"/>
      <c r="BB7" s="294"/>
      <c r="BC7" s="299"/>
      <c r="BD7" s="294"/>
      <c r="BE7" s="299"/>
      <c r="BF7" s="294"/>
      <c r="BG7" s="299"/>
    </row>
    <row r="8" spans="1:61" x14ac:dyDescent="0.25">
      <c r="A8" s="217" t="s">
        <v>6</v>
      </c>
      <c r="B8" s="293"/>
      <c r="C8" s="115"/>
      <c r="D8" s="294"/>
      <c r="E8" s="294"/>
      <c r="F8" s="294"/>
      <c r="G8" s="294"/>
      <c r="H8" s="294"/>
      <c r="I8" s="294"/>
      <c r="J8" s="294"/>
      <c r="K8" s="295"/>
      <c r="L8" s="294"/>
      <c r="M8" s="295"/>
      <c r="N8" s="294"/>
      <c r="O8" s="295"/>
      <c r="P8" s="294"/>
      <c r="Q8" s="296"/>
      <c r="R8" s="297"/>
      <c r="S8" s="296"/>
      <c r="T8" s="297"/>
      <c r="U8" s="296"/>
      <c r="V8" s="295"/>
      <c r="W8" s="296"/>
      <c r="X8" s="298"/>
      <c r="Y8" s="296"/>
      <c r="Z8" s="298"/>
      <c r="AA8" s="296"/>
      <c r="AB8" s="298"/>
      <c r="AC8" s="296"/>
      <c r="AD8" s="298"/>
      <c r="AE8" s="296"/>
      <c r="AF8" s="296"/>
      <c r="AG8" s="296"/>
      <c r="AH8" s="296"/>
      <c r="AI8" s="296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9"/>
      <c r="AZ8" s="294"/>
      <c r="BA8" s="296"/>
      <c r="BB8" s="294"/>
      <c r="BC8" s="299"/>
      <c r="BD8" s="294"/>
      <c r="BE8" s="299"/>
      <c r="BF8" s="294"/>
      <c r="BG8" s="299"/>
    </row>
    <row r="9" spans="1:61" x14ac:dyDescent="0.25">
      <c r="A9" s="300"/>
      <c r="B9" s="31" t="s">
        <v>163</v>
      </c>
      <c r="C9" s="31" t="s">
        <v>164</v>
      </c>
      <c r="D9" s="294"/>
      <c r="E9" s="294" t="s">
        <v>8</v>
      </c>
      <c r="F9" s="294"/>
      <c r="G9" s="294" t="s">
        <v>9</v>
      </c>
      <c r="H9" s="294"/>
      <c r="I9" s="294" t="s">
        <v>165</v>
      </c>
      <c r="J9" s="294"/>
      <c r="K9" s="301">
        <v>68797500</v>
      </c>
      <c r="L9" s="294"/>
      <c r="M9" s="301">
        <v>0</v>
      </c>
      <c r="N9" s="294"/>
      <c r="O9" s="301">
        <f>SUM(K9:N9)</f>
        <v>68797500</v>
      </c>
      <c r="P9" s="294"/>
      <c r="Q9" s="298">
        <v>55432001</v>
      </c>
      <c r="R9" s="297"/>
      <c r="S9" s="298">
        <v>3467538</v>
      </c>
      <c r="T9" s="297"/>
      <c r="U9" s="298">
        <f>48600</f>
        <v>48600</v>
      </c>
      <c r="V9" s="295"/>
      <c r="W9" s="298">
        <f>111414+3456396.2+137615</f>
        <v>3705425.2</v>
      </c>
      <c r="X9" s="298"/>
      <c r="Y9" s="298">
        <v>3342087.7</v>
      </c>
      <c r="Z9" s="298"/>
      <c r="AA9" s="298"/>
      <c r="AB9" s="298"/>
      <c r="AC9" s="298"/>
      <c r="AD9" s="298"/>
      <c r="AE9" s="298"/>
      <c r="AF9" s="298"/>
      <c r="AG9" s="298"/>
      <c r="AH9" s="298"/>
      <c r="AI9" s="298">
        <v>3337740.9</v>
      </c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5">
        <f>SUM(P9:AX9)</f>
        <v>69333392.800000012</v>
      </c>
      <c r="AZ9" s="294"/>
      <c r="BA9" s="298">
        <f>472250+60686</f>
        <v>532936</v>
      </c>
      <c r="BB9" s="294"/>
      <c r="BC9" s="303">
        <f t="shared" ref="BC9:BC17" si="0">IF(+O9-AY9+BA9&gt;0,O9-AY9+BA9,0)</f>
        <v>0</v>
      </c>
      <c r="BD9" s="294"/>
      <c r="BE9" s="304">
        <f>+BC9+AY9</f>
        <v>69333392.800000012</v>
      </c>
      <c r="BF9" s="294"/>
      <c r="BG9" s="305">
        <f t="shared" ref="BG9:BG17" si="1">O9-AY9-BC9</f>
        <v>-535892.80000001192</v>
      </c>
      <c r="BI9" s="269"/>
    </row>
    <row r="10" spans="1:61" x14ac:dyDescent="0.25">
      <c r="A10" s="300"/>
      <c r="B10" s="31" t="s">
        <v>166</v>
      </c>
      <c r="C10" s="31" t="s">
        <v>164</v>
      </c>
      <c r="D10" s="294"/>
      <c r="E10" s="294" t="s">
        <v>17</v>
      </c>
      <c r="F10" s="294"/>
      <c r="G10" s="294" t="s">
        <v>9</v>
      </c>
      <c r="H10" s="294"/>
      <c r="I10" s="294" t="s">
        <v>21</v>
      </c>
      <c r="J10" s="294"/>
      <c r="K10" s="301">
        <v>1397500</v>
      </c>
      <c r="L10" s="294"/>
      <c r="M10" s="301">
        <v>0</v>
      </c>
      <c r="N10" s="294"/>
      <c r="O10" s="301">
        <f t="shared" ref="O10:O30" si="2">SUM(K10:N10)</f>
        <v>1397500</v>
      </c>
      <c r="P10" s="294"/>
      <c r="Q10" s="298">
        <v>0</v>
      </c>
      <c r="R10" s="297"/>
      <c r="S10" s="298">
        <v>0</v>
      </c>
      <c r="T10" s="297"/>
      <c r="U10" s="298"/>
      <c r="V10" s="295"/>
      <c r="W10" s="298"/>
      <c r="X10" s="298"/>
      <c r="Y10" s="298"/>
      <c r="Z10" s="298"/>
      <c r="AA10" s="298">
        <f>188412+150310</f>
        <v>338722</v>
      </c>
      <c r="AB10" s="298"/>
      <c r="AC10" s="298">
        <f>225423+76610+21874+180000+7950+329138</f>
        <v>840995</v>
      </c>
      <c r="AD10" s="298"/>
      <c r="AE10" s="298">
        <f>276019</f>
        <v>276019</v>
      </c>
      <c r="AF10" s="298"/>
      <c r="AG10" s="298">
        <v>136426</v>
      </c>
      <c r="AH10" s="298"/>
      <c r="AI10" s="298"/>
      <c r="AJ10" s="298"/>
      <c r="AK10" s="298">
        <v>172832</v>
      </c>
      <c r="AL10" s="298"/>
      <c r="AM10" s="298">
        <v>16019</v>
      </c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5">
        <f t="shared" ref="AY10:AY17" si="3">SUM(P10:AX10)</f>
        <v>1781013</v>
      </c>
      <c r="AZ10" s="294"/>
      <c r="BA10" s="298"/>
      <c r="BB10" s="294"/>
      <c r="BC10" s="295">
        <f t="shared" si="0"/>
        <v>0</v>
      </c>
      <c r="BD10" s="294"/>
      <c r="BE10" s="295">
        <f t="shared" ref="BE10:BE30" si="4">+BC10+AY10</f>
        <v>1781013</v>
      </c>
      <c r="BF10" s="294"/>
      <c r="BG10" s="305">
        <f t="shared" si="1"/>
        <v>-383513</v>
      </c>
    </row>
    <row r="11" spans="1:61" x14ac:dyDescent="0.25">
      <c r="A11" s="300"/>
      <c r="B11" s="31" t="s">
        <v>167</v>
      </c>
      <c r="C11" s="31" t="s">
        <v>164</v>
      </c>
      <c r="D11" s="294"/>
      <c r="E11" s="294" t="s">
        <v>17</v>
      </c>
      <c r="F11" s="294"/>
      <c r="G11" s="294" t="s">
        <v>9</v>
      </c>
      <c r="H11" s="294"/>
      <c r="I11" s="294" t="s">
        <v>165</v>
      </c>
      <c r="J11" s="294"/>
      <c r="K11" s="301">
        <v>97872</v>
      </c>
      <c r="L11" s="294"/>
      <c r="M11" s="301">
        <v>0</v>
      </c>
      <c r="N11" s="294"/>
      <c r="O11" s="301">
        <f t="shared" si="2"/>
        <v>97872</v>
      </c>
      <c r="P11" s="294"/>
      <c r="Q11" s="298">
        <v>0</v>
      </c>
      <c r="R11" s="297"/>
      <c r="S11" s="298">
        <v>0</v>
      </c>
      <c r="T11" s="297"/>
      <c r="U11" s="298"/>
      <c r="V11" s="295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5">
        <f t="shared" si="3"/>
        <v>0</v>
      </c>
      <c r="AZ11" s="294"/>
      <c r="BA11" s="298">
        <v>-97872</v>
      </c>
      <c r="BB11" s="294"/>
      <c r="BC11" s="295">
        <f t="shared" si="0"/>
        <v>0</v>
      </c>
      <c r="BD11" s="294"/>
      <c r="BE11" s="295">
        <f t="shared" si="4"/>
        <v>0</v>
      </c>
      <c r="BF11" s="294"/>
      <c r="BG11" s="305">
        <f t="shared" si="1"/>
        <v>97872</v>
      </c>
    </row>
    <row r="12" spans="1:61" x14ac:dyDescent="0.25">
      <c r="A12" s="300"/>
      <c r="B12" s="31" t="s">
        <v>168</v>
      </c>
      <c r="C12" s="31" t="s">
        <v>164</v>
      </c>
      <c r="D12" s="294"/>
      <c r="E12" s="294" t="s">
        <v>17</v>
      </c>
      <c r="F12" s="294"/>
      <c r="G12" s="294" t="s">
        <v>9</v>
      </c>
      <c r="H12" s="294"/>
      <c r="I12" s="294" t="s">
        <v>165</v>
      </c>
      <c r="J12" s="294"/>
      <c r="K12" s="301">
        <v>33132</v>
      </c>
      <c r="L12" s="294"/>
      <c r="M12" s="301">
        <v>0</v>
      </c>
      <c r="N12" s="294"/>
      <c r="O12" s="301">
        <f t="shared" si="2"/>
        <v>33132</v>
      </c>
      <c r="P12" s="294"/>
      <c r="Q12" s="298">
        <v>0</v>
      </c>
      <c r="R12" s="297"/>
      <c r="S12" s="298">
        <v>0</v>
      </c>
      <c r="T12" s="297"/>
      <c r="U12" s="298"/>
      <c r="V12" s="295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5">
        <f t="shared" si="3"/>
        <v>0</v>
      </c>
      <c r="AZ12" s="294"/>
      <c r="BA12" s="298">
        <v>-33132</v>
      </c>
      <c r="BB12" s="294"/>
      <c r="BC12" s="295">
        <f t="shared" si="0"/>
        <v>0</v>
      </c>
      <c r="BD12" s="294"/>
      <c r="BE12" s="295">
        <f t="shared" si="4"/>
        <v>0</v>
      </c>
      <c r="BF12" s="294"/>
      <c r="BG12" s="305">
        <f t="shared" si="1"/>
        <v>33132</v>
      </c>
    </row>
    <row r="13" spans="1:61" x14ac:dyDescent="0.25">
      <c r="A13" s="300"/>
      <c r="B13" s="31" t="s">
        <v>169</v>
      </c>
      <c r="C13" s="31" t="s">
        <v>164</v>
      </c>
      <c r="D13" s="294"/>
      <c r="E13" s="294" t="s">
        <v>17</v>
      </c>
      <c r="F13" s="294"/>
      <c r="G13" s="294" t="s">
        <v>9</v>
      </c>
      <c r="H13" s="294"/>
      <c r="I13" s="294" t="s">
        <v>165</v>
      </c>
      <c r="J13" s="294"/>
      <c r="K13" s="301">
        <v>5504</v>
      </c>
      <c r="L13" s="294"/>
      <c r="M13" s="301">
        <v>0</v>
      </c>
      <c r="N13" s="294"/>
      <c r="O13" s="301">
        <f t="shared" si="2"/>
        <v>5504</v>
      </c>
      <c r="P13" s="294"/>
      <c r="Q13" s="298">
        <v>0</v>
      </c>
      <c r="R13" s="297"/>
      <c r="S13" s="298">
        <v>0</v>
      </c>
      <c r="T13" s="297"/>
      <c r="U13" s="298"/>
      <c r="V13" s="295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5">
        <f t="shared" si="3"/>
        <v>0</v>
      </c>
      <c r="AZ13" s="294"/>
      <c r="BA13" s="298">
        <v>-5504</v>
      </c>
      <c r="BB13" s="294"/>
      <c r="BC13" s="295">
        <f t="shared" si="0"/>
        <v>0</v>
      </c>
      <c r="BD13" s="294"/>
      <c r="BE13" s="295">
        <f t="shared" si="4"/>
        <v>0</v>
      </c>
      <c r="BF13" s="294"/>
      <c r="BG13" s="305">
        <f t="shared" si="1"/>
        <v>5504</v>
      </c>
    </row>
    <row r="14" spans="1:61" x14ac:dyDescent="0.25">
      <c r="A14" s="300"/>
      <c r="B14" s="31" t="s">
        <v>170</v>
      </c>
      <c r="C14" s="31" t="s">
        <v>164</v>
      </c>
      <c r="D14" s="294"/>
      <c r="E14" s="294" t="s">
        <v>17</v>
      </c>
      <c r="F14" s="294"/>
      <c r="G14" s="294" t="s">
        <v>9</v>
      </c>
      <c r="H14" s="294"/>
      <c r="I14" s="294" t="s">
        <v>165</v>
      </c>
      <c r="J14" s="294"/>
      <c r="K14" s="301">
        <v>85744</v>
      </c>
      <c r="L14" s="294"/>
      <c r="M14" s="301">
        <v>0</v>
      </c>
      <c r="N14" s="294"/>
      <c r="O14" s="301">
        <f t="shared" si="2"/>
        <v>85744</v>
      </c>
      <c r="P14" s="294"/>
      <c r="Q14" s="298">
        <v>0</v>
      </c>
      <c r="R14" s="297"/>
      <c r="S14" s="298">
        <v>0</v>
      </c>
      <c r="T14" s="297"/>
      <c r="U14" s="298"/>
      <c r="V14" s="295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5">
        <f t="shared" si="3"/>
        <v>0</v>
      </c>
      <c r="AZ14" s="294"/>
      <c r="BA14" s="298">
        <v>-85744</v>
      </c>
      <c r="BB14" s="294"/>
      <c r="BC14" s="295">
        <f t="shared" si="0"/>
        <v>0</v>
      </c>
      <c r="BD14" s="294"/>
      <c r="BE14" s="295">
        <f t="shared" si="4"/>
        <v>0</v>
      </c>
      <c r="BF14" s="294"/>
      <c r="BG14" s="305">
        <f t="shared" si="1"/>
        <v>85744</v>
      </c>
    </row>
    <row r="15" spans="1:61" x14ac:dyDescent="0.25">
      <c r="A15" s="300"/>
      <c r="B15" s="31" t="s">
        <v>171</v>
      </c>
      <c r="C15" s="31" t="s">
        <v>164</v>
      </c>
      <c r="D15" s="294"/>
      <c r="E15" s="294" t="s">
        <v>17</v>
      </c>
      <c r="F15" s="294"/>
      <c r="G15" s="294" t="s">
        <v>9</v>
      </c>
      <c r="H15" s="294"/>
      <c r="I15" s="294" t="s">
        <v>165</v>
      </c>
      <c r="J15" s="294"/>
      <c r="K15" s="301">
        <v>40000</v>
      </c>
      <c r="L15" s="294"/>
      <c r="M15" s="301">
        <v>0</v>
      </c>
      <c r="N15" s="294"/>
      <c r="O15" s="301">
        <f t="shared" si="2"/>
        <v>40000</v>
      </c>
      <c r="P15" s="294"/>
      <c r="Q15" s="298">
        <v>0</v>
      </c>
      <c r="R15" s="297"/>
      <c r="S15" s="298">
        <v>0</v>
      </c>
      <c r="T15" s="297"/>
      <c r="U15" s="298"/>
      <c r="V15" s="295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5">
        <f t="shared" si="3"/>
        <v>0</v>
      </c>
      <c r="AZ15" s="294"/>
      <c r="BA15" s="298">
        <v>-40000</v>
      </c>
      <c r="BB15" s="294"/>
      <c r="BC15" s="295">
        <f t="shared" si="0"/>
        <v>0</v>
      </c>
      <c r="BD15" s="294"/>
      <c r="BE15" s="295">
        <f t="shared" si="4"/>
        <v>0</v>
      </c>
      <c r="BF15" s="294"/>
      <c r="BG15" s="305">
        <f t="shared" si="1"/>
        <v>40000</v>
      </c>
    </row>
    <row r="16" spans="1:61" x14ac:dyDescent="0.25">
      <c r="A16" s="300"/>
      <c r="B16" s="31" t="s">
        <v>547</v>
      </c>
      <c r="C16" s="31"/>
      <c r="D16" s="294"/>
      <c r="E16" s="294"/>
      <c r="F16" s="294"/>
      <c r="G16" s="294"/>
      <c r="H16" s="294"/>
      <c r="I16" s="294"/>
      <c r="J16" s="294"/>
      <c r="K16" s="301"/>
      <c r="L16" s="294"/>
      <c r="M16" s="301"/>
      <c r="N16" s="294"/>
      <c r="O16" s="301"/>
      <c r="P16" s="294"/>
      <c r="Q16" s="298"/>
      <c r="R16" s="297"/>
      <c r="S16" s="298"/>
      <c r="T16" s="297"/>
      <c r="U16" s="298"/>
      <c r="V16" s="295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>
        <v>1500000</v>
      </c>
      <c r="AP16" s="298"/>
      <c r="AQ16" s="298"/>
      <c r="AR16" s="298"/>
      <c r="AS16" s="298"/>
      <c r="AT16" s="298"/>
      <c r="AU16" s="298"/>
      <c r="AV16" s="298"/>
      <c r="AW16" s="298"/>
      <c r="AX16" s="298"/>
      <c r="AY16" s="295">
        <f t="shared" si="3"/>
        <v>1500000</v>
      </c>
      <c r="AZ16" s="294"/>
      <c r="BA16" s="298">
        <v>1500000</v>
      </c>
      <c r="BB16" s="294"/>
      <c r="BC16" s="295">
        <f t="shared" si="0"/>
        <v>0</v>
      </c>
      <c r="BD16" s="294"/>
      <c r="BE16" s="295">
        <f t="shared" si="4"/>
        <v>1500000</v>
      </c>
      <c r="BF16" s="294"/>
      <c r="BG16" s="305">
        <f t="shared" si="1"/>
        <v>-1500000</v>
      </c>
    </row>
    <row r="17" spans="1:61" x14ac:dyDescent="0.25">
      <c r="A17" s="300"/>
      <c r="B17" s="31" t="s">
        <v>172</v>
      </c>
      <c r="C17" s="31" t="s">
        <v>164</v>
      </c>
      <c r="D17" s="294"/>
      <c r="E17" s="294" t="s">
        <v>17</v>
      </c>
      <c r="F17" s="294"/>
      <c r="G17" s="294" t="s">
        <v>9</v>
      </c>
      <c r="H17" s="294"/>
      <c r="I17" s="294" t="s">
        <v>165</v>
      </c>
      <c r="J17" s="294"/>
      <c r="K17" s="306">
        <v>210000</v>
      </c>
      <c r="L17" s="294"/>
      <c r="M17" s="306">
        <v>0</v>
      </c>
      <c r="N17" s="294"/>
      <c r="O17" s="306">
        <f t="shared" si="2"/>
        <v>210000</v>
      </c>
      <c r="P17" s="294"/>
      <c r="Q17" s="307">
        <v>0</v>
      </c>
      <c r="R17" s="297"/>
      <c r="S17" s="307">
        <v>0</v>
      </c>
      <c r="T17" s="297"/>
      <c r="U17" s="307"/>
      <c r="V17" s="295"/>
      <c r="W17" s="307"/>
      <c r="X17" s="298"/>
      <c r="Y17" s="307"/>
      <c r="Z17" s="298"/>
      <c r="AA17" s="307"/>
      <c r="AB17" s="298"/>
      <c r="AC17" s="307"/>
      <c r="AD17" s="298"/>
      <c r="AE17" s="307"/>
      <c r="AF17" s="308"/>
      <c r="AG17" s="307"/>
      <c r="AH17" s="308"/>
      <c r="AI17" s="307"/>
      <c r="AJ17" s="308"/>
      <c r="AK17" s="307"/>
      <c r="AL17" s="308"/>
      <c r="AM17" s="307"/>
      <c r="AN17" s="308"/>
      <c r="AO17" s="307"/>
      <c r="AP17" s="308"/>
      <c r="AQ17" s="307"/>
      <c r="AR17" s="308"/>
      <c r="AS17" s="307"/>
      <c r="AT17" s="308"/>
      <c r="AU17" s="307"/>
      <c r="AV17" s="308"/>
      <c r="AW17" s="307"/>
      <c r="AX17" s="308"/>
      <c r="AY17" s="309">
        <f t="shared" si="3"/>
        <v>0</v>
      </c>
      <c r="AZ17" s="294"/>
      <c r="BA17" s="307">
        <v>-210000</v>
      </c>
      <c r="BB17" s="294"/>
      <c r="BC17" s="309">
        <f t="shared" si="0"/>
        <v>0</v>
      </c>
      <c r="BD17" s="294"/>
      <c r="BE17" s="309">
        <f t="shared" si="4"/>
        <v>0</v>
      </c>
      <c r="BF17" s="294"/>
      <c r="BG17" s="310">
        <f t="shared" si="1"/>
        <v>210000</v>
      </c>
    </row>
    <row r="18" spans="1:61" x14ac:dyDescent="0.25">
      <c r="A18" s="300"/>
      <c r="B18" s="115" t="s">
        <v>173</v>
      </c>
      <c r="C18" s="31"/>
      <c r="D18" s="294"/>
      <c r="E18" s="294"/>
      <c r="F18" s="294"/>
      <c r="G18" s="294"/>
      <c r="H18" s="294"/>
      <c r="I18" s="294"/>
      <c r="J18" s="294"/>
      <c r="K18" s="299">
        <f>SUM(K9:K17)</f>
        <v>70667252</v>
      </c>
      <c r="L18" s="294"/>
      <c r="M18" s="299">
        <f>SUM(M9:M17)</f>
        <v>0</v>
      </c>
      <c r="N18" s="294"/>
      <c r="O18" s="299">
        <f>SUM(O9:O17)</f>
        <v>70667252</v>
      </c>
      <c r="P18" s="294"/>
      <c r="Q18" s="296">
        <f>SUM(Q9:Q17)</f>
        <v>55432001</v>
      </c>
      <c r="R18" s="297"/>
      <c r="S18" s="296">
        <f>SUM(S9:S17)</f>
        <v>3467538</v>
      </c>
      <c r="T18" s="297"/>
      <c r="U18" s="296">
        <f>SUM(U9:U17)</f>
        <v>48600</v>
      </c>
      <c r="V18" s="295"/>
      <c r="W18" s="296">
        <f>SUM(W9:W17)</f>
        <v>3705425.2</v>
      </c>
      <c r="X18" s="298"/>
      <c r="Y18" s="296">
        <f>SUM(Y9:Y17)</f>
        <v>3342087.7</v>
      </c>
      <c r="Z18" s="298"/>
      <c r="AA18" s="296">
        <f>SUM(AA9:AA17)</f>
        <v>338722</v>
      </c>
      <c r="AB18" s="298"/>
      <c r="AC18" s="296">
        <f>SUM(AC9:AC17)</f>
        <v>840995</v>
      </c>
      <c r="AD18" s="298"/>
      <c r="AE18" s="296">
        <f>SUM(AE9:AE17)</f>
        <v>276019</v>
      </c>
      <c r="AF18" s="296"/>
      <c r="AG18" s="296">
        <f>SUM(AG9:AG17)</f>
        <v>136426</v>
      </c>
      <c r="AH18" s="296"/>
      <c r="AI18" s="296">
        <f>SUM(AI9:AI17)</f>
        <v>3337740.9</v>
      </c>
      <c r="AJ18" s="296"/>
      <c r="AK18" s="296">
        <f>SUM(AK9:AK17)</f>
        <v>172832</v>
      </c>
      <c r="AL18" s="296"/>
      <c r="AM18" s="296">
        <f>SUM(AM9:AM17)</f>
        <v>16019</v>
      </c>
      <c r="AN18" s="296"/>
      <c r="AO18" s="296">
        <f>SUM(AO9:AO17)</f>
        <v>1500000</v>
      </c>
      <c r="AP18" s="296"/>
      <c r="AQ18" s="296">
        <f>SUM(AQ9:AQ17)</f>
        <v>0</v>
      </c>
      <c r="AR18" s="296"/>
      <c r="AS18" s="296">
        <f>SUM(AS9:AS17)</f>
        <v>0</v>
      </c>
      <c r="AT18" s="296"/>
      <c r="AU18" s="296">
        <f>SUM(AU9:AU17)</f>
        <v>0</v>
      </c>
      <c r="AV18" s="296"/>
      <c r="AW18" s="296">
        <f>SUM(AW9:AW17)</f>
        <v>0</v>
      </c>
      <c r="AX18" s="296"/>
      <c r="AY18" s="299">
        <f>SUM(AY9:AY17)</f>
        <v>72614405.800000012</v>
      </c>
      <c r="AZ18" s="294"/>
      <c r="BA18" s="296">
        <f>SUM(BA9:BA17)</f>
        <v>1560684</v>
      </c>
      <c r="BB18" s="294"/>
      <c r="BC18" s="299">
        <f>SUM(BC9:BC17)</f>
        <v>0</v>
      </c>
      <c r="BD18" s="294"/>
      <c r="BE18" s="299">
        <f>SUM(BE9:BE17)</f>
        <v>72614405.800000012</v>
      </c>
      <c r="BF18" s="294"/>
      <c r="BG18" s="305">
        <f>SUM(BG9:BG17)</f>
        <v>-1947153.8000000119</v>
      </c>
    </row>
    <row r="19" spans="1:61" x14ac:dyDescent="0.25">
      <c r="A19" s="300"/>
      <c r="B19" s="115"/>
      <c r="C19" s="31"/>
      <c r="D19" s="294"/>
      <c r="E19" s="294"/>
      <c r="F19" s="294"/>
      <c r="G19" s="294"/>
      <c r="H19" s="294"/>
      <c r="I19" s="294"/>
      <c r="J19" s="294"/>
      <c r="K19" s="299"/>
      <c r="L19" s="294"/>
      <c r="M19" s="299"/>
      <c r="N19" s="294"/>
      <c r="O19" s="299"/>
      <c r="P19" s="294"/>
      <c r="Q19" s="296"/>
      <c r="R19" s="297"/>
      <c r="S19" s="296"/>
      <c r="T19" s="297"/>
      <c r="U19" s="296"/>
      <c r="V19" s="295"/>
      <c r="W19" s="296"/>
      <c r="X19" s="298"/>
      <c r="Y19" s="296"/>
      <c r="Z19" s="298"/>
      <c r="AA19" s="296"/>
      <c r="AB19" s="298"/>
      <c r="AC19" s="296"/>
      <c r="AD19" s="298"/>
      <c r="AE19" s="296"/>
      <c r="AF19" s="296"/>
      <c r="AG19" s="296"/>
      <c r="AH19" s="296"/>
      <c r="AI19" s="296"/>
      <c r="AJ19" s="296"/>
      <c r="AK19" s="296"/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296"/>
      <c r="AX19" s="296"/>
      <c r="AY19" s="299"/>
      <c r="AZ19" s="294"/>
      <c r="BA19" s="296"/>
      <c r="BB19" s="294"/>
      <c r="BC19" s="299"/>
      <c r="BD19" s="294"/>
      <c r="BE19" s="299"/>
      <c r="BF19" s="294"/>
      <c r="BG19" s="305"/>
    </row>
    <row r="20" spans="1:61" x14ac:dyDescent="0.25">
      <c r="A20" s="300"/>
      <c r="B20" s="31" t="s">
        <v>13</v>
      </c>
      <c r="C20" s="31" t="s">
        <v>14</v>
      </c>
      <c r="D20" s="294"/>
      <c r="E20" s="294" t="s">
        <v>17</v>
      </c>
      <c r="F20" s="294"/>
      <c r="G20" s="294" t="s">
        <v>9</v>
      </c>
      <c r="H20" s="294"/>
      <c r="I20" s="294" t="s">
        <v>165</v>
      </c>
      <c r="J20" s="294"/>
      <c r="K20" s="301">
        <v>5300000</v>
      </c>
      <c r="L20" s="294"/>
      <c r="M20" s="301">
        <v>0</v>
      </c>
      <c r="N20" s="294"/>
      <c r="O20" s="301">
        <f t="shared" si="2"/>
        <v>5300000</v>
      </c>
      <c r="P20" s="294"/>
      <c r="Q20" s="302">
        <v>1929482</v>
      </c>
      <c r="R20" s="297"/>
      <c r="S20" s="302">
        <v>0</v>
      </c>
      <c r="T20" s="297"/>
      <c r="U20" s="302">
        <f>795000+795000</f>
        <v>1590000</v>
      </c>
      <c r="V20" s="295"/>
      <c r="W20" s="298"/>
      <c r="X20" s="298"/>
      <c r="Y20" s="298"/>
      <c r="Z20" s="298"/>
      <c r="AA20" s="302">
        <f>795000+266200-1200</f>
        <v>1060000</v>
      </c>
      <c r="AB20" s="298"/>
      <c r="AC20" s="298">
        <f>266200-1200</f>
        <v>265000</v>
      </c>
      <c r="AD20" s="298"/>
      <c r="AE20" s="298">
        <f>162015.89+530000</f>
        <v>692015.89</v>
      </c>
      <c r="AF20" s="298"/>
      <c r="AG20" s="298"/>
      <c r="AH20" s="298"/>
      <c r="AI20" s="298"/>
      <c r="AJ20" s="298"/>
      <c r="AK20" s="298">
        <f>-162015.89-74482</f>
        <v>-236497.89</v>
      </c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5">
        <f t="shared" ref="AY20:AY30" si="5">SUM(P20:AX20)</f>
        <v>5300000</v>
      </c>
      <c r="AZ20" s="294"/>
      <c r="BA20" s="298"/>
      <c r="BB20" s="294"/>
      <c r="BC20" s="295">
        <f>5300000-AY20</f>
        <v>0</v>
      </c>
      <c r="BD20" s="294"/>
      <c r="BE20" s="305">
        <f t="shared" si="4"/>
        <v>5300000</v>
      </c>
      <c r="BF20" s="294"/>
      <c r="BG20" s="305">
        <f t="shared" ref="BG20:BG30" si="6">O20-AY20-BC20</f>
        <v>0</v>
      </c>
      <c r="BI20" s="131"/>
    </row>
    <row r="21" spans="1:61" x14ac:dyDescent="0.25">
      <c r="A21" s="300"/>
      <c r="B21" s="31" t="s">
        <v>16</v>
      </c>
      <c r="C21" s="31" t="s">
        <v>14</v>
      </c>
      <c r="D21" s="294"/>
      <c r="E21" s="294" t="s">
        <v>17</v>
      </c>
      <c r="F21" s="294"/>
      <c r="G21" s="294" t="s">
        <v>9</v>
      </c>
      <c r="H21" s="294"/>
      <c r="I21" s="294" t="s">
        <v>165</v>
      </c>
      <c r="J21" s="294"/>
      <c r="K21" s="301">
        <v>162480</v>
      </c>
      <c r="L21" s="294"/>
      <c r="M21" s="301">
        <v>0</v>
      </c>
      <c r="N21" s="294"/>
      <c r="O21" s="301">
        <f t="shared" si="2"/>
        <v>162480</v>
      </c>
      <c r="P21" s="294"/>
      <c r="Q21" s="298">
        <v>24815</v>
      </c>
      <c r="R21" s="297"/>
      <c r="S21" s="298">
        <v>0</v>
      </c>
      <c r="T21" s="297"/>
      <c r="U21" s="298"/>
      <c r="V21" s="295"/>
      <c r="W21" s="298"/>
      <c r="X21" s="298"/>
      <c r="Y21" s="298"/>
      <c r="Z21" s="298"/>
      <c r="AA21" s="302">
        <v>115801</v>
      </c>
      <c r="AB21" s="298"/>
      <c r="AC21" s="298"/>
      <c r="AD21" s="298"/>
      <c r="AE21" s="298"/>
      <c r="AF21" s="298"/>
      <c r="AG21" s="298"/>
      <c r="AH21" s="298"/>
      <c r="AI21" s="298"/>
      <c r="AJ21" s="298"/>
      <c r="AK21" s="298">
        <f>16543+8271.5</f>
        <v>24814.5</v>
      </c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5">
        <f t="shared" si="5"/>
        <v>165430.5</v>
      </c>
      <c r="AZ21" s="294"/>
      <c r="BA21" s="298">
        <v>0</v>
      </c>
      <c r="BB21" s="294"/>
      <c r="BC21" s="295">
        <f>165430-AY21+0.5</f>
        <v>0</v>
      </c>
      <c r="BD21" s="294"/>
      <c r="BE21" s="295">
        <f t="shared" si="4"/>
        <v>165430.5</v>
      </c>
      <c r="BF21" s="294"/>
      <c r="BG21" s="305">
        <f t="shared" si="6"/>
        <v>-2950.5</v>
      </c>
    </row>
    <row r="22" spans="1:61" x14ac:dyDescent="0.25">
      <c r="A22" s="300"/>
      <c r="B22" s="31" t="s">
        <v>18</v>
      </c>
      <c r="C22" s="31" t="s">
        <v>14</v>
      </c>
      <c r="D22" s="294"/>
      <c r="E22" s="294" t="s">
        <v>17</v>
      </c>
      <c r="F22" s="294"/>
      <c r="G22" s="294" t="s">
        <v>9</v>
      </c>
      <c r="H22" s="294"/>
      <c r="I22" s="294" t="s">
        <v>165</v>
      </c>
      <c r="J22" s="294"/>
      <c r="K22" s="301">
        <v>59780</v>
      </c>
      <c r="L22" s="294"/>
      <c r="M22" s="301">
        <v>0</v>
      </c>
      <c r="N22" s="294"/>
      <c r="O22" s="301">
        <f t="shared" si="2"/>
        <v>59780</v>
      </c>
      <c r="P22" s="294"/>
      <c r="Q22" s="298">
        <v>11303</v>
      </c>
      <c r="R22" s="297"/>
      <c r="S22" s="298">
        <v>0</v>
      </c>
      <c r="T22" s="297"/>
      <c r="U22" s="298"/>
      <c r="V22" s="295"/>
      <c r="W22" s="298"/>
      <c r="X22" s="298"/>
      <c r="Y22" s="298"/>
      <c r="Z22" s="298"/>
      <c r="AA22" s="302">
        <f>52749.2</f>
        <v>52749.2</v>
      </c>
      <c r="AB22" s="298"/>
      <c r="AC22" s="298"/>
      <c r="AD22" s="298"/>
      <c r="AE22" s="298"/>
      <c r="AF22" s="298"/>
      <c r="AG22" s="298"/>
      <c r="AH22" s="298"/>
      <c r="AI22" s="298"/>
      <c r="AJ22" s="298"/>
      <c r="AK22" s="298">
        <f>7535.6+3767.8-17178.46</f>
        <v>-5875.0599999999977</v>
      </c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5">
        <f t="shared" si="5"/>
        <v>58177.14</v>
      </c>
      <c r="AZ22" s="294"/>
      <c r="BA22" s="298">
        <v>0</v>
      </c>
      <c r="BB22" s="294"/>
      <c r="BC22" s="295">
        <v>0</v>
      </c>
      <c r="BD22" s="294"/>
      <c r="BE22" s="295">
        <f t="shared" si="4"/>
        <v>58177.14</v>
      </c>
      <c r="BF22" s="294"/>
      <c r="BG22" s="305">
        <f t="shared" si="6"/>
        <v>1602.8600000000006</v>
      </c>
    </row>
    <row r="23" spans="1:61" x14ac:dyDescent="0.25">
      <c r="A23" s="300"/>
      <c r="B23" s="31" t="s">
        <v>19</v>
      </c>
      <c r="C23" s="31" t="s">
        <v>14</v>
      </c>
      <c r="D23" s="294"/>
      <c r="E23" s="294" t="s">
        <v>17</v>
      </c>
      <c r="F23" s="294"/>
      <c r="G23" s="294" t="s">
        <v>9</v>
      </c>
      <c r="H23" s="294"/>
      <c r="I23" s="294" t="s">
        <v>165</v>
      </c>
      <c r="J23" s="294"/>
      <c r="K23" s="301">
        <v>2968940</v>
      </c>
      <c r="L23" s="294"/>
      <c r="M23" s="301">
        <v>0</v>
      </c>
      <c r="N23" s="294"/>
      <c r="O23" s="301">
        <f t="shared" si="2"/>
        <v>2968940</v>
      </c>
      <c r="P23" s="294"/>
      <c r="Q23" s="302">
        <v>1032970</v>
      </c>
      <c r="R23" s="297"/>
      <c r="S23" s="302">
        <v>0</v>
      </c>
      <c r="T23" s="297"/>
      <c r="U23" s="302">
        <f>293814.5+293814.5+387000+387000</f>
        <v>1361629</v>
      </c>
      <c r="V23" s="295"/>
      <c r="W23" s="298"/>
      <c r="X23" s="298"/>
      <c r="Y23" s="298"/>
      <c r="Z23" s="298"/>
      <c r="AA23" s="298"/>
      <c r="AB23" s="298"/>
      <c r="AC23" s="298">
        <v>129000</v>
      </c>
      <c r="AD23" s="298"/>
      <c r="AE23" s="298"/>
      <c r="AF23" s="298"/>
      <c r="AG23" s="298"/>
      <c r="AH23" s="298"/>
      <c r="AI23" s="298"/>
      <c r="AJ23" s="298"/>
      <c r="AK23" s="298">
        <f>167894+129000+64500+83947.46</f>
        <v>445341.46</v>
      </c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5">
        <f t="shared" si="5"/>
        <v>2968940.46</v>
      </c>
      <c r="AZ23" s="294"/>
      <c r="BA23" s="298">
        <v>0</v>
      </c>
      <c r="BB23" s="294"/>
      <c r="BC23" s="295">
        <f>1678940+1290000-AY23</f>
        <v>-0.4599999999627471</v>
      </c>
      <c r="BD23" s="294"/>
      <c r="BE23" s="295">
        <f t="shared" si="4"/>
        <v>2968940</v>
      </c>
      <c r="BF23" s="294"/>
      <c r="BG23" s="305">
        <f t="shared" si="6"/>
        <v>0</v>
      </c>
    </row>
    <row r="24" spans="1:61" x14ac:dyDescent="0.25">
      <c r="A24" s="300"/>
      <c r="B24" s="31" t="s">
        <v>514</v>
      </c>
      <c r="C24" s="31"/>
      <c r="D24" s="294"/>
      <c r="E24" s="294"/>
      <c r="F24" s="294"/>
      <c r="G24" s="294"/>
      <c r="H24" s="294"/>
      <c r="I24" s="294"/>
      <c r="J24" s="294"/>
      <c r="K24" s="301"/>
      <c r="L24" s="294"/>
      <c r="M24" s="301">
        <v>0</v>
      </c>
      <c r="N24" s="294"/>
      <c r="O24" s="301">
        <f t="shared" si="2"/>
        <v>0</v>
      </c>
      <c r="P24" s="294"/>
      <c r="Q24" s="302"/>
      <c r="R24" s="297"/>
      <c r="S24" s="302"/>
      <c r="T24" s="297"/>
      <c r="U24" s="302"/>
      <c r="V24" s="295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5">
        <f t="shared" si="5"/>
        <v>0</v>
      </c>
      <c r="AZ24" s="294"/>
      <c r="BA24" s="298">
        <v>0</v>
      </c>
      <c r="BB24" s="294"/>
      <c r="BC24" s="295">
        <v>0</v>
      </c>
      <c r="BD24" s="294"/>
      <c r="BE24" s="295">
        <f t="shared" si="4"/>
        <v>0</v>
      </c>
      <c r="BF24" s="294"/>
      <c r="BG24" s="305">
        <f t="shared" si="6"/>
        <v>0</v>
      </c>
    </row>
    <row r="25" spans="1:61" x14ac:dyDescent="0.25">
      <c r="A25" s="300"/>
      <c r="B25" s="31" t="s">
        <v>513</v>
      </c>
      <c r="C25" s="31"/>
      <c r="D25" s="294"/>
      <c r="E25" s="294"/>
      <c r="F25" s="294"/>
      <c r="G25" s="294"/>
      <c r="H25" s="294"/>
      <c r="I25" s="294"/>
      <c r="J25" s="294"/>
      <c r="K25" s="301"/>
      <c r="L25" s="294"/>
      <c r="M25" s="301">
        <v>0</v>
      </c>
      <c r="N25" s="294"/>
      <c r="O25" s="301">
        <f t="shared" si="2"/>
        <v>0</v>
      </c>
      <c r="P25" s="294"/>
      <c r="Q25" s="302"/>
      <c r="R25" s="297"/>
      <c r="S25" s="302"/>
      <c r="T25" s="297"/>
      <c r="U25" s="302"/>
      <c r="V25" s="295"/>
      <c r="W25" s="298"/>
      <c r="X25" s="298"/>
      <c r="Y25" s="298"/>
      <c r="Z25" s="298"/>
      <c r="AA25" s="298"/>
      <c r="AB25" s="298"/>
      <c r="AC25" s="298">
        <f>216300-3200</f>
        <v>213100</v>
      </c>
      <c r="AD25" s="298"/>
      <c r="AE25" s="298"/>
      <c r="AF25" s="298"/>
      <c r="AG25" s="298">
        <v>174000</v>
      </c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5">
        <f t="shared" si="5"/>
        <v>387100</v>
      </c>
      <c r="AZ25" s="294"/>
      <c r="BA25" s="298">
        <v>0</v>
      </c>
      <c r="BB25" s="294"/>
      <c r="BC25" s="295">
        <f>387100-AY25</f>
        <v>0</v>
      </c>
      <c r="BD25" s="294"/>
      <c r="BE25" s="295">
        <f t="shared" si="4"/>
        <v>387100</v>
      </c>
      <c r="BF25" s="294"/>
      <c r="BG25" s="305">
        <f t="shared" si="6"/>
        <v>-387100</v>
      </c>
    </row>
    <row r="26" spans="1:61" x14ac:dyDescent="0.25">
      <c r="A26" s="300"/>
      <c r="B26" s="31" t="s">
        <v>20</v>
      </c>
      <c r="C26" s="31" t="s">
        <v>14</v>
      </c>
      <c r="D26" s="294"/>
      <c r="E26" s="294" t="s">
        <v>17</v>
      </c>
      <c r="F26" s="294"/>
      <c r="G26" s="294" t="s">
        <v>9</v>
      </c>
      <c r="H26" s="294"/>
      <c r="I26" s="294" t="s">
        <v>21</v>
      </c>
      <c r="J26" s="294"/>
      <c r="K26" s="301">
        <v>25000</v>
      </c>
      <c r="L26" s="294"/>
      <c r="M26" s="301">
        <v>0</v>
      </c>
      <c r="N26" s="294"/>
      <c r="O26" s="301">
        <f t="shared" si="2"/>
        <v>25000</v>
      </c>
      <c r="P26" s="294"/>
      <c r="Q26" s="298">
        <v>0</v>
      </c>
      <c r="R26" s="297"/>
      <c r="S26" s="298">
        <v>0</v>
      </c>
      <c r="T26" s="297"/>
      <c r="U26" s="298"/>
      <c r="V26" s="295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5">
        <f t="shared" si="5"/>
        <v>0</v>
      </c>
      <c r="AZ26" s="294"/>
      <c r="BA26" s="298">
        <v>0</v>
      </c>
      <c r="BB26" s="294"/>
      <c r="BC26" s="295">
        <v>0</v>
      </c>
      <c r="BD26" s="294"/>
      <c r="BE26" s="295">
        <f t="shared" si="4"/>
        <v>0</v>
      </c>
      <c r="BF26" s="294"/>
      <c r="BG26" s="305">
        <f t="shared" si="6"/>
        <v>25000</v>
      </c>
    </row>
    <row r="27" spans="1:61" x14ac:dyDescent="0.25">
      <c r="A27" s="300"/>
      <c r="B27" s="31" t="s">
        <v>22</v>
      </c>
      <c r="C27" s="31" t="s">
        <v>14</v>
      </c>
      <c r="D27" s="294"/>
      <c r="E27" s="294" t="s">
        <v>17</v>
      </c>
      <c r="F27" s="294"/>
      <c r="G27" s="294" t="s">
        <v>9</v>
      </c>
      <c r="H27" s="294"/>
      <c r="I27" s="294" t="s">
        <v>165</v>
      </c>
      <c r="J27" s="294"/>
      <c r="K27" s="301">
        <v>107600</v>
      </c>
      <c r="L27" s="294"/>
      <c r="M27" s="301">
        <v>0</v>
      </c>
      <c r="N27" s="294"/>
      <c r="O27" s="301">
        <f t="shared" si="2"/>
        <v>107600</v>
      </c>
      <c r="P27" s="294"/>
      <c r="Q27" s="298">
        <v>0</v>
      </c>
      <c r="R27" s="297"/>
      <c r="S27" s="298">
        <v>0</v>
      </c>
      <c r="T27" s="297"/>
      <c r="U27" s="298"/>
      <c r="V27" s="295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5">
        <f t="shared" si="5"/>
        <v>0</v>
      </c>
      <c r="AZ27" s="294"/>
      <c r="BA27" s="298">
        <v>0</v>
      </c>
      <c r="BB27" s="294"/>
      <c r="BC27" s="295">
        <f>-AY27</f>
        <v>0</v>
      </c>
      <c r="BD27" s="294"/>
      <c r="BE27" s="295">
        <f t="shared" si="4"/>
        <v>0</v>
      </c>
      <c r="BF27" s="294"/>
      <c r="BG27" s="305">
        <f t="shared" si="6"/>
        <v>107600</v>
      </c>
    </row>
    <row r="28" spans="1:61" x14ac:dyDescent="0.25">
      <c r="A28" s="311"/>
      <c r="B28" s="117" t="s">
        <v>23</v>
      </c>
      <c r="C28" s="117" t="s">
        <v>14</v>
      </c>
      <c r="D28" s="294"/>
      <c r="E28" s="294" t="s">
        <v>17</v>
      </c>
      <c r="F28" s="294"/>
      <c r="G28" s="294" t="s">
        <v>9</v>
      </c>
      <c r="H28" s="294"/>
      <c r="I28" s="294" t="s">
        <v>165</v>
      </c>
      <c r="J28" s="294"/>
      <c r="K28" s="301">
        <v>105500</v>
      </c>
      <c r="L28" s="294"/>
      <c r="M28" s="301">
        <v>0</v>
      </c>
      <c r="N28" s="294"/>
      <c r="O28" s="301">
        <f t="shared" si="2"/>
        <v>105500</v>
      </c>
      <c r="P28" s="294"/>
      <c r="Q28" s="298">
        <v>0</v>
      </c>
      <c r="R28" s="297"/>
      <c r="S28" s="298">
        <v>0</v>
      </c>
      <c r="T28" s="297"/>
      <c r="U28" s="298"/>
      <c r="V28" s="295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5">
        <f t="shared" si="5"/>
        <v>0</v>
      </c>
      <c r="AZ28" s="294"/>
      <c r="BA28" s="298">
        <v>0</v>
      </c>
      <c r="BB28" s="294"/>
      <c r="BC28" s="295">
        <f>-AY28</f>
        <v>0</v>
      </c>
      <c r="BD28" s="294"/>
      <c r="BE28" s="295">
        <f t="shared" si="4"/>
        <v>0</v>
      </c>
      <c r="BF28" s="294"/>
      <c r="BG28" s="305">
        <f t="shared" si="6"/>
        <v>105500</v>
      </c>
    </row>
    <row r="29" spans="1:61" x14ac:dyDescent="0.25">
      <c r="A29" s="311"/>
      <c r="B29" s="117" t="s">
        <v>24</v>
      </c>
      <c r="C29" s="117" t="s">
        <v>14</v>
      </c>
      <c r="D29" s="294"/>
      <c r="E29" s="294" t="s">
        <v>17</v>
      </c>
      <c r="F29" s="294"/>
      <c r="G29" s="294" t="s">
        <v>9</v>
      </c>
      <c r="H29" s="294"/>
      <c r="I29" s="294" t="s">
        <v>21</v>
      </c>
      <c r="J29" s="294"/>
      <c r="K29" s="301">
        <v>10000</v>
      </c>
      <c r="L29" s="294"/>
      <c r="M29" s="301">
        <v>0</v>
      </c>
      <c r="N29" s="294"/>
      <c r="O29" s="301">
        <f t="shared" si="2"/>
        <v>10000</v>
      </c>
      <c r="P29" s="294"/>
      <c r="Q29" s="298">
        <v>0</v>
      </c>
      <c r="R29" s="297"/>
      <c r="S29" s="298">
        <v>0</v>
      </c>
      <c r="T29" s="297"/>
      <c r="U29" s="298"/>
      <c r="V29" s="295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5">
        <f t="shared" si="5"/>
        <v>0</v>
      </c>
      <c r="AZ29" s="294"/>
      <c r="BA29" s="298">
        <v>0</v>
      </c>
      <c r="BB29" s="294"/>
      <c r="BC29" s="295">
        <v>0</v>
      </c>
      <c r="BD29" s="294"/>
      <c r="BE29" s="295">
        <f t="shared" si="4"/>
        <v>0</v>
      </c>
      <c r="BF29" s="294"/>
      <c r="BG29" s="305">
        <f t="shared" si="6"/>
        <v>10000</v>
      </c>
    </row>
    <row r="30" spans="1:61" x14ac:dyDescent="0.25">
      <c r="A30" s="312"/>
      <c r="B30" s="31" t="s">
        <v>25</v>
      </c>
      <c r="C30" s="31" t="s">
        <v>14</v>
      </c>
      <c r="D30" s="294"/>
      <c r="E30" s="294" t="s">
        <v>17</v>
      </c>
      <c r="F30" s="294"/>
      <c r="G30" s="294" t="s">
        <v>9</v>
      </c>
      <c r="H30" s="294"/>
      <c r="I30" s="294" t="s">
        <v>21</v>
      </c>
      <c r="J30" s="294"/>
      <c r="K30" s="306">
        <v>20000</v>
      </c>
      <c r="L30" s="294"/>
      <c r="M30" s="306">
        <v>0</v>
      </c>
      <c r="N30" s="294"/>
      <c r="O30" s="306">
        <f t="shared" si="2"/>
        <v>20000</v>
      </c>
      <c r="P30" s="294"/>
      <c r="Q30" s="307">
        <v>0</v>
      </c>
      <c r="R30" s="297"/>
      <c r="S30" s="307">
        <v>0</v>
      </c>
      <c r="T30" s="297"/>
      <c r="U30" s="307"/>
      <c r="V30" s="295"/>
      <c r="W30" s="307"/>
      <c r="X30" s="298"/>
      <c r="Y30" s="307"/>
      <c r="Z30" s="298"/>
      <c r="AA30" s="307">
        <v>1200</v>
      </c>
      <c r="AB30" s="298"/>
      <c r="AC30" s="307">
        <f>1200+3200</f>
        <v>4400</v>
      </c>
      <c r="AD30" s="298"/>
      <c r="AE30" s="307"/>
      <c r="AF30" s="308"/>
      <c r="AG30" s="307"/>
      <c r="AH30" s="308"/>
      <c r="AI30" s="307"/>
      <c r="AJ30" s="308"/>
      <c r="AK30" s="307"/>
      <c r="AL30" s="308"/>
      <c r="AM30" s="307"/>
      <c r="AN30" s="308"/>
      <c r="AO30" s="307"/>
      <c r="AP30" s="308"/>
      <c r="AQ30" s="307"/>
      <c r="AR30" s="308"/>
      <c r="AS30" s="307"/>
      <c r="AT30" s="308"/>
      <c r="AU30" s="307"/>
      <c r="AV30" s="308"/>
      <c r="AW30" s="307"/>
      <c r="AX30" s="308"/>
      <c r="AY30" s="309">
        <f t="shared" si="5"/>
        <v>5600</v>
      </c>
      <c r="AZ30" s="294"/>
      <c r="BA30" s="307">
        <v>0</v>
      </c>
      <c r="BB30" s="294"/>
      <c r="BC30" s="309">
        <f>5600-AY30</f>
        <v>0</v>
      </c>
      <c r="BD30" s="294"/>
      <c r="BE30" s="309">
        <f t="shared" si="4"/>
        <v>5600</v>
      </c>
      <c r="BF30" s="294"/>
      <c r="BG30" s="310">
        <f t="shared" si="6"/>
        <v>14400</v>
      </c>
    </row>
    <row r="31" spans="1:61" x14ac:dyDescent="0.25">
      <c r="A31" s="312"/>
      <c r="B31" s="115" t="s">
        <v>142</v>
      </c>
      <c r="C31" s="31"/>
      <c r="D31" s="294"/>
      <c r="E31" s="294"/>
      <c r="F31" s="294"/>
      <c r="G31" s="294"/>
      <c r="H31" s="294"/>
      <c r="I31" s="294"/>
      <c r="J31" s="294"/>
      <c r="K31" s="313">
        <f>SUM(K20:K30)</f>
        <v>8759300</v>
      </c>
      <c r="L31" s="294"/>
      <c r="M31" s="313">
        <f>SUM(M20:M30)</f>
        <v>0</v>
      </c>
      <c r="N31" s="294"/>
      <c r="O31" s="313">
        <f>SUM(O20:O30)</f>
        <v>8759300</v>
      </c>
      <c r="P31" s="294"/>
      <c r="Q31" s="314">
        <f>SUM(Q20:Q30)</f>
        <v>2998570</v>
      </c>
      <c r="R31" s="297"/>
      <c r="S31" s="314">
        <f>SUM(S20:S30)</f>
        <v>0</v>
      </c>
      <c r="T31" s="297"/>
      <c r="U31" s="314">
        <f>SUM(U20:U30)</f>
        <v>2951629</v>
      </c>
      <c r="V31" s="295"/>
      <c r="W31" s="314">
        <f>SUM(W20:W30)</f>
        <v>0</v>
      </c>
      <c r="X31" s="298"/>
      <c r="Y31" s="314">
        <f>SUM(Y20:Y30)</f>
        <v>0</v>
      </c>
      <c r="Z31" s="298"/>
      <c r="AA31" s="314">
        <f>SUM(AA20:AA30)</f>
        <v>1229750.2</v>
      </c>
      <c r="AB31" s="298"/>
      <c r="AC31" s="314">
        <f>SUM(AC20:AC30)</f>
        <v>611500</v>
      </c>
      <c r="AD31" s="298"/>
      <c r="AE31" s="314">
        <f>SUM(AE20:AE30)</f>
        <v>692015.89</v>
      </c>
      <c r="AF31" s="314"/>
      <c r="AG31" s="314">
        <f>SUM(AG20:AG30)</f>
        <v>174000</v>
      </c>
      <c r="AH31" s="314"/>
      <c r="AI31" s="314">
        <f>SUM(AI20:AI30)</f>
        <v>0</v>
      </c>
      <c r="AJ31" s="314"/>
      <c r="AK31" s="314">
        <f>SUM(AK20:AK30)</f>
        <v>227783.01</v>
      </c>
      <c r="AL31" s="314"/>
      <c r="AM31" s="314">
        <f>SUM(AM20:AM30)</f>
        <v>0</v>
      </c>
      <c r="AN31" s="314"/>
      <c r="AO31" s="314">
        <f>SUM(AO20:AO30)</f>
        <v>0</v>
      </c>
      <c r="AP31" s="314"/>
      <c r="AQ31" s="314">
        <f>SUM(AQ20:AQ30)</f>
        <v>0</v>
      </c>
      <c r="AR31" s="314"/>
      <c r="AS31" s="314">
        <f>SUM(AS20:AS30)</f>
        <v>0</v>
      </c>
      <c r="AT31" s="314"/>
      <c r="AU31" s="314">
        <f>SUM(AU20:AU30)</f>
        <v>0</v>
      </c>
      <c r="AV31" s="314"/>
      <c r="AW31" s="314">
        <f>SUM(AW20:AW30)</f>
        <v>0</v>
      </c>
      <c r="AX31" s="314"/>
      <c r="AY31" s="313">
        <f>SUM(AY20:AY30)</f>
        <v>8885248.0999999996</v>
      </c>
      <c r="AZ31" s="294"/>
      <c r="BA31" s="314">
        <f>SUM(BA20:BA30)</f>
        <v>0</v>
      </c>
      <c r="BB31" s="294"/>
      <c r="BC31" s="315">
        <f>SUM(BC20:BC30)</f>
        <v>-0.4599999999627471</v>
      </c>
      <c r="BD31" s="294"/>
      <c r="BE31" s="299">
        <f>SUM(BE20:BE30)</f>
        <v>8885247.6400000006</v>
      </c>
      <c r="BF31" s="294"/>
      <c r="BG31" s="316">
        <f>+O31-BE31</f>
        <v>-125947.6400000006</v>
      </c>
    </row>
    <row r="32" spans="1:61" x14ac:dyDescent="0.25">
      <c r="A32" s="312"/>
      <c r="B32" s="115"/>
      <c r="C32" s="31"/>
      <c r="D32" s="294"/>
      <c r="E32" s="294"/>
      <c r="F32" s="294"/>
      <c r="G32" s="294"/>
      <c r="H32" s="294"/>
      <c r="I32" s="294"/>
      <c r="J32" s="294"/>
      <c r="K32" s="313"/>
      <c r="L32" s="294"/>
      <c r="M32" s="313"/>
      <c r="N32" s="294"/>
      <c r="O32" s="313"/>
      <c r="P32" s="294"/>
      <c r="Q32" s="314"/>
      <c r="R32" s="297"/>
      <c r="S32" s="314"/>
      <c r="T32" s="297"/>
      <c r="U32" s="314"/>
      <c r="V32" s="295"/>
      <c r="W32" s="314"/>
      <c r="X32" s="298"/>
      <c r="Y32" s="314"/>
      <c r="Z32" s="298"/>
      <c r="AA32" s="314"/>
      <c r="AB32" s="298"/>
      <c r="AC32" s="314"/>
      <c r="AD32" s="298"/>
      <c r="AE32" s="314"/>
      <c r="AF32" s="314"/>
      <c r="AG32" s="314"/>
      <c r="AH32" s="314"/>
      <c r="AI32" s="314"/>
      <c r="AJ32" s="314"/>
      <c r="AK32" s="314"/>
      <c r="AL32" s="314"/>
      <c r="AM32" s="314"/>
      <c r="AN32" s="314"/>
      <c r="AO32" s="314"/>
      <c r="AP32" s="314"/>
      <c r="AQ32" s="314"/>
      <c r="AR32" s="314"/>
      <c r="AS32" s="314"/>
      <c r="AT32" s="314"/>
      <c r="AU32" s="314"/>
      <c r="AV32" s="314"/>
      <c r="AW32" s="314"/>
      <c r="AX32" s="314"/>
      <c r="AY32" s="313"/>
      <c r="AZ32" s="294"/>
      <c r="BA32" s="314"/>
      <c r="BB32" s="294"/>
      <c r="BC32" s="313"/>
      <c r="BD32" s="294"/>
      <c r="BE32" s="313"/>
      <c r="BF32" s="294"/>
      <c r="BG32" s="316"/>
    </row>
    <row r="33" spans="1:61" ht="13.8" thickBot="1" x14ac:dyDescent="0.3">
      <c r="A33" s="317"/>
      <c r="B33" s="31" t="s">
        <v>26</v>
      </c>
      <c r="C33" s="31"/>
      <c r="D33" s="294"/>
      <c r="E33" s="294"/>
      <c r="F33" s="294"/>
      <c r="G33" s="294"/>
      <c r="H33" s="294"/>
      <c r="I33" s="294"/>
      <c r="J33" s="294"/>
      <c r="K33" s="318">
        <f>K31+K18</f>
        <v>79426552</v>
      </c>
      <c r="L33" s="294"/>
      <c r="M33" s="318">
        <f>M31+M18</f>
        <v>0</v>
      </c>
      <c r="N33" s="294"/>
      <c r="O33" s="319">
        <f>O31+O18</f>
        <v>79426552</v>
      </c>
      <c r="P33" s="294"/>
      <c r="Q33" s="320">
        <f>Q31+Q18</f>
        <v>58430571</v>
      </c>
      <c r="R33" s="297"/>
      <c r="S33" s="320">
        <f>S31+S18</f>
        <v>3467538</v>
      </c>
      <c r="T33" s="297"/>
      <c r="U33" s="320">
        <f>U31+U18</f>
        <v>3000229</v>
      </c>
      <c r="V33" s="295"/>
      <c r="W33" s="320">
        <f>W31+W18</f>
        <v>3705425.2</v>
      </c>
      <c r="X33" s="298"/>
      <c r="Y33" s="320">
        <f>Y31+Y18</f>
        <v>3342087.7</v>
      </c>
      <c r="Z33" s="298"/>
      <c r="AA33" s="320">
        <f>AA31+AA18</f>
        <v>1568472.2</v>
      </c>
      <c r="AB33" s="298"/>
      <c r="AC33" s="320">
        <f>AC31+AC18</f>
        <v>1452495</v>
      </c>
      <c r="AD33" s="298"/>
      <c r="AE33" s="320">
        <f>AE31+AE18</f>
        <v>968034.89</v>
      </c>
      <c r="AF33" s="314"/>
      <c r="AG33" s="320">
        <f>AG31+AG18</f>
        <v>310426</v>
      </c>
      <c r="AH33" s="314"/>
      <c r="AI33" s="320">
        <f>AI31+AI18</f>
        <v>3337740.9</v>
      </c>
      <c r="AJ33" s="314"/>
      <c r="AK33" s="320">
        <f>AK31+AK18</f>
        <v>400615.01</v>
      </c>
      <c r="AL33" s="314"/>
      <c r="AM33" s="320">
        <f>AM31+AM18</f>
        <v>16019</v>
      </c>
      <c r="AN33" s="314"/>
      <c r="AO33" s="320">
        <f>AO31+AO18</f>
        <v>1500000</v>
      </c>
      <c r="AP33" s="314"/>
      <c r="AQ33" s="320">
        <f>AQ31+AQ18</f>
        <v>0</v>
      </c>
      <c r="AR33" s="314"/>
      <c r="AS33" s="320">
        <f>AS31+AS18</f>
        <v>0</v>
      </c>
      <c r="AT33" s="314"/>
      <c r="AU33" s="320">
        <f>AU31+AU18</f>
        <v>0</v>
      </c>
      <c r="AV33" s="314"/>
      <c r="AW33" s="320">
        <f>AW31+AW18</f>
        <v>0</v>
      </c>
      <c r="AX33" s="314"/>
      <c r="AY33" s="318">
        <f>AY31+AY18</f>
        <v>81499653.900000006</v>
      </c>
      <c r="AZ33" s="294"/>
      <c r="BA33" s="320">
        <f>BA31+BA18</f>
        <v>1560684</v>
      </c>
      <c r="BB33" s="294"/>
      <c r="BC33" s="318">
        <f>+BC31+BC18</f>
        <v>-0.4599999999627471</v>
      </c>
      <c r="BD33" s="294"/>
      <c r="BE33" s="318">
        <f>+BE31+BE18</f>
        <v>81499653.440000013</v>
      </c>
      <c r="BF33" s="294"/>
      <c r="BG33" s="321">
        <f>+O33-BE33</f>
        <v>-2073101.4400000125</v>
      </c>
    </row>
    <row r="34" spans="1:61" ht="13.8" thickTop="1" x14ac:dyDescent="0.25">
      <c r="A34" s="312"/>
      <c r="B34" s="31"/>
      <c r="C34" s="31"/>
      <c r="D34" s="294"/>
      <c r="E34" s="294"/>
      <c r="F34" s="294"/>
      <c r="G34" s="294"/>
      <c r="H34" s="294"/>
      <c r="I34" s="294"/>
      <c r="J34" s="294"/>
      <c r="K34" s="295"/>
      <c r="L34" s="294"/>
      <c r="M34" s="295"/>
      <c r="N34" s="294"/>
      <c r="O34" s="295"/>
      <c r="P34" s="294"/>
      <c r="Q34" s="298"/>
      <c r="R34" s="297"/>
      <c r="S34" s="298"/>
      <c r="T34" s="297"/>
      <c r="U34" s="298"/>
      <c r="V34" s="295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5"/>
      <c r="AZ34" s="294"/>
      <c r="BA34" s="298"/>
      <c r="BB34" s="294"/>
      <c r="BC34" s="295"/>
      <c r="BD34" s="294"/>
      <c r="BE34" s="295"/>
      <c r="BF34" s="294"/>
      <c r="BG34" s="295"/>
    </row>
    <row r="35" spans="1:61" x14ac:dyDescent="0.25">
      <c r="A35" s="112" t="s">
        <v>27</v>
      </c>
      <c r="B35" s="322"/>
      <c r="C35" s="31"/>
      <c r="D35" s="294"/>
      <c r="E35" s="294"/>
      <c r="F35" s="294"/>
      <c r="G35" s="294"/>
      <c r="H35" s="294"/>
      <c r="I35" s="294"/>
      <c r="J35" s="294"/>
      <c r="K35" s="295"/>
      <c r="L35" s="294"/>
      <c r="M35" s="295"/>
      <c r="N35" s="294"/>
      <c r="O35" s="295"/>
      <c r="P35" s="294"/>
      <c r="Q35" s="298"/>
      <c r="R35" s="297"/>
      <c r="S35" s="298"/>
      <c r="T35" s="297"/>
      <c r="U35" s="298"/>
      <c r="V35" s="295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5"/>
      <c r="AZ35" s="294"/>
      <c r="BA35" s="298"/>
      <c r="BB35" s="294"/>
      <c r="BC35" s="295"/>
      <c r="BD35" s="294"/>
      <c r="BE35" s="295"/>
      <c r="BF35" s="294"/>
      <c r="BG35" s="295"/>
    </row>
    <row r="36" spans="1:61" x14ac:dyDescent="0.25">
      <c r="A36" s="120"/>
      <c r="B36" s="31" t="s">
        <v>28</v>
      </c>
      <c r="C36" s="31" t="s">
        <v>29</v>
      </c>
      <c r="D36" s="294"/>
      <c r="E36" s="294" t="s">
        <v>17</v>
      </c>
      <c r="F36" s="294"/>
      <c r="G36" s="294" t="s">
        <v>9</v>
      </c>
      <c r="H36" s="294"/>
      <c r="I36" s="294" t="s">
        <v>21</v>
      </c>
      <c r="J36" s="294"/>
      <c r="K36" s="301">
        <v>251225</v>
      </c>
      <c r="L36" s="294"/>
      <c r="M36" s="301">
        <v>146275</v>
      </c>
      <c r="N36" s="294"/>
      <c r="O36" s="301">
        <f>SUM(K36:N36)</f>
        <v>397500</v>
      </c>
      <c r="P36" s="294"/>
      <c r="Q36" s="298">
        <v>0</v>
      </c>
      <c r="R36" s="297"/>
      <c r="S36" s="298">
        <f>39199.11+7409.74+34645.55+25948.82+25234.65</f>
        <v>132437.87</v>
      </c>
      <c r="T36" s="297"/>
      <c r="U36" s="298"/>
      <c r="V36" s="295"/>
      <c r="W36" s="298"/>
      <c r="X36" s="298"/>
      <c r="Y36" s="298"/>
      <c r="Z36" s="298"/>
      <c r="AA36" s="298"/>
      <c r="AB36" s="298"/>
      <c r="AC36" s="298"/>
      <c r="AD36" s="298"/>
      <c r="AE36" s="298">
        <f>50969.53+50242.45+55890.53+62177.17+25831.04</f>
        <v>245110.72</v>
      </c>
      <c r="AF36" s="298"/>
      <c r="AG36" s="323">
        <f>49792.76+47659.96</f>
        <v>97452.72</v>
      </c>
      <c r="AH36" s="323"/>
      <c r="AI36" s="323">
        <f>28051.26-50166-800</f>
        <v>-22914.74</v>
      </c>
      <c r="AJ36" s="323"/>
      <c r="AK36" s="323"/>
      <c r="AL36" s="323"/>
      <c r="AM36" s="323">
        <f>15603.41+1665</f>
        <v>17268.41</v>
      </c>
      <c r="AN36" s="323"/>
      <c r="AO36" s="323">
        <f>5054.93</f>
        <v>5054.93</v>
      </c>
      <c r="AP36" s="323"/>
      <c r="AQ36" s="323">
        <v>7051.9</v>
      </c>
      <c r="AR36" s="298"/>
      <c r="AS36" s="323"/>
      <c r="AT36" s="298"/>
      <c r="AU36" s="323"/>
      <c r="AV36" s="298"/>
      <c r="AW36" s="323"/>
      <c r="AX36" s="298"/>
      <c r="AY36" s="295">
        <f>SUM(P36:AX36)</f>
        <v>481461.80999999994</v>
      </c>
      <c r="AZ36" s="294"/>
      <c r="BA36" s="298">
        <f>452687-397500-600+20874+600+8571+849</f>
        <v>85481</v>
      </c>
      <c r="BB36" s="294"/>
      <c r="BC36" s="295">
        <f>IF(+O36-AY36+BA36&gt;0,O36-AY36+BA36,0)</f>
        <v>1519.1900000000605</v>
      </c>
      <c r="BD36" s="294"/>
      <c r="BE36" s="304">
        <f>+BC36+AY36</f>
        <v>482981</v>
      </c>
      <c r="BF36" s="294"/>
      <c r="BG36" s="305">
        <f>O36-AY36-BC36</f>
        <v>-85481</v>
      </c>
      <c r="BI36" s="131"/>
    </row>
    <row r="37" spans="1:61" x14ac:dyDescent="0.25">
      <c r="A37" s="120"/>
      <c r="B37" s="31" t="s">
        <v>30</v>
      </c>
      <c r="C37" s="31" t="s">
        <v>29</v>
      </c>
      <c r="D37" s="294"/>
      <c r="E37" s="294" t="s">
        <v>17</v>
      </c>
      <c r="F37" s="294"/>
      <c r="G37" s="294" t="s">
        <v>9</v>
      </c>
      <c r="H37" s="294"/>
      <c r="I37" s="294" t="s">
        <v>21</v>
      </c>
      <c r="J37" s="294"/>
      <c r="K37" s="301">
        <v>6500</v>
      </c>
      <c r="L37" s="294"/>
      <c r="M37" s="301">
        <v>5700</v>
      </c>
      <c r="N37" s="294"/>
      <c r="O37" s="301">
        <f>SUM(K37:N37)</f>
        <v>12200</v>
      </c>
      <c r="P37" s="294"/>
      <c r="Q37" s="298">
        <v>0</v>
      </c>
      <c r="R37" s="297"/>
      <c r="S37" s="298">
        <v>0</v>
      </c>
      <c r="T37" s="297"/>
      <c r="U37" s="298"/>
      <c r="V37" s="295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323"/>
      <c r="AJ37" s="323"/>
      <c r="AK37" s="323"/>
      <c r="AL37" s="323"/>
      <c r="AM37" s="323"/>
      <c r="AN37" s="323"/>
      <c r="AO37" s="323"/>
      <c r="AP37" s="323"/>
      <c r="AQ37" s="323"/>
      <c r="AR37" s="298"/>
      <c r="AS37" s="323"/>
      <c r="AT37" s="298"/>
      <c r="AU37" s="323"/>
      <c r="AV37" s="298"/>
      <c r="AW37" s="323"/>
      <c r="AX37" s="298"/>
      <c r="AY37" s="295">
        <f>SUM(P37:AX37)</f>
        <v>0</v>
      </c>
      <c r="AZ37" s="294"/>
      <c r="BA37" s="298">
        <v>-12200</v>
      </c>
      <c r="BB37" s="294"/>
      <c r="BC37" s="295">
        <f>IF(+O37-AY37+BA37&gt;0,O37-AY37+BA37,0)</f>
        <v>0</v>
      </c>
      <c r="BD37" s="294"/>
      <c r="BE37" s="295">
        <f>+BC37+AY37</f>
        <v>0</v>
      </c>
      <c r="BF37" s="294"/>
      <c r="BG37" s="305">
        <f>O37-AY37-BC37</f>
        <v>12200</v>
      </c>
    </row>
    <row r="38" spans="1:61" x14ac:dyDescent="0.25">
      <c r="A38" s="120"/>
      <c r="B38" s="31" t="s">
        <v>31</v>
      </c>
      <c r="C38" s="31" t="s">
        <v>29</v>
      </c>
      <c r="D38" s="294"/>
      <c r="E38" s="294" t="s">
        <v>17</v>
      </c>
      <c r="F38" s="294"/>
      <c r="G38" s="294" t="s">
        <v>9</v>
      </c>
      <c r="H38" s="294"/>
      <c r="I38" s="294" t="s">
        <v>21</v>
      </c>
      <c r="J38" s="294"/>
      <c r="K38" s="301">
        <v>24500</v>
      </c>
      <c r="L38" s="294"/>
      <c r="M38" s="301">
        <v>0</v>
      </c>
      <c r="N38" s="294"/>
      <c r="O38" s="301">
        <f>SUM(K38:N38)</f>
        <v>24500</v>
      </c>
      <c r="P38" s="294"/>
      <c r="Q38" s="298">
        <v>0</v>
      </c>
      <c r="R38" s="297"/>
      <c r="S38" s="298">
        <v>0</v>
      </c>
      <c r="T38" s="297"/>
      <c r="U38" s="298"/>
      <c r="V38" s="295"/>
      <c r="W38" s="298"/>
      <c r="X38" s="298"/>
      <c r="Y38" s="298"/>
      <c r="Z38" s="298"/>
      <c r="AA38" s="298"/>
      <c r="AB38" s="298"/>
      <c r="AC38" s="298"/>
      <c r="AD38" s="298"/>
      <c r="AE38" s="298">
        <f>12545.79+1664.69+9495.5</f>
        <v>23705.980000000003</v>
      </c>
      <c r="AF38" s="298"/>
      <c r="AG38" s="298"/>
      <c r="AH38" s="298"/>
      <c r="AI38" s="323">
        <v>157.26</v>
      </c>
      <c r="AJ38" s="323"/>
      <c r="AK38" s="323"/>
      <c r="AL38" s="323"/>
      <c r="AM38" s="323">
        <v>-1665</v>
      </c>
      <c r="AN38" s="323"/>
      <c r="AO38" s="323"/>
      <c r="AP38" s="323"/>
      <c r="AQ38" s="323"/>
      <c r="AR38" s="298"/>
      <c r="AS38" s="323"/>
      <c r="AT38" s="298"/>
      <c r="AU38" s="323"/>
      <c r="AV38" s="298"/>
      <c r="AW38" s="323"/>
      <c r="AX38" s="298"/>
      <c r="AY38" s="295">
        <f>SUM(P38:AX38)</f>
        <v>22198.240000000002</v>
      </c>
      <c r="AZ38" s="294"/>
      <c r="BA38" s="298">
        <f>47300-24500-25102</f>
        <v>-2302</v>
      </c>
      <c r="BB38" s="294"/>
      <c r="BC38" s="295">
        <f>IF(+O38-AY38+BA38&gt;0,O38-AY38+BA38,0)</f>
        <v>0</v>
      </c>
      <c r="BD38" s="294"/>
      <c r="BE38" s="295">
        <f>+BC38+AY38</f>
        <v>22198.240000000002</v>
      </c>
      <c r="BF38" s="294"/>
      <c r="BG38" s="305">
        <f>O38-AY38-BC38</f>
        <v>2301.7599999999984</v>
      </c>
    </row>
    <row r="39" spans="1:61" x14ac:dyDescent="0.25">
      <c r="A39" s="120"/>
      <c r="B39" s="31" t="s">
        <v>32</v>
      </c>
      <c r="C39" s="31" t="s">
        <v>29</v>
      </c>
      <c r="D39" s="294"/>
      <c r="E39" s="294" t="s">
        <v>17</v>
      </c>
      <c r="F39" s="294"/>
      <c r="G39" s="294" t="s">
        <v>9</v>
      </c>
      <c r="H39" s="294"/>
      <c r="I39" s="294" t="s">
        <v>21</v>
      </c>
      <c r="J39" s="294"/>
      <c r="K39" s="324">
        <v>113050</v>
      </c>
      <c r="L39" s="294"/>
      <c r="M39" s="324">
        <v>2250</v>
      </c>
      <c r="N39" s="294"/>
      <c r="O39" s="324">
        <f>SUM(K39:N39)</f>
        <v>115300</v>
      </c>
      <c r="P39" s="294"/>
      <c r="Q39" s="308">
        <v>0</v>
      </c>
      <c r="R39" s="297"/>
      <c r="S39" s="308">
        <f>6458.22+5928.72</f>
        <v>12386.94</v>
      </c>
      <c r="T39" s="297"/>
      <c r="U39" s="308"/>
      <c r="V39" s="295"/>
      <c r="W39" s="308"/>
      <c r="X39" s="298"/>
      <c r="Y39" s="308"/>
      <c r="Z39" s="298"/>
      <c r="AA39" s="308"/>
      <c r="AB39" s="298"/>
      <c r="AC39" s="308"/>
      <c r="AD39" s="298"/>
      <c r="AE39" s="308">
        <f>1419.01+6010.81+3328.55+4712.46+4807.91</f>
        <v>20278.740000000002</v>
      </c>
      <c r="AF39" s="308"/>
      <c r="AG39" s="308">
        <f>4428.44+23454.27</f>
        <v>27882.71</v>
      </c>
      <c r="AH39" s="308"/>
      <c r="AI39" s="325">
        <f>2435.94+50166+800</f>
        <v>53401.94</v>
      </c>
      <c r="AJ39" s="325"/>
      <c r="AK39" s="325"/>
      <c r="AL39" s="325"/>
      <c r="AM39" s="325">
        <v>5500</v>
      </c>
      <c r="AN39" s="325"/>
      <c r="AO39" s="325">
        <v>37400.15</v>
      </c>
      <c r="AP39" s="325"/>
      <c r="AQ39" s="325"/>
      <c r="AR39" s="308"/>
      <c r="AS39" s="325"/>
      <c r="AT39" s="308"/>
      <c r="AU39" s="325"/>
      <c r="AV39" s="308"/>
      <c r="AW39" s="325"/>
      <c r="AX39" s="308"/>
      <c r="AY39" s="295">
        <f>SUM(P39:AX39)</f>
        <v>156850.48000000001</v>
      </c>
      <c r="AZ39" s="294"/>
      <c r="BA39" s="308">
        <f>142000-115300</f>
        <v>26700</v>
      </c>
      <c r="BB39" s="294"/>
      <c r="BC39" s="295">
        <f>IF(+O39-AY39+BA39&gt;0,O39-AY39+BA39,0)</f>
        <v>0</v>
      </c>
      <c r="BD39" s="294"/>
      <c r="BE39" s="295">
        <f>+BC39+AY39</f>
        <v>156850.48000000001</v>
      </c>
      <c r="BF39" s="294"/>
      <c r="BG39" s="305">
        <f>O39-AY39-BC39</f>
        <v>-41550.48000000001</v>
      </c>
    </row>
    <row r="40" spans="1:61" x14ac:dyDescent="0.25">
      <c r="A40" s="120"/>
      <c r="B40" s="31" t="s">
        <v>143</v>
      </c>
      <c r="C40" s="31" t="s">
        <v>29</v>
      </c>
      <c r="D40" s="294"/>
      <c r="E40" s="294" t="s">
        <v>17</v>
      </c>
      <c r="F40" s="294"/>
      <c r="G40" s="294" t="s">
        <v>9</v>
      </c>
      <c r="H40" s="294"/>
      <c r="I40" s="294"/>
      <c r="J40" s="294"/>
      <c r="K40" s="306">
        <v>0</v>
      </c>
      <c r="L40" s="294"/>
      <c r="M40" s="306">
        <v>37551</v>
      </c>
      <c r="N40" s="294"/>
      <c r="O40" s="326">
        <f>SUM(K40:N40)</f>
        <v>37551</v>
      </c>
      <c r="P40" s="294"/>
      <c r="Q40" s="308">
        <v>0</v>
      </c>
      <c r="R40" s="297"/>
      <c r="S40" s="308">
        <v>37550.69</v>
      </c>
      <c r="T40" s="297"/>
      <c r="U40" s="308"/>
      <c r="V40" s="295"/>
      <c r="W40" s="308"/>
      <c r="X40" s="298"/>
      <c r="Y40" s="308"/>
      <c r="Z40" s="298"/>
      <c r="AA40" s="308"/>
      <c r="AB40" s="298"/>
      <c r="AC40" s="308"/>
      <c r="AD40" s="298"/>
      <c r="AE40" s="308">
        <v>35142.120000000003</v>
      </c>
      <c r="AF40" s="308"/>
      <c r="AG40" s="308"/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295">
        <f>SUM(P40:AX40)</f>
        <v>72692.81</v>
      </c>
      <c r="AZ40" s="294"/>
      <c r="BA40" s="308">
        <f>72693-37551</f>
        <v>35142</v>
      </c>
      <c r="BB40" s="294"/>
      <c r="BC40" s="295">
        <f>IF(+O40-AY40+BA40&gt;0,O40-AY40+BA40,0)</f>
        <v>0.19000000000232831</v>
      </c>
      <c r="BD40" s="294"/>
      <c r="BE40" s="295">
        <f>+BC40+AY40</f>
        <v>72693</v>
      </c>
      <c r="BF40" s="294"/>
      <c r="BG40" s="305">
        <f>O40-AY40-BC40</f>
        <v>-35142</v>
      </c>
    </row>
    <row r="41" spans="1:61" x14ac:dyDescent="0.25">
      <c r="A41" s="317"/>
      <c r="B41" s="31" t="s">
        <v>33</v>
      </c>
      <c r="C41" s="31"/>
      <c r="D41" s="294"/>
      <c r="E41" s="294"/>
      <c r="F41" s="294"/>
      <c r="G41" s="294"/>
      <c r="H41" s="294"/>
      <c r="I41" s="294"/>
      <c r="J41" s="294"/>
      <c r="K41" s="299">
        <f>SUM(K36:K40)</f>
        <v>395275</v>
      </c>
      <c r="L41" s="294"/>
      <c r="M41" s="299">
        <f>SUM(M36:M40)</f>
        <v>191776</v>
      </c>
      <c r="N41" s="294"/>
      <c r="O41" s="327">
        <f>SUM(O36:O40)</f>
        <v>587051</v>
      </c>
      <c r="P41" s="294"/>
      <c r="Q41" s="328">
        <f>SUM(Q36:Q40)</f>
        <v>0</v>
      </c>
      <c r="R41" s="297"/>
      <c r="S41" s="328">
        <f>SUM(S36:S40)</f>
        <v>182375.5</v>
      </c>
      <c r="T41" s="297"/>
      <c r="U41" s="328">
        <f>SUM(U36:U40)</f>
        <v>0</v>
      </c>
      <c r="V41" s="295"/>
      <c r="W41" s="328">
        <f>SUM(W36:W40)</f>
        <v>0</v>
      </c>
      <c r="X41" s="298"/>
      <c r="Y41" s="328">
        <f>SUM(Y36:Y40)</f>
        <v>0</v>
      </c>
      <c r="Z41" s="298"/>
      <c r="AA41" s="328">
        <f>SUM(AA36:AA40)</f>
        <v>0</v>
      </c>
      <c r="AB41" s="298"/>
      <c r="AC41" s="328">
        <f>SUM(AC36:AC40)</f>
        <v>0</v>
      </c>
      <c r="AD41" s="298"/>
      <c r="AE41" s="328">
        <f>SUM(AE36:AE40)</f>
        <v>324237.56</v>
      </c>
      <c r="AF41" s="314"/>
      <c r="AG41" s="328">
        <f>SUM(AG36:AG40)</f>
        <v>125335.43</v>
      </c>
      <c r="AH41" s="314"/>
      <c r="AI41" s="328">
        <f>SUM(AI36:AI40)</f>
        <v>30644.46</v>
      </c>
      <c r="AJ41" s="314"/>
      <c r="AK41" s="328">
        <f>SUM(AK36:AK40)</f>
        <v>0</v>
      </c>
      <c r="AL41" s="314"/>
      <c r="AM41" s="328">
        <f>SUM(AM36:AM40)</f>
        <v>21103.41</v>
      </c>
      <c r="AN41" s="314"/>
      <c r="AO41" s="328">
        <f>SUM(AO36:AO40)</f>
        <v>42455.08</v>
      </c>
      <c r="AP41" s="314"/>
      <c r="AQ41" s="328">
        <f>SUM(AQ36:AQ40)</f>
        <v>7051.9</v>
      </c>
      <c r="AR41" s="314"/>
      <c r="AS41" s="328">
        <f>SUM(AS36:AS40)</f>
        <v>0</v>
      </c>
      <c r="AT41" s="314"/>
      <c r="AU41" s="328">
        <f>SUM(AU36:AU40)</f>
        <v>0</v>
      </c>
      <c r="AV41" s="314"/>
      <c r="AW41" s="328">
        <f>SUM(AW36:AW40)</f>
        <v>0</v>
      </c>
      <c r="AX41" s="314"/>
      <c r="AY41" s="329">
        <f>SUM(AY36:AY40)</f>
        <v>733203.33999999985</v>
      </c>
      <c r="AZ41" s="294"/>
      <c r="BA41" s="328">
        <f>SUM(BA36:BA40)</f>
        <v>132821</v>
      </c>
      <c r="BB41" s="294"/>
      <c r="BC41" s="329">
        <f>SUM(BC36:BC40)</f>
        <v>1519.3800000000629</v>
      </c>
      <c r="BD41" s="294"/>
      <c r="BE41" s="329">
        <f>SUM(BE36:BE40)</f>
        <v>734722.72</v>
      </c>
      <c r="BF41" s="294"/>
      <c r="BG41" s="328">
        <f>SUM(BG36:BG40)</f>
        <v>-147671.72000000003</v>
      </c>
    </row>
    <row r="42" spans="1:61" x14ac:dyDescent="0.25">
      <c r="A42" s="120"/>
      <c r="B42" s="31"/>
      <c r="C42" s="31"/>
      <c r="D42" s="294"/>
      <c r="E42" s="294"/>
      <c r="F42" s="294"/>
      <c r="G42" s="294"/>
      <c r="H42" s="294"/>
      <c r="I42" s="294"/>
      <c r="J42" s="294"/>
      <c r="K42" s="295"/>
      <c r="L42" s="294"/>
      <c r="M42" s="295"/>
      <c r="N42" s="294"/>
      <c r="O42" s="295"/>
      <c r="P42" s="294"/>
      <c r="Q42" s="298"/>
      <c r="R42" s="297"/>
      <c r="S42" s="298"/>
      <c r="T42" s="297"/>
      <c r="U42" s="298"/>
      <c r="V42" s="295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5"/>
      <c r="AZ42" s="294"/>
      <c r="BA42" s="298"/>
      <c r="BB42" s="294"/>
      <c r="BC42" s="295"/>
      <c r="BD42" s="294"/>
      <c r="BE42" s="295"/>
      <c r="BF42" s="294"/>
      <c r="BG42" s="295"/>
    </row>
    <row r="43" spans="1:61" x14ac:dyDescent="0.25">
      <c r="A43" s="312"/>
      <c r="B43" s="31"/>
      <c r="C43" s="31"/>
      <c r="D43" s="294"/>
      <c r="E43" s="294"/>
      <c r="F43" s="294"/>
      <c r="G43" s="294"/>
      <c r="H43" s="294"/>
      <c r="I43" s="294"/>
      <c r="J43" s="294"/>
      <c r="K43" s="295"/>
      <c r="L43" s="294"/>
      <c r="M43" s="295"/>
      <c r="N43" s="294"/>
      <c r="O43" s="295"/>
      <c r="P43" s="294"/>
      <c r="Q43" s="298"/>
      <c r="R43" s="297"/>
      <c r="S43" s="298"/>
      <c r="T43" s="297"/>
      <c r="U43" s="298"/>
      <c r="V43" s="295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5"/>
      <c r="AZ43" s="294"/>
      <c r="BA43" s="298"/>
      <c r="BB43" s="294"/>
      <c r="BC43" s="295"/>
      <c r="BD43" s="294"/>
      <c r="BE43" s="295"/>
      <c r="BF43" s="294"/>
      <c r="BG43" s="295"/>
    </row>
    <row r="44" spans="1:61" x14ac:dyDescent="0.25">
      <c r="A44" s="112" t="s">
        <v>34</v>
      </c>
      <c r="B44" s="31"/>
      <c r="C44" s="31"/>
      <c r="D44" s="294"/>
      <c r="E44" s="294"/>
      <c r="F44" s="294"/>
      <c r="G44" s="294"/>
      <c r="H44" s="294"/>
      <c r="I44" s="294"/>
      <c r="J44" s="294"/>
      <c r="K44" s="295"/>
      <c r="L44" s="294"/>
      <c r="M44" s="295"/>
      <c r="N44" s="294"/>
      <c r="O44" s="295"/>
      <c r="P44" s="294"/>
      <c r="Q44" s="298"/>
      <c r="R44" s="297"/>
      <c r="S44" s="298"/>
      <c r="T44" s="297"/>
      <c r="U44" s="298"/>
      <c r="V44" s="295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5"/>
      <c r="AZ44" s="294"/>
      <c r="BA44" s="298"/>
      <c r="BB44" s="294"/>
      <c r="BC44" s="295"/>
      <c r="BD44" s="294"/>
      <c r="BE44" s="295"/>
      <c r="BF44" s="294"/>
      <c r="BG44" s="295"/>
    </row>
    <row r="45" spans="1:61" x14ac:dyDescent="0.25">
      <c r="A45" s="112"/>
      <c r="B45" s="31" t="s">
        <v>212</v>
      </c>
      <c r="C45" s="31" t="s">
        <v>36</v>
      </c>
      <c r="D45" s="294"/>
      <c r="E45" s="294" t="s">
        <v>17</v>
      </c>
      <c r="F45" s="294"/>
      <c r="G45" s="294" t="s">
        <v>254</v>
      </c>
      <c r="H45" s="294"/>
      <c r="I45" s="294"/>
      <c r="J45" s="294"/>
      <c r="K45" s="301">
        <v>53528</v>
      </c>
      <c r="L45" s="294"/>
      <c r="M45" s="295">
        <v>0</v>
      </c>
      <c r="N45" s="294"/>
      <c r="O45" s="301">
        <f t="shared" ref="O45:O66" si="7">SUM(K45:N45)</f>
        <v>53528</v>
      </c>
      <c r="P45" s="294"/>
      <c r="Q45" s="298">
        <v>0</v>
      </c>
      <c r="R45" s="297"/>
      <c r="S45" s="298">
        <v>0</v>
      </c>
      <c r="T45" s="297"/>
      <c r="U45" s="298"/>
      <c r="V45" s="295"/>
      <c r="W45" s="298"/>
      <c r="X45" s="298"/>
      <c r="Y45" s="298"/>
      <c r="Z45" s="298"/>
      <c r="AA45" s="298"/>
      <c r="AB45" s="298"/>
      <c r="AC45" s="298">
        <f>107.3+609.76+1957.32+553.52+171.68+37690.26+1519.66+7900.24+2370.07+14934.96+14934.96+343.48+10136.21+13602.68-14934.96</f>
        <v>91897.140000000014</v>
      </c>
      <c r="AD45" s="298"/>
      <c r="AE45" s="298"/>
      <c r="AF45" s="298"/>
      <c r="AG45" s="298">
        <v>-91897</v>
      </c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5">
        <f t="shared" ref="AY45:AY66" si="8">SUM(P45:AX45)</f>
        <v>0.14000000001396984</v>
      </c>
      <c r="AZ45" s="294"/>
      <c r="BA45" s="298">
        <f>160227-53528+6891+247-167365</f>
        <v>-53528</v>
      </c>
      <c r="BB45" s="294"/>
      <c r="BC45" s="295">
        <f>IF(+O45-AY45+BA45&gt;0,O45-AY45+BA45,0)</f>
        <v>0</v>
      </c>
      <c r="BD45" s="294"/>
      <c r="BE45" s="295">
        <f t="shared" ref="BE45:BE66" si="9">+BC45+AY45</f>
        <v>0.14000000001396984</v>
      </c>
      <c r="BF45" s="294"/>
      <c r="BG45" s="295">
        <f t="shared" ref="BG45:BG67" si="10">+O45-BE45</f>
        <v>53527.859999999986</v>
      </c>
    </row>
    <row r="46" spans="1:61" x14ac:dyDescent="0.25">
      <c r="A46" s="112"/>
      <c r="B46" s="31" t="s">
        <v>213</v>
      </c>
      <c r="C46" s="31"/>
      <c r="D46" s="294"/>
      <c r="E46" s="294" t="s">
        <v>17</v>
      </c>
      <c r="F46" s="294"/>
      <c r="G46" s="294" t="s">
        <v>254</v>
      </c>
      <c r="H46" s="294"/>
      <c r="I46" s="294"/>
      <c r="J46" s="294"/>
      <c r="K46" s="301">
        <v>1228835</v>
      </c>
      <c r="L46" s="294"/>
      <c r="M46" s="295">
        <v>0</v>
      </c>
      <c r="N46" s="294"/>
      <c r="O46" s="301">
        <f t="shared" si="7"/>
        <v>1228835</v>
      </c>
      <c r="P46" s="294"/>
      <c r="Q46" s="298">
        <v>0</v>
      </c>
      <c r="R46" s="297"/>
      <c r="S46" s="298">
        <f>82024</f>
        <v>82024</v>
      </c>
      <c r="T46" s="297"/>
      <c r="U46" s="298">
        <f>133481.76+87112.24</f>
        <v>220594</v>
      </c>
      <c r="V46" s="295"/>
      <c r="W46" s="298"/>
      <c r="X46" s="298"/>
      <c r="Y46" s="298"/>
      <c r="Z46" s="298"/>
      <c r="AA46" s="298">
        <f>274036.5+7977+100832.4+4050</f>
        <v>386895.9</v>
      </c>
      <c r="AB46" s="298"/>
      <c r="AC46" s="298">
        <f>34401+5220</f>
        <v>39621</v>
      </c>
      <c r="AD46" s="298"/>
      <c r="AE46" s="298">
        <v>149.25</v>
      </c>
      <c r="AF46" s="298"/>
      <c r="AG46" s="298">
        <f>11206.6+30448.5-770939</f>
        <v>-729283.9</v>
      </c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5">
        <f t="shared" si="8"/>
        <v>0.25</v>
      </c>
      <c r="AZ46" s="294"/>
      <c r="BA46" s="298">
        <f>460192-1228835+7968-468160</f>
        <v>-1228835</v>
      </c>
      <c r="BB46" s="294"/>
      <c r="BC46" s="295">
        <f>IF(+O46-AY46+BA46&gt;0,O46-AY46+BA46,0)</f>
        <v>0</v>
      </c>
      <c r="BD46" s="294"/>
      <c r="BE46" s="330">
        <f t="shared" si="9"/>
        <v>0.25</v>
      </c>
      <c r="BF46" s="294"/>
      <c r="BG46" s="295">
        <f t="shared" si="10"/>
        <v>1228834.75</v>
      </c>
      <c r="BI46" s="157"/>
    </row>
    <row r="47" spans="1:61" x14ac:dyDescent="0.25">
      <c r="A47" s="112"/>
      <c r="B47" s="31" t="s">
        <v>214</v>
      </c>
      <c r="C47" s="31"/>
      <c r="D47" s="294"/>
      <c r="E47" s="294" t="s">
        <v>17</v>
      </c>
      <c r="F47" s="294"/>
      <c r="G47" s="294" t="s">
        <v>254</v>
      </c>
      <c r="H47" s="294"/>
      <c r="I47" s="294"/>
      <c r="J47" s="294"/>
      <c r="K47" s="301">
        <v>18358</v>
      </c>
      <c r="L47" s="294"/>
      <c r="M47" s="295">
        <v>0</v>
      </c>
      <c r="N47" s="294"/>
      <c r="O47" s="301">
        <f t="shared" si="7"/>
        <v>18358</v>
      </c>
      <c r="P47" s="294"/>
      <c r="Q47" s="298">
        <v>0</v>
      </c>
      <c r="R47" s="297"/>
      <c r="S47" s="298">
        <v>0</v>
      </c>
      <c r="T47" s="297"/>
      <c r="U47" s="298"/>
      <c r="V47" s="295"/>
      <c r="W47" s="298"/>
      <c r="X47" s="298"/>
      <c r="Y47" s="298"/>
      <c r="Z47" s="298"/>
      <c r="AA47" s="298"/>
      <c r="AB47" s="298"/>
      <c r="AC47" s="298">
        <f>6533+920</f>
        <v>7453</v>
      </c>
      <c r="AD47" s="298"/>
      <c r="AE47" s="298"/>
      <c r="AF47" s="298"/>
      <c r="AG47" s="298">
        <v>-7453</v>
      </c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5">
        <f t="shared" si="8"/>
        <v>0</v>
      </c>
      <c r="AZ47" s="294"/>
      <c r="BA47" s="298">
        <f>1104+1154-20616</f>
        <v>-18358</v>
      </c>
      <c r="BB47" s="294"/>
      <c r="BC47" s="295">
        <f>IF(+O47-AY47+BA47&gt;0,O47-AY47+BA47,0)</f>
        <v>0</v>
      </c>
      <c r="BD47" s="294"/>
      <c r="BE47" s="295">
        <f t="shared" si="9"/>
        <v>0</v>
      </c>
      <c r="BF47" s="294"/>
      <c r="BG47" s="295">
        <f t="shared" si="10"/>
        <v>18358</v>
      </c>
    </row>
    <row r="48" spans="1:61" x14ac:dyDescent="0.25">
      <c r="A48" s="112"/>
      <c r="B48" s="31" t="s">
        <v>215</v>
      </c>
      <c r="C48" s="31"/>
      <c r="D48" s="294"/>
      <c r="E48" s="294" t="s">
        <v>17</v>
      </c>
      <c r="F48" s="294"/>
      <c r="G48" s="294" t="s">
        <v>254</v>
      </c>
      <c r="H48" s="294"/>
      <c r="I48" s="294"/>
      <c r="J48" s="294"/>
      <c r="K48" s="301">
        <v>337106</v>
      </c>
      <c r="L48" s="294"/>
      <c r="M48" s="295">
        <v>0</v>
      </c>
      <c r="N48" s="294"/>
      <c r="O48" s="301">
        <f t="shared" si="7"/>
        <v>337106</v>
      </c>
      <c r="P48" s="294"/>
      <c r="Q48" s="298">
        <v>0</v>
      </c>
      <c r="R48" s="297"/>
      <c r="S48" s="298">
        <v>0</v>
      </c>
      <c r="T48" s="297"/>
      <c r="U48" s="298">
        <v>53.62</v>
      </c>
      <c r="V48" s="295"/>
      <c r="W48" s="298">
        <f>1665.8+90040.32</f>
        <v>91706.12000000001</v>
      </c>
      <c r="X48" s="298"/>
      <c r="Y48" s="298">
        <f>309600</f>
        <v>309600</v>
      </c>
      <c r="Z48" s="298"/>
      <c r="AA48" s="298"/>
      <c r="AB48" s="298"/>
      <c r="AC48" s="298">
        <f>36582+147+3060</f>
        <v>39789</v>
      </c>
      <c r="AD48" s="298"/>
      <c r="AE48" s="298"/>
      <c r="AF48" s="298"/>
      <c r="AG48" s="298">
        <v>-441149</v>
      </c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5">
        <f t="shared" si="8"/>
        <v>-0.26000000000931323</v>
      </c>
      <c r="AZ48" s="294"/>
      <c r="BA48" s="298">
        <f>249100-337106+942+676-250718</f>
        <v>-337106</v>
      </c>
      <c r="BB48" s="294"/>
      <c r="BC48" s="295">
        <f>O48-AY48+BA48</f>
        <v>0.26000000000931323</v>
      </c>
      <c r="BD48" s="294"/>
      <c r="BE48" s="295">
        <f t="shared" si="9"/>
        <v>0</v>
      </c>
      <c r="BF48" s="294"/>
      <c r="BG48" s="295">
        <f t="shared" si="10"/>
        <v>337106</v>
      </c>
    </row>
    <row r="49" spans="1:59" x14ac:dyDescent="0.25">
      <c r="A49" s="112"/>
      <c r="B49" s="31" t="s">
        <v>225</v>
      </c>
      <c r="C49" s="31"/>
      <c r="D49" s="294"/>
      <c r="E49" s="294" t="s">
        <v>17</v>
      </c>
      <c r="F49" s="294"/>
      <c r="G49" s="294" t="s">
        <v>254</v>
      </c>
      <c r="H49" s="294"/>
      <c r="I49" s="294"/>
      <c r="J49" s="294"/>
      <c r="K49" s="301">
        <v>95368</v>
      </c>
      <c r="L49" s="294"/>
      <c r="M49" s="295">
        <v>0</v>
      </c>
      <c r="N49" s="294"/>
      <c r="O49" s="301">
        <f t="shared" si="7"/>
        <v>95368</v>
      </c>
      <c r="P49" s="294"/>
      <c r="Q49" s="298">
        <v>0</v>
      </c>
      <c r="R49" s="297"/>
      <c r="S49" s="298">
        <v>0</v>
      </c>
      <c r="T49" s="297"/>
      <c r="U49" s="298"/>
      <c r="V49" s="295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5">
        <f t="shared" si="8"/>
        <v>0</v>
      </c>
      <c r="AZ49" s="294"/>
      <c r="BA49" s="298">
        <f>-95368</f>
        <v>-95368</v>
      </c>
      <c r="BB49" s="294"/>
      <c r="BC49" s="295">
        <f t="shared" ref="BC49:BC66" si="11">IF(+O49-AY49+BA49&gt;0,O49-AY49+BA49,0)</f>
        <v>0</v>
      </c>
      <c r="BD49" s="294"/>
      <c r="BE49" s="298">
        <f t="shared" si="9"/>
        <v>0</v>
      </c>
      <c r="BF49" s="294"/>
      <c r="BG49" s="295">
        <f t="shared" si="10"/>
        <v>95368</v>
      </c>
    </row>
    <row r="50" spans="1:59" x14ac:dyDescent="0.25">
      <c r="A50" s="112"/>
      <c r="B50" s="31" t="s">
        <v>216</v>
      </c>
      <c r="C50" s="31"/>
      <c r="D50" s="294"/>
      <c r="E50" s="294" t="s">
        <v>17</v>
      </c>
      <c r="F50" s="294"/>
      <c r="G50" s="294" t="s">
        <v>254</v>
      </c>
      <c r="H50" s="294"/>
      <c r="I50" s="294"/>
      <c r="J50" s="294"/>
      <c r="K50" s="301">
        <v>2765</v>
      </c>
      <c r="L50" s="294"/>
      <c r="M50" s="295">
        <v>0</v>
      </c>
      <c r="N50" s="294"/>
      <c r="O50" s="301">
        <f t="shared" si="7"/>
        <v>2765</v>
      </c>
      <c r="P50" s="294"/>
      <c r="Q50" s="298">
        <v>0</v>
      </c>
      <c r="R50" s="297"/>
      <c r="S50" s="298">
        <v>0</v>
      </c>
      <c r="T50" s="297"/>
      <c r="U50" s="298">
        <v>0</v>
      </c>
      <c r="V50" s="295"/>
      <c r="W50" s="298"/>
      <c r="X50" s="298"/>
      <c r="Y50" s="298"/>
      <c r="Z50" s="298"/>
      <c r="AA50" s="298">
        <v>66392</v>
      </c>
      <c r="AB50" s="298"/>
      <c r="AC50" s="298">
        <f>2600+14933+20.33+281+4834+361+15.1+315</f>
        <v>23359.43</v>
      </c>
      <c r="AD50" s="298"/>
      <c r="AE50" s="298">
        <v>4163</v>
      </c>
      <c r="AF50" s="298"/>
      <c r="AG50" s="298">
        <v>-93914</v>
      </c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5">
        <f t="shared" si="8"/>
        <v>0.42999999999301508</v>
      </c>
      <c r="AZ50" s="294"/>
      <c r="BA50" s="298">
        <f>73732-2765+6881+4743-85356</f>
        <v>-2765</v>
      </c>
      <c r="BB50" s="294"/>
      <c r="BC50" s="295">
        <f t="shared" si="11"/>
        <v>0</v>
      </c>
      <c r="BD50" s="294"/>
      <c r="BE50" s="330">
        <f t="shared" si="9"/>
        <v>0.42999999999301508</v>
      </c>
      <c r="BF50" s="294"/>
      <c r="BG50" s="295">
        <f t="shared" si="10"/>
        <v>2764.570000000007</v>
      </c>
    </row>
    <row r="51" spans="1:59" x14ac:dyDescent="0.25">
      <c r="A51" s="112"/>
      <c r="B51" s="31" t="s">
        <v>478</v>
      </c>
      <c r="C51" s="31"/>
      <c r="D51" s="294"/>
      <c r="E51" s="294" t="s">
        <v>17</v>
      </c>
      <c r="F51" s="294"/>
      <c r="G51" s="294" t="s">
        <v>254</v>
      </c>
      <c r="H51" s="294"/>
      <c r="I51" s="294"/>
      <c r="J51" s="294"/>
      <c r="K51" s="301">
        <v>0</v>
      </c>
      <c r="L51" s="294"/>
      <c r="M51" s="295">
        <v>0</v>
      </c>
      <c r="N51" s="294"/>
      <c r="O51" s="301">
        <f>SUM(K51:N51)</f>
        <v>0</v>
      </c>
      <c r="P51" s="294"/>
      <c r="Q51" s="298">
        <v>0</v>
      </c>
      <c r="R51" s="297"/>
      <c r="S51" s="298">
        <v>0</v>
      </c>
      <c r="T51" s="297"/>
      <c r="U51" s="298">
        <v>0</v>
      </c>
      <c r="V51" s="295"/>
      <c r="W51" s="298"/>
      <c r="X51" s="298"/>
      <c r="Y51" s="298"/>
      <c r="Z51" s="298"/>
      <c r="AA51" s="298"/>
      <c r="AB51" s="298"/>
      <c r="AC51" s="298">
        <f>84.08+136.44+310.14</f>
        <v>530.66</v>
      </c>
      <c r="AD51" s="298"/>
      <c r="AE51" s="298"/>
      <c r="AF51" s="298"/>
      <c r="AG51" s="298">
        <v>-531</v>
      </c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5">
        <f t="shared" si="8"/>
        <v>-0.34000000000003183</v>
      </c>
      <c r="AZ51" s="294"/>
      <c r="BA51" s="298">
        <f>920+2896+500+156-428-4044</f>
        <v>0</v>
      </c>
      <c r="BB51" s="294"/>
      <c r="BC51" s="295">
        <f t="shared" si="11"/>
        <v>0.34000000000003183</v>
      </c>
      <c r="BD51" s="294"/>
      <c r="BE51" s="295">
        <f>+BC51+AY51</f>
        <v>0</v>
      </c>
      <c r="BF51" s="294"/>
      <c r="BG51" s="295">
        <f t="shared" si="10"/>
        <v>0</v>
      </c>
    </row>
    <row r="52" spans="1:59" x14ac:dyDescent="0.25">
      <c r="A52" s="112"/>
      <c r="B52" s="31" t="s">
        <v>217</v>
      </c>
      <c r="C52" s="31"/>
      <c r="D52" s="294"/>
      <c r="E52" s="294" t="s">
        <v>17</v>
      </c>
      <c r="F52" s="294"/>
      <c r="G52" s="294" t="s">
        <v>254</v>
      </c>
      <c r="H52" s="294"/>
      <c r="I52" s="294"/>
      <c r="J52" s="294"/>
      <c r="K52" s="301">
        <v>188829</v>
      </c>
      <c r="L52" s="294"/>
      <c r="M52" s="295">
        <v>0</v>
      </c>
      <c r="N52" s="294"/>
      <c r="O52" s="301">
        <f t="shared" si="7"/>
        <v>188829</v>
      </c>
      <c r="P52" s="294"/>
      <c r="Q52" s="298">
        <v>0</v>
      </c>
      <c r="R52" s="297"/>
      <c r="S52" s="298">
        <v>0</v>
      </c>
      <c r="T52" s="297"/>
      <c r="U52" s="298"/>
      <c r="V52" s="295"/>
      <c r="W52" s="298"/>
      <c r="X52" s="298"/>
      <c r="Y52" s="298">
        <v>56700</v>
      </c>
      <c r="Z52" s="298"/>
      <c r="AA52" s="298"/>
      <c r="AB52" s="298"/>
      <c r="AC52" s="298"/>
      <c r="AD52" s="298"/>
      <c r="AE52" s="298">
        <f>24027+56064+64073</f>
        <v>144164</v>
      </c>
      <c r="AF52" s="298"/>
      <c r="AG52" s="298">
        <v>-200864</v>
      </c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5">
        <f t="shared" si="8"/>
        <v>0</v>
      </c>
      <c r="AZ52" s="294"/>
      <c r="BA52" s="298">
        <f>-13696-10000-165133</f>
        <v>-188829</v>
      </c>
      <c r="BB52" s="294"/>
      <c r="BC52" s="295">
        <f t="shared" si="11"/>
        <v>0</v>
      </c>
      <c r="BD52" s="294"/>
      <c r="BE52" s="305">
        <f t="shared" si="9"/>
        <v>0</v>
      </c>
      <c r="BF52" s="294"/>
      <c r="BG52" s="295">
        <f t="shared" si="10"/>
        <v>188829</v>
      </c>
    </row>
    <row r="53" spans="1:59" x14ac:dyDescent="0.25">
      <c r="A53" s="112"/>
      <c r="B53" s="31" t="s">
        <v>218</v>
      </c>
      <c r="C53" s="31"/>
      <c r="D53" s="294"/>
      <c r="E53" s="294" t="s">
        <v>17</v>
      </c>
      <c r="F53" s="294"/>
      <c r="G53" s="294" t="s">
        <v>254</v>
      </c>
      <c r="H53" s="294"/>
      <c r="I53" s="294"/>
      <c r="J53" s="294"/>
      <c r="K53" s="301">
        <v>44266</v>
      </c>
      <c r="L53" s="294"/>
      <c r="M53" s="295">
        <v>0</v>
      </c>
      <c r="N53" s="294"/>
      <c r="O53" s="301">
        <f t="shared" si="7"/>
        <v>44266</v>
      </c>
      <c r="P53" s="294"/>
      <c r="Q53" s="298">
        <v>0</v>
      </c>
      <c r="R53" s="297"/>
      <c r="S53" s="298">
        <v>0</v>
      </c>
      <c r="T53" s="297"/>
      <c r="U53" s="298"/>
      <c r="V53" s="295"/>
      <c r="W53" s="298"/>
      <c r="X53" s="298"/>
      <c r="Y53" s="298"/>
      <c r="Z53" s="298"/>
      <c r="AA53" s="298"/>
      <c r="AB53" s="298"/>
      <c r="AC53" s="323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5">
        <f t="shared" si="8"/>
        <v>0</v>
      </c>
      <c r="AZ53" s="294"/>
      <c r="BA53" s="298">
        <f>38712-44266-38712</f>
        <v>-44266</v>
      </c>
      <c r="BB53" s="294"/>
      <c r="BC53" s="295">
        <f t="shared" si="11"/>
        <v>0</v>
      </c>
      <c r="BD53" s="294"/>
      <c r="BE53" s="295">
        <f t="shared" si="9"/>
        <v>0</v>
      </c>
      <c r="BF53" s="294"/>
      <c r="BG53" s="295">
        <f t="shared" si="10"/>
        <v>44266</v>
      </c>
    </row>
    <row r="54" spans="1:59" x14ac:dyDescent="0.25">
      <c r="A54" s="112"/>
      <c r="B54" s="31" t="s">
        <v>219</v>
      </c>
      <c r="C54" s="31"/>
      <c r="D54" s="294"/>
      <c r="E54" s="294" t="s">
        <v>17</v>
      </c>
      <c r="F54" s="294"/>
      <c r="G54" s="294" t="s">
        <v>254</v>
      </c>
      <c r="H54" s="294"/>
      <c r="I54" s="294"/>
      <c r="J54" s="294"/>
      <c r="K54" s="301">
        <v>63897</v>
      </c>
      <c r="L54" s="294"/>
      <c r="M54" s="295">
        <v>0</v>
      </c>
      <c r="N54" s="294"/>
      <c r="O54" s="301">
        <f t="shared" si="7"/>
        <v>63897</v>
      </c>
      <c r="P54" s="294"/>
      <c r="Q54" s="298">
        <v>0</v>
      </c>
      <c r="R54" s="297"/>
      <c r="S54" s="298">
        <v>0</v>
      </c>
      <c r="T54" s="297"/>
      <c r="U54" s="298"/>
      <c r="V54" s="295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5">
        <f t="shared" si="8"/>
        <v>0</v>
      </c>
      <c r="AZ54" s="294"/>
      <c r="BA54" s="298">
        <f>16002-63897+115+64-16181</f>
        <v>-63897</v>
      </c>
      <c r="BB54" s="294"/>
      <c r="BC54" s="295">
        <f t="shared" si="11"/>
        <v>0</v>
      </c>
      <c r="BD54" s="294"/>
      <c r="BE54" s="295">
        <f t="shared" si="9"/>
        <v>0</v>
      </c>
      <c r="BF54" s="294"/>
      <c r="BG54" s="295">
        <f t="shared" si="10"/>
        <v>63897</v>
      </c>
    </row>
    <row r="55" spans="1:59" x14ac:dyDescent="0.25">
      <c r="A55" s="112"/>
      <c r="B55" s="31" t="s">
        <v>380</v>
      </c>
      <c r="C55" s="31"/>
      <c r="D55" s="294"/>
      <c r="E55" s="294" t="s">
        <v>17</v>
      </c>
      <c r="F55" s="294"/>
      <c r="G55" s="294" t="s">
        <v>254</v>
      </c>
      <c r="H55" s="294"/>
      <c r="I55" s="294"/>
      <c r="J55" s="294"/>
      <c r="K55" s="301">
        <v>61269</v>
      </c>
      <c r="L55" s="294"/>
      <c r="M55" s="295">
        <v>0</v>
      </c>
      <c r="N55" s="294"/>
      <c r="O55" s="301">
        <f t="shared" si="7"/>
        <v>61269</v>
      </c>
      <c r="P55" s="294"/>
      <c r="Q55" s="298">
        <v>0</v>
      </c>
      <c r="R55" s="297"/>
      <c r="S55" s="298">
        <v>0</v>
      </c>
      <c r="T55" s="297"/>
      <c r="U55" s="298"/>
      <c r="V55" s="295"/>
      <c r="W55" s="298"/>
      <c r="X55" s="298"/>
      <c r="Y55" s="298">
        <f>1540.63+329.79</f>
        <v>1870.42</v>
      </c>
      <c r="Z55" s="298"/>
      <c r="AA55" s="298">
        <v>0</v>
      </c>
      <c r="AB55" s="298"/>
      <c r="AC55" s="298"/>
      <c r="AD55" s="298"/>
      <c r="AE55" s="298"/>
      <c r="AF55" s="298"/>
      <c r="AG55" s="298">
        <v>-1870</v>
      </c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5">
        <f t="shared" si="8"/>
        <v>0.42000000000007276</v>
      </c>
      <c r="AZ55" s="294"/>
      <c r="BA55" s="298">
        <f>3672+5970+647-71558</f>
        <v>-61269</v>
      </c>
      <c r="BB55" s="294"/>
      <c r="BC55" s="295">
        <f t="shared" si="11"/>
        <v>0</v>
      </c>
      <c r="BD55" s="294"/>
      <c r="BE55" s="295">
        <f t="shared" si="9"/>
        <v>0.42000000000007276</v>
      </c>
      <c r="BF55" s="294"/>
      <c r="BG55" s="295">
        <f t="shared" si="10"/>
        <v>61268.58</v>
      </c>
    </row>
    <row r="56" spans="1:59" x14ac:dyDescent="0.25">
      <c r="A56" s="112"/>
      <c r="B56" s="31" t="s">
        <v>220</v>
      </c>
      <c r="C56" s="31"/>
      <c r="D56" s="294"/>
      <c r="E56" s="294" t="s">
        <v>17</v>
      </c>
      <c r="F56" s="294"/>
      <c r="G56" s="294" t="s">
        <v>254</v>
      </c>
      <c r="H56" s="294"/>
      <c r="I56" s="294"/>
      <c r="J56" s="294"/>
      <c r="K56" s="301">
        <v>424721</v>
      </c>
      <c r="L56" s="294"/>
      <c r="M56" s="295">
        <v>0</v>
      </c>
      <c r="N56" s="294"/>
      <c r="O56" s="301">
        <f t="shared" si="7"/>
        <v>424721</v>
      </c>
      <c r="P56" s="294"/>
      <c r="Q56" s="298">
        <v>0</v>
      </c>
      <c r="R56" s="297"/>
      <c r="S56" s="298">
        <v>0</v>
      </c>
      <c r="T56" s="297"/>
      <c r="U56" s="298"/>
      <c r="V56" s="295"/>
      <c r="W56" s="298"/>
      <c r="X56" s="298"/>
      <c r="Y56" s="298"/>
      <c r="Z56" s="298"/>
      <c r="AA56" s="298"/>
      <c r="AB56" s="298"/>
      <c r="AC56" s="298">
        <f>42687.75</f>
        <v>42687.75</v>
      </c>
      <c r="AD56" s="298"/>
      <c r="AE56" s="298"/>
      <c r="AF56" s="298"/>
      <c r="AG56" s="298">
        <v>-42688</v>
      </c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5">
        <f t="shared" si="8"/>
        <v>-0.25</v>
      </c>
      <c r="AZ56" s="294"/>
      <c r="BA56" s="298">
        <f>238467-424721-12000-25000-3375+494-198586</f>
        <v>-424721</v>
      </c>
      <c r="BB56" s="294"/>
      <c r="BC56" s="295">
        <f t="shared" si="11"/>
        <v>0.25</v>
      </c>
      <c r="BD56" s="294"/>
      <c r="BE56" s="295">
        <f t="shared" si="9"/>
        <v>0</v>
      </c>
      <c r="BF56" s="294"/>
      <c r="BG56" s="295">
        <f t="shared" si="10"/>
        <v>424721</v>
      </c>
    </row>
    <row r="57" spans="1:59" x14ac:dyDescent="0.25">
      <c r="A57" s="112"/>
      <c r="B57" s="31" t="s">
        <v>221</v>
      </c>
      <c r="C57" s="31"/>
      <c r="D57" s="294"/>
      <c r="E57" s="294" t="s">
        <v>17</v>
      </c>
      <c r="F57" s="294"/>
      <c r="G57" s="294" t="s">
        <v>254</v>
      </c>
      <c r="H57" s="294"/>
      <c r="I57" s="294"/>
      <c r="J57" s="294"/>
      <c r="K57" s="301">
        <v>65690</v>
      </c>
      <c r="L57" s="294"/>
      <c r="M57" s="295">
        <v>0</v>
      </c>
      <c r="N57" s="294"/>
      <c r="O57" s="301">
        <f t="shared" si="7"/>
        <v>65690</v>
      </c>
      <c r="P57" s="294"/>
      <c r="Q57" s="298">
        <v>0</v>
      </c>
      <c r="R57" s="297"/>
      <c r="S57" s="298">
        <v>0</v>
      </c>
      <c r="T57" s="297"/>
      <c r="U57" s="298"/>
      <c r="V57" s="295"/>
      <c r="W57" s="298"/>
      <c r="X57" s="298"/>
      <c r="Y57" s="298"/>
      <c r="Z57" s="298"/>
      <c r="AA57" s="298"/>
      <c r="AB57" s="298"/>
      <c r="AC57" s="298">
        <f>370+9558.54+102.52</f>
        <v>10031.060000000001</v>
      </c>
      <c r="AD57" s="298"/>
      <c r="AE57" s="298"/>
      <c r="AF57" s="298"/>
      <c r="AG57" s="298">
        <v>-10031</v>
      </c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5">
        <f t="shared" si="8"/>
        <v>6.0000000001309672E-2</v>
      </c>
      <c r="AZ57" s="294"/>
      <c r="BA57" s="298">
        <f>-21954+771-44507</f>
        <v>-65690</v>
      </c>
      <c r="BB57" s="294"/>
      <c r="BC57" s="295">
        <f t="shared" si="11"/>
        <v>0</v>
      </c>
      <c r="BD57" s="294"/>
      <c r="BE57" s="295">
        <f t="shared" si="9"/>
        <v>6.0000000001309672E-2</v>
      </c>
      <c r="BF57" s="294"/>
      <c r="BG57" s="295">
        <f t="shared" si="10"/>
        <v>65689.94</v>
      </c>
    </row>
    <row r="58" spans="1:59" x14ac:dyDescent="0.25">
      <c r="A58" s="112"/>
      <c r="B58" s="31" t="s">
        <v>412</v>
      </c>
      <c r="C58" s="31"/>
      <c r="D58" s="294"/>
      <c r="E58" s="294" t="s">
        <v>17</v>
      </c>
      <c r="F58" s="294"/>
      <c r="G58" s="294" t="s">
        <v>254</v>
      </c>
      <c r="H58" s="294"/>
      <c r="I58" s="294"/>
      <c r="J58" s="294"/>
      <c r="K58" s="301">
        <v>3447600</v>
      </c>
      <c r="L58" s="294"/>
      <c r="M58" s="295">
        <v>0</v>
      </c>
      <c r="N58" s="294"/>
      <c r="O58" s="301">
        <f t="shared" si="7"/>
        <v>3447600</v>
      </c>
      <c r="P58" s="294"/>
      <c r="Q58" s="298">
        <v>1136784</v>
      </c>
      <c r="R58" s="331"/>
      <c r="S58" s="298">
        <v>-123504</v>
      </c>
      <c r="T58" s="331"/>
      <c r="U58" s="298">
        <f>422200+78593.2+5736+1210</f>
        <v>507739.2</v>
      </c>
      <c r="V58" s="295"/>
      <c r="W58" s="298">
        <f>168880+506640</f>
        <v>675520</v>
      </c>
      <c r="X58" s="298"/>
      <c r="Y58" s="298">
        <f>422200+506640</f>
        <v>928840</v>
      </c>
      <c r="Z58" s="298"/>
      <c r="AA58" s="298"/>
      <c r="AB58" s="298"/>
      <c r="AC58" s="298">
        <v>50000</v>
      </c>
      <c r="AD58" s="298"/>
      <c r="AE58" s="298"/>
      <c r="AF58" s="298"/>
      <c r="AG58" s="298">
        <v>-3175379</v>
      </c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5">
        <f t="shared" si="8"/>
        <v>0.20000000018626451</v>
      </c>
      <c r="AZ58" s="294"/>
      <c r="BA58" s="298">
        <f>3625675-3447600+70597-3696272</f>
        <v>-3447600</v>
      </c>
      <c r="BB58" s="294"/>
      <c r="BC58" s="295">
        <f t="shared" si="11"/>
        <v>0</v>
      </c>
      <c r="BD58" s="294"/>
      <c r="BE58" s="295">
        <f t="shared" si="9"/>
        <v>0.20000000018626451</v>
      </c>
      <c r="BF58" s="294"/>
      <c r="BG58" s="295">
        <f t="shared" si="10"/>
        <v>3447599.8</v>
      </c>
    </row>
    <row r="59" spans="1:59" x14ac:dyDescent="0.25">
      <c r="A59" s="112"/>
      <c r="B59" s="31" t="s">
        <v>222</v>
      </c>
      <c r="C59" s="31"/>
      <c r="D59" s="294"/>
      <c r="E59" s="294" t="s">
        <v>17</v>
      </c>
      <c r="F59" s="294"/>
      <c r="G59" s="294" t="s">
        <v>254</v>
      </c>
      <c r="H59" s="294"/>
      <c r="I59" s="294"/>
      <c r="J59" s="294"/>
      <c r="K59" s="301">
        <v>137799</v>
      </c>
      <c r="L59" s="294"/>
      <c r="M59" s="295">
        <v>0</v>
      </c>
      <c r="N59" s="294"/>
      <c r="O59" s="301">
        <f t="shared" si="7"/>
        <v>137799</v>
      </c>
      <c r="P59" s="294"/>
      <c r="Q59" s="298">
        <v>0</v>
      </c>
      <c r="R59" s="297"/>
      <c r="S59" s="298">
        <v>0</v>
      </c>
      <c r="T59" s="297"/>
      <c r="U59" s="298"/>
      <c r="V59" s="295"/>
      <c r="W59" s="298"/>
      <c r="X59" s="298"/>
      <c r="Y59" s="298"/>
      <c r="Z59" s="298"/>
      <c r="AA59" s="298"/>
      <c r="AB59" s="298"/>
      <c r="AC59" s="298">
        <f>149.96+227.71+170605.8</f>
        <v>170983.47</v>
      </c>
      <c r="AD59" s="298"/>
      <c r="AE59" s="298">
        <f>10563.6+5286.52+3570</f>
        <v>19420.120000000003</v>
      </c>
      <c r="AF59" s="298"/>
      <c r="AG59" s="298">
        <v>-190404</v>
      </c>
      <c r="AH59" s="298"/>
      <c r="AI59" s="298"/>
      <c r="AJ59" s="298"/>
      <c r="AK59" s="298"/>
      <c r="AL59" s="298"/>
      <c r="AM59" s="298"/>
      <c r="AN59" s="298"/>
      <c r="AO59" s="298"/>
      <c r="AP59" s="298"/>
      <c r="AQ59" s="298"/>
      <c r="AR59" s="298"/>
      <c r="AS59" s="298"/>
      <c r="AT59" s="298"/>
      <c r="AU59" s="298"/>
      <c r="AV59" s="298"/>
      <c r="AW59" s="298"/>
      <c r="AX59" s="298"/>
      <c r="AY59" s="295">
        <f t="shared" si="8"/>
        <v>-0.41000000000349246</v>
      </c>
      <c r="AZ59" s="294"/>
      <c r="BA59" s="298">
        <f>218613-137799-3077+5000-220536</f>
        <v>-137799</v>
      </c>
      <c r="BB59" s="294"/>
      <c r="BC59" s="295">
        <f t="shared" si="11"/>
        <v>0.41000000000349246</v>
      </c>
      <c r="BD59" s="294"/>
      <c r="BE59" s="295">
        <f t="shared" si="9"/>
        <v>0</v>
      </c>
      <c r="BF59" s="294"/>
      <c r="BG59" s="295">
        <f t="shared" si="10"/>
        <v>137799</v>
      </c>
    </row>
    <row r="60" spans="1:59" x14ac:dyDescent="0.25">
      <c r="A60" s="112"/>
      <c r="B60" s="31" t="s">
        <v>223</v>
      </c>
      <c r="C60" s="31"/>
      <c r="D60" s="294"/>
      <c r="E60" s="294" t="s">
        <v>17</v>
      </c>
      <c r="F60" s="294"/>
      <c r="G60" s="294" t="s">
        <v>254</v>
      </c>
      <c r="H60" s="294"/>
      <c r="I60" s="294"/>
      <c r="J60" s="294"/>
      <c r="K60" s="301">
        <v>8023</v>
      </c>
      <c r="L60" s="294"/>
      <c r="M60" s="295">
        <v>0</v>
      </c>
      <c r="N60" s="294"/>
      <c r="O60" s="301">
        <f t="shared" si="7"/>
        <v>8023</v>
      </c>
      <c r="P60" s="294"/>
      <c r="Q60" s="298">
        <v>0</v>
      </c>
      <c r="R60" s="297"/>
      <c r="S60" s="298">
        <v>0</v>
      </c>
      <c r="T60" s="297"/>
      <c r="U60" s="298"/>
      <c r="V60" s="295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5">
        <f t="shared" si="8"/>
        <v>0</v>
      </c>
      <c r="AZ60" s="294"/>
      <c r="BA60" s="298">
        <v>-8023</v>
      </c>
      <c r="BB60" s="294"/>
      <c r="BC60" s="295">
        <f t="shared" si="11"/>
        <v>0</v>
      </c>
      <c r="BD60" s="294"/>
      <c r="BE60" s="295">
        <f t="shared" si="9"/>
        <v>0</v>
      </c>
      <c r="BF60" s="294"/>
      <c r="BG60" s="295">
        <f t="shared" si="10"/>
        <v>8023</v>
      </c>
    </row>
    <row r="61" spans="1:59" x14ac:dyDescent="0.25">
      <c r="A61" s="112"/>
      <c r="B61" s="31" t="s">
        <v>224</v>
      </c>
      <c r="C61" s="31"/>
      <c r="D61" s="294"/>
      <c r="E61" s="294" t="s">
        <v>17</v>
      </c>
      <c r="F61" s="294"/>
      <c r="G61" s="294" t="s">
        <v>254</v>
      </c>
      <c r="H61" s="294"/>
      <c r="I61" s="294"/>
      <c r="J61" s="294"/>
      <c r="K61" s="301">
        <v>16989</v>
      </c>
      <c r="L61" s="294"/>
      <c r="M61" s="295">
        <v>0</v>
      </c>
      <c r="N61" s="294"/>
      <c r="O61" s="301">
        <f t="shared" si="7"/>
        <v>16989</v>
      </c>
      <c r="P61" s="294"/>
      <c r="Q61" s="298">
        <v>0</v>
      </c>
      <c r="R61" s="297"/>
      <c r="S61" s="298">
        <v>25612.65</v>
      </c>
      <c r="T61" s="297"/>
      <c r="U61" s="298"/>
      <c r="V61" s="295"/>
      <c r="W61" s="298"/>
      <c r="X61" s="298"/>
      <c r="Y61" s="298"/>
      <c r="Z61" s="298"/>
      <c r="AA61" s="298"/>
      <c r="AB61" s="298"/>
      <c r="AC61" s="298">
        <f>1784.65+10978+60376+29545.22</f>
        <v>102683.87</v>
      </c>
      <c r="AD61" s="298"/>
      <c r="AE61" s="298">
        <f>4142+1100.81+7901.14+278</f>
        <v>13421.95</v>
      </c>
      <c r="AF61" s="298"/>
      <c r="AG61" s="298">
        <f>127450+2141.8-271310</f>
        <v>-141718.20000000001</v>
      </c>
      <c r="AH61" s="298"/>
      <c r="AI61" s="298"/>
      <c r="AJ61" s="298"/>
      <c r="AK61" s="298"/>
      <c r="AL61" s="298"/>
      <c r="AM61" s="298"/>
      <c r="AN61" s="298"/>
      <c r="AO61" s="298"/>
      <c r="AP61" s="298"/>
      <c r="AQ61" s="298"/>
      <c r="AR61" s="298"/>
      <c r="AS61" s="298"/>
      <c r="AT61" s="298"/>
      <c r="AU61" s="298"/>
      <c r="AV61" s="298"/>
      <c r="AW61" s="298"/>
      <c r="AX61" s="298"/>
      <c r="AY61" s="295">
        <f t="shared" si="8"/>
        <v>0.26999999998952262</v>
      </c>
      <c r="AZ61" s="294"/>
      <c r="BA61" s="298">
        <f>29420-16989+187642+1029+530-218621</f>
        <v>-16989</v>
      </c>
      <c r="BB61" s="294"/>
      <c r="BC61" s="295">
        <f t="shared" si="11"/>
        <v>0</v>
      </c>
      <c r="BD61" s="294"/>
      <c r="BE61" s="295">
        <f t="shared" si="9"/>
        <v>0.26999999998952262</v>
      </c>
      <c r="BF61" s="294"/>
      <c r="BG61" s="295">
        <f t="shared" si="10"/>
        <v>16988.73000000001</v>
      </c>
    </row>
    <row r="62" spans="1:59" x14ac:dyDescent="0.25">
      <c r="A62" s="112"/>
      <c r="B62" s="31" t="s">
        <v>226</v>
      </c>
      <c r="C62" s="31"/>
      <c r="D62" s="294"/>
      <c r="E62" s="294" t="s">
        <v>17</v>
      </c>
      <c r="F62" s="294"/>
      <c r="G62" s="294" t="s">
        <v>254</v>
      </c>
      <c r="H62" s="294"/>
      <c r="I62" s="294"/>
      <c r="J62" s="294"/>
      <c r="K62" s="301">
        <v>549000</v>
      </c>
      <c r="L62" s="294"/>
      <c r="M62" s="295">
        <v>0</v>
      </c>
      <c r="N62" s="294"/>
      <c r="O62" s="301">
        <f t="shared" si="7"/>
        <v>549000</v>
      </c>
      <c r="P62" s="294"/>
      <c r="Q62" s="298">
        <v>0</v>
      </c>
      <c r="R62" s="297"/>
      <c r="S62" s="298">
        <v>0</v>
      </c>
      <c r="T62" s="297"/>
      <c r="U62" s="298"/>
      <c r="V62" s="295"/>
      <c r="W62" s="298"/>
      <c r="X62" s="298"/>
      <c r="Y62" s="298">
        <f>3445.76+1946.85+2696.02+225+4865+96184+2988.05</f>
        <v>112350.68000000001</v>
      </c>
      <c r="Z62" s="298"/>
      <c r="AA62" s="298"/>
      <c r="AB62" s="298"/>
      <c r="AC62" s="298">
        <f>795.1+358.13+1125.31</f>
        <v>2278.54</v>
      </c>
      <c r="AD62" s="298"/>
      <c r="AE62" s="298"/>
      <c r="AF62" s="298"/>
      <c r="AG62" s="298">
        <v>-114629</v>
      </c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5">
        <f t="shared" si="8"/>
        <v>0.22000000000116415</v>
      </c>
      <c r="AZ62" s="294"/>
      <c r="BA62" s="298">
        <f>-222153-18659-54152-254036</f>
        <v>-549000</v>
      </c>
      <c r="BB62" s="294"/>
      <c r="BC62" s="295">
        <f t="shared" si="11"/>
        <v>0</v>
      </c>
      <c r="BD62" s="294"/>
      <c r="BE62" s="295">
        <f t="shared" si="9"/>
        <v>0.22000000000116415</v>
      </c>
      <c r="BF62" s="294"/>
      <c r="BG62" s="295">
        <f t="shared" si="10"/>
        <v>548999.78</v>
      </c>
    </row>
    <row r="63" spans="1:59" x14ac:dyDescent="0.25">
      <c r="A63" s="112"/>
      <c r="B63" s="31" t="s">
        <v>227</v>
      </c>
      <c r="C63" s="31"/>
      <c r="D63" s="294"/>
      <c r="E63" s="294" t="s">
        <v>17</v>
      </c>
      <c r="F63" s="294"/>
      <c r="G63" s="294" t="s">
        <v>254</v>
      </c>
      <c r="H63" s="294"/>
      <c r="I63" s="294"/>
      <c r="J63" s="294"/>
      <c r="K63" s="301">
        <v>134000</v>
      </c>
      <c r="L63" s="294"/>
      <c r="M63" s="295">
        <v>0</v>
      </c>
      <c r="N63" s="294"/>
      <c r="O63" s="301">
        <f t="shared" si="7"/>
        <v>134000</v>
      </c>
      <c r="P63" s="294"/>
      <c r="Q63" s="298">
        <v>18058</v>
      </c>
      <c r="R63" s="297"/>
      <c r="S63" s="298">
        <v>-18058</v>
      </c>
      <c r="T63" s="297"/>
      <c r="U63" s="298"/>
      <c r="V63" s="295"/>
      <c r="W63" s="298"/>
      <c r="X63" s="298"/>
      <c r="Y63" s="298">
        <v>21067.200000000001</v>
      </c>
      <c r="Z63" s="298"/>
      <c r="AA63" s="298"/>
      <c r="AB63" s="298"/>
      <c r="AC63" s="298">
        <v>21067.200000000001</v>
      </c>
      <c r="AD63" s="298"/>
      <c r="AE63" s="298"/>
      <c r="AF63" s="298"/>
      <c r="AG63" s="298">
        <v>-42134</v>
      </c>
      <c r="AH63" s="298"/>
      <c r="AI63" s="298"/>
      <c r="AJ63" s="298"/>
      <c r="AK63" s="298"/>
      <c r="AL63" s="298"/>
      <c r="AM63" s="298"/>
      <c r="AN63" s="298"/>
      <c r="AO63" s="298"/>
      <c r="AP63" s="298"/>
      <c r="AQ63" s="298"/>
      <c r="AR63" s="298"/>
      <c r="AS63" s="298"/>
      <c r="AT63" s="298"/>
      <c r="AU63" s="298"/>
      <c r="AV63" s="298"/>
      <c r="AW63" s="298"/>
      <c r="AX63" s="298"/>
      <c r="AY63" s="295">
        <f t="shared" si="8"/>
        <v>0.40000000000145519</v>
      </c>
      <c r="AZ63" s="294"/>
      <c r="BA63" s="298">
        <f>60192-134000-36192+8624+4217-369841</f>
        <v>-467000</v>
      </c>
      <c r="BB63" s="294"/>
      <c r="BC63" s="295">
        <f t="shared" si="11"/>
        <v>0</v>
      </c>
      <c r="BD63" s="294"/>
      <c r="BE63" s="295">
        <f>+BC63+AY63</f>
        <v>0.40000000000145519</v>
      </c>
      <c r="BF63" s="294"/>
      <c r="BG63" s="295">
        <f t="shared" si="10"/>
        <v>133999.6</v>
      </c>
    </row>
    <row r="64" spans="1:59" x14ac:dyDescent="0.25">
      <c r="A64" s="112"/>
      <c r="B64" s="31" t="s">
        <v>401</v>
      </c>
      <c r="C64" s="31"/>
      <c r="D64" s="294"/>
      <c r="E64" s="294" t="s">
        <v>17</v>
      </c>
      <c r="F64" s="294"/>
      <c r="G64" s="294" t="s">
        <v>254</v>
      </c>
      <c r="H64" s="294"/>
      <c r="I64" s="294"/>
      <c r="J64" s="294"/>
      <c r="K64" s="301">
        <v>0</v>
      </c>
      <c r="L64" s="294"/>
      <c r="M64" s="295">
        <v>0</v>
      </c>
      <c r="N64" s="294"/>
      <c r="O64" s="301">
        <f>SUM(K64:N64)</f>
        <v>0</v>
      </c>
      <c r="P64" s="294"/>
      <c r="Q64" s="298">
        <f>18057.6-18057.6</f>
        <v>0</v>
      </c>
      <c r="R64" s="297"/>
      <c r="S64" s="298">
        <f>18057.6-18057.6</f>
        <v>0</v>
      </c>
      <c r="T64" s="297"/>
      <c r="U64" s="298"/>
      <c r="V64" s="295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5">
        <f t="shared" si="8"/>
        <v>0</v>
      </c>
      <c r="AZ64" s="294"/>
      <c r="BA64" s="298">
        <f>121500-121500</f>
        <v>0</v>
      </c>
      <c r="BB64" s="294"/>
      <c r="BC64" s="295">
        <f t="shared" si="11"/>
        <v>0</v>
      </c>
      <c r="BD64" s="294"/>
      <c r="BE64" s="305">
        <f>+BC64+AY64</f>
        <v>0</v>
      </c>
      <c r="BF64" s="294"/>
      <c r="BG64" s="295">
        <f t="shared" si="10"/>
        <v>0</v>
      </c>
    </row>
    <row r="65" spans="1:59" x14ac:dyDescent="0.25">
      <c r="A65" s="112"/>
      <c r="B65" s="31" t="s">
        <v>228</v>
      </c>
      <c r="C65" s="31"/>
      <c r="D65" s="294"/>
      <c r="E65" s="294" t="s">
        <v>17</v>
      </c>
      <c r="F65" s="294"/>
      <c r="G65" s="294" t="s">
        <v>254</v>
      </c>
      <c r="H65" s="294"/>
      <c r="I65" s="294"/>
      <c r="J65" s="294"/>
      <c r="K65" s="301">
        <v>389130</v>
      </c>
      <c r="L65" s="294"/>
      <c r="M65" s="295">
        <v>0</v>
      </c>
      <c r="N65" s="294"/>
      <c r="O65" s="301">
        <f t="shared" si="7"/>
        <v>389130</v>
      </c>
      <c r="P65" s="294"/>
      <c r="Q65" s="298">
        <v>0</v>
      </c>
      <c r="R65" s="297"/>
      <c r="S65" s="298">
        <f>89820.8+33682.8+18057.6</f>
        <v>141561.20000000001</v>
      </c>
      <c r="T65" s="297"/>
      <c r="U65" s="298"/>
      <c r="V65" s="295"/>
      <c r="W65" s="298"/>
      <c r="X65" s="298"/>
      <c r="Y65" s="298"/>
      <c r="Z65" s="298"/>
      <c r="AA65" s="298">
        <f>62864.1</f>
        <v>62864.1</v>
      </c>
      <c r="AB65" s="298"/>
      <c r="AC65" s="298"/>
      <c r="AD65" s="298"/>
      <c r="AE65" s="298"/>
      <c r="AF65" s="298"/>
      <c r="AG65" s="298">
        <v>-204425</v>
      </c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5">
        <f t="shared" si="8"/>
        <v>0.3000000000174623</v>
      </c>
      <c r="AZ65" s="294"/>
      <c r="BA65" s="298">
        <f>494932-389130-157245-69998+66676-334365</f>
        <v>-389130</v>
      </c>
      <c r="BB65" s="294"/>
      <c r="BC65" s="295">
        <f t="shared" si="11"/>
        <v>0</v>
      </c>
      <c r="BD65" s="294"/>
      <c r="BE65" s="295">
        <f t="shared" si="9"/>
        <v>0.3000000000174623</v>
      </c>
      <c r="BF65" s="294"/>
      <c r="BG65" s="295">
        <f t="shared" si="10"/>
        <v>389129.69999999995</v>
      </c>
    </row>
    <row r="66" spans="1:59" x14ac:dyDescent="0.25">
      <c r="A66" s="112"/>
      <c r="B66" s="31" t="s">
        <v>229</v>
      </c>
      <c r="C66" s="31"/>
      <c r="D66" s="294"/>
      <c r="E66" s="294" t="s">
        <v>17</v>
      </c>
      <c r="F66" s="294"/>
      <c r="G66" s="294" t="s">
        <v>254</v>
      </c>
      <c r="H66" s="294"/>
      <c r="I66" s="294"/>
      <c r="J66" s="294"/>
      <c r="K66" s="301">
        <v>23596</v>
      </c>
      <c r="L66" s="294"/>
      <c r="M66" s="309">
        <v>0</v>
      </c>
      <c r="N66" s="294"/>
      <c r="O66" s="306">
        <f t="shared" si="7"/>
        <v>23596</v>
      </c>
      <c r="P66" s="294"/>
      <c r="Q66" s="298">
        <v>0</v>
      </c>
      <c r="R66" s="297"/>
      <c r="S66" s="298">
        <v>0</v>
      </c>
      <c r="T66" s="297"/>
      <c r="U66" s="298"/>
      <c r="V66" s="295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5">
        <f t="shared" si="8"/>
        <v>0</v>
      </c>
      <c r="AZ66" s="294"/>
      <c r="BA66" s="298">
        <v>-23596</v>
      </c>
      <c r="BB66" s="294"/>
      <c r="BC66" s="295">
        <f t="shared" si="11"/>
        <v>0</v>
      </c>
      <c r="BD66" s="294"/>
      <c r="BE66" s="305">
        <f t="shared" si="9"/>
        <v>0</v>
      </c>
      <c r="BF66" s="294"/>
      <c r="BG66" s="295">
        <f t="shared" si="10"/>
        <v>23596</v>
      </c>
    </row>
    <row r="67" spans="1:59" x14ac:dyDescent="0.25">
      <c r="A67" s="317"/>
      <c r="B67" s="31" t="s">
        <v>39</v>
      </c>
      <c r="C67" s="31"/>
      <c r="D67" s="294"/>
      <c r="E67" s="294"/>
      <c r="F67" s="294"/>
      <c r="G67" s="294"/>
      <c r="H67" s="294"/>
      <c r="I67" s="294"/>
      <c r="J67" s="294"/>
      <c r="K67" s="329">
        <f>SUM(K45:K66)</f>
        <v>7290769</v>
      </c>
      <c r="L67" s="294"/>
      <c r="M67" s="299">
        <f>SUM(M45:M66)</f>
        <v>0</v>
      </c>
      <c r="N67" s="294"/>
      <c r="O67" s="299">
        <f>SUM(O45:O66)</f>
        <v>7290769</v>
      </c>
      <c r="P67" s="294"/>
      <c r="Q67" s="328">
        <f>SUM(Q45:Q66)</f>
        <v>1154842</v>
      </c>
      <c r="R67" s="297"/>
      <c r="S67" s="328">
        <f>SUM(S45:S66)</f>
        <v>107635.85</v>
      </c>
      <c r="T67" s="297"/>
      <c r="U67" s="328">
        <f>SUM(U45:U66)</f>
        <v>728386.82000000007</v>
      </c>
      <c r="V67" s="295"/>
      <c r="W67" s="328">
        <f>SUM(W45:W66)</f>
        <v>767226.12</v>
      </c>
      <c r="X67" s="298"/>
      <c r="Y67" s="328">
        <f>SUM(Y45:Y66)</f>
        <v>1430428.2999999998</v>
      </c>
      <c r="Z67" s="298"/>
      <c r="AA67" s="328">
        <f>SUM(AA45:AA66)</f>
        <v>516152</v>
      </c>
      <c r="AB67" s="298"/>
      <c r="AC67" s="328">
        <f>SUM(AC45:AC66)</f>
        <v>602382.12</v>
      </c>
      <c r="AD67" s="298"/>
      <c r="AE67" s="328">
        <f>SUM(AE45:AE66)</f>
        <v>181318.32</v>
      </c>
      <c r="AF67" s="314"/>
      <c r="AG67" s="328">
        <f>SUM(AG45:AG66)</f>
        <v>-5488370.1000000006</v>
      </c>
      <c r="AH67" s="314"/>
      <c r="AI67" s="328">
        <f>SUM(AI45:AI66)</f>
        <v>0</v>
      </c>
      <c r="AJ67" s="314"/>
      <c r="AK67" s="328">
        <f>SUM(AK45:AK66)</f>
        <v>0</v>
      </c>
      <c r="AL67" s="314"/>
      <c r="AM67" s="328">
        <f>SUM(AM45:AM66)</f>
        <v>0</v>
      </c>
      <c r="AN67" s="314"/>
      <c r="AO67" s="328">
        <f>SUM(AO45:AO66)</f>
        <v>0</v>
      </c>
      <c r="AP67" s="314"/>
      <c r="AQ67" s="328">
        <f>SUM(AQ45:AQ66)</f>
        <v>0</v>
      </c>
      <c r="AR67" s="314"/>
      <c r="AS67" s="328">
        <f>SUM(AS45:AS66)</f>
        <v>0</v>
      </c>
      <c r="AT67" s="314"/>
      <c r="AU67" s="328">
        <f>SUM(AU45:AU66)</f>
        <v>0</v>
      </c>
      <c r="AV67" s="314"/>
      <c r="AW67" s="328">
        <f>SUM(AW45:AW66)</f>
        <v>0</v>
      </c>
      <c r="AX67" s="314"/>
      <c r="AY67" s="329">
        <f>SUM(AY45:AY66)</f>
        <v>1.4300000001913986</v>
      </c>
      <c r="AZ67" s="294"/>
      <c r="BA67" s="328">
        <f>SUM(BA45:BA66)</f>
        <v>-7623769</v>
      </c>
      <c r="BB67" s="294"/>
      <c r="BC67" s="328">
        <f>SUM(BC45:BC66)-1</f>
        <v>0.26000000001283752</v>
      </c>
      <c r="BD67" s="294"/>
      <c r="BE67" s="328">
        <f>SUM(BE45:BE66)</f>
        <v>2.6900000002042361</v>
      </c>
      <c r="BF67" s="294"/>
      <c r="BG67" s="328">
        <f t="shared" si="10"/>
        <v>7290766.3099999996</v>
      </c>
    </row>
    <row r="68" spans="1:59" x14ac:dyDescent="0.25">
      <c r="A68" s="312"/>
      <c r="B68" s="31"/>
      <c r="C68" s="31"/>
      <c r="D68" s="294"/>
      <c r="E68" s="294"/>
      <c r="F68" s="294"/>
      <c r="G68" s="294"/>
      <c r="H68" s="294"/>
      <c r="I68" s="294"/>
      <c r="J68" s="294"/>
      <c r="K68" s="295"/>
      <c r="L68" s="294"/>
      <c r="M68" s="295"/>
      <c r="N68" s="294"/>
      <c r="O68" s="295"/>
      <c r="P68" s="294"/>
      <c r="Q68" s="298"/>
      <c r="R68" s="297"/>
      <c r="S68" s="298"/>
      <c r="T68" s="297"/>
      <c r="U68" s="298"/>
      <c r="V68" s="295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5"/>
      <c r="AZ68" s="294"/>
      <c r="BA68" s="298"/>
      <c r="BB68" s="294"/>
      <c r="BC68" s="295"/>
      <c r="BD68" s="294"/>
      <c r="BE68" s="295"/>
      <c r="BF68" s="294"/>
      <c r="BG68" s="295"/>
    </row>
    <row r="69" spans="1:59" x14ac:dyDescent="0.25">
      <c r="A69" s="112" t="s">
        <v>45</v>
      </c>
      <c r="B69" s="31"/>
      <c r="C69" s="31"/>
      <c r="D69" s="294"/>
      <c r="E69" s="294"/>
      <c r="F69" s="294"/>
      <c r="G69" s="294"/>
      <c r="H69" s="294"/>
      <c r="I69" s="294"/>
      <c r="J69" s="294"/>
      <c r="K69" s="295"/>
      <c r="L69" s="294"/>
      <c r="M69" s="295"/>
      <c r="N69" s="294"/>
      <c r="O69" s="295"/>
      <c r="P69" s="294"/>
      <c r="Q69" s="298"/>
      <c r="R69" s="297"/>
      <c r="S69" s="298"/>
      <c r="T69" s="297"/>
      <c r="U69" s="298"/>
      <c r="V69" s="295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5"/>
      <c r="AZ69" s="294"/>
      <c r="BA69" s="298"/>
      <c r="BB69" s="294"/>
      <c r="BC69" s="295"/>
      <c r="BD69" s="294"/>
      <c r="BE69" s="295"/>
      <c r="BF69" s="294"/>
      <c r="BG69" s="295"/>
    </row>
    <row r="70" spans="1:59" x14ac:dyDescent="0.25">
      <c r="A70" s="312"/>
      <c r="B70" s="31" t="s">
        <v>230</v>
      </c>
      <c r="C70" s="31" t="s">
        <v>36</v>
      </c>
      <c r="D70" s="294"/>
      <c r="E70" s="294" t="s">
        <v>17</v>
      </c>
      <c r="F70" s="294"/>
      <c r="G70" s="294" t="s">
        <v>254</v>
      </c>
      <c r="H70" s="294"/>
      <c r="I70" s="294" t="s">
        <v>21</v>
      </c>
      <c r="J70" s="294"/>
      <c r="K70" s="301">
        <v>215657</v>
      </c>
      <c r="L70" s="294"/>
      <c r="M70" s="301">
        <v>0</v>
      </c>
      <c r="N70" s="294"/>
      <c r="O70" s="301">
        <f t="shared" ref="O70:O92" si="12">SUM(K70:N70)</f>
        <v>215657</v>
      </c>
      <c r="P70" s="294"/>
      <c r="Q70" s="298">
        <v>0</v>
      </c>
      <c r="R70" s="331"/>
      <c r="S70" s="298">
        <v>0</v>
      </c>
      <c r="T70" s="331"/>
      <c r="U70" s="298">
        <v>260283</v>
      </c>
      <c r="V70" s="295"/>
      <c r="W70" s="298">
        <v>-69761</v>
      </c>
      <c r="X70" s="298"/>
      <c r="Y70" s="298"/>
      <c r="Z70" s="298"/>
      <c r="AA70" s="298"/>
      <c r="AB70" s="298"/>
      <c r="AC70" s="298">
        <v>0</v>
      </c>
      <c r="AD70" s="298"/>
      <c r="AE70" s="298">
        <v>-2237</v>
      </c>
      <c r="AF70" s="298"/>
      <c r="AG70" s="298">
        <v>0</v>
      </c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5">
        <f t="shared" ref="AY70:AY93" si="13">SUM(P70:AX70)</f>
        <v>188285</v>
      </c>
      <c r="AZ70" s="294"/>
      <c r="BA70" s="298">
        <f>191106-215657+1585-4405-1</f>
        <v>-27372</v>
      </c>
      <c r="BB70" s="294"/>
      <c r="BC70" s="295">
        <f>+O70-AY70+BA70</f>
        <v>0</v>
      </c>
      <c r="BD70" s="294"/>
      <c r="BE70" s="332">
        <f t="shared" ref="BE70:BE93" si="14">+BC70+AY70</f>
        <v>188285</v>
      </c>
      <c r="BF70" s="333"/>
      <c r="BG70" s="295">
        <f t="shared" ref="BG70:BG93" si="15">+O70-BE70</f>
        <v>27372</v>
      </c>
    </row>
    <row r="71" spans="1:59" x14ac:dyDescent="0.25">
      <c r="A71" s="312"/>
      <c r="B71" s="31" t="s">
        <v>231</v>
      </c>
      <c r="C71" s="31"/>
      <c r="D71" s="294"/>
      <c r="E71" s="294"/>
      <c r="F71" s="294"/>
      <c r="G71" s="294" t="s">
        <v>254</v>
      </c>
      <c r="H71" s="294"/>
      <c r="I71" s="294"/>
      <c r="J71" s="294"/>
      <c r="K71" s="301">
        <v>728097</v>
      </c>
      <c r="L71" s="294"/>
      <c r="M71" s="301">
        <v>0</v>
      </c>
      <c r="N71" s="294"/>
      <c r="O71" s="301">
        <f t="shared" si="12"/>
        <v>728097</v>
      </c>
      <c r="P71" s="294"/>
      <c r="Q71" s="298">
        <v>0</v>
      </c>
      <c r="R71" s="331"/>
      <c r="S71" s="298">
        <v>0</v>
      </c>
      <c r="T71" s="331"/>
      <c r="U71" s="298">
        <v>225000</v>
      </c>
      <c r="V71" s="295"/>
      <c r="W71" s="298">
        <v>97000</v>
      </c>
      <c r="X71" s="298"/>
      <c r="Y71" s="298">
        <v>22906</v>
      </c>
      <c r="Z71" s="298"/>
      <c r="AA71" s="298"/>
      <c r="AB71" s="298"/>
      <c r="AC71" s="298">
        <v>2634</v>
      </c>
      <c r="AD71" s="298"/>
      <c r="AE71" s="298">
        <v>3790</v>
      </c>
      <c r="AF71" s="298"/>
      <c r="AG71" s="298">
        <f>18813+74949</f>
        <v>93762</v>
      </c>
      <c r="AH71" s="298"/>
      <c r="AI71" s="298">
        <v>115343</v>
      </c>
      <c r="AJ71" s="298"/>
      <c r="AK71" s="298"/>
      <c r="AL71" s="298"/>
      <c r="AM71" s="298">
        <v>26637</v>
      </c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5">
        <f t="shared" si="13"/>
        <v>587072</v>
      </c>
      <c r="AZ71" s="294"/>
      <c r="BA71" s="298">
        <f>941599-728097+3994-182896-11700-80000-68967-14958</f>
        <v>-141025</v>
      </c>
      <c r="BB71" s="294"/>
      <c r="BC71" s="295">
        <f t="shared" ref="BC71:BC93" si="16">IF(+O71-AY71+BA71&gt;0,O71-AY71+BA71,0)</f>
        <v>0</v>
      </c>
      <c r="BD71" s="294"/>
      <c r="BE71" s="332">
        <f t="shared" si="14"/>
        <v>587072</v>
      </c>
      <c r="BF71" s="333"/>
      <c r="BG71" s="295">
        <f t="shared" si="15"/>
        <v>141025</v>
      </c>
    </row>
    <row r="72" spans="1:59" x14ac:dyDescent="0.25">
      <c r="A72" s="312"/>
      <c r="B72" s="31" t="s">
        <v>232</v>
      </c>
      <c r="C72" s="31"/>
      <c r="D72" s="294"/>
      <c r="E72" s="294"/>
      <c r="F72" s="294"/>
      <c r="G72" s="294" t="s">
        <v>254</v>
      </c>
      <c r="H72" s="294"/>
      <c r="I72" s="294"/>
      <c r="J72" s="294"/>
      <c r="K72" s="301">
        <v>216167</v>
      </c>
      <c r="L72" s="294"/>
      <c r="M72" s="301">
        <v>0</v>
      </c>
      <c r="N72" s="294"/>
      <c r="O72" s="301">
        <f t="shared" si="12"/>
        <v>216167</v>
      </c>
      <c r="P72" s="294"/>
      <c r="Q72" s="298">
        <v>0</v>
      </c>
      <c r="R72" s="331"/>
      <c r="S72" s="298">
        <v>0</v>
      </c>
      <c r="T72" s="331"/>
      <c r="U72" s="298">
        <v>130466</v>
      </c>
      <c r="V72" s="295"/>
      <c r="W72" s="298">
        <v>69885</v>
      </c>
      <c r="X72" s="298"/>
      <c r="Y72" s="298">
        <f>61460+32382</f>
        <v>93842</v>
      </c>
      <c r="Z72" s="298"/>
      <c r="AA72" s="298"/>
      <c r="AB72" s="298"/>
      <c r="AC72" s="298">
        <v>111933</v>
      </c>
      <c r="AD72" s="298"/>
      <c r="AE72" s="298">
        <v>38279</v>
      </c>
      <c r="AF72" s="298"/>
      <c r="AG72" s="298">
        <f>79744+55073</f>
        <v>134817</v>
      </c>
      <c r="AH72" s="298"/>
      <c r="AI72" s="298">
        <v>47964</v>
      </c>
      <c r="AJ72" s="298"/>
      <c r="AK72" s="298"/>
      <c r="AL72" s="298"/>
      <c r="AM72" s="298">
        <v>37098</v>
      </c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5">
        <f t="shared" si="13"/>
        <v>664284</v>
      </c>
      <c r="AZ72" s="294"/>
      <c r="BA72" s="298">
        <f>576387-294193+78026-21233+35797+8524+32773</f>
        <v>416081</v>
      </c>
      <c r="BB72" s="294"/>
      <c r="BC72" s="295">
        <f t="shared" si="16"/>
        <v>0</v>
      </c>
      <c r="BD72" s="294"/>
      <c r="BE72" s="295">
        <f t="shared" si="14"/>
        <v>664284</v>
      </c>
      <c r="BF72" s="294"/>
      <c r="BG72" s="295">
        <f t="shared" si="15"/>
        <v>-448117</v>
      </c>
    </row>
    <row r="73" spans="1:59" x14ac:dyDescent="0.25">
      <c r="A73" s="312"/>
      <c r="B73" s="31" t="s">
        <v>233</v>
      </c>
      <c r="C73" s="31"/>
      <c r="D73" s="294"/>
      <c r="E73" s="294"/>
      <c r="F73" s="294"/>
      <c r="G73" s="294" t="s">
        <v>254</v>
      </c>
      <c r="H73" s="294"/>
      <c r="I73" s="294"/>
      <c r="J73" s="294"/>
      <c r="K73" s="301">
        <v>365324</v>
      </c>
      <c r="L73" s="294"/>
      <c r="M73" s="301">
        <v>0</v>
      </c>
      <c r="N73" s="294"/>
      <c r="O73" s="301">
        <f t="shared" si="12"/>
        <v>365324</v>
      </c>
      <c r="P73" s="294"/>
      <c r="Q73" s="298">
        <v>0</v>
      </c>
      <c r="R73" s="331"/>
      <c r="S73" s="298">
        <v>0</v>
      </c>
      <c r="T73" s="331"/>
      <c r="U73" s="298">
        <v>6887</v>
      </c>
      <c r="V73" s="295"/>
      <c r="W73" s="298">
        <v>24435</v>
      </c>
      <c r="X73" s="298"/>
      <c r="Y73" s="298">
        <f>78658+49291</f>
        <v>127949</v>
      </c>
      <c r="Z73" s="298"/>
      <c r="AA73" s="298"/>
      <c r="AB73" s="298"/>
      <c r="AC73" s="298">
        <v>87618</v>
      </c>
      <c r="AD73" s="298"/>
      <c r="AE73" s="298">
        <f>94201</f>
        <v>94201</v>
      </c>
      <c r="AF73" s="298"/>
      <c r="AG73" s="298">
        <f>58847+10881</f>
        <v>69728</v>
      </c>
      <c r="AH73" s="298"/>
      <c r="AI73" s="298">
        <f>142833+1389-141928</f>
        <v>2294</v>
      </c>
      <c r="AJ73" s="298"/>
      <c r="AK73" s="298">
        <v>129</v>
      </c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5">
        <f t="shared" si="13"/>
        <v>413241</v>
      </c>
      <c r="AZ73" s="294"/>
      <c r="BA73" s="298">
        <f>465834-365324-32814-15423+2234-6829+110</f>
        <v>47788</v>
      </c>
      <c r="BB73" s="294"/>
      <c r="BC73" s="295">
        <f t="shared" si="16"/>
        <v>0</v>
      </c>
      <c r="BD73" s="294"/>
      <c r="BE73" s="305">
        <f t="shared" si="14"/>
        <v>413241</v>
      </c>
      <c r="BF73" s="294"/>
      <c r="BG73" s="295">
        <f t="shared" si="15"/>
        <v>-47917</v>
      </c>
    </row>
    <row r="74" spans="1:59" x14ac:dyDescent="0.25">
      <c r="A74" s="312"/>
      <c r="B74" s="31" t="s">
        <v>234</v>
      </c>
      <c r="C74" s="31"/>
      <c r="D74" s="294"/>
      <c r="E74" s="294"/>
      <c r="F74" s="294"/>
      <c r="G74" s="294" t="s">
        <v>254</v>
      </c>
      <c r="H74" s="294"/>
      <c r="I74" s="294"/>
      <c r="J74" s="294"/>
      <c r="K74" s="301">
        <v>1364088</v>
      </c>
      <c r="L74" s="294"/>
      <c r="M74" s="301">
        <v>0</v>
      </c>
      <c r="N74" s="294"/>
      <c r="O74" s="301">
        <f t="shared" si="12"/>
        <v>1364088</v>
      </c>
      <c r="P74" s="294"/>
      <c r="Q74" s="298">
        <v>0</v>
      </c>
      <c r="R74" s="331"/>
      <c r="S74" s="298">
        <v>0</v>
      </c>
      <c r="T74" s="331"/>
      <c r="U74" s="298">
        <v>410522</v>
      </c>
      <c r="V74" s="295"/>
      <c r="W74" s="298">
        <v>226458</v>
      </c>
      <c r="X74" s="298"/>
      <c r="Y74" s="298">
        <f>106159+68700</f>
        <v>174859</v>
      </c>
      <c r="Z74" s="298"/>
      <c r="AA74" s="298"/>
      <c r="AB74" s="298"/>
      <c r="AC74" s="298">
        <v>119588</v>
      </c>
      <c r="AD74" s="298"/>
      <c r="AE74" s="298">
        <v>84286</v>
      </c>
      <c r="AF74" s="298"/>
      <c r="AG74" s="298">
        <f>66124+57205-53</f>
        <v>123276</v>
      </c>
      <c r="AH74" s="298"/>
      <c r="AI74" s="298">
        <f>53+23769</f>
        <v>23822</v>
      </c>
      <c r="AJ74" s="298"/>
      <c r="AK74" s="298">
        <v>1295</v>
      </c>
      <c r="AL74" s="298"/>
      <c r="AM74" s="298">
        <v>4108</v>
      </c>
      <c r="AN74" s="298"/>
      <c r="AO74" s="298">
        <v>1842</v>
      </c>
      <c r="AP74" s="298"/>
      <c r="AQ74" s="298"/>
      <c r="AR74" s="298"/>
      <c r="AS74" s="298"/>
      <c r="AT74" s="298"/>
      <c r="AU74" s="298"/>
      <c r="AV74" s="298"/>
      <c r="AW74" s="298"/>
      <c r="AX74" s="298"/>
      <c r="AY74" s="295">
        <f t="shared" si="13"/>
        <v>1170056</v>
      </c>
      <c r="AZ74" s="294"/>
      <c r="BA74" s="298">
        <f>1156402-1364088+6490-21647+5350+18290-1842</f>
        <v>-201045</v>
      </c>
      <c r="BB74" s="294"/>
      <c r="BC74" s="305">
        <f>IF(+O74-AY74+BA74&gt;0,O74-AY74+BA74,0)</f>
        <v>0</v>
      </c>
      <c r="BD74" s="294"/>
      <c r="BE74" s="295">
        <f t="shared" si="14"/>
        <v>1170056</v>
      </c>
      <c r="BF74" s="294"/>
      <c r="BG74" s="295">
        <f t="shared" si="15"/>
        <v>194032</v>
      </c>
    </row>
    <row r="75" spans="1:59" x14ac:dyDescent="0.25">
      <c r="A75" s="312"/>
      <c r="B75" s="31" t="s">
        <v>388</v>
      </c>
      <c r="C75" s="31"/>
      <c r="D75" s="294"/>
      <c r="E75" s="294"/>
      <c r="F75" s="294"/>
      <c r="G75" s="294" t="s">
        <v>254</v>
      </c>
      <c r="H75" s="294"/>
      <c r="I75" s="294"/>
      <c r="J75" s="294"/>
      <c r="K75" s="301">
        <v>75872</v>
      </c>
      <c r="L75" s="294"/>
      <c r="M75" s="301">
        <v>0</v>
      </c>
      <c r="N75" s="294"/>
      <c r="O75" s="301">
        <f t="shared" si="12"/>
        <v>75872</v>
      </c>
      <c r="P75" s="294"/>
      <c r="Q75" s="298">
        <v>0</v>
      </c>
      <c r="R75" s="331"/>
      <c r="S75" s="298">
        <v>0</v>
      </c>
      <c r="T75" s="331"/>
      <c r="U75" s="298">
        <v>0</v>
      </c>
      <c r="V75" s="295"/>
      <c r="W75" s="298"/>
      <c r="X75" s="298"/>
      <c r="Y75" s="298">
        <f>7314+292</f>
        <v>7606</v>
      </c>
      <c r="Z75" s="298"/>
      <c r="AA75" s="298"/>
      <c r="AB75" s="298"/>
      <c r="AC75" s="298"/>
      <c r="AD75" s="298"/>
      <c r="AE75" s="298">
        <v>12593</v>
      </c>
      <c r="AF75" s="298"/>
      <c r="AG75" s="298">
        <f>8670+11856</f>
        <v>20526</v>
      </c>
      <c r="AH75" s="298"/>
      <c r="AI75" s="298">
        <v>2412</v>
      </c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5">
        <f t="shared" si="13"/>
        <v>43137</v>
      </c>
      <c r="AZ75" s="294"/>
      <c r="BA75" s="298">
        <f>1900+3400-13020-25015</f>
        <v>-32735</v>
      </c>
      <c r="BB75" s="294"/>
      <c r="BC75" s="295">
        <f t="shared" si="16"/>
        <v>0</v>
      </c>
      <c r="BD75" s="294"/>
      <c r="BE75" s="332">
        <f t="shared" si="14"/>
        <v>43137</v>
      </c>
      <c r="BF75" s="294"/>
      <c r="BG75" s="295">
        <f t="shared" si="15"/>
        <v>32735</v>
      </c>
    </row>
    <row r="76" spans="1:59" x14ac:dyDescent="0.25">
      <c r="A76" s="312"/>
      <c r="B76" s="31" t="s">
        <v>235</v>
      </c>
      <c r="C76" s="31"/>
      <c r="D76" s="294"/>
      <c r="E76" s="294"/>
      <c r="F76" s="294"/>
      <c r="G76" s="294" t="s">
        <v>254</v>
      </c>
      <c r="H76" s="294"/>
      <c r="I76" s="294"/>
      <c r="J76" s="294"/>
      <c r="K76" s="301">
        <v>50931</v>
      </c>
      <c r="L76" s="294"/>
      <c r="M76" s="301">
        <v>0</v>
      </c>
      <c r="N76" s="294"/>
      <c r="O76" s="301">
        <f t="shared" si="12"/>
        <v>50931</v>
      </c>
      <c r="P76" s="294"/>
      <c r="Q76" s="298">
        <v>0</v>
      </c>
      <c r="R76" s="297"/>
      <c r="S76" s="298">
        <v>0</v>
      </c>
      <c r="T76" s="297"/>
      <c r="U76" s="298"/>
      <c r="V76" s="295"/>
      <c r="W76" s="298"/>
      <c r="X76" s="298"/>
      <c r="Y76" s="298">
        <v>617</v>
      </c>
      <c r="Z76" s="298"/>
      <c r="AA76" s="298"/>
      <c r="AB76" s="298"/>
      <c r="AC76" s="298">
        <v>2982</v>
      </c>
      <c r="AD76" s="298"/>
      <c r="AE76" s="298">
        <f>9983+3945</f>
        <v>13928</v>
      </c>
      <c r="AF76" s="298"/>
      <c r="AG76" s="298">
        <f>3209+78127</f>
        <v>81336</v>
      </c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5">
        <f t="shared" si="13"/>
        <v>98863</v>
      </c>
      <c r="AZ76" s="294"/>
      <c r="BA76" s="298">
        <f>77010-50931-1781+19184+505</f>
        <v>43987</v>
      </c>
      <c r="BB76" s="294"/>
      <c r="BC76" s="295">
        <f t="shared" si="16"/>
        <v>0</v>
      </c>
      <c r="BD76" s="294"/>
      <c r="BE76" s="334">
        <f t="shared" si="14"/>
        <v>98863</v>
      </c>
      <c r="BF76" s="335"/>
      <c r="BG76" s="295">
        <f t="shared" si="15"/>
        <v>-47932</v>
      </c>
    </row>
    <row r="77" spans="1:59" x14ac:dyDescent="0.25">
      <c r="A77" s="312"/>
      <c r="B77" s="31" t="s">
        <v>236</v>
      </c>
      <c r="C77" s="31"/>
      <c r="D77" s="294"/>
      <c r="E77" s="294"/>
      <c r="F77" s="294"/>
      <c r="G77" s="294" t="s">
        <v>254</v>
      </c>
      <c r="H77" s="294"/>
      <c r="I77" s="294"/>
      <c r="J77" s="294"/>
      <c r="K77" s="301">
        <v>19817</v>
      </c>
      <c r="L77" s="294"/>
      <c r="M77" s="301">
        <v>0</v>
      </c>
      <c r="N77" s="294"/>
      <c r="O77" s="301">
        <f t="shared" si="12"/>
        <v>19817</v>
      </c>
      <c r="P77" s="294"/>
      <c r="Q77" s="298">
        <v>0</v>
      </c>
      <c r="R77" s="297"/>
      <c r="S77" s="298">
        <v>0</v>
      </c>
      <c r="T77" s="297"/>
      <c r="U77" s="298"/>
      <c r="V77" s="295"/>
      <c r="W77" s="298"/>
      <c r="X77" s="298"/>
      <c r="Y77" s="298"/>
      <c r="Z77" s="298"/>
      <c r="AA77" s="298"/>
      <c r="AB77" s="298"/>
      <c r="AC77" s="298">
        <v>47192</v>
      </c>
      <c r="AD77" s="298"/>
      <c r="AE77" s="298"/>
      <c r="AF77" s="298"/>
      <c r="AG77" s="298">
        <f>359+705</f>
        <v>1064</v>
      </c>
      <c r="AH77" s="298"/>
      <c r="AI77" s="298"/>
      <c r="AJ77" s="298"/>
      <c r="AK77" s="298"/>
      <c r="AL77" s="298"/>
      <c r="AM77" s="298"/>
      <c r="AN77" s="298"/>
      <c r="AO77" s="298">
        <v>575</v>
      </c>
      <c r="AP77" s="298"/>
      <c r="AQ77" s="298"/>
      <c r="AR77" s="298"/>
      <c r="AS77" s="298"/>
      <c r="AT77" s="298"/>
      <c r="AU77" s="298"/>
      <c r="AV77" s="298"/>
      <c r="AW77" s="298"/>
      <c r="AX77" s="298"/>
      <c r="AY77" s="295">
        <f t="shared" si="13"/>
        <v>48831</v>
      </c>
      <c r="AZ77" s="294"/>
      <c r="BA77" s="298">
        <f>48154-19817+102+575</f>
        <v>29014</v>
      </c>
      <c r="BB77" s="294"/>
      <c r="BC77" s="295">
        <f t="shared" si="16"/>
        <v>0</v>
      </c>
      <c r="BD77" s="294"/>
      <c r="BE77" s="332">
        <f t="shared" si="14"/>
        <v>48831</v>
      </c>
      <c r="BF77" s="294"/>
      <c r="BG77" s="295">
        <f t="shared" si="15"/>
        <v>-29014</v>
      </c>
    </row>
    <row r="78" spans="1:59" x14ac:dyDescent="0.25">
      <c r="A78" s="312"/>
      <c r="B78" s="31" t="s">
        <v>237</v>
      </c>
      <c r="C78" s="31"/>
      <c r="D78" s="294"/>
      <c r="E78" s="294"/>
      <c r="F78" s="294"/>
      <c r="G78" s="294" t="s">
        <v>254</v>
      </c>
      <c r="H78" s="294"/>
      <c r="I78" s="294"/>
      <c r="J78" s="294"/>
      <c r="K78" s="301">
        <v>262088</v>
      </c>
      <c r="L78" s="294"/>
      <c r="M78" s="301">
        <v>0</v>
      </c>
      <c r="N78" s="294"/>
      <c r="O78" s="301">
        <f t="shared" si="12"/>
        <v>262088</v>
      </c>
      <c r="P78" s="294"/>
      <c r="Q78" s="298">
        <v>0</v>
      </c>
      <c r="R78" s="297"/>
      <c r="S78" s="298">
        <v>0</v>
      </c>
      <c r="T78" s="297"/>
      <c r="U78" s="298"/>
      <c r="V78" s="295"/>
      <c r="W78" s="298"/>
      <c r="X78" s="298"/>
      <c r="Y78" s="298">
        <v>25522</v>
      </c>
      <c r="Z78" s="298"/>
      <c r="AA78" s="298"/>
      <c r="AB78" s="298"/>
      <c r="AC78" s="298">
        <v>103810</v>
      </c>
      <c r="AD78" s="298"/>
      <c r="AE78" s="298">
        <v>54933</v>
      </c>
      <c r="AF78" s="298"/>
      <c r="AG78" s="298">
        <f>57989+87643</f>
        <v>145632</v>
      </c>
      <c r="AH78" s="298"/>
      <c r="AI78" s="298">
        <v>3170</v>
      </c>
      <c r="AJ78" s="298"/>
      <c r="AK78" s="298">
        <v>873</v>
      </c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5">
        <f t="shared" si="13"/>
        <v>333940</v>
      </c>
      <c r="AZ78" s="294"/>
      <c r="BA78" s="298">
        <f>323912-262088+5985+6945-2902</f>
        <v>71852</v>
      </c>
      <c r="BB78" s="294"/>
      <c r="BC78" s="295">
        <f t="shared" si="16"/>
        <v>0</v>
      </c>
      <c r="BD78" s="294"/>
      <c r="BE78" s="332">
        <f t="shared" si="14"/>
        <v>333940</v>
      </c>
      <c r="BF78" s="294"/>
      <c r="BG78" s="295">
        <f t="shared" si="15"/>
        <v>-71852</v>
      </c>
    </row>
    <row r="79" spans="1:59" x14ac:dyDescent="0.25">
      <c r="A79" s="312"/>
      <c r="B79" s="31" t="s">
        <v>238</v>
      </c>
      <c r="C79" s="31"/>
      <c r="D79" s="294"/>
      <c r="E79" s="294"/>
      <c r="F79" s="294"/>
      <c r="G79" s="294" t="s">
        <v>254</v>
      </c>
      <c r="H79" s="294"/>
      <c r="I79" s="294"/>
      <c r="J79" s="294"/>
      <c r="K79" s="301"/>
      <c r="L79" s="294"/>
      <c r="M79" s="301"/>
      <c r="N79" s="294"/>
      <c r="O79" s="301"/>
      <c r="P79" s="294"/>
      <c r="Q79" s="298"/>
      <c r="R79" s="297"/>
      <c r="S79" s="298"/>
      <c r="T79" s="297"/>
      <c r="U79" s="298"/>
      <c r="V79" s="295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5">
        <f t="shared" si="13"/>
        <v>0</v>
      </c>
      <c r="AZ79" s="294"/>
      <c r="BA79" s="298">
        <v>0</v>
      </c>
      <c r="BB79" s="294"/>
      <c r="BC79" s="295">
        <f t="shared" si="16"/>
        <v>0</v>
      </c>
      <c r="BD79" s="294"/>
      <c r="BE79" s="332">
        <f t="shared" si="14"/>
        <v>0</v>
      </c>
      <c r="BF79" s="294"/>
      <c r="BG79" s="295">
        <f t="shared" si="15"/>
        <v>0</v>
      </c>
    </row>
    <row r="80" spans="1:59" x14ac:dyDescent="0.25">
      <c r="A80" s="312"/>
      <c r="B80" s="31" t="s">
        <v>239</v>
      </c>
      <c r="C80" s="31"/>
      <c r="D80" s="294"/>
      <c r="E80" s="294"/>
      <c r="F80" s="294"/>
      <c r="G80" s="294" t="s">
        <v>254</v>
      </c>
      <c r="H80" s="294"/>
      <c r="I80" s="294"/>
      <c r="J80" s="294"/>
      <c r="K80" s="301">
        <v>187673</v>
      </c>
      <c r="L80" s="294"/>
      <c r="M80" s="301">
        <v>0</v>
      </c>
      <c r="N80" s="294"/>
      <c r="O80" s="301">
        <f t="shared" si="12"/>
        <v>187673</v>
      </c>
      <c r="P80" s="294"/>
      <c r="Q80" s="298">
        <v>0</v>
      </c>
      <c r="R80" s="297"/>
      <c r="S80" s="298">
        <v>0</v>
      </c>
      <c r="T80" s="297"/>
      <c r="U80" s="298"/>
      <c r="V80" s="295"/>
      <c r="W80" s="298"/>
      <c r="X80" s="298"/>
      <c r="Y80" s="298">
        <v>2816</v>
      </c>
      <c r="Z80" s="298"/>
      <c r="AA80" s="298"/>
      <c r="AB80" s="298"/>
      <c r="AC80" s="298">
        <f>1835+17520+301.28+1336+20148.3</f>
        <v>41140.58</v>
      </c>
      <c r="AD80" s="298"/>
      <c r="AE80" s="298">
        <v>199342</v>
      </c>
      <c r="AF80" s="298"/>
      <c r="AG80" s="298">
        <f>102067+122725-142833+91897</f>
        <v>173856</v>
      </c>
      <c r="AH80" s="298"/>
      <c r="AI80" s="298">
        <f>11644+16810</f>
        <v>28454</v>
      </c>
      <c r="AJ80" s="298"/>
      <c r="AK80" s="298"/>
      <c r="AL80" s="298"/>
      <c r="AM80" s="298"/>
      <c r="AN80" s="298"/>
      <c r="AO80" s="298">
        <v>1865</v>
      </c>
      <c r="AP80" s="298"/>
      <c r="AQ80" s="298"/>
      <c r="AR80" s="298"/>
      <c r="AS80" s="298"/>
      <c r="AT80" s="298"/>
      <c r="AU80" s="298"/>
      <c r="AV80" s="298"/>
      <c r="AW80" s="298"/>
      <c r="AX80" s="298"/>
      <c r="AY80" s="295">
        <f t="shared" si="13"/>
        <v>447473.58</v>
      </c>
      <c r="AZ80" s="294"/>
      <c r="BA80" s="298">
        <f>254350-187673+26013+4723+866+940+167365+463-9111+1865</f>
        <v>259801</v>
      </c>
      <c r="BB80" s="294"/>
      <c r="BC80" s="295">
        <f t="shared" si="16"/>
        <v>0.41999999998370185</v>
      </c>
      <c r="BD80" s="294"/>
      <c r="BE80" s="336">
        <f t="shared" si="14"/>
        <v>447474</v>
      </c>
      <c r="BF80" s="335"/>
      <c r="BG80" s="295">
        <f t="shared" si="15"/>
        <v>-259801</v>
      </c>
    </row>
    <row r="81" spans="1:61" x14ac:dyDescent="0.25">
      <c r="A81" s="312"/>
      <c r="B81" s="31" t="s">
        <v>240</v>
      </c>
      <c r="C81" s="31"/>
      <c r="D81" s="294"/>
      <c r="E81" s="294"/>
      <c r="F81" s="294"/>
      <c r="G81" s="294" t="s">
        <v>254</v>
      </c>
      <c r="H81" s="294"/>
      <c r="I81" s="294"/>
      <c r="J81" s="294"/>
      <c r="K81" s="301">
        <v>0</v>
      </c>
      <c r="L81" s="294"/>
      <c r="M81" s="301">
        <v>0</v>
      </c>
      <c r="N81" s="294"/>
      <c r="O81" s="301">
        <f t="shared" si="12"/>
        <v>0</v>
      </c>
      <c r="P81" s="294"/>
      <c r="Q81" s="298">
        <v>0</v>
      </c>
      <c r="R81" s="297"/>
      <c r="S81" s="298">
        <v>0</v>
      </c>
      <c r="T81" s="297"/>
      <c r="U81" s="298"/>
      <c r="V81" s="295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>
        <v>0</v>
      </c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5">
        <f t="shared" si="13"/>
        <v>0</v>
      </c>
      <c r="AZ81" s="294"/>
      <c r="BA81" s="298">
        <f>4500+7000+4000-15500</f>
        <v>0</v>
      </c>
      <c r="BB81" s="294"/>
      <c r="BC81" s="295">
        <f t="shared" si="16"/>
        <v>0</v>
      </c>
      <c r="BD81" s="294"/>
      <c r="BE81" s="332">
        <f t="shared" si="14"/>
        <v>0</v>
      </c>
      <c r="BF81" s="294"/>
      <c r="BG81" s="295">
        <f t="shared" si="15"/>
        <v>0</v>
      </c>
    </row>
    <row r="82" spans="1:61" x14ac:dyDescent="0.25">
      <c r="A82" s="312"/>
      <c r="B82" s="31" t="s">
        <v>241</v>
      </c>
      <c r="C82" s="31"/>
      <c r="D82" s="294"/>
      <c r="E82" s="294"/>
      <c r="F82" s="294"/>
      <c r="G82" s="294" t="s">
        <v>254</v>
      </c>
      <c r="H82" s="294"/>
      <c r="I82" s="294"/>
      <c r="J82" s="294"/>
      <c r="K82" s="301">
        <v>148167</v>
      </c>
      <c r="L82" s="294"/>
      <c r="M82" s="301">
        <v>0</v>
      </c>
      <c r="N82" s="294"/>
      <c r="O82" s="301">
        <f t="shared" si="12"/>
        <v>148167</v>
      </c>
      <c r="P82" s="294"/>
      <c r="Q82" s="298">
        <v>0</v>
      </c>
      <c r="R82" s="297"/>
      <c r="S82" s="298">
        <v>0</v>
      </c>
      <c r="T82" s="297"/>
      <c r="U82" s="298"/>
      <c r="V82" s="295"/>
      <c r="W82" s="298"/>
      <c r="X82" s="298"/>
      <c r="Y82" s="298">
        <v>1230</v>
      </c>
      <c r="Z82" s="298"/>
      <c r="AA82" s="298"/>
      <c r="AB82" s="298"/>
      <c r="AC82" s="298">
        <v>19155</v>
      </c>
      <c r="AD82" s="298"/>
      <c r="AE82" s="298">
        <v>75682</v>
      </c>
      <c r="AF82" s="298"/>
      <c r="AG82" s="298">
        <f>193309+10890</f>
        <v>204199</v>
      </c>
      <c r="AH82" s="298"/>
      <c r="AI82" s="298"/>
      <c r="AJ82" s="298"/>
      <c r="AK82" s="298">
        <v>194</v>
      </c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5">
        <f t="shared" si="13"/>
        <v>300460</v>
      </c>
      <c r="AZ82" s="294"/>
      <c r="BA82" s="298">
        <f>264308-148167-5008+42719-1700-53</f>
        <v>152099</v>
      </c>
      <c r="BB82" s="294"/>
      <c r="BC82" s="295">
        <f t="shared" si="16"/>
        <v>0</v>
      </c>
      <c r="BD82" s="294"/>
      <c r="BE82" s="332">
        <f t="shared" si="14"/>
        <v>300460</v>
      </c>
      <c r="BF82" s="294"/>
      <c r="BG82" s="295">
        <f t="shared" si="15"/>
        <v>-152293</v>
      </c>
    </row>
    <row r="83" spans="1:61" x14ac:dyDescent="0.25">
      <c r="A83" s="312"/>
      <c r="B83" s="31" t="s">
        <v>242</v>
      </c>
      <c r="C83" s="31"/>
      <c r="D83" s="294"/>
      <c r="E83" s="294"/>
      <c r="F83" s="294"/>
      <c r="G83" s="294" t="s">
        <v>254</v>
      </c>
      <c r="H83" s="294"/>
      <c r="I83" s="294"/>
      <c r="J83" s="294"/>
      <c r="K83" s="301"/>
      <c r="L83" s="294"/>
      <c r="M83" s="301"/>
      <c r="N83" s="294"/>
      <c r="O83" s="301"/>
      <c r="P83" s="294"/>
      <c r="Q83" s="298"/>
      <c r="R83" s="297"/>
      <c r="S83" s="298"/>
      <c r="T83" s="297"/>
      <c r="U83" s="298"/>
      <c r="V83" s="295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5">
        <f t="shared" si="13"/>
        <v>0</v>
      </c>
      <c r="AZ83" s="294"/>
      <c r="BA83" s="298">
        <v>0</v>
      </c>
      <c r="BB83" s="294"/>
      <c r="BC83" s="295">
        <f t="shared" si="16"/>
        <v>0</v>
      </c>
      <c r="BD83" s="294"/>
      <c r="BE83" s="332">
        <f t="shared" si="14"/>
        <v>0</v>
      </c>
      <c r="BF83" s="294"/>
      <c r="BG83" s="295">
        <f t="shared" si="15"/>
        <v>0</v>
      </c>
    </row>
    <row r="84" spans="1:61" x14ac:dyDescent="0.25">
      <c r="A84" s="312"/>
      <c r="B84" s="31" t="s">
        <v>239</v>
      </c>
      <c r="C84" s="31"/>
      <c r="D84" s="294"/>
      <c r="E84" s="294"/>
      <c r="F84" s="294"/>
      <c r="G84" s="294" t="s">
        <v>254</v>
      </c>
      <c r="H84" s="294"/>
      <c r="I84" s="294"/>
      <c r="J84" s="294"/>
      <c r="K84" s="301">
        <v>516773</v>
      </c>
      <c r="L84" s="294"/>
      <c r="M84" s="301">
        <v>0</v>
      </c>
      <c r="N84" s="294"/>
      <c r="O84" s="301">
        <f t="shared" si="12"/>
        <v>516773</v>
      </c>
      <c r="P84" s="294"/>
      <c r="Q84" s="298">
        <v>0</v>
      </c>
      <c r="R84" s="331"/>
      <c r="S84" s="298">
        <v>0</v>
      </c>
      <c r="T84" s="331"/>
      <c r="U84" s="298">
        <v>0</v>
      </c>
      <c r="V84" s="295"/>
      <c r="W84" s="298">
        <v>6361</v>
      </c>
      <c r="X84" s="298"/>
      <c r="Y84" s="298">
        <v>2837</v>
      </c>
      <c r="Z84" s="298"/>
      <c r="AA84" s="298">
        <f>19400+360.72+730.45+23599+61916.06+127011.64+871.5+800+13265.71+35667.88+91.6+3428.19+7716.8+241+499.4+17418.24+3493.92+837.78+12701.85+6912.36</f>
        <v>336964.09999999992</v>
      </c>
      <c r="AB84" s="298"/>
      <c r="AC84" s="298">
        <f>12229+2882.21+4622.25+2277.82+11622.63+542+1297.2+11247.85+4375+40079.82+122.5+957.67+836.81+2682</f>
        <v>95774.76</v>
      </c>
      <c r="AD84" s="298"/>
      <c r="AE84" s="298">
        <f>6628.25+37805.6+6817.19+3707.2+29109+610.4+6541.7</f>
        <v>91219.339999999982</v>
      </c>
      <c r="AF84" s="298"/>
      <c r="AG84" s="298">
        <f>44546+164819+651.58+770939+7453+441149+93914+531+200864</f>
        <v>1724866.58</v>
      </c>
      <c r="AH84" s="298"/>
      <c r="AI84" s="298">
        <f>41855+99.33+1412.26+1254.09+15291+13038.52+12931.52+640+408</f>
        <v>86929.72</v>
      </c>
      <c r="AJ84" s="298"/>
      <c r="AK84" s="298">
        <v>56730</v>
      </c>
      <c r="AL84" s="298"/>
      <c r="AM84" s="298">
        <v>13514</v>
      </c>
      <c r="AN84" s="298"/>
      <c r="AO84" s="298">
        <v>-1375</v>
      </c>
      <c r="AP84" s="298"/>
      <c r="AQ84" s="298"/>
      <c r="AR84" s="298"/>
      <c r="AS84" s="298"/>
      <c r="AT84" s="298"/>
      <c r="AU84" s="298"/>
      <c r="AV84" s="298"/>
      <c r="AW84" s="298"/>
      <c r="AX84" s="298"/>
      <c r="AY84" s="295">
        <f t="shared" si="13"/>
        <v>2413821.5000000005</v>
      </c>
      <c r="AZ84" s="294"/>
      <c r="BA84" s="298">
        <f>538290-516773+79110+19604-3216+7934+468160-20616+250718+85356+4044+165133+38712+16181+1+76+268+965-1375</f>
        <v>1132572</v>
      </c>
      <c r="BB84" s="294"/>
      <c r="BC84" s="305">
        <f>IF(+O84-AY84+BA84&gt;0,O84-AY84+BA84,0)</f>
        <v>0</v>
      </c>
      <c r="BD84" s="294"/>
      <c r="BE84" s="334">
        <f t="shared" si="14"/>
        <v>2413821.5000000005</v>
      </c>
      <c r="BF84" s="335"/>
      <c r="BG84" s="295">
        <f t="shared" si="15"/>
        <v>-1897048.5000000005</v>
      </c>
    </row>
    <row r="85" spans="1:61" x14ac:dyDescent="0.25">
      <c r="A85" s="312"/>
      <c r="B85" s="31" t="s">
        <v>240</v>
      </c>
      <c r="C85" s="31"/>
      <c r="D85" s="294"/>
      <c r="E85" s="294"/>
      <c r="F85" s="294"/>
      <c r="G85" s="294" t="s">
        <v>254</v>
      </c>
      <c r="H85" s="294"/>
      <c r="I85" s="294"/>
      <c r="J85" s="294"/>
      <c r="K85" s="301">
        <v>119562</v>
      </c>
      <c r="L85" s="294"/>
      <c r="M85" s="301">
        <v>0</v>
      </c>
      <c r="N85" s="294"/>
      <c r="O85" s="301">
        <f t="shared" si="12"/>
        <v>119562</v>
      </c>
      <c r="P85" s="294"/>
      <c r="Q85" s="298">
        <v>0</v>
      </c>
      <c r="R85" s="297"/>
      <c r="S85" s="298">
        <v>0</v>
      </c>
      <c r="T85" s="297"/>
      <c r="U85" s="298"/>
      <c r="V85" s="295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>
        <v>0</v>
      </c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5">
        <f t="shared" si="13"/>
        <v>0</v>
      </c>
      <c r="AZ85" s="294"/>
      <c r="BA85" s="298">
        <f>-33473+32000+5496-16186-107399</f>
        <v>-119562</v>
      </c>
      <c r="BB85" s="294"/>
      <c r="BC85" s="295">
        <f t="shared" si="16"/>
        <v>0</v>
      </c>
      <c r="BD85" s="294"/>
      <c r="BE85" s="336">
        <f t="shared" si="14"/>
        <v>0</v>
      </c>
      <c r="BF85" s="294"/>
      <c r="BG85" s="295">
        <f t="shared" si="15"/>
        <v>119562</v>
      </c>
    </row>
    <row r="86" spans="1:61" x14ac:dyDescent="0.25">
      <c r="A86" s="312"/>
      <c r="B86" s="31" t="s">
        <v>241</v>
      </c>
      <c r="C86" s="31"/>
      <c r="D86" s="294"/>
      <c r="E86" s="294"/>
      <c r="F86" s="294"/>
      <c r="G86" s="294" t="s">
        <v>254</v>
      </c>
      <c r="H86" s="294"/>
      <c r="I86" s="294"/>
      <c r="J86" s="294"/>
      <c r="K86" s="301">
        <v>546363</v>
      </c>
      <c r="L86" s="294"/>
      <c r="M86" s="301">
        <v>0</v>
      </c>
      <c r="N86" s="294"/>
      <c r="O86" s="301">
        <f t="shared" si="12"/>
        <v>546363</v>
      </c>
      <c r="P86" s="294"/>
      <c r="Q86" s="298">
        <v>0</v>
      </c>
      <c r="R86" s="331"/>
      <c r="S86" s="298">
        <v>0</v>
      </c>
      <c r="T86" s="331"/>
      <c r="U86" s="298">
        <v>0</v>
      </c>
      <c r="V86" s="295"/>
      <c r="W86" s="298"/>
      <c r="X86" s="298"/>
      <c r="Y86" s="298">
        <v>3598</v>
      </c>
      <c r="Z86" s="298"/>
      <c r="AA86" s="298"/>
      <c r="AB86" s="298"/>
      <c r="AC86" s="298">
        <v>66600</v>
      </c>
      <c r="AD86" s="298"/>
      <c r="AE86" s="298">
        <v>226484</v>
      </c>
      <c r="AF86" s="298"/>
      <c r="AG86" s="298">
        <f>433597+133738</f>
        <v>567335</v>
      </c>
      <c r="AH86" s="298"/>
      <c r="AI86" s="298">
        <v>192691</v>
      </c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5">
        <f t="shared" si="13"/>
        <v>1056708</v>
      </c>
      <c r="AZ86" s="294"/>
      <c r="BA86" s="298">
        <f>673192-546363+170783+33483+43023+136227</f>
        <v>510345</v>
      </c>
      <c r="BB86" s="294"/>
      <c r="BC86" s="295">
        <f t="shared" si="16"/>
        <v>0</v>
      </c>
      <c r="BD86" s="294"/>
      <c r="BE86" s="336">
        <f t="shared" si="14"/>
        <v>1056708</v>
      </c>
      <c r="BF86" s="294"/>
      <c r="BG86" s="295">
        <f t="shared" si="15"/>
        <v>-510345</v>
      </c>
    </row>
    <row r="87" spans="1:61" x14ac:dyDescent="0.25">
      <c r="A87" s="312"/>
      <c r="B87" s="31" t="s">
        <v>43</v>
      </c>
      <c r="C87" s="31"/>
      <c r="D87" s="294"/>
      <c r="E87" s="294"/>
      <c r="F87" s="294"/>
      <c r="G87" s="294" t="s">
        <v>254</v>
      </c>
      <c r="H87" s="294"/>
      <c r="I87" s="294"/>
      <c r="J87" s="294"/>
      <c r="K87" s="301">
        <v>189969</v>
      </c>
      <c r="L87" s="294"/>
      <c r="M87" s="301">
        <v>0</v>
      </c>
      <c r="N87" s="294"/>
      <c r="O87" s="301">
        <f t="shared" si="12"/>
        <v>189969</v>
      </c>
      <c r="P87" s="294"/>
      <c r="Q87" s="298">
        <v>0</v>
      </c>
      <c r="R87" s="297"/>
      <c r="S87" s="298">
        <v>0</v>
      </c>
      <c r="T87" s="297"/>
      <c r="U87" s="298"/>
      <c r="V87" s="295"/>
      <c r="W87" s="298"/>
      <c r="X87" s="298"/>
      <c r="Y87" s="298"/>
      <c r="Z87" s="298"/>
      <c r="AA87" s="298"/>
      <c r="AB87" s="298"/>
      <c r="AC87" s="298">
        <f>2981+42435.36+50117.76+1230.78+1047.37+4514.6+4222.34+159.88+719.47+4514.6</f>
        <v>111943.16</v>
      </c>
      <c r="AD87" s="298"/>
      <c r="AE87" s="298">
        <v>56074</v>
      </c>
      <c r="AF87" s="298"/>
      <c r="AG87" s="298">
        <f>89801+69487+1870+42688+10031</f>
        <v>213877</v>
      </c>
      <c r="AH87" s="298"/>
      <c r="AI87" s="298">
        <v>22635</v>
      </c>
      <c r="AJ87" s="298"/>
      <c r="AK87" s="298"/>
      <c r="AL87" s="298"/>
      <c r="AM87" s="298">
        <v>6187</v>
      </c>
      <c r="AN87" s="298"/>
      <c r="AO87" s="298">
        <v>4440</v>
      </c>
      <c r="AP87" s="298"/>
      <c r="AQ87" s="298"/>
      <c r="AR87" s="298"/>
      <c r="AS87" s="298"/>
      <c r="AT87" s="298"/>
      <c r="AU87" s="298"/>
      <c r="AV87" s="298"/>
      <c r="AW87" s="298"/>
      <c r="AX87" s="298"/>
      <c r="AY87" s="295">
        <f t="shared" si="13"/>
        <v>415156.16000000003</v>
      </c>
      <c r="AZ87" s="294"/>
      <c r="BA87" s="298">
        <f>-5507+57245-3993-21374+71558+198586+44507+19020-20-139275+4440</f>
        <v>225187</v>
      </c>
      <c r="BB87" s="294"/>
      <c r="BC87" s="295">
        <f t="shared" si="16"/>
        <v>0</v>
      </c>
      <c r="BD87" s="294"/>
      <c r="BE87" s="336">
        <f t="shared" si="14"/>
        <v>415156.16000000003</v>
      </c>
      <c r="BF87" s="335"/>
      <c r="BG87" s="295">
        <f t="shared" si="15"/>
        <v>-225187.16000000003</v>
      </c>
    </row>
    <row r="88" spans="1:61" x14ac:dyDescent="0.25">
      <c r="A88" s="312"/>
      <c r="B88" s="31" t="s">
        <v>245</v>
      </c>
      <c r="C88" s="31"/>
      <c r="D88" s="294"/>
      <c r="E88" s="294"/>
      <c r="F88" s="294"/>
      <c r="G88" s="294" t="s">
        <v>254</v>
      </c>
      <c r="H88" s="294"/>
      <c r="I88" s="294"/>
      <c r="J88" s="294"/>
      <c r="K88" s="301">
        <v>447894</v>
      </c>
      <c r="L88" s="294"/>
      <c r="M88" s="301">
        <v>0</v>
      </c>
      <c r="N88" s="294"/>
      <c r="O88" s="301">
        <f t="shared" si="12"/>
        <v>447894</v>
      </c>
      <c r="P88" s="294"/>
      <c r="Q88" s="298">
        <v>0</v>
      </c>
      <c r="R88" s="297"/>
      <c r="S88" s="298">
        <v>0</v>
      </c>
      <c r="T88" s="297"/>
      <c r="U88" s="298"/>
      <c r="V88" s="295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>
        <f>46674+28312.2</f>
        <v>74986.2</v>
      </c>
      <c r="AH88" s="298"/>
      <c r="AI88" s="298">
        <f>366768-71075</f>
        <v>295693</v>
      </c>
      <c r="AJ88" s="298"/>
      <c r="AK88" s="298">
        <v>-55315</v>
      </c>
      <c r="AL88" s="298"/>
      <c r="AM88" s="298">
        <v>12549</v>
      </c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5">
        <f t="shared" si="13"/>
        <v>327913.2</v>
      </c>
      <c r="AZ88" s="294"/>
      <c r="BA88" s="298">
        <f>406493-447894-30809-34000+28995-71075</f>
        <v>-148290</v>
      </c>
      <c r="BB88" s="294"/>
      <c r="BC88" s="295">
        <f t="shared" si="16"/>
        <v>0</v>
      </c>
      <c r="BD88" s="294"/>
      <c r="BE88" s="334">
        <f t="shared" si="14"/>
        <v>327913.2</v>
      </c>
      <c r="BF88" s="294"/>
      <c r="BG88" s="295">
        <f t="shared" si="15"/>
        <v>119980.79999999999</v>
      </c>
    </row>
    <row r="89" spans="1:61" x14ac:dyDescent="0.25">
      <c r="A89" s="312"/>
      <c r="B89" s="31" t="s">
        <v>243</v>
      </c>
      <c r="C89" s="31"/>
      <c r="D89" s="294"/>
      <c r="E89" s="294"/>
      <c r="F89" s="294"/>
      <c r="G89" s="294" t="s">
        <v>254</v>
      </c>
      <c r="H89" s="294"/>
      <c r="I89" s="294"/>
      <c r="J89" s="294"/>
      <c r="K89" s="301">
        <v>160658</v>
      </c>
      <c r="L89" s="294"/>
      <c r="M89" s="301">
        <v>0</v>
      </c>
      <c r="N89" s="294"/>
      <c r="O89" s="301">
        <f t="shared" si="12"/>
        <v>160658</v>
      </c>
      <c r="P89" s="294"/>
      <c r="Q89" s="298">
        <v>0</v>
      </c>
      <c r="R89" s="297"/>
      <c r="S89" s="298">
        <v>0</v>
      </c>
      <c r="T89" s="297"/>
      <c r="U89" s="298"/>
      <c r="V89" s="295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>
        <v>54000</v>
      </c>
      <c r="AJ89" s="298"/>
      <c r="AK89" s="298"/>
      <c r="AL89" s="298"/>
      <c r="AM89" s="298">
        <v>201988</v>
      </c>
      <c r="AN89" s="298"/>
      <c r="AO89" s="298">
        <v>7500</v>
      </c>
      <c r="AP89" s="298"/>
      <c r="AQ89" s="298"/>
      <c r="AR89" s="298"/>
      <c r="AS89" s="298"/>
      <c r="AT89" s="298"/>
      <c r="AU89" s="298"/>
      <c r="AV89" s="298"/>
      <c r="AW89" s="298"/>
      <c r="AX89" s="298"/>
      <c r="AY89" s="295">
        <f t="shared" si="13"/>
        <v>263488</v>
      </c>
      <c r="AZ89" s="294"/>
      <c r="BA89" s="298">
        <f>167000-40000-23670-8000+7500</f>
        <v>102830</v>
      </c>
      <c r="BB89" s="294"/>
      <c r="BC89" s="295">
        <f t="shared" si="16"/>
        <v>0</v>
      </c>
      <c r="BD89" s="294"/>
      <c r="BE89" s="332">
        <f t="shared" si="14"/>
        <v>263488</v>
      </c>
      <c r="BF89" s="294"/>
      <c r="BG89" s="295">
        <f t="shared" si="15"/>
        <v>-102830</v>
      </c>
    </row>
    <row r="90" spans="1:61" x14ac:dyDescent="0.25">
      <c r="A90" s="312"/>
      <c r="B90" s="31" t="s">
        <v>244</v>
      </c>
      <c r="C90" s="31"/>
      <c r="D90" s="294"/>
      <c r="E90" s="294"/>
      <c r="F90" s="294"/>
      <c r="G90" s="294" t="s">
        <v>254</v>
      </c>
      <c r="H90" s="294"/>
      <c r="I90" s="294"/>
      <c r="J90" s="294"/>
      <c r="K90" s="301">
        <v>184852</v>
      </c>
      <c r="L90" s="294"/>
      <c r="M90" s="301">
        <v>0</v>
      </c>
      <c r="N90" s="294"/>
      <c r="O90" s="301">
        <f t="shared" si="12"/>
        <v>184852</v>
      </c>
      <c r="P90" s="294"/>
      <c r="Q90" s="298">
        <v>0</v>
      </c>
      <c r="R90" s="331"/>
      <c r="S90" s="298">
        <v>0</v>
      </c>
      <c r="T90" s="331"/>
      <c r="U90" s="298">
        <v>0</v>
      </c>
      <c r="V90" s="295"/>
      <c r="W90" s="298">
        <v>990</v>
      </c>
      <c r="X90" s="298"/>
      <c r="Y90" s="298">
        <v>24155</v>
      </c>
      <c r="Z90" s="298"/>
      <c r="AA90" s="298"/>
      <c r="AB90" s="298"/>
      <c r="AC90" s="298">
        <v>61326</v>
      </c>
      <c r="AD90" s="298"/>
      <c r="AE90" s="298">
        <v>74313</v>
      </c>
      <c r="AF90" s="298"/>
      <c r="AG90" s="298">
        <f>24225+562-1853+3175379</f>
        <v>3198313</v>
      </c>
      <c r="AH90" s="298"/>
      <c r="AI90" s="298">
        <v>1853</v>
      </c>
      <c r="AJ90" s="298"/>
      <c r="AK90" s="298">
        <v>568639.67000000004</v>
      </c>
      <c r="AL90" s="298"/>
      <c r="AM90" s="298"/>
      <c r="AN90" s="298"/>
      <c r="AO90" s="298">
        <v>-18</v>
      </c>
      <c r="AP90" s="298"/>
      <c r="AQ90" s="298"/>
      <c r="AR90" s="298"/>
      <c r="AS90" s="298"/>
      <c r="AT90" s="298"/>
      <c r="AU90" s="298"/>
      <c r="AV90" s="298"/>
      <c r="AW90" s="298"/>
      <c r="AX90" s="298"/>
      <c r="AY90" s="295">
        <f t="shared" si="13"/>
        <v>3929571.67</v>
      </c>
      <c r="AZ90" s="294"/>
      <c r="BA90" s="298">
        <f>180090-184852+3173+455+3696372-100-18</f>
        <v>3695120</v>
      </c>
      <c r="BB90" s="294"/>
      <c r="BC90" s="305">
        <f>IF(+O90-AY90+BA90&gt;0,O90-AY90+BA90,0)</f>
        <v>0</v>
      </c>
      <c r="BD90" s="294"/>
      <c r="BE90" s="336">
        <f t="shared" si="14"/>
        <v>3929571.67</v>
      </c>
      <c r="BF90" s="335"/>
      <c r="BG90" s="295">
        <f t="shared" si="15"/>
        <v>-3744719.67</v>
      </c>
    </row>
    <row r="91" spans="1:61" x14ac:dyDescent="0.25">
      <c r="A91" s="312"/>
      <c r="B91" s="31" t="s">
        <v>506</v>
      </c>
      <c r="C91" s="31"/>
      <c r="D91" s="294"/>
      <c r="E91" s="294"/>
      <c r="F91" s="294"/>
      <c r="G91" s="294" t="s">
        <v>254</v>
      </c>
      <c r="H91" s="294"/>
      <c r="I91" s="294"/>
      <c r="J91" s="294"/>
      <c r="K91" s="301">
        <v>2065720</v>
      </c>
      <c r="L91" s="294"/>
      <c r="M91" s="324">
        <v>0</v>
      </c>
      <c r="N91" s="322"/>
      <c r="O91" s="324">
        <f t="shared" si="12"/>
        <v>2065720</v>
      </c>
      <c r="P91" s="294"/>
      <c r="Q91" s="298">
        <v>0</v>
      </c>
      <c r="R91" s="331"/>
      <c r="S91" s="298">
        <v>0</v>
      </c>
      <c r="T91" s="331"/>
      <c r="U91" s="298">
        <f>3980+386</f>
        <v>4366</v>
      </c>
      <c r="V91" s="295"/>
      <c r="W91" s="298">
        <v>9118</v>
      </c>
      <c r="X91" s="298"/>
      <c r="Y91" s="298">
        <f>69183+258150+805</f>
        <v>328138</v>
      </c>
      <c r="Z91" s="298"/>
      <c r="AA91" s="298"/>
      <c r="AB91" s="298"/>
      <c r="AC91" s="298">
        <f>150356+85375.5+27444+37720.8+14114.88+1615.6+9761.17+1271.06+2920.32+1264.5+25516.1</f>
        <v>357359.92999999993</v>
      </c>
      <c r="AD91" s="298"/>
      <c r="AE91" s="298">
        <f>62000+389601</f>
        <v>451601</v>
      </c>
      <c r="AF91" s="298"/>
      <c r="AG91" s="298">
        <f>756211+106330+5676+9931.05+555.4+43.61+864+24191+190404+271310+114629+42134+204425</f>
        <v>1726704.06</v>
      </c>
      <c r="AH91" s="298"/>
      <c r="AI91" s="298">
        <v>461180</v>
      </c>
      <c r="AJ91" s="298"/>
      <c r="AK91" s="298">
        <v>119422</v>
      </c>
      <c r="AL91" s="298"/>
      <c r="AM91" s="298">
        <v>5572</v>
      </c>
      <c r="AN91" s="298"/>
      <c r="AO91" s="298">
        <v>21654</v>
      </c>
      <c r="AP91" s="298"/>
      <c r="AQ91" s="298"/>
      <c r="AR91" s="298"/>
      <c r="AS91" s="298"/>
      <c r="AT91" s="298"/>
      <c r="AU91" s="298"/>
      <c r="AV91" s="298"/>
      <c r="AW91" s="298"/>
      <c r="AX91" s="298"/>
      <c r="AY91" s="295">
        <f t="shared" si="13"/>
        <v>3485114.99</v>
      </c>
      <c r="AZ91" s="294"/>
      <c r="BA91" s="298">
        <f>2012139-2065720-92000+54858+42061+123096+971+59988+3081-100000+138344+26421+96919+220536+218621+254036+36841+334365+10000-5000-4089+4089-892+94+20900</f>
        <v>1389659</v>
      </c>
      <c r="BB91" s="294"/>
      <c r="BC91" s="305">
        <f>IF(+O91-AY91+BA91&gt;0,O91-AY91+BA91,0)</f>
        <v>0</v>
      </c>
      <c r="BD91" s="294"/>
      <c r="BE91" s="336">
        <f t="shared" si="14"/>
        <v>3485114.99</v>
      </c>
      <c r="BF91" s="335"/>
      <c r="BG91" s="295">
        <f t="shared" si="15"/>
        <v>-1419394.9900000002</v>
      </c>
      <c r="BI91" s="157" t="s">
        <v>500</v>
      </c>
    </row>
    <row r="92" spans="1:61" x14ac:dyDescent="0.25">
      <c r="A92" s="312"/>
      <c r="B92" s="31" t="s">
        <v>247</v>
      </c>
      <c r="C92" s="31"/>
      <c r="D92" s="294"/>
      <c r="E92" s="294"/>
      <c r="F92" s="294"/>
      <c r="G92" s="294" t="s">
        <v>254</v>
      </c>
      <c r="H92" s="294"/>
      <c r="I92" s="294"/>
      <c r="J92" s="294"/>
      <c r="K92" s="306">
        <v>3895281</v>
      </c>
      <c r="L92" s="294"/>
      <c r="M92" s="324">
        <v>3307345</v>
      </c>
      <c r="N92" s="322"/>
      <c r="O92" s="324">
        <f t="shared" si="12"/>
        <v>7202626</v>
      </c>
      <c r="P92" s="294"/>
      <c r="Q92" s="298">
        <v>0</v>
      </c>
      <c r="R92" s="331"/>
      <c r="S92" s="298">
        <f>96186+57141</f>
        <v>153327</v>
      </c>
      <c r="T92" s="331"/>
      <c r="U92" s="298">
        <f>76188+76188</f>
        <v>152376</v>
      </c>
      <c r="V92" s="295"/>
      <c r="W92" s="298">
        <f>15285+38094+43251</f>
        <v>96630</v>
      </c>
      <c r="X92" s="298"/>
      <c r="Y92" s="298">
        <f>1203+775461+1584</f>
        <v>778248</v>
      </c>
      <c r="Z92" s="298"/>
      <c r="AA92" s="298">
        <f>32176+10055+111745+185992+6380+12066+7230+14324.31+47632+7167+20399+11703+5943+8384+13402+10392+16538+11531+62.09+10113.05+19494.53+6000+27.5+288.2+59612+123</f>
        <v>628779.68000000005</v>
      </c>
      <c r="AB92" s="298"/>
      <c r="AC92" s="298">
        <f>1449202+706.25+718.5+3358.8+5420+2700.75+14174.5+5220+398.68+4253+874.5+1330.75+953.58+1129.66+136.44+24.16+64.5+24707.01+299.04+1839.04+297.46+627.98+1179.49+3233.73+21272.22+2400+272.6+200+1373.6+186.49+220+8233.2+983.75+77000+58440</f>
        <v>1693431.68</v>
      </c>
      <c r="AD92" s="298"/>
      <c r="AE92" s="298">
        <f>38635.08+19276.2+818.75+6170+719.75+1557.52+32503.01+5409.5+845+905.27+118.25+1057.68+8700.9+845+883+1330.76+2053.2+4073.49+12693.6+537.2+6486+1492409+3560.66+370.1+300.15+13050+1164.68+700.81+292.93+53000+1392.8+1261.1</f>
        <v>1713121.39</v>
      </c>
      <c r="AF92" s="298"/>
      <c r="AG92" s="298">
        <f>1514+732868+240.1+100+748.65+909.19+8610+10977+2238.7+34400+783.95+12720+199.1+439.75+313.5+1401+57.82+12523.2+1963+72+437.4+1329.08+650</f>
        <v>825495.43999999971</v>
      </c>
      <c r="AH92" s="298"/>
      <c r="AI92" s="298">
        <f>900+108596+141928+71075+796.71</f>
        <v>323295.71000000002</v>
      </c>
      <c r="AJ92" s="298"/>
      <c r="AK92" s="298">
        <v>-63445</v>
      </c>
      <c r="AL92" s="298"/>
      <c r="AM92" s="298">
        <v>71376</v>
      </c>
      <c r="AN92" s="298"/>
      <c r="AO92" s="298">
        <v>6922</v>
      </c>
      <c r="AP92" s="298"/>
      <c r="AQ92" s="298"/>
      <c r="AR92" s="298"/>
      <c r="AS92" s="298"/>
      <c r="AT92" s="298"/>
      <c r="AU92" s="298"/>
      <c r="AV92" s="298"/>
      <c r="AW92" s="298"/>
      <c r="AX92" s="298"/>
      <c r="AY92" s="295">
        <f t="shared" si="13"/>
        <v>6379557.8999999994</v>
      </c>
      <c r="AZ92" s="294"/>
      <c r="BA92" s="298">
        <f>7742040-7202626-274000+1184+48511-14251-1130849+6922</f>
        <v>-823069</v>
      </c>
      <c r="BB92" s="294"/>
      <c r="BC92" s="295">
        <f t="shared" si="16"/>
        <v>0</v>
      </c>
      <c r="BD92" s="294"/>
      <c r="BE92" s="295">
        <f t="shared" si="14"/>
        <v>6379557.8999999994</v>
      </c>
      <c r="BF92" s="294"/>
      <c r="BG92" s="295">
        <f t="shared" si="15"/>
        <v>823068.10000000056</v>
      </c>
    </row>
    <row r="93" spans="1:61" x14ac:dyDescent="0.25">
      <c r="A93" s="312"/>
      <c r="B93" s="31" t="s">
        <v>534</v>
      </c>
      <c r="C93" s="31"/>
      <c r="D93" s="294"/>
      <c r="E93" s="294"/>
      <c r="F93" s="294"/>
      <c r="G93" s="294"/>
      <c r="H93" s="294"/>
      <c r="I93" s="294"/>
      <c r="J93" s="294"/>
      <c r="K93" s="324"/>
      <c r="L93" s="294"/>
      <c r="M93" s="306"/>
      <c r="N93" s="337"/>
      <c r="O93" s="306"/>
      <c r="P93" s="294"/>
      <c r="Q93" s="298"/>
      <c r="R93" s="331"/>
      <c r="S93" s="298"/>
      <c r="T93" s="331"/>
      <c r="U93" s="298"/>
      <c r="V93" s="295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>
        <f>1066.02+555.4+684.6+61.4+18956.2+1420+2047.2+1800-555.4+172.9+416.75</f>
        <v>26625.070000000003</v>
      </c>
      <c r="AL93" s="298"/>
      <c r="AM93" s="298">
        <f>278.28+778.75+52686.02-2956.73+1408.46+122+1273.5</f>
        <v>53590.279999999992</v>
      </c>
      <c r="AN93" s="298"/>
      <c r="AO93" s="298">
        <f>35259.75+1200+1057.63+10187.17</f>
        <v>47704.549999999996</v>
      </c>
      <c r="AP93" s="298"/>
      <c r="AQ93" s="298"/>
      <c r="AR93" s="298"/>
      <c r="AS93" s="298"/>
      <c r="AT93" s="298"/>
      <c r="AU93" s="298"/>
      <c r="AV93" s="298"/>
      <c r="AW93" s="298"/>
      <c r="AX93" s="298"/>
      <c r="AY93" s="295">
        <f t="shared" si="13"/>
        <v>127919.9</v>
      </c>
      <c r="AZ93" s="294"/>
      <c r="BA93" s="298">
        <v>0</v>
      </c>
      <c r="BB93" s="294"/>
      <c r="BC93" s="295">
        <f t="shared" si="16"/>
        <v>0</v>
      </c>
      <c r="BD93" s="294"/>
      <c r="BE93" s="295">
        <f t="shared" si="14"/>
        <v>127919.9</v>
      </c>
      <c r="BF93" s="294"/>
      <c r="BG93" s="295">
        <f t="shared" si="15"/>
        <v>-127919.9</v>
      </c>
    </row>
    <row r="94" spans="1:61" x14ac:dyDescent="0.25">
      <c r="A94" s="317"/>
      <c r="B94" s="31" t="s">
        <v>51</v>
      </c>
      <c r="C94" s="31"/>
      <c r="D94" s="294"/>
      <c r="E94" s="294"/>
      <c r="F94" s="294"/>
      <c r="G94" s="294"/>
      <c r="H94" s="294"/>
      <c r="I94" s="294"/>
      <c r="J94" s="294"/>
      <c r="K94" s="299">
        <f>SUM(K70:K92)</f>
        <v>11760953</v>
      </c>
      <c r="L94" s="294"/>
      <c r="M94" s="299">
        <f>SUM(M70:M92)</f>
        <v>3307345</v>
      </c>
      <c r="N94" s="294"/>
      <c r="O94" s="299">
        <f>SUM(O70:O92)</f>
        <v>15068298</v>
      </c>
      <c r="P94" s="294"/>
      <c r="Q94" s="328">
        <f>SUM(Q70:Q93)</f>
        <v>0</v>
      </c>
      <c r="R94" s="328"/>
      <c r="S94" s="328">
        <f>SUM(S70:S93)</f>
        <v>153327</v>
      </c>
      <c r="T94" s="328"/>
      <c r="U94" s="328">
        <f t="shared" ref="U94:AI94" si="17">SUM(U70:U93)</f>
        <v>1189900</v>
      </c>
      <c r="V94" s="328"/>
      <c r="W94" s="328">
        <f t="shared" si="17"/>
        <v>461116</v>
      </c>
      <c r="X94" s="328"/>
      <c r="Y94" s="328">
        <f t="shared" si="17"/>
        <v>1594323</v>
      </c>
      <c r="Z94" s="328"/>
      <c r="AA94" s="328">
        <f t="shared" si="17"/>
        <v>965743.78</v>
      </c>
      <c r="AB94" s="328"/>
      <c r="AC94" s="328">
        <f t="shared" si="17"/>
        <v>2922488.1100000003</v>
      </c>
      <c r="AD94" s="328"/>
      <c r="AE94" s="328">
        <f t="shared" si="17"/>
        <v>3187609.7299999995</v>
      </c>
      <c r="AF94" s="328"/>
      <c r="AG94" s="328">
        <f t="shared" si="17"/>
        <v>9379773.2799999993</v>
      </c>
      <c r="AH94" s="328"/>
      <c r="AI94" s="328">
        <f t="shared" si="17"/>
        <v>1661736.43</v>
      </c>
      <c r="AJ94" s="328"/>
      <c r="AK94" s="328">
        <f>SUM(AK70:AK93)</f>
        <v>655147.74</v>
      </c>
      <c r="AL94" s="314"/>
      <c r="AM94" s="328">
        <f>SUM(AM70:AM93)</f>
        <v>432619.27999999997</v>
      </c>
      <c r="AN94" s="314"/>
      <c r="AO94" s="328">
        <f>SUM(AO70:AO93)</f>
        <v>91109.549999999988</v>
      </c>
      <c r="AP94" s="314"/>
      <c r="AQ94" s="328">
        <f>SUM(AQ70:AQ93)</f>
        <v>0</v>
      </c>
      <c r="AR94" s="314"/>
      <c r="AS94" s="328">
        <f>SUM(AS70:AS93)</f>
        <v>0</v>
      </c>
      <c r="AT94" s="314"/>
      <c r="AU94" s="328">
        <f>SUM(AU70:AU93)</f>
        <v>0</v>
      </c>
      <c r="AV94" s="314"/>
      <c r="AW94" s="328">
        <f>SUM(AW70:AW93)</f>
        <v>0</v>
      </c>
      <c r="AX94" s="314"/>
      <c r="AY94" s="329">
        <f>SUM(AY70:AY93)</f>
        <v>22694893.899999999</v>
      </c>
      <c r="AZ94" s="294"/>
      <c r="BA94" s="328">
        <f>SUM(BA70:BA93)</f>
        <v>6583237</v>
      </c>
      <c r="BB94" s="294"/>
      <c r="BC94" s="329">
        <f>SUM(BC70:BC93)</f>
        <v>0.41999999998370185</v>
      </c>
      <c r="BD94" s="294"/>
      <c r="BE94" s="329">
        <f>SUM(BE70:BE93)</f>
        <v>22694894.319999997</v>
      </c>
      <c r="BF94" s="294"/>
      <c r="BG94" s="328">
        <f>SUM(BG70:BG93)</f>
        <v>-7626596.3200000012</v>
      </c>
    </row>
    <row r="95" spans="1:61" x14ac:dyDescent="0.25">
      <c r="A95" s="312"/>
      <c r="B95" s="31"/>
      <c r="C95" s="31"/>
      <c r="D95" s="294"/>
      <c r="E95" s="294"/>
      <c r="F95" s="294"/>
      <c r="G95" s="294"/>
      <c r="H95" s="294"/>
      <c r="I95" s="294"/>
      <c r="J95" s="294"/>
      <c r="K95" s="295"/>
      <c r="L95" s="294"/>
      <c r="M95" s="295"/>
      <c r="N95" s="294"/>
      <c r="O95" s="295"/>
      <c r="P95" s="294"/>
      <c r="Q95" s="298"/>
      <c r="R95" s="297"/>
      <c r="S95" s="298"/>
      <c r="T95" s="297"/>
      <c r="U95" s="298"/>
      <c r="V95" s="295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5"/>
      <c r="AZ95" s="294"/>
      <c r="BA95" s="298"/>
      <c r="BB95" s="294"/>
      <c r="BC95" s="295"/>
      <c r="BD95" s="294"/>
      <c r="BE95" s="295"/>
      <c r="BF95" s="294"/>
      <c r="BG95" s="295"/>
    </row>
    <row r="96" spans="1:61" x14ac:dyDescent="0.25">
      <c r="A96" s="112" t="s">
        <v>248</v>
      </c>
      <c r="B96" s="31"/>
      <c r="C96" s="31"/>
      <c r="D96" s="294"/>
      <c r="E96" s="294"/>
      <c r="F96" s="294"/>
      <c r="G96" s="294"/>
      <c r="H96" s="294"/>
      <c r="I96" s="294"/>
      <c r="J96" s="294"/>
      <c r="K96" s="295"/>
      <c r="L96" s="294"/>
      <c r="M96" s="295"/>
      <c r="N96" s="294"/>
      <c r="O96" s="295"/>
      <c r="P96" s="294"/>
      <c r="Q96" s="298"/>
      <c r="R96" s="297"/>
      <c r="S96" s="298"/>
      <c r="T96" s="297"/>
      <c r="U96" s="298"/>
      <c r="V96" s="295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5"/>
      <c r="AZ96" s="294"/>
      <c r="BA96" s="298"/>
      <c r="BB96" s="294"/>
      <c r="BC96" s="295"/>
      <c r="BD96" s="294"/>
      <c r="BE96" s="295"/>
      <c r="BF96" s="294"/>
      <c r="BG96" s="295"/>
    </row>
    <row r="97" spans="1:60" x14ac:dyDescent="0.25">
      <c r="A97" s="112"/>
      <c r="B97" s="31" t="s">
        <v>249</v>
      </c>
      <c r="C97" s="31" t="s">
        <v>36</v>
      </c>
      <c r="D97" s="294"/>
      <c r="E97" s="294" t="s">
        <v>17</v>
      </c>
      <c r="F97" s="294"/>
      <c r="G97" s="294" t="s">
        <v>254</v>
      </c>
      <c r="H97" s="294"/>
      <c r="I97" s="294" t="s">
        <v>21</v>
      </c>
      <c r="J97" s="294"/>
      <c r="K97" s="301">
        <v>561095</v>
      </c>
      <c r="L97" s="294"/>
      <c r="M97" s="301">
        <v>0</v>
      </c>
      <c r="N97" s="294"/>
      <c r="O97" s="301">
        <f>SUM(K97:N97)</f>
        <v>561095</v>
      </c>
      <c r="P97" s="294"/>
      <c r="Q97" s="298">
        <v>0</v>
      </c>
      <c r="R97" s="331"/>
      <c r="S97" s="298">
        <v>0</v>
      </c>
      <c r="T97" s="331"/>
      <c r="U97" s="298">
        <v>122479</v>
      </c>
      <c r="V97" s="295"/>
      <c r="W97" s="298">
        <v>32686</v>
      </c>
      <c r="X97" s="298"/>
      <c r="Y97" s="298">
        <v>37074</v>
      </c>
      <c r="Z97" s="298"/>
      <c r="AA97" s="298"/>
      <c r="AB97" s="298"/>
      <c r="AC97" s="298">
        <v>54446</v>
      </c>
      <c r="AD97" s="298"/>
      <c r="AE97" s="298">
        <f>135.69+45189</f>
        <v>45324.69</v>
      </c>
      <c r="AF97" s="298"/>
      <c r="AG97" s="298">
        <f>35945+10909</f>
        <v>46854</v>
      </c>
      <c r="AH97" s="298"/>
      <c r="AI97" s="298">
        <v>2052</v>
      </c>
      <c r="AJ97" s="298"/>
      <c r="AK97" s="298"/>
      <c r="AL97" s="298"/>
      <c r="AM97" s="298">
        <v>231</v>
      </c>
      <c r="AN97" s="298"/>
      <c r="AO97" s="298"/>
      <c r="AP97" s="298"/>
      <c r="AQ97" s="298">
        <v>516915</v>
      </c>
      <c r="AR97" s="298"/>
      <c r="AS97" s="298"/>
      <c r="AT97" s="298"/>
      <c r="AU97" s="298"/>
      <c r="AV97" s="298"/>
      <c r="AW97" s="298"/>
      <c r="AX97" s="298"/>
      <c r="AY97" s="295">
        <f t="shared" ref="AY97:AY104" si="18">SUM(P97:AX97)</f>
        <v>858061.69</v>
      </c>
      <c r="AZ97" s="294"/>
      <c r="BA97" s="298">
        <f>320853-561095+95622-7568-7492-19784-21665-18819-213000</f>
        <v>-432948</v>
      </c>
      <c r="BB97" s="294"/>
      <c r="BC97" s="305">
        <f>IF(+O97-AY97+BA97&gt;0,O97-AY97+BA97,0)</f>
        <v>0</v>
      </c>
      <c r="BD97" s="294"/>
      <c r="BE97" s="295">
        <f t="shared" ref="BE97:BE106" si="19">+BC97+AY97</f>
        <v>858061.69</v>
      </c>
      <c r="BF97" s="294"/>
      <c r="BG97" s="295">
        <f>+O97-BE97</f>
        <v>-296966.68999999994</v>
      </c>
    </row>
    <row r="98" spans="1:60" x14ac:dyDescent="0.25">
      <c r="A98" s="112"/>
      <c r="B98" s="31" t="s">
        <v>250</v>
      </c>
      <c r="C98" s="31"/>
      <c r="D98" s="294"/>
      <c r="E98" s="294"/>
      <c r="F98" s="294"/>
      <c r="G98" s="294" t="s">
        <v>254</v>
      </c>
      <c r="H98" s="294"/>
      <c r="I98" s="294"/>
      <c r="J98" s="294"/>
      <c r="K98" s="301">
        <v>69206</v>
      </c>
      <c r="L98" s="294"/>
      <c r="M98" s="301">
        <v>0</v>
      </c>
      <c r="N98" s="294"/>
      <c r="O98" s="301">
        <f>SUM(K98:N98)</f>
        <v>69206</v>
      </c>
      <c r="P98" s="294"/>
      <c r="Q98" s="298">
        <v>0</v>
      </c>
      <c r="R98" s="331"/>
      <c r="S98" s="298">
        <v>0</v>
      </c>
      <c r="T98" s="331"/>
      <c r="U98" s="298">
        <v>6806</v>
      </c>
      <c r="V98" s="295"/>
      <c r="W98" s="298">
        <v>6554</v>
      </c>
      <c r="X98" s="298"/>
      <c r="Y98" s="298">
        <v>24343</v>
      </c>
      <c r="Z98" s="298"/>
      <c r="AA98" s="298"/>
      <c r="AB98" s="298"/>
      <c r="AC98" s="298"/>
      <c r="AD98" s="298"/>
      <c r="AE98" s="298">
        <v>27624</v>
      </c>
      <c r="AF98" s="298"/>
      <c r="AG98" s="298">
        <f>5210+2290</f>
        <v>7500</v>
      </c>
      <c r="AH98" s="298"/>
      <c r="AI98" s="298">
        <v>12600</v>
      </c>
      <c r="AJ98" s="298"/>
      <c r="AK98" s="298">
        <v>152</v>
      </c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5">
        <f t="shared" si="18"/>
        <v>85579</v>
      </c>
      <c r="AZ98" s="294"/>
      <c r="BA98" s="298">
        <f>66389-69206+9238+10739+5845+27093-33725</f>
        <v>16373</v>
      </c>
      <c r="BB98" s="294"/>
      <c r="BC98" s="295">
        <f>IF(+O98-AY98+BA98&gt;0,O98-AY98+BA98,0)</f>
        <v>0</v>
      </c>
      <c r="BD98" s="294"/>
      <c r="BE98" s="295">
        <f t="shared" si="19"/>
        <v>85579</v>
      </c>
      <c r="BF98" s="294"/>
      <c r="BG98" s="295">
        <f>+O98-BE98</f>
        <v>-16373</v>
      </c>
    </row>
    <row r="99" spans="1:60" x14ac:dyDescent="0.25">
      <c r="A99" s="112"/>
      <c r="B99" s="31" t="s">
        <v>251</v>
      </c>
      <c r="C99" s="31"/>
      <c r="D99" s="294"/>
      <c r="E99" s="294"/>
      <c r="F99" s="294"/>
      <c r="G99" s="294" t="s">
        <v>254</v>
      </c>
      <c r="H99" s="294"/>
      <c r="I99" s="294"/>
      <c r="J99" s="294"/>
      <c r="K99" s="301">
        <v>887183</v>
      </c>
      <c r="L99" s="294"/>
      <c r="M99" s="301">
        <v>0</v>
      </c>
      <c r="N99" s="294"/>
      <c r="O99" s="301">
        <f>SUM(K99:N99)</f>
        <v>887183</v>
      </c>
      <c r="P99" s="294"/>
      <c r="Q99" s="298">
        <v>0</v>
      </c>
      <c r="R99" s="331"/>
      <c r="S99" s="298">
        <v>0</v>
      </c>
      <c r="T99" s="331"/>
      <c r="U99" s="298">
        <v>34493</v>
      </c>
      <c r="V99" s="295"/>
      <c r="W99" s="298">
        <v>107452</v>
      </c>
      <c r="X99" s="298"/>
      <c r="Y99" s="298">
        <f>9446+58480</f>
        <v>67926</v>
      </c>
      <c r="Z99" s="298"/>
      <c r="AA99" s="298"/>
      <c r="AB99" s="298"/>
      <c r="AC99" s="298">
        <v>135400</v>
      </c>
      <c r="AD99" s="298"/>
      <c r="AE99" s="298">
        <v>197804</v>
      </c>
      <c r="AF99" s="298"/>
      <c r="AG99" s="298">
        <f>141803+145619</f>
        <v>287422</v>
      </c>
      <c r="AH99" s="298"/>
      <c r="AI99" s="298">
        <v>227079</v>
      </c>
      <c r="AJ99" s="298"/>
      <c r="AK99" s="298">
        <v>22112</v>
      </c>
      <c r="AL99" s="298"/>
      <c r="AM99" s="298">
        <v>45004</v>
      </c>
      <c r="AN99" s="298"/>
      <c r="AO99" s="298">
        <v>14298</v>
      </c>
      <c r="AP99" s="298"/>
      <c r="AQ99" s="298"/>
      <c r="AR99" s="298"/>
      <c r="AS99" s="298"/>
      <c r="AT99" s="298"/>
      <c r="AU99" s="298"/>
      <c r="AV99" s="298"/>
      <c r="AW99" s="298"/>
      <c r="AX99" s="298"/>
      <c r="AY99" s="295">
        <f t="shared" si="18"/>
        <v>1138990</v>
      </c>
      <c r="AZ99" s="294"/>
      <c r="BA99" s="298">
        <f>895158-887183+28245+56579+90195+64738+29700-39923+14298</f>
        <v>251807</v>
      </c>
      <c r="BB99" s="294"/>
      <c r="BC99" s="295">
        <f>IF(+O99-AY99+BA99&gt;0,O99-AY99+BA99,0)</f>
        <v>0</v>
      </c>
      <c r="BD99" s="294"/>
      <c r="BE99" s="295">
        <f t="shared" si="19"/>
        <v>1138990</v>
      </c>
      <c r="BF99" s="294"/>
      <c r="BG99" s="295">
        <f>+O99-BE99</f>
        <v>-251807</v>
      </c>
    </row>
    <row r="100" spans="1:60" x14ac:dyDescent="0.25">
      <c r="A100" s="112"/>
      <c r="B100" s="31" t="s">
        <v>525</v>
      </c>
      <c r="C100" s="31"/>
      <c r="D100" s="294"/>
      <c r="E100" s="294" t="s">
        <v>17</v>
      </c>
      <c r="F100" s="294"/>
      <c r="G100" s="294" t="s">
        <v>254</v>
      </c>
      <c r="H100" s="294"/>
      <c r="I100" s="294" t="s">
        <v>21</v>
      </c>
      <c r="J100" s="294"/>
      <c r="K100" s="301">
        <f>3827456+1412082+1237930</f>
        <v>6477468</v>
      </c>
      <c r="L100" s="294"/>
      <c r="M100" s="301">
        <v>0</v>
      </c>
      <c r="N100" s="294"/>
      <c r="O100" s="301">
        <f>SUM(K100:N100)</f>
        <v>6477468</v>
      </c>
      <c r="P100" s="294"/>
      <c r="Q100" s="298">
        <v>0</v>
      </c>
      <c r="R100" s="331"/>
      <c r="S100" s="298">
        <v>0</v>
      </c>
      <c r="T100" s="331"/>
      <c r="U100" s="298">
        <v>910946</v>
      </c>
      <c r="V100" s="295"/>
      <c r="W100" s="298">
        <v>398385</v>
      </c>
      <c r="X100" s="298"/>
      <c r="Y100" s="298">
        <f>291888+426759</f>
        <v>718647</v>
      </c>
      <c r="Z100" s="298"/>
      <c r="AA100" s="298"/>
      <c r="AB100" s="298"/>
      <c r="AC100" s="298">
        <v>505070</v>
      </c>
      <c r="AD100" s="298"/>
      <c r="AE100" s="298">
        <v>767510</v>
      </c>
      <c r="AF100" s="298"/>
      <c r="AG100" s="298">
        <f>846131+755968-1512675</f>
        <v>89424</v>
      </c>
      <c r="AH100" s="298"/>
      <c r="AI100" s="298">
        <f>1512675+420392</f>
        <v>1933067</v>
      </c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5">
        <f t="shared" si="18"/>
        <v>5323049</v>
      </c>
      <c r="AZ100" s="294"/>
      <c r="BA100" s="298">
        <f>3037385-3827456+361966+68081-76645+99613+294303-172526+32783+20320-6208-986035</f>
        <v>-1154419</v>
      </c>
      <c r="BB100" s="294"/>
      <c r="BC100" s="295">
        <f>IF(+O100-AY100+BA100&gt;0,O100-AY100+BA100,0)</f>
        <v>0</v>
      </c>
      <c r="BD100" s="294"/>
      <c r="BE100" s="295">
        <f t="shared" si="19"/>
        <v>5323049</v>
      </c>
      <c r="BF100" s="294"/>
      <c r="BG100" s="295">
        <f>+O100-BE100</f>
        <v>1154419</v>
      </c>
    </row>
    <row r="101" spans="1:60" x14ac:dyDescent="0.25">
      <c r="A101" s="112"/>
      <c r="B101" s="31" t="s">
        <v>526</v>
      </c>
      <c r="C101" s="31"/>
      <c r="D101" s="294"/>
      <c r="E101" s="294"/>
      <c r="F101" s="294"/>
      <c r="G101" s="294"/>
      <c r="H101" s="294"/>
      <c r="I101" s="294"/>
      <c r="J101" s="294"/>
      <c r="K101" s="306">
        <v>815943</v>
      </c>
      <c r="L101" s="294"/>
      <c r="M101" s="306">
        <v>0</v>
      </c>
      <c r="N101" s="294"/>
      <c r="O101" s="306">
        <f>SUM(K101:N101)</f>
        <v>815943</v>
      </c>
      <c r="P101" s="294"/>
      <c r="Q101" s="298">
        <v>0</v>
      </c>
      <c r="R101" s="331"/>
      <c r="S101" s="298">
        <v>0</v>
      </c>
      <c r="T101" s="331"/>
      <c r="U101" s="298">
        <v>11418</v>
      </c>
      <c r="V101" s="295"/>
      <c r="W101" s="298">
        <v>60048</v>
      </c>
      <c r="X101" s="298"/>
      <c r="Y101" s="298">
        <f>4612+45989+3582+6093-11418</f>
        <v>48858</v>
      </c>
      <c r="Z101" s="298"/>
      <c r="AA101" s="298"/>
      <c r="AB101" s="298"/>
      <c r="AC101" s="298">
        <v>120993</v>
      </c>
      <c r="AD101" s="298"/>
      <c r="AE101" s="298">
        <v>220735</v>
      </c>
      <c r="AF101" s="298"/>
      <c r="AG101" s="298">
        <f>440188+351293-467208</f>
        <v>324273</v>
      </c>
      <c r="AH101" s="298"/>
      <c r="AI101" s="298">
        <f>467208+133908</f>
        <v>601116</v>
      </c>
      <c r="AJ101" s="298"/>
      <c r="AK101" s="298">
        <v>299255</v>
      </c>
      <c r="AL101" s="298"/>
      <c r="AM101" s="298">
        <v>284632</v>
      </c>
      <c r="AN101" s="298"/>
      <c r="AO101" s="298">
        <v>177738</v>
      </c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5">
        <f t="shared" si="18"/>
        <v>2149066</v>
      </c>
      <c r="AZ101" s="294"/>
      <c r="BA101" s="298">
        <f>747249-815943+39078-2-20884+794766+399529-11342+9723-42261</f>
        <v>1099913</v>
      </c>
      <c r="BB101" s="294"/>
      <c r="BC101" s="305">
        <f>IF(+O101-AY101+BA101&gt;0,O101-AY101+BA101,0)</f>
        <v>0</v>
      </c>
      <c r="BD101" s="294"/>
      <c r="BE101" s="338">
        <f t="shared" si="19"/>
        <v>2149066</v>
      </c>
      <c r="BF101" s="335"/>
      <c r="BG101" s="295">
        <f>+O101-BE101</f>
        <v>-1333123</v>
      </c>
    </row>
    <row r="102" spans="1:60" x14ac:dyDescent="0.25">
      <c r="A102" s="317"/>
      <c r="B102" s="31" t="s">
        <v>252</v>
      </c>
      <c r="C102" s="31"/>
      <c r="D102" s="294"/>
      <c r="E102" s="294"/>
      <c r="F102" s="294"/>
      <c r="G102" s="294"/>
      <c r="H102" s="294"/>
      <c r="I102" s="294"/>
      <c r="J102" s="294"/>
      <c r="K102" s="299">
        <f>SUM(K97:K101)</f>
        <v>8810895</v>
      </c>
      <c r="L102" s="294"/>
      <c r="M102" s="299">
        <f>SUM(M97:M101)</f>
        <v>0</v>
      </c>
      <c r="N102" s="294"/>
      <c r="O102" s="299">
        <f>SUM(O97:O101)</f>
        <v>8810895</v>
      </c>
      <c r="P102" s="294"/>
      <c r="Q102" s="340">
        <f>SUM(Q97:Q101)</f>
        <v>0</v>
      </c>
      <c r="R102" s="297"/>
      <c r="S102" s="340">
        <f>SUM(S97:S101)</f>
        <v>0</v>
      </c>
      <c r="T102" s="297"/>
      <c r="U102" s="340">
        <f>SUM(U97:U101)</f>
        <v>1086142</v>
      </c>
      <c r="V102" s="295"/>
      <c r="W102" s="340">
        <f>SUM(W97:W101)</f>
        <v>605125</v>
      </c>
      <c r="X102" s="298"/>
      <c r="Y102" s="340">
        <f>SUM(Y97:Y101)</f>
        <v>896848</v>
      </c>
      <c r="Z102" s="298"/>
      <c r="AA102" s="340">
        <f>SUM(AA97:AA101)</f>
        <v>0</v>
      </c>
      <c r="AB102" s="298"/>
      <c r="AC102" s="340">
        <f>SUM(AC97:AC101)</f>
        <v>815909</v>
      </c>
      <c r="AD102" s="298"/>
      <c r="AE102" s="340">
        <f>SUM(AE97:AE101)</f>
        <v>1258997.69</v>
      </c>
      <c r="AF102" s="341"/>
      <c r="AG102" s="340">
        <f>SUM(AG97:AG101)</f>
        <v>755473</v>
      </c>
      <c r="AH102" s="341"/>
      <c r="AI102" s="340">
        <f>SUM(AI97:AI101)</f>
        <v>2775914</v>
      </c>
      <c r="AJ102" s="341"/>
      <c r="AK102" s="340">
        <f>SUM(AK97:AK101)</f>
        <v>321519</v>
      </c>
      <c r="AL102" s="341"/>
      <c r="AM102" s="340">
        <f>SUM(AM97:AM101)</f>
        <v>329867</v>
      </c>
      <c r="AN102" s="341"/>
      <c r="AO102" s="340">
        <f>SUM(AO97:AO101)</f>
        <v>192036</v>
      </c>
      <c r="AP102" s="341"/>
      <c r="AQ102" s="340">
        <f>SUM(AQ97:AQ101)</f>
        <v>516915</v>
      </c>
      <c r="AR102" s="341"/>
      <c r="AS102" s="340">
        <f>SUM(AS97:AS101)</f>
        <v>0</v>
      </c>
      <c r="AT102" s="341"/>
      <c r="AU102" s="340">
        <f>SUM(AU97:AU101)</f>
        <v>0</v>
      </c>
      <c r="AV102" s="341"/>
      <c r="AW102" s="340">
        <f>SUM(AW97:AW101)</f>
        <v>0</v>
      </c>
      <c r="AX102" s="341"/>
      <c r="AY102" s="342">
        <f>SUM(AY97:AY101)</f>
        <v>9554745.6899999995</v>
      </c>
      <c r="AZ102" s="294"/>
      <c r="BA102" s="340">
        <f>SUM(BA97:BA101)</f>
        <v>-219274</v>
      </c>
      <c r="BB102" s="294"/>
      <c r="BC102" s="342">
        <f>SUM(BC97:BC101)</f>
        <v>0</v>
      </c>
      <c r="BD102" s="294"/>
      <c r="BE102" s="327">
        <f>SUM(BE97:BE101)</f>
        <v>9554745.6899999995</v>
      </c>
      <c r="BF102" s="294"/>
      <c r="BG102" s="340">
        <f>SUM(BG97:BG101)</f>
        <v>-743850.69</v>
      </c>
    </row>
    <row r="103" spans="1:60" x14ac:dyDescent="0.25">
      <c r="A103" s="385" t="s">
        <v>544</v>
      </c>
      <c r="B103" s="31"/>
      <c r="C103" s="31"/>
      <c r="D103" s="294"/>
      <c r="E103" s="294"/>
      <c r="F103" s="294"/>
      <c r="G103" s="294"/>
      <c r="H103" s="294"/>
      <c r="I103" s="294"/>
      <c r="J103" s="294"/>
      <c r="K103" s="299"/>
      <c r="L103" s="294"/>
      <c r="M103" s="299"/>
      <c r="N103" s="294"/>
      <c r="O103" s="299"/>
      <c r="P103" s="294"/>
      <c r="Q103" s="296"/>
      <c r="R103" s="297"/>
      <c r="S103" s="296"/>
      <c r="T103" s="297"/>
      <c r="U103" s="296"/>
      <c r="V103" s="295"/>
      <c r="W103" s="296"/>
      <c r="X103" s="298"/>
      <c r="Y103" s="296"/>
      <c r="Z103" s="298"/>
      <c r="AA103" s="296"/>
      <c r="AB103" s="298"/>
      <c r="AC103" s="296"/>
      <c r="AD103" s="298"/>
      <c r="AE103" s="296"/>
      <c r="AF103" s="296"/>
      <c r="AG103" s="296"/>
      <c r="AH103" s="296"/>
      <c r="AI103" s="296"/>
      <c r="AJ103" s="296"/>
      <c r="AK103" s="296"/>
      <c r="AL103" s="296"/>
      <c r="AM103" s="296"/>
      <c r="AN103" s="296"/>
      <c r="AO103" s="296"/>
      <c r="AP103" s="296"/>
      <c r="AQ103" s="296">
        <v>284000</v>
      </c>
      <c r="AR103" s="296"/>
      <c r="AS103" s="296"/>
      <c r="AT103" s="296"/>
      <c r="AU103" s="296"/>
      <c r="AV103" s="296"/>
      <c r="AW103" s="296"/>
      <c r="AX103" s="296"/>
      <c r="AY103" s="295">
        <f t="shared" si="18"/>
        <v>284000</v>
      </c>
      <c r="AZ103" s="294"/>
      <c r="BA103" s="355">
        <v>284000</v>
      </c>
      <c r="BB103" s="294"/>
      <c r="BC103" s="355">
        <v>0</v>
      </c>
      <c r="BD103" s="294"/>
      <c r="BE103" s="299">
        <f t="shared" si="19"/>
        <v>284000</v>
      </c>
      <c r="BF103" s="294"/>
      <c r="BG103" s="295">
        <f>+O103-BE103</f>
        <v>-284000</v>
      </c>
    </row>
    <row r="104" spans="1:60" x14ac:dyDescent="0.25">
      <c r="A104" s="112" t="s">
        <v>56</v>
      </c>
      <c r="B104" s="31"/>
      <c r="C104" s="31" t="s">
        <v>36</v>
      </c>
      <c r="D104" s="294"/>
      <c r="E104" s="294" t="s">
        <v>17</v>
      </c>
      <c r="F104" s="294"/>
      <c r="G104" s="294" t="s">
        <v>254</v>
      </c>
      <c r="H104" s="294"/>
      <c r="I104" s="294" t="s">
        <v>21</v>
      </c>
      <c r="J104" s="294"/>
      <c r="K104" s="343">
        <v>726500</v>
      </c>
      <c r="L104" s="294"/>
      <c r="M104" s="343">
        <v>0</v>
      </c>
      <c r="N104" s="294"/>
      <c r="O104" s="343">
        <f>SUM(K104:N104)</f>
        <v>726500</v>
      </c>
      <c r="P104" s="294"/>
      <c r="Q104" s="296">
        <v>0</v>
      </c>
      <c r="R104" s="297"/>
      <c r="S104" s="296">
        <v>0</v>
      </c>
      <c r="T104" s="297"/>
      <c r="U104" s="296">
        <v>38226</v>
      </c>
      <c r="V104" s="295"/>
      <c r="W104" s="296">
        <v>17728</v>
      </c>
      <c r="X104" s="298"/>
      <c r="Y104" s="296">
        <f>2546023.1-2501005-205.52</f>
        <v>44812.580000000096</v>
      </c>
      <c r="Z104" s="298"/>
      <c r="AA104" s="296"/>
      <c r="AB104" s="298"/>
      <c r="AC104" s="296">
        <v>54996</v>
      </c>
      <c r="AD104" s="298"/>
      <c r="AE104" s="296">
        <v>73759</v>
      </c>
      <c r="AF104" s="296"/>
      <c r="AG104" s="296">
        <f>62190+53711</f>
        <v>115901</v>
      </c>
      <c r="AH104" s="296"/>
      <c r="AI104" s="296">
        <v>40490</v>
      </c>
      <c r="AJ104" s="296"/>
      <c r="AK104" s="296">
        <v>6865</v>
      </c>
      <c r="AL104" s="296"/>
      <c r="AM104" s="296">
        <v>12760</v>
      </c>
      <c r="AN104" s="296"/>
      <c r="AO104" s="296">
        <f>1251.54+2986.4</f>
        <v>4237.9400000000005</v>
      </c>
      <c r="AP104" s="296"/>
      <c r="AQ104" s="296">
        <v>0</v>
      </c>
      <c r="AR104" s="296"/>
      <c r="AS104" s="296">
        <v>0</v>
      </c>
      <c r="AT104" s="296"/>
      <c r="AU104" s="296">
        <v>0</v>
      </c>
      <c r="AV104" s="296"/>
      <c r="AW104" s="296">
        <v>0</v>
      </c>
      <c r="AX104" s="296"/>
      <c r="AY104" s="295">
        <f t="shared" si="18"/>
        <v>409775.52000000008</v>
      </c>
      <c r="AZ104" s="294"/>
      <c r="BA104" s="296">
        <f>4238</f>
        <v>4238</v>
      </c>
      <c r="BB104" s="294"/>
      <c r="BC104" s="305">
        <f>IF(+O104-AY104+BA104&gt;0,O104-AY104+BA104,0)-320962</f>
        <v>0.47999999992316589</v>
      </c>
      <c r="BD104" s="294"/>
      <c r="BE104" s="295">
        <f t="shared" si="19"/>
        <v>409776</v>
      </c>
      <c r="BF104" s="294"/>
      <c r="BG104" s="295">
        <f>+O104-BE104</f>
        <v>316724</v>
      </c>
    </row>
    <row r="105" spans="1:60" x14ac:dyDescent="0.25">
      <c r="A105" s="112"/>
      <c r="B105" s="31"/>
      <c r="C105" s="31"/>
      <c r="D105" s="294"/>
      <c r="E105" s="294"/>
      <c r="F105" s="294"/>
      <c r="G105" s="294"/>
      <c r="H105" s="294"/>
      <c r="I105" s="294"/>
      <c r="J105" s="294"/>
      <c r="K105" s="295"/>
      <c r="L105" s="294"/>
      <c r="M105" s="295"/>
      <c r="N105" s="294"/>
      <c r="O105" s="295"/>
      <c r="P105" s="294"/>
      <c r="Q105" s="298"/>
      <c r="R105" s="297"/>
      <c r="S105" s="298"/>
      <c r="T105" s="297"/>
      <c r="U105" s="298"/>
      <c r="V105" s="295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5"/>
      <c r="AZ105" s="294"/>
      <c r="BA105" s="298"/>
      <c r="BB105" s="294"/>
      <c r="BC105" s="295"/>
      <c r="BD105" s="294"/>
      <c r="BE105" s="295"/>
      <c r="BF105" s="294"/>
      <c r="BG105" s="295"/>
    </row>
    <row r="106" spans="1:60" x14ac:dyDescent="0.25">
      <c r="A106" s="112" t="s">
        <v>253</v>
      </c>
      <c r="B106" s="294"/>
      <c r="C106" s="31" t="s">
        <v>36</v>
      </c>
      <c r="D106" s="294"/>
      <c r="E106" s="294" t="s">
        <v>17</v>
      </c>
      <c r="F106" s="294"/>
      <c r="G106" s="294" t="s">
        <v>254</v>
      </c>
      <c r="H106" s="294"/>
      <c r="I106" s="294" t="s">
        <v>21</v>
      </c>
      <c r="J106" s="294"/>
      <c r="K106" s="343">
        <f>K104+K102+K94+K67</f>
        <v>28589117</v>
      </c>
      <c r="L106" s="294"/>
      <c r="M106" s="343">
        <f>M104+M102+M94+M67</f>
        <v>3307345</v>
      </c>
      <c r="N106" s="294"/>
      <c r="O106" s="343">
        <f>O104+O102+O94+O67</f>
        <v>31896462</v>
      </c>
      <c r="P106" s="294"/>
      <c r="Q106" s="296">
        <f>Q104+Q102+Q94+Q67</f>
        <v>1154842</v>
      </c>
      <c r="R106" s="297"/>
      <c r="S106" s="296">
        <f>S104+S102+S94+S67</f>
        <v>260962.85</v>
      </c>
      <c r="T106" s="297"/>
      <c r="U106" s="296">
        <f>U104+U102+U94+U67</f>
        <v>3042654.8200000003</v>
      </c>
      <c r="V106" s="295"/>
      <c r="W106" s="296">
        <f>W104+W102+W94+W67</f>
        <v>1851195.12</v>
      </c>
      <c r="X106" s="298"/>
      <c r="Y106" s="296">
        <f>Y104+Y102+Y94+Y67</f>
        <v>3966411.88</v>
      </c>
      <c r="Z106" s="298"/>
      <c r="AA106" s="296">
        <f>AA104+AA102+AA94+AA67</f>
        <v>1481895.78</v>
      </c>
      <c r="AB106" s="298"/>
      <c r="AC106" s="296">
        <f>AC104+AC102+AC94+AC67</f>
        <v>4395775.2300000004</v>
      </c>
      <c r="AD106" s="298"/>
      <c r="AE106" s="296">
        <f>AE104+AE102+AE94+AE67</f>
        <v>4701684.74</v>
      </c>
      <c r="AF106" s="296"/>
      <c r="AG106" s="296">
        <f>AG104+AG102+AG94+AG67</f>
        <v>4762777.1799999988</v>
      </c>
      <c r="AH106" s="296"/>
      <c r="AI106" s="296">
        <f>AI104+AI102+AI94+AI67</f>
        <v>4478140.43</v>
      </c>
      <c r="AJ106" s="296"/>
      <c r="AK106" s="296">
        <f>AK104+AK102+AK94+AK67</f>
        <v>983531.74</v>
      </c>
      <c r="AL106" s="296"/>
      <c r="AM106" s="296">
        <f>AM104+AM102+AM94+AM67</f>
        <v>775246.28</v>
      </c>
      <c r="AN106" s="296"/>
      <c r="AO106" s="296">
        <f>AO104+AO102+AO94+AO67</f>
        <v>287383.49</v>
      </c>
      <c r="AP106" s="296"/>
      <c r="AQ106" s="296">
        <f>AQ104+AQ102+AQ94+AQ67+AQ103</f>
        <v>800915</v>
      </c>
      <c r="AR106" s="296"/>
      <c r="AS106" s="296">
        <f>AS104+AS102+AS94+AS67+AS103</f>
        <v>0</v>
      </c>
      <c r="AT106" s="296"/>
      <c r="AU106" s="296">
        <f>AU104+AU102+AU94+AU67+AU103</f>
        <v>0</v>
      </c>
      <c r="AV106" s="296"/>
      <c r="AW106" s="296">
        <f>AW104+AW102+AW94+AW67+AW103</f>
        <v>0</v>
      </c>
      <c r="AX106" s="296"/>
      <c r="AY106" s="296">
        <f>AY104+AY102+AY94+AY67+AY103</f>
        <v>32943416.539999999</v>
      </c>
      <c r="AZ106" s="294"/>
      <c r="BA106" s="296">
        <f>BA104+BA102+BA94+BA67+BA103</f>
        <v>-971568</v>
      </c>
      <c r="BB106" s="294"/>
      <c r="BC106" s="299">
        <f>BC104+BC102+BC94+BC67+BC103</f>
        <v>1.1599999999197053</v>
      </c>
      <c r="BD106" s="294"/>
      <c r="BE106" s="299">
        <f t="shared" si="19"/>
        <v>32943417.699999999</v>
      </c>
      <c r="BF106" s="294"/>
      <c r="BG106" s="296">
        <f>+O106-BE106</f>
        <v>-1046955.6999999993</v>
      </c>
    </row>
    <row r="107" spans="1:60" x14ac:dyDescent="0.25">
      <c r="A107" s="112"/>
      <c r="B107" s="31"/>
      <c r="C107" s="31"/>
      <c r="D107" s="294"/>
      <c r="E107" s="294"/>
      <c r="F107" s="294"/>
      <c r="G107" s="294"/>
      <c r="H107" s="294"/>
      <c r="I107" s="294"/>
      <c r="J107" s="294"/>
      <c r="K107" s="343"/>
      <c r="L107" s="294"/>
      <c r="M107" s="343"/>
      <c r="N107" s="294"/>
      <c r="O107" s="343"/>
      <c r="P107" s="294"/>
      <c r="Q107" s="296"/>
      <c r="R107" s="297"/>
      <c r="S107" s="296"/>
      <c r="T107" s="297"/>
      <c r="U107" s="296"/>
      <c r="V107" s="295"/>
      <c r="W107" s="296"/>
      <c r="X107" s="298"/>
      <c r="Y107" s="296"/>
      <c r="Z107" s="298"/>
      <c r="AA107" s="296"/>
      <c r="AB107" s="298"/>
      <c r="AC107" s="296"/>
      <c r="AD107" s="298"/>
      <c r="AE107" s="296"/>
      <c r="AF107" s="296"/>
      <c r="AG107" s="296"/>
      <c r="AH107" s="296"/>
      <c r="AI107" s="296"/>
      <c r="AJ107" s="296"/>
      <c r="AK107" s="296"/>
      <c r="AL107" s="296"/>
      <c r="AM107" s="296"/>
      <c r="AN107" s="296"/>
      <c r="AO107" s="296"/>
      <c r="AP107" s="296"/>
      <c r="AQ107" s="296"/>
      <c r="AR107" s="296"/>
      <c r="AS107" s="296"/>
      <c r="AT107" s="296"/>
      <c r="AU107" s="296"/>
      <c r="AV107" s="296"/>
      <c r="AW107" s="296"/>
      <c r="AX107" s="296"/>
      <c r="AY107" s="299"/>
      <c r="AZ107" s="294"/>
      <c r="BA107" s="296"/>
      <c r="BB107" s="294"/>
      <c r="BC107" s="299"/>
      <c r="BD107" s="294"/>
      <c r="BE107" s="299"/>
      <c r="BF107" s="294"/>
      <c r="BG107" s="299"/>
    </row>
    <row r="108" spans="1:60" x14ac:dyDescent="0.25">
      <c r="A108" s="317"/>
      <c r="B108" s="31"/>
      <c r="C108" s="31"/>
      <c r="D108" s="294"/>
      <c r="E108" s="294"/>
      <c r="F108" s="294"/>
      <c r="G108" s="294"/>
      <c r="H108" s="294"/>
      <c r="I108" s="294"/>
      <c r="J108" s="294"/>
      <c r="K108" s="299"/>
      <c r="L108" s="294"/>
      <c r="M108" s="299"/>
      <c r="N108" s="294"/>
      <c r="O108" s="299"/>
      <c r="P108" s="294"/>
      <c r="Q108" s="296"/>
      <c r="R108" s="297"/>
      <c r="S108" s="296"/>
      <c r="T108" s="297"/>
      <c r="U108" s="296"/>
      <c r="V108" s="295"/>
      <c r="W108" s="296"/>
      <c r="X108" s="298"/>
      <c r="Y108" s="296"/>
      <c r="Z108" s="298"/>
      <c r="AA108" s="296"/>
      <c r="AB108" s="298"/>
      <c r="AC108" s="296"/>
      <c r="AD108" s="298"/>
      <c r="AE108" s="296"/>
      <c r="AF108" s="296"/>
      <c r="AG108" s="296"/>
      <c r="AH108" s="296"/>
      <c r="AI108" s="296"/>
      <c r="AJ108" s="296"/>
      <c r="AK108" s="296"/>
      <c r="AL108" s="296"/>
      <c r="AM108" s="296"/>
      <c r="AN108" s="296"/>
      <c r="AO108" s="296"/>
      <c r="AP108" s="296"/>
      <c r="AQ108" s="296"/>
      <c r="AR108" s="296"/>
      <c r="AS108" s="296"/>
      <c r="AT108" s="296"/>
      <c r="AU108" s="296"/>
      <c r="AV108" s="296"/>
      <c r="AW108" s="296"/>
      <c r="AX108" s="296"/>
      <c r="AY108" s="299"/>
      <c r="AZ108" s="294"/>
      <c r="BA108" s="296"/>
      <c r="BB108" s="294"/>
      <c r="BC108" s="299"/>
      <c r="BD108" s="294"/>
      <c r="BE108" s="299"/>
      <c r="BF108" s="294"/>
      <c r="BG108" s="299"/>
    </row>
    <row r="109" spans="1:60" x14ac:dyDescent="0.25">
      <c r="A109" s="344"/>
      <c r="B109" s="122" t="s">
        <v>58</v>
      </c>
      <c r="C109" s="345"/>
      <c r="D109" s="346"/>
      <c r="E109" s="346"/>
      <c r="F109" s="346"/>
      <c r="G109" s="346"/>
      <c r="H109" s="346"/>
      <c r="I109" s="346"/>
      <c r="J109" s="346"/>
      <c r="K109" s="347">
        <f>K106+K41+K33</f>
        <v>108410944</v>
      </c>
      <c r="L109" s="346"/>
      <c r="M109" s="347">
        <f>M106+M41+M33</f>
        <v>3499121</v>
      </c>
      <c r="N109" s="346"/>
      <c r="O109" s="347">
        <f>O106+O41+O33</f>
        <v>111910065</v>
      </c>
      <c r="P109" s="346"/>
      <c r="Q109" s="348">
        <f>Q106+Q41+Q33</f>
        <v>59585413</v>
      </c>
      <c r="R109" s="349"/>
      <c r="S109" s="348">
        <f>S106+S41+S33</f>
        <v>3910876.35</v>
      </c>
      <c r="T109" s="349"/>
      <c r="U109" s="348">
        <f>U106+U41+U33</f>
        <v>6042883.8200000003</v>
      </c>
      <c r="V109" s="347"/>
      <c r="W109" s="348">
        <f>W106+W41+W33</f>
        <v>5556620.3200000003</v>
      </c>
      <c r="X109" s="348"/>
      <c r="Y109" s="348">
        <f>Y106+Y41+Y33</f>
        <v>7308499.5800000001</v>
      </c>
      <c r="Z109" s="348"/>
      <c r="AA109" s="348">
        <f>AA106+AA41+AA33</f>
        <v>3050367.98</v>
      </c>
      <c r="AB109" s="348"/>
      <c r="AC109" s="348">
        <f>AC106+AC41+AC33</f>
        <v>5848270.2300000004</v>
      </c>
      <c r="AD109" s="348"/>
      <c r="AE109" s="348">
        <f>AE106+AE41+AE33</f>
        <v>5993957.1899999995</v>
      </c>
      <c r="AF109" s="348"/>
      <c r="AG109" s="348">
        <f>AG106+AG41+AG33</f>
        <v>5198538.6099999985</v>
      </c>
      <c r="AH109" s="348"/>
      <c r="AI109" s="348">
        <f>AI106+AI41+AI33</f>
        <v>7846525.7899999991</v>
      </c>
      <c r="AJ109" s="348"/>
      <c r="AK109" s="348">
        <f>AK106+AK41+AK33</f>
        <v>1384146.75</v>
      </c>
      <c r="AL109" s="348"/>
      <c r="AM109" s="348">
        <f>AM106+AM41+AM33</f>
        <v>812368.69000000006</v>
      </c>
      <c r="AN109" s="348"/>
      <c r="AO109" s="348">
        <f>AO106+AO41+AO33</f>
        <v>1829838.57</v>
      </c>
      <c r="AP109" s="348"/>
      <c r="AQ109" s="348">
        <f>AQ106+AQ41+AQ33</f>
        <v>807966.9</v>
      </c>
      <c r="AR109" s="348"/>
      <c r="AS109" s="348">
        <f>AS106+AS41+AS33</f>
        <v>0</v>
      </c>
      <c r="AT109" s="348"/>
      <c r="AU109" s="348">
        <f>AU106+AU41+AU33</f>
        <v>0</v>
      </c>
      <c r="AV109" s="348"/>
      <c r="AW109" s="348">
        <f>AW106+AW41+AW33</f>
        <v>0</v>
      </c>
      <c r="AX109" s="348"/>
      <c r="AY109" s="347">
        <f>AY106+AY41+AY33</f>
        <v>115176273.78</v>
      </c>
      <c r="AZ109" s="347"/>
      <c r="BA109" s="348">
        <f>BA106+BA41+BA33</f>
        <v>721937</v>
      </c>
      <c r="BB109" s="347"/>
      <c r="BC109" s="347">
        <f>BC106+BC41</f>
        <v>1520.5399999999827</v>
      </c>
      <c r="BD109" s="346"/>
      <c r="BE109" s="347">
        <f t="shared" ref="BE109:BE132" si="20">+BC109+AY109</f>
        <v>115177794.32000001</v>
      </c>
      <c r="BF109" s="346"/>
      <c r="BG109" s="348">
        <f>+O109-BE109</f>
        <v>-3267729.3200000077</v>
      </c>
      <c r="BH109" s="23"/>
    </row>
    <row r="110" spans="1:60" s="27" customFormat="1" x14ac:dyDescent="0.25">
      <c r="A110" s="350"/>
      <c r="B110" s="115"/>
      <c r="C110" s="31"/>
      <c r="D110" s="351"/>
      <c r="E110" s="351"/>
      <c r="F110" s="351"/>
      <c r="G110" s="351"/>
      <c r="H110" s="351"/>
      <c r="I110" s="351"/>
      <c r="J110" s="351"/>
      <c r="K110" s="352"/>
      <c r="L110" s="351"/>
      <c r="M110" s="352"/>
      <c r="N110" s="351"/>
      <c r="O110" s="352"/>
      <c r="P110" s="351"/>
      <c r="Q110" s="339"/>
      <c r="R110" s="353"/>
      <c r="S110" s="339"/>
      <c r="T110" s="353"/>
      <c r="U110" s="339"/>
      <c r="V110" s="354"/>
      <c r="W110" s="339"/>
      <c r="X110" s="323"/>
      <c r="Y110" s="339"/>
      <c r="Z110" s="323"/>
      <c r="AA110" s="339"/>
      <c r="AB110" s="323"/>
      <c r="AC110" s="339"/>
      <c r="AD110" s="323"/>
      <c r="AE110" s="339"/>
      <c r="AF110" s="339"/>
      <c r="AG110" s="339"/>
      <c r="AH110" s="339"/>
      <c r="AI110" s="339"/>
      <c r="AJ110" s="339"/>
      <c r="AK110" s="339"/>
      <c r="AL110" s="339"/>
      <c r="AM110" s="339"/>
      <c r="AN110" s="339"/>
      <c r="AO110" s="339"/>
      <c r="AP110" s="339"/>
      <c r="AQ110" s="339"/>
      <c r="AR110" s="339"/>
      <c r="AS110" s="339"/>
      <c r="AT110" s="339"/>
      <c r="AU110" s="339"/>
      <c r="AV110" s="339"/>
      <c r="AW110" s="339"/>
      <c r="AX110" s="339"/>
      <c r="AY110" s="352"/>
      <c r="AZ110" s="294"/>
      <c r="BA110" s="339"/>
      <c r="BB110" s="294"/>
      <c r="BC110" s="352"/>
      <c r="BD110" s="351"/>
      <c r="BE110" s="352"/>
      <c r="BF110" s="351"/>
      <c r="BG110" s="352"/>
    </row>
    <row r="111" spans="1:60" s="27" customFormat="1" x14ac:dyDescent="0.25">
      <c r="A111" s="112" t="s">
        <v>57</v>
      </c>
      <c r="B111" s="115"/>
      <c r="C111" s="115" t="s">
        <v>60</v>
      </c>
      <c r="D111" s="351"/>
      <c r="E111" s="351" t="s">
        <v>61</v>
      </c>
      <c r="F111" s="351"/>
      <c r="G111" s="294" t="s">
        <v>62</v>
      </c>
      <c r="H111" s="351"/>
      <c r="I111" s="351"/>
      <c r="J111" s="351"/>
      <c r="K111" s="352">
        <v>600000</v>
      </c>
      <c r="L111" s="351"/>
      <c r="M111" s="352">
        <v>59539</v>
      </c>
      <c r="N111" s="351"/>
      <c r="O111" s="352">
        <f>SUM(K111:N111)</f>
        <v>659539</v>
      </c>
      <c r="P111" s="351"/>
      <c r="Q111" s="339">
        <f>4583+1527.75</f>
        <v>6110.75</v>
      </c>
      <c r="R111" s="353"/>
      <c r="S111" s="339">
        <v>0</v>
      </c>
      <c r="T111" s="353"/>
      <c r="U111" s="339">
        <f>23382.12+1954.84</f>
        <v>25336.959999999999</v>
      </c>
      <c r="V111" s="354"/>
      <c r="W111" s="339"/>
      <c r="X111" s="323"/>
      <c r="Y111" s="339"/>
      <c r="Z111" s="323"/>
      <c r="AA111" s="339">
        <f>74417+200</f>
        <v>74617</v>
      </c>
      <c r="AB111" s="323"/>
      <c r="AC111" s="339">
        <f>173681-200</f>
        <v>173481</v>
      </c>
      <c r="AD111" s="323"/>
      <c r="AE111" s="339">
        <v>225874</v>
      </c>
      <c r="AF111" s="339"/>
      <c r="AG111" s="339">
        <v>95731.61</v>
      </c>
      <c r="AH111" s="339"/>
      <c r="AI111" s="339">
        <v>68947.09</v>
      </c>
      <c r="AJ111" s="339"/>
      <c r="AK111" s="339">
        <v>26336.93</v>
      </c>
      <c r="AL111" s="339"/>
      <c r="AM111" s="339">
        <v>1079.27</v>
      </c>
      <c r="AN111" s="339"/>
      <c r="AO111" s="339">
        <v>774.79</v>
      </c>
      <c r="AP111" s="339"/>
      <c r="AQ111" s="339">
        <v>0</v>
      </c>
      <c r="AR111" s="339"/>
      <c r="AS111" s="339">
        <v>0</v>
      </c>
      <c r="AT111" s="339"/>
      <c r="AU111" s="339">
        <v>0</v>
      </c>
      <c r="AV111" s="339"/>
      <c r="AW111" s="339">
        <v>0</v>
      </c>
      <c r="AX111" s="339"/>
      <c r="AY111" s="295">
        <f>SUM(P111:AX111)</f>
        <v>698289.4</v>
      </c>
      <c r="AZ111" s="294"/>
      <c r="BA111" s="339">
        <f>706219-659539+83333.33-99897-1</f>
        <v>30115.33</v>
      </c>
      <c r="BB111" s="294"/>
      <c r="BC111" s="295">
        <f>IF(+O111-AY111+BA111&gt;0,O111-AY111+BA111,0)</f>
        <v>0</v>
      </c>
      <c r="BD111" s="351"/>
      <c r="BE111" s="352">
        <f t="shared" si="20"/>
        <v>698289.4</v>
      </c>
      <c r="BF111" s="351"/>
      <c r="BG111" s="352">
        <f>+O111-BE111</f>
        <v>-38750.400000000023</v>
      </c>
    </row>
    <row r="112" spans="1:60" s="27" customFormat="1" x14ac:dyDescent="0.25">
      <c r="A112" s="350"/>
      <c r="B112" s="115" t="s">
        <v>120</v>
      </c>
      <c r="C112" s="115" t="s">
        <v>60</v>
      </c>
      <c r="D112" s="351"/>
      <c r="E112" s="351" t="s">
        <v>61</v>
      </c>
      <c r="F112" s="351"/>
      <c r="G112" s="294" t="s">
        <v>62</v>
      </c>
      <c r="H112" s="351"/>
      <c r="I112" s="351"/>
      <c r="J112" s="351"/>
      <c r="K112" s="352">
        <v>25000</v>
      </c>
      <c r="L112" s="351"/>
      <c r="M112" s="352">
        <v>0</v>
      </c>
      <c r="N112" s="351"/>
      <c r="O112" s="352">
        <f>SUM(K112:N112)</f>
        <v>25000</v>
      </c>
      <c r="P112" s="351"/>
      <c r="Q112" s="339">
        <v>0</v>
      </c>
      <c r="R112" s="353"/>
      <c r="S112" s="339">
        <v>0</v>
      </c>
      <c r="T112" s="353"/>
      <c r="U112" s="339"/>
      <c r="V112" s="354"/>
      <c r="W112" s="339"/>
      <c r="X112" s="323"/>
      <c r="Y112" s="339"/>
      <c r="Z112" s="323"/>
      <c r="AA112" s="339"/>
      <c r="AB112" s="323"/>
      <c r="AC112" s="339"/>
      <c r="AD112" s="323"/>
      <c r="AE112" s="339"/>
      <c r="AF112" s="339"/>
      <c r="AG112" s="339"/>
      <c r="AH112" s="339"/>
      <c r="AI112" s="339"/>
      <c r="AJ112" s="339"/>
      <c r="AK112" s="339"/>
      <c r="AL112" s="339"/>
      <c r="AM112" s="339"/>
      <c r="AN112" s="339"/>
      <c r="AO112" s="339"/>
      <c r="AP112" s="339"/>
      <c r="AQ112" s="339"/>
      <c r="AR112" s="339"/>
      <c r="AS112" s="339"/>
      <c r="AT112" s="339"/>
      <c r="AU112" s="339"/>
      <c r="AV112" s="339"/>
      <c r="AW112" s="339"/>
      <c r="AX112" s="339"/>
      <c r="AY112" s="295"/>
      <c r="AZ112" s="294"/>
      <c r="BA112" s="339">
        <v>-25000</v>
      </c>
      <c r="BB112" s="294"/>
      <c r="BC112" s="295">
        <f>IF(+O112-AY112+BA112&gt;0,O112-AY112+BA112,0)</f>
        <v>0</v>
      </c>
      <c r="BD112" s="351"/>
      <c r="BE112" s="295">
        <f t="shared" si="20"/>
        <v>0</v>
      </c>
      <c r="BF112" s="351"/>
      <c r="BG112" s="352">
        <f>+O112-BE112</f>
        <v>25000</v>
      </c>
    </row>
    <row r="113" spans="1:61" s="27" customFormat="1" x14ac:dyDescent="0.25">
      <c r="A113" s="350"/>
      <c r="B113" s="115"/>
      <c r="C113" s="115"/>
      <c r="D113" s="351"/>
      <c r="E113" s="351"/>
      <c r="F113" s="351"/>
      <c r="G113" s="294"/>
      <c r="H113" s="351"/>
      <c r="I113" s="351"/>
      <c r="J113" s="351"/>
      <c r="K113" s="342">
        <f>SUM(K111:K112)</f>
        <v>625000</v>
      </c>
      <c r="L113" s="351"/>
      <c r="M113" s="342">
        <f>SUM(M111:M112)</f>
        <v>59539</v>
      </c>
      <c r="N113" s="351"/>
      <c r="O113" s="342">
        <f>SUM(O111:O112)</f>
        <v>684539</v>
      </c>
      <c r="P113" s="351"/>
      <c r="Q113" s="342">
        <f>SUM(Q111:Q112)</f>
        <v>6110.75</v>
      </c>
      <c r="R113" s="353"/>
      <c r="S113" s="342">
        <f>SUM(S111:S112)</f>
        <v>0</v>
      </c>
      <c r="T113" s="353"/>
      <c r="U113" s="342">
        <f>SUM(U111:U112)</f>
        <v>25336.959999999999</v>
      </c>
      <c r="V113" s="354"/>
      <c r="W113" s="342">
        <f>SUM(W111:W112)</f>
        <v>0</v>
      </c>
      <c r="X113" s="323"/>
      <c r="Y113" s="342">
        <f>SUM(Y111:Y112)</f>
        <v>0</v>
      </c>
      <c r="Z113" s="323"/>
      <c r="AA113" s="342">
        <f>SUM(AA111:AA112)</f>
        <v>74617</v>
      </c>
      <c r="AB113" s="323"/>
      <c r="AC113" s="342">
        <f>SUM(AC111:AC112)</f>
        <v>173481</v>
      </c>
      <c r="AD113" s="323"/>
      <c r="AE113" s="342">
        <f>SUM(AE111:AE112)</f>
        <v>225874</v>
      </c>
      <c r="AF113" s="327"/>
      <c r="AG113" s="342">
        <f>SUM(AG111:AG112)</f>
        <v>95731.61</v>
      </c>
      <c r="AH113" s="327"/>
      <c r="AI113" s="342">
        <f>SUM(AI111:AI112)</f>
        <v>68947.09</v>
      </c>
      <c r="AJ113" s="327"/>
      <c r="AK113" s="342">
        <f>SUM(AK111:AK112)</f>
        <v>26336.93</v>
      </c>
      <c r="AL113" s="327"/>
      <c r="AM113" s="342">
        <f>SUM(AM111:AM112)</f>
        <v>1079.27</v>
      </c>
      <c r="AN113" s="327"/>
      <c r="AO113" s="342">
        <f>SUM(AO111:AO112)</f>
        <v>774.79</v>
      </c>
      <c r="AP113" s="327"/>
      <c r="AQ113" s="342">
        <f>SUM(AQ111:AQ112)</f>
        <v>0</v>
      </c>
      <c r="AR113" s="339"/>
      <c r="AS113" s="342">
        <f>SUM(AS111:AS112)</f>
        <v>0</v>
      </c>
      <c r="AT113" s="339"/>
      <c r="AU113" s="342">
        <f>SUM(AU111:AU112)</f>
        <v>0</v>
      </c>
      <c r="AV113" s="339"/>
      <c r="AW113" s="342">
        <f>SUM(AW111:AW112)</f>
        <v>0</v>
      </c>
      <c r="AX113" s="339"/>
      <c r="AY113" s="342">
        <f>SUM(AY111:AY112)</f>
        <v>698289.4</v>
      </c>
      <c r="AZ113" s="294"/>
      <c r="BA113" s="342">
        <f>SUM(BA111:BA112)</f>
        <v>5115.3300000000017</v>
      </c>
      <c r="BB113" s="294"/>
      <c r="BC113" s="342">
        <f>SUM(BC111:BC112)</f>
        <v>0</v>
      </c>
      <c r="BD113" s="351"/>
      <c r="BE113" s="342">
        <f>SUM(BE111:BE112)</f>
        <v>698289.4</v>
      </c>
      <c r="BF113" s="351"/>
      <c r="BG113" s="342">
        <f>SUM(BG111:BG112)</f>
        <v>-13750.400000000023</v>
      </c>
    </row>
    <row r="114" spans="1:61" s="27" customFormat="1" x14ac:dyDescent="0.25">
      <c r="A114" s="350"/>
      <c r="B114" s="115"/>
      <c r="C114" s="31"/>
      <c r="D114" s="351"/>
      <c r="E114" s="351"/>
      <c r="F114" s="351"/>
      <c r="G114" s="294"/>
      <c r="H114" s="351"/>
      <c r="I114" s="351"/>
      <c r="J114" s="351"/>
      <c r="K114" s="352"/>
      <c r="L114" s="351"/>
      <c r="M114" s="352"/>
      <c r="N114" s="351"/>
      <c r="O114" s="352"/>
      <c r="P114" s="351"/>
      <c r="Q114" s="339"/>
      <c r="R114" s="353"/>
      <c r="S114" s="339"/>
      <c r="T114" s="353"/>
      <c r="U114" s="339"/>
      <c r="V114" s="354"/>
      <c r="W114" s="339"/>
      <c r="X114" s="323"/>
      <c r="Y114" s="339"/>
      <c r="Z114" s="323"/>
      <c r="AA114" s="339"/>
      <c r="AB114" s="323"/>
      <c r="AC114" s="339"/>
      <c r="AD114" s="323"/>
      <c r="AE114" s="339"/>
      <c r="AF114" s="339"/>
      <c r="AG114" s="339"/>
      <c r="AH114" s="339"/>
      <c r="AI114" s="339"/>
      <c r="AJ114" s="339"/>
      <c r="AK114" s="339"/>
      <c r="AL114" s="339"/>
      <c r="AM114" s="339"/>
      <c r="AN114" s="339"/>
      <c r="AO114" s="339"/>
      <c r="AP114" s="339"/>
      <c r="AQ114" s="339"/>
      <c r="AR114" s="339"/>
      <c r="AS114" s="339"/>
      <c r="AT114" s="339"/>
      <c r="AU114" s="339"/>
      <c r="AV114" s="339"/>
      <c r="AW114" s="339"/>
      <c r="AX114" s="339"/>
      <c r="AY114" s="352"/>
      <c r="AZ114" s="294"/>
      <c r="BA114" s="339"/>
      <c r="BB114" s="294"/>
      <c r="BC114" s="352"/>
      <c r="BD114" s="351"/>
      <c r="BE114" s="352"/>
      <c r="BF114" s="351"/>
      <c r="BG114" s="352"/>
    </row>
    <row r="115" spans="1:61" s="27" customFormat="1" x14ac:dyDescent="0.25">
      <c r="A115" s="124" t="s">
        <v>64</v>
      </c>
      <c r="B115" s="115"/>
      <c r="C115" s="31" t="s">
        <v>0</v>
      </c>
      <c r="D115" s="351"/>
      <c r="E115" s="351" t="s">
        <v>65</v>
      </c>
      <c r="F115" s="351"/>
      <c r="G115" s="294" t="s">
        <v>66</v>
      </c>
      <c r="H115" s="351"/>
      <c r="I115" s="351"/>
      <c r="J115" s="351"/>
      <c r="K115" s="355">
        <v>2000000</v>
      </c>
      <c r="L115" s="351"/>
      <c r="M115" s="355">
        <v>-1179880</v>
      </c>
      <c r="N115" s="351"/>
      <c r="O115" s="355">
        <f>SUM(K115:N115)</f>
        <v>820120</v>
      </c>
      <c r="P115" s="351"/>
      <c r="Q115" s="339">
        <v>0</v>
      </c>
      <c r="R115" s="353"/>
      <c r="S115" s="339">
        <v>0</v>
      </c>
      <c r="T115" s="353"/>
      <c r="U115" s="339"/>
      <c r="V115" s="354"/>
      <c r="W115" s="339">
        <f>724769.25-724769.25</f>
        <v>0</v>
      </c>
      <c r="X115" s="323"/>
      <c r="Y115" s="339"/>
      <c r="Z115" s="323"/>
      <c r="AA115" s="339"/>
      <c r="AB115" s="323"/>
      <c r="AC115" s="339"/>
      <c r="AD115" s="323"/>
      <c r="AE115" s="339"/>
      <c r="AF115" s="339"/>
      <c r="AG115" s="339"/>
      <c r="AH115" s="339"/>
      <c r="AI115" s="339">
        <f>5601.8+380.11+1228.79+501.3+43.87+89148+117206.25+22797.93-227.98+1551.15</f>
        <v>238231.21999999997</v>
      </c>
      <c r="AJ115" s="339"/>
      <c r="AK115" s="339">
        <v>16621.03</v>
      </c>
      <c r="AL115" s="339"/>
      <c r="AM115" s="339">
        <v>1062894.56</v>
      </c>
      <c r="AN115" s="339"/>
      <c r="AO115" s="339">
        <v>0</v>
      </c>
      <c r="AP115" s="339"/>
      <c r="AQ115" s="339">
        <v>0</v>
      </c>
      <c r="AR115" s="339"/>
      <c r="AS115" s="339">
        <v>0</v>
      </c>
      <c r="AT115" s="339"/>
      <c r="AU115" s="339">
        <v>0</v>
      </c>
      <c r="AV115" s="339"/>
      <c r="AW115" s="339">
        <v>0</v>
      </c>
      <c r="AX115" s="339"/>
      <c r="AY115" s="295">
        <f>SUM(P115:AX115)</f>
        <v>1317746.81</v>
      </c>
      <c r="AZ115" s="294"/>
      <c r="BA115" s="339"/>
      <c r="BB115" s="294"/>
      <c r="BC115" s="295">
        <f>IF(+O115-AY115+BA115&gt;0,O115-AY115+BA115,0)</f>
        <v>0</v>
      </c>
      <c r="BD115" s="351"/>
      <c r="BE115" s="299">
        <f t="shared" si="20"/>
        <v>1317746.81</v>
      </c>
      <c r="BF115" s="351"/>
      <c r="BG115" s="295">
        <f>+O115-BE115</f>
        <v>-497626.81000000006</v>
      </c>
    </row>
    <row r="116" spans="1:61" x14ac:dyDescent="0.25">
      <c r="A116" s="312"/>
      <c r="B116" s="31"/>
      <c r="C116" s="31"/>
      <c r="D116" s="294"/>
      <c r="E116" s="294"/>
      <c r="F116" s="294"/>
      <c r="G116" s="294"/>
      <c r="H116" s="294"/>
      <c r="I116" s="294"/>
      <c r="J116" s="294"/>
      <c r="K116" s="295"/>
      <c r="L116" s="294"/>
      <c r="M116" s="295"/>
      <c r="N116" s="294"/>
      <c r="O116" s="295"/>
      <c r="P116" s="294"/>
      <c r="Q116" s="298"/>
      <c r="R116" s="297"/>
      <c r="S116" s="298"/>
      <c r="T116" s="297"/>
      <c r="U116" s="298"/>
      <c r="V116" s="295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5"/>
      <c r="AZ116" s="294"/>
      <c r="BA116" s="298"/>
      <c r="BB116" s="294"/>
      <c r="BC116" s="295"/>
      <c r="BD116" s="294"/>
      <c r="BE116" s="295"/>
      <c r="BF116" s="294"/>
      <c r="BG116" s="295"/>
    </row>
    <row r="117" spans="1:61" x14ac:dyDescent="0.25">
      <c r="A117" s="112" t="s">
        <v>67</v>
      </c>
      <c r="B117" s="322"/>
      <c r="C117" s="31" t="s">
        <v>0</v>
      </c>
      <c r="D117" s="294"/>
      <c r="E117" s="294" t="s">
        <v>68</v>
      </c>
      <c r="F117" s="294"/>
      <c r="G117" s="294" t="s">
        <v>158</v>
      </c>
      <c r="H117" s="294"/>
      <c r="I117" s="294"/>
      <c r="J117" s="294"/>
      <c r="K117" s="299">
        <v>446907</v>
      </c>
      <c r="L117" s="294"/>
      <c r="M117" s="299">
        <v>0</v>
      </c>
      <c r="N117" s="294"/>
      <c r="O117" s="299">
        <f>SUM(K117:N117)</f>
        <v>446907</v>
      </c>
      <c r="P117" s="294"/>
      <c r="Q117" s="298">
        <f>436907+10000</f>
        <v>446907</v>
      </c>
      <c r="R117" s="297"/>
      <c r="S117" s="298">
        <v>0</v>
      </c>
      <c r="T117" s="297"/>
      <c r="U117" s="298"/>
      <c r="V117" s="295"/>
      <c r="W117" s="298"/>
      <c r="X117" s="298"/>
      <c r="Y117" s="298"/>
      <c r="Z117" s="298"/>
      <c r="AA117" s="298"/>
      <c r="AB117" s="298"/>
      <c r="AC117" s="298">
        <v>3333.33</v>
      </c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5">
        <f>SUM(P117:AX117)</f>
        <v>450240.33</v>
      </c>
      <c r="AZ117" s="294"/>
      <c r="BA117" s="298"/>
      <c r="BB117" s="294"/>
      <c r="BC117" s="295">
        <f>IF(+O117-AY117+BA117&gt;0,O117-AY117+BA117,0)</f>
        <v>0</v>
      </c>
      <c r="BD117" s="294"/>
      <c r="BE117" s="295">
        <f t="shared" si="20"/>
        <v>450240.33</v>
      </c>
      <c r="BF117" s="294"/>
      <c r="BG117" s="295">
        <f>+O117-BE117</f>
        <v>-3333.3300000000163</v>
      </c>
      <c r="BI117" s="6" t="s">
        <v>174</v>
      </c>
    </row>
    <row r="118" spans="1:61" x14ac:dyDescent="0.25">
      <c r="A118" s="112"/>
      <c r="B118" s="322" t="s">
        <v>175</v>
      </c>
      <c r="C118" s="31" t="s">
        <v>0</v>
      </c>
      <c r="D118" s="294"/>
      <c r="E118" s="294" t="s">
        <v>176</v>
      </c>
      <c r="F118" s="294"/>
      <c r="G118" s="294"/>
      <c r="H118" s="294"/>
      <c r="I118" s="294"/>
      <c r="J118" s="294"/>
      <c r="K118" s="299">
        <v>7700</v>
      </c>
      <c r="L118" s="294"/>
      <c r="M118" s="299">
        <v>0</v>
      </c>
      <c r="N118" s="294"/>
      <c r="O118" s="299">
        <f>SUM(K118:N118)</f>
        <v>7700</v>
      </c>
      <c r="P118" s="294"/>
      <c r="Q118" s="298">
        <v>7700</v>
      </c>
      <c r="R118" s="297"/>
      <c r="S118" s="298">
        <v>0</v>
      </c>
      <c r="T118" s="297"/>
      <c r="U118" s="298"/>
      <c r="V118" s="295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5">
        <f>SUM(P118:AX118)</f>
        <v>7700</v>
      </c>
      <c r="AZ118" s="294"/>
      <c r="BA118" s="298"/>
      <c r="BB118" s="294"/>
      <c r="BC118" s="295">
        <f>IF(+O118-AY118+BA118&gt;0,O118-AY118+BA118,0)</f>
        <v>0</v>
      </c>
      <c r="BD118" s="294"/>
      <c r="BE118" s="295">
        <f t="shared" si="20"/>
        <v>7700</v>
      </c>
      <c r="BF118" s="294"/>
      <c r="BG118" s="295">
        <f>+O118-BE118</f>
        <v>0</v>
      </c>
    </row>
    <row r="119" spans="1:61" x14ac:dyDescent="0.25">
      <c r="A119" s="112"/>
      <c r="B119" s="322" t="s">
        <v>331</v>
      </c>
      <c r="C119" s="31"/>
      <c r="D119" s="294"/>
      <c r="E119" s="294"/>
      <c r="F119" s="294"/>
      <c r="G119" s="294"/>
      <c r="H119" s="294"/>
      <c r="I119" s="294"/>
      <c r="J119" s="294"/>
      <c r="K119" s="299">
        <v>0</v>
      </c>
      <c r="L119" s="294"/>
      <c r="M119" s="299">
        <v>0</v>
      </c>
      <c r="N119" s="294"/>
      <c r="O119" s="299">
        <v>0</v>
      </c>
      <c r="P119" s="294"/>
      <c r="Q119" s="298">
        <v>0</v>
      </c>
      <c r="R119" s="297"/>
      <c r="S119" s="298">
        <v>3500</v>
      </c>
      <c r="T119" s="297"/>
      <c r="U119" s="298"/>
      <c r="V119" s="295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5">
        <f>SUM(P119:AX119)</f>
        <v>3500</v>
      </c>
      <c r="AZ119" s="294"/>
      <c r="BA119" s="298"/>
      <c r="BB119" s="294"/>
      <c r="BC119" s="295">
        <f>IF(+O119-AY119+BA119&gt;0,O119-AY119+BA119,0)</f>
        <v>0</v>
      </c>
      <c r="BD119" s="294"/>
      <c r="BE119" s="295">
        <f t="shared" si="20"/>
        <v>3500</v>
      </c>
      <c r="BF119" s="294"/>
      <c r="BG119" s="295">
        <f>+O119-BE119</f>
        <v>-3500</v>
      </c>
    </row>
    <row r="120" spans="1:61" x14ac:dyDescent="0.25">
      <c r="A120" s="112"/>
      <c r="B120" s="322"/>
      <c r="C120" s="31"/>
      <c r="D120" s="294"/>
      <c r="E120" s="294"/>
      <c r="F120" s="294"/>
      <c r="G120" s="294"/>
      <c r="H120" s="294"/>
      <c r="I120" s="294"/>
      <c r="J120" s="294"/>
      <c r="K120" s="329">
        <f>SUM(K117:K119)</f>
        <v>454607</v>
      </c>
      <c r="L120" s="294"/>
      <c r="M120" s="329">
        <f>SUM(M117:M119)</f>
        <v>0</v>
      </c>
      <c r="N120" s="294"/>
      <c r="O120" s="329">
        <f>SUM(O117:O119)</f>
        <v>454607</v>
      </c>
      <c r="P120" s="294"/>
      <c r="Q120" s="329">
        <f>SUM(Q117:Q119)</f>
        <v>454607</v>
      </c>
      <c r="R120" s="297"/>
      <c r="S120" s="329">
        <f>SUM(S117:S119)</f>
        <v>3500</v>
      </c>
      <c r="T120" s="297"/>
      <c r="U120" s="329">
        <f>SUM(U117:U119)</f>
        <v>0</v>
      </c>
      <c r="V120" s="295"/>
      <c r="W120" s="329">
        <f>SUM(W117:W119)</f>
        <v>0</v>
      </c>
      <c r="X120" s="298"/>
      <c r="Y120" s="329">
        <f>SUM(Y117:Y119)</f>
        <v>0</v>
      </c>
      <c r="Z120" s="298"/>
      <c r="AA120" s="329">
        <f>SUM(AA117:AA119)</f>
        <v>0</v>
      </c>
      <c r="AB120" s="298"/>
      <c r="AC120" s="329">
        <f>SUM(AC117:AC119)</f>
        <v>3333.33</v>
      </c>
      <c r="AD120" s="298"/>
      <c r="AE120" s="329">
        <f>SUM(AE117:AE119)</f>
        <v>0</v>
      </c>
      <c r="AF120" s="313"/>
      <c r="AG120" s="329">
        <f>SUM(AG117:AG119)</f>
        <v>0</v>
      </c>
      <c r="AH120" s="313"/>
      <c r="AI120" s="329">
        <f>SUM(AI117:AI119)</f>
        <v>0</v>
      </c>
      <c r="AJ120" s="313"/>
      <c r="AK120" s="329">
        <f>SUM(AK117:AK119)</f>
        <v>0</v>
      </c>
      <c r="AL120" s="313"/>
      <c r="AM120" s="329">
        <f>SUM(AM117:AM119)</f>
        <v>0</v>
      </c>
      <c r="AN120" s="313"/>
      <c r="AO120" s="329">
        <f>SUM(AO117:AO119)</f>
        <v>0</v>
      </c>
      <c r="AP120" s="313"/>
      <c r="AQ120" s="329">
        <f>SUM(AQ117:AQ119)</f>
        <v>0</v>
      </c>
      <c r="AR120" s="298"/>
      <c r="AS120" s="329">
        <f>SUM(AS117:AS119)</f>
        <v>0</v>
      </c>
      <c r="AT120" s="298"/>
      <c r="AU120" s="329">
        <f>SUM(AU117:AU119)</f>
        <v>0</v>
      </c>
      <c r="AV120" s="298"/>
      <c r="AW120" s="329">
        <f>SUM(AW117:AW119)</f>
        <v>0</v>
      </c>
      <c r="AX120" s="298"/>
      <c r="AY120" s="329">
        <f>SUM(AY117:AY119)</f>
        <v>461440.33</v>
      </c>
      <c r="AZ120" s="294"/>
      <c r="BA120" s="329">
        <f>SUM(BA117:BA119)</f>
        <v>0</v>
      </c>
      <c r="BB120" s="294"/>
      <c r="BC120" s="329">
        <f>SUM(BC117:BC119)</f>
        <v>0</v>
      </c>
      <c r="BD120" s="294"/>
      <c r="BE120" s="329">
        <f>SUM(BE117:BE119)</f>
        <v>461440.33</v>
      </c>
      <c r="BF120" s="294"/>
      <c r="BG120" s="329">
        <f>SUM(BG117:BG119)</f>
        <v>-6833.3300000000163</v>
      </c>
    </row>
    <row r="121" spans="1:61" x14ac:dyDescent="0.25">
      <c r="A121" s="312"/>
      <c r="B121" s="125"/>
      <c r="C121" s="31"/>
      <c r="D121" s="294"/>
      <c r="E121" s="294"/>
      <c r="F121" s="294"/>
      <c r="G121" s="294"/>
      <c r="H121" s="294"/>
      <c r="I121" s="294"/>
      <c r="J121" s="294"/>
      <c r="K121" s="305"/>
      <c r="L121" s="294"/>
      <c r="M121" s="305"/>
      <c r="N121" s="294"/>
      <c r="O121" s="305"/>
      <c r="P121" s="294"/>
      <c r="Q121" s="298"/>
      <c r="R121" s="297"/>
      <c r="S121" s="298"/>
      <c r="T121" s="297"/>
      <c r="U121" s="298"/>
      <c r="V121" s="295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5"/>
      <c r="AZ121" s="294"/>
      <c r="BA121" s="298"/>
      <c r="BB121" s="294"/>
      <c r="BC121" s="295"/>
      <c r="BD121" s="294"/>
      <c r="BE121" s="295"/>
      <c r="BF121" s="294"/>
      <c r="BG121" s="295"/>
    </row>
    <row r="122" spans="1:61" x14ac:dyDescent="0.25">
      <c r="A122" s="112" t="s">
        <v>71</v>
      </c>
      <c r="B122" s="322"/>
      <c r="C122" s="31" t="s">
        <v>0</v>
      </c>
      <c r="D122" s="294"/>
      <c r="E122" s="294" t="s">
        <v>68</v>
      </c>
      <c r="F122" s="294"/>
      <c r="G122" s="294" t="s">
        <v>158</v>
      </c>
      <c r="H122" s="294"/>
      <c r="I122" s="294"/>
      <c r="J122" s="294"/>
      <c r="K122" s="295"/>
      <c r="L122" s="294"/>
      <c r="M122" s="295"/>
      <c r="N122" s="294"/>
      <c r="O122" s="295"/>
      <c r="P122" s="294"/>
      <c r="Q122" s="298"/>
      <c r="R122" s="297"/>
      <c r="S122" s="298"/>
      <c r="T122" s="297"/>
      <c r="U122" s="298"/>
      <c r="V122" s="295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5"/>
      <c r="AZ122" s="294"/>
      <c r="BA122" s="298"/>
      <c r="BB122" s="294"/>
      <c r="BC122" s="295"/>
      <c r="BD122" s="294"/>
      <c r="BE122" s="295">
        <f t="shared" si="20"/>
        <v>0</v>
      </c>
      <c r="BF122" s="294"/>
      <c r="BG122" s="295"/>
    </row>
    <row r="123" spans="1:61" x14ac:dyDescent="0.25">
      <c r="A123" s="112"/>
      <c r="B123" s="322" t="s">
        <v>177</v>
      </c>
      <c r="C123" s="31"/>
      <c r="D123" s="294"/>
      <c r="E123" s="294"/>
      <c r="F123" s="294"/>
      <c r="G123" s="294"/>
      <c r="H123" s="294"/>
      <c r="I123" s="294"/>
      <c r="J123" s="294"/>
      <c r="K123" s="356"/>
      <c r="L123" s="294"/>
      <c r="M123" s="299">
        <v>0</v>
      </c>
      <c r="N123" s="294"/>
      <c r="O123" s="356"/>
      <c r="P123" s="294"/>
      <c r="Q123" s="298">
        <f>38722.4+1326+60422.24+29178.42+1522.63+42238.11-15975-9262</f>
        <v>148172.79999999999</v>
      </c>
      <c r="R123" s="297"/>
      <c r="S123" s="298">
        <v>0</v>
      </c>
      <c r="T123" s="297"/>
      <c r="U123" s="298">
        <f>59941.69</f>
        <v>59941.69</v>
      </c>
      <c r="V123" s="295"/>
      <c r="W123" s="298">
        <f>30440.7-30440.7</f>
        <v>0</v>
      </c>
      <c r="X123" s="298"/>
      <c r="Y123" s="298">
        <f>125057.7-125057.7</f>
        <v>0</v>
      </c>
      <c r="Z123" s="298"/>
      <c r="AA123" s="298">
        <f>24442.2-24442.2</f>
        <v>0</v>
      </c>
      <c r="AB123" s="298"/>
      <c r="AC123" s="298">
        <f>15974.93+9262.34+15533.39+16343.21+9747.49</f>
        <v>66861.36</v>
      </c>
      <c r="AD123" s="298"/>
      <c r="AE123" s="298">
        <v>7106.38</v>
      </c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>
        <v>12247.95</v>
      </c>
      <c r="AR123" s="298"/>
      <c r="AS123" s="298"/>
      <c r="AT123" s="298"/>
      <c r="AU123" s="298"/>
      <c r="AV123" s="298"/>
      <c r="AW123" s="298"/>
      <c r="AX123" s="298"/>
      <c r="AY123" s="295">
        <f t="shared" ref="AY123:AY129" si="21">SUM(P123:AX123)</f>
        <v>294330.18</v>
      </c>
      <c r="AZ123" s="294"/>
      <c r="BA123" s="298"/>
      <c r="BB123" s="294"/>
      <c r="BC123" s="295"/>
      <c r="BD123" s="294"/>
      <c r="BE123" s="295">
        <f t="shared" si="20"/>
        <v>294330.18</v>
      </c>
      <c r="BF123" s="294"/>
      <c r="BG123" s="295">
        <f t="shared" ref="BG123:BG129" si="22">+O123-BE123</f>
        <v>-294330.18</v>
      </c>
    </row>
    <row r="124" spans="1:61" x14ac:dyDescent="0.25">
      <c r="A124" s="112"/>
      <c r="B124" s="322" t="s">
        <v>178</v>
      </c>
      <c r="C124" s="31"/>
      <c r="D124" s="294"/>
      <c r="E124" s="294"/>
      <c r="F124" s="294"/>
      <c r="G124" s="294"/>
      <c r="H124" s="294"/>
      <c r="I124" s="294"/>
      <c r="J124" s="294"/>
      <c r="K124" s="356"/>
      <c r="L124" s="294"/>
      <c r="M124" s="299">
        <v>0</v>
      </c>
      <c r="N124" s="294"/>
      <c r="O124" s="356"/>
      <c r="P124" s="294"/>
      <c r="Q124" s="298">
        <f>2000+100</f>
        <v>2100</v>
      </c>
      <c r="R124" s="297"/>
      <c r="S124" s="298">
        <v>0</v>
      </c>
      <c r="T124" s="297"/>
      <c r="U124" s="298"/>
      <c r="V124" s="295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5">
        <f t="shared" si="21"/>
        <v>2100</v>
      </c>
      <c r="AZ124" s="294"/>
      <c r="BA124" s="298"/>
      <c r="BB124" s="294"/>
      <c r="BC124" s="295"/>
      <c r="BD124" s="294"/>
      <c r="BE124" s="295">
        <f t="shared" si="20"/>
        <v>2100</v>
      </c>
      <c r="BF124" s="294"/>
      <c r="BG124" s="295">
        <f t="shared" si="22"/>
        <v>-2100</v>
      </c>
    </row>
    <row r="125" spans="1:61" x14ac:dyDescent="0.25">
      <c r="A125" s="112"/>
      <c r="B125" s="322" t="s">
        <v>179</v>
      </c>
      <c r="C125" s="31"/>
      <c r="D125" s="294"/>
      <c r="E125" s="294"/>
      <c r="F125" s="294"/>
      <c r="G125" s="294"/>
      <c r="H125" s="294"/>
      <c r="I125" s="294"/>
      <c r="J125" s="294"/>
      <c r="K125" s="356"/>
      <c r="L125" s="294"/>
      <c r="M125" s="299">
        <v>0</v>
      </c>
      <c r="N125" s="294"/>
      <c r="O125" s="356"/>
      <c r="P125" s="294"/>
      <c r="Q125" s="298">
        <f>4200</f>
        <v>4200</v>
      </c>
      <c r="R125" s="297"/>
      <c r="S125" s="298">
        <v>0</v>
      </c>
      <c r="T125" s="297"/>
      <c r="U125" s="298"/>
      <c r="V125" s="295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5">
        <f t="shared" si="21"/>
        <v>4200</v>
      </c>
      <c r="AZ125" s="294"/>
      <c r="BA125" s="298"/>
      <c r="BB125" s="294"/>
      <c r="BC125" s="295"/>
      <c r="BD125" s="294"/>
      <c r="BE125" s="295">
        <f t="shared" si="20"/>
        <v>4200</v>
      </c>
      <c r="BF125" s="294"/>
      <c r="BG125" s="295">
        <f t="shared" si="22"/>
        <v>-4200</v>
      </c>
    </row>
    <row r="126" spans="1:61" x14ac:dyDescent="0.25">
      <c r="A126" s="112"/>
      <c r="B126" s="322" t="s">
        <v>326</v>
      </c>
      <c r="C126" s="31"/>
      <c r="D126" s="294"/>
      <c r="E126" s="294"/>
      <c r="F126" s="294"/>
      <c r="G126" s="294"/>
      <c r="H126" s="294"/>
      <c r="I126" s="294"/>
      <c r="J126" s="294"/>
      <c r="K126" s="356"/>
      <c r="L126" s="294"/>
      <c r="M126" s="299">
        <v>0</v>
      </c>
      <c r="N126" s="294"/>
      <c r="O126" s="356"/>
      <c r="P126" s="294"/>
      <c r="Q126" s="298">
        <f>41000</f>
        <v>41000</v>
      </c>
      <c r="R126" s="297"/>
      <c r="S126" s="298">
        <v>0</v>
      </c>
      <c r="T126" s="297"/>
      <c r="U126" s="298"/>
      <c r="V126" s="295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5">
        <f t="shared" si="21"/>
        <v>41000</v>
      </c>
      <c r="AZ126" s="294"/>
      <c r="BA126" s="298"/>
      <c r="BB126" s="294"/>
      <c r="BC126" s="295"/>
      <c r="BD126" s="294"/>
      <c r="BE126" s="295">
        <f t="shared" si="20"/>
        <v>41000</v>
      </c>
      <c r="BF126" s="294"/>
      <c r="BG126" s="295">
        <f t="shared" si="22"/>
        <v>-41000</v>
      </c>
    </row>
    <row r="127" spans="1:61" x14ac:dyDescent="0.25">
      <c r="A127" s="312"/>
      <c r="B127" s="31" t="s">
        <v>180</v>
      </c>
      <c r="C127" s="31"/>
      <c r="D127" s="294"/>
      <c r="E127" s="294"/>
      <c r="F127" s="294"/>
      <c r="G127" s="294"/>
      <c r="H127" s="294"/>
      <c r="I127" s="294"/>
      <c r="J127" s="294"/>
      <c r="K127" s="295"/>
      <c r="L127" s="294"/>
      <c r="M127" s="299">
        <v>0</v>
      </c>
      <c r="N127" s="294"/>
      <c r="O127" s="295"/>
      <c r="P127" s="294"/>
      <c r="Q127" s="298">
        <v>100</v>
      </c>
      <c r="R127" s="297"/>
      <c r="S127" s="298">
        <v>0</v>
      </c>
      <c r="T127" s="297"/>
      <c r="U127" s="298"/>
      <c r="V127" s="295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>
        <v>298</v>
      </c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5">
        <f t="shared" si="21"/>
        <v>398</v>
      </c>
      <c r="AZ127" s="294"/>
      <c r="BA127" s="298"/>
      <c r="BB127" s="294"/>
      <c r="BC127" s="295"/>
      <c r="BD127" s="294"/>
      <c r="BE127" s="295">
        <f t="shared" si="20"/>
        <v>398</v>
      </c>
      <c r="BF127" s="294"/>
      <c r="BG127" s="295">
        <f t="shared" si="22"/>
        <v>-398</v>
      </c>
    </row>
    <row r="128" spans="1:61" x14ac:dyDescent="0.25">
      <c r="A128" s="312"/>
      <c r="B128" s="31" t="s">
        <v>491</v>
      </c>
      <c r="C128" s="31"/>
      <c r="D128" s="294"/>
      <c r="E128" s="294"/>
      <c r="F128" s="294"/>
      <c r="G128" s="294"/>
      <c r="H128" s="294"/>
      <c r="I128" s="294"/>
      <c r="J128" s="294"/>
      <c r="K128" s="295"/>
      <c r="L128" s="294"/>
      <c r="M128" s="299">
        <v>0</v>
      </c>
      <c r="N128" s="294"/>
      <c r="O128" s="295"/>
      <c r="P128" s="294"/>
      <c r="Q128" s="298">
        <f>15975+9262</f>
        <v>25237</v>
      </c>
      <c r="R128" s="297"/>
      <c r="S128" s="298">
        <v>0</v>
      </c>
      <c r="T128" s="297"/>
      <c r="U128" s="298"/>
      <c r="V128" s="295"/>
      <c r="W128" s="298">
        <v>30440.7</v>
      </c>
      <c r="X128" s="298"/>
      <c r="Y128" s="298">
        <v>125057.7</v>
      </c>
      <c r="Z128" s="298"/>
      <c r="AA128" s="298">
        <v>24442.2</v>
      </c>
      <c r="AB128" s="298"/>
      <c r="AC128" s="298"/>
      <c r="AD128" s="298"/>
      <c r="AE128" s="298">
        <v>196903.8</v>
      </c>
      <c r="AF128" s="298"/>
      <c r="AG128" s="298">
        <v>83901.6</v>
      </c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5">
        <f t="shared" si="21"/>
        <v>485983</v>
      </c>
      <c r="AZ128" s="294"/>
      <c r="BA128" s="298"/>
      <c r="BB128" s="294"/>
      <c r="BC128" s="295"/>
      <c r="BD128" s="294"/>
      <c r="BE128" s="295">
        <f t="shared" si="20"/>
        <v>485983</v>
      </c>
      <c r="BF128" s="294"/>
      <c r="BG128" s="295">
        <f t="shared" si="22"/>
        <v>-485983</v>
      </c>
    </row>
    <row r="129" spans="1:59" x14ac:dyDescent="0.25">
      <c r="A129" s="312"/>
      <c r="B129" s="31" t="s">
        <v>543</v>
      </c>
      <c r="C129" s="31"/>
      <c r="D129" s="294"/>
      <c r="E129" s="294"/>
      <c r="F129" s="294"/>
      <c r="G129" s="294"/>
      <c r="H129" s="294"/>
      <c r="I129" s="294"/>
      <c r="J129" s="294"/>
      <c r="K129" s="357">
        <v>500000</v>
      </c>
      <c r="L129" s="294"/>
      <c r="M129" s="299">
        <v>-233000</v>
      </c>
      <c r="N129" s="294"/>
      <c r="O129" s="357">
        <f>+M129+K129</f>
        <v>267000</v>
      </c>
      <c r="P129" s="294"/>
      <c r="Q129" s="296">
        <v>0</v>
      </c>
      <c r="R129" s="297"/>
      <c r="S129" s="296">
        <v>0</v>
      </c>
      <c r="T129" s="297"/>
      <c r="U129" s="296">
        <v>0</v>
      </c>
      <c r="V129" s="295"/>
      <c r="W129" s="296">
        <v>0</v>
      </c>
      <c r="X129" s="298"/>
      <c r="Y129" s="296">
        <v>0</v>
      </c>
      <c r="Z129" s="298"/>
      <c r="AA129" s="296">
        <v>0</v>
      </c>
      <c r="AB129" s="298"/>
      <c r="AC129" s="296">
        <v>0</v>
      </c>
      <c r="AD129" s="298"/>
      <c r="AE129" s="296">
        <v>0</v>
      </c>
      <c r="AF129" s="296"/>
      <c r="AG129" s="296">
        <v>0</v>
      </c>
      <c r="AH129" s="296"/>
      <c r="AI129" s="296">
        <v>0</v>
      </c>
      <c r="AJ129" s="296"/>
      <c r="AK129" s="296">
        <v>0</v>
      </c>
      <c r="AL129" s="296"/>
      <c r="AM129" s="298">
        <f>17527+14325.1+1625+3451+430</f>
        <v>37358.1</v>
      </c>
      <c r="AN129" s="298"/>
      <c r="AO129" s="298"/>
      <c r="AP129" s="298"/>
      <c r="AQ129" s="298"/>
      <c r="AR129" s="296"/>
      <c r="AS129" s="298"/>
      <c r="AT129" s="296"/>
      <c r="AU129" s="298"/>
      <c r="AV129" s="296"/>
      <c r="AW129" s="298"/>
      <c r="AX129" s="296"/>
      <c r="AY129" s="295">
        <f t="shared" si="21"/>
        <v>37358.1</v>
      </c>
      <c r="AZ129" s="294"/>
      <c r="BA129" s="296"/>
      <c r="BB129" s="294"/>
      <c r="BC129" s="299"/>
      <c r="BD129" s="294"/>
      <c r="BE129" s="295">
        <f t="shared" si="20"/>
        <v>37358.1</v>
      </c>
      <c r="BF129" s="294"/>
      <c r="BG129" s="295">
        <f t="shared" si="22"/>
        <v>229641.9</v>
      </c>
    </row>
    <row r="130" spans="1:59" s="8" customFormat="1" x14ac:dyDescent="0.25">
      <c r="A130" s="358"/>
      <c r="B130" s="31" t="s">
        <v>181</v>
      </c>
      <c r="C130" s="359"/>
      <c r="D130" s="295"/>
      <c r="E130" s="295"/>
      <c r="F130" s="295"/>
      <c r="G130" s="295"/>
      <c r="H130" s="295"/>
      <c r="I130" s="295"/>
      <c r="J130" s="295"/>
      <c r="K130" s="329">
        <f>SUM(K122:K129)</f>
        <v>500000</v>
      </c>
      <c r="L130" s="295"/>
      <c r="M130" s="329">
        <f>SUM(M122:M129)</f>
        <v>-233000</v>
      </c>
      <c r="N130" s="295"/>
      <c r="O130" s="329">
        <f>SUM(O122:O129)</f>
        <v>267000</v>
      </c>
      <c r="P130" s="295"/>
      <c r="Q130" s="329">
        <f>SUM(Q122:Q129)</f>
        <v>220809.8</v>
      </c>
      <c r="R130" s="295"/>
      <c r="S130" s="329">
        <f>SUM(S122:S129)</f>
        <v>0</v>
      </c>
      <c r="T130" s="295"/>
      <c r="U130" s="329">
        <f>SUM(U122:U129)</f>
        <v>59941.69</v>
      </c>
      <c r="V130" s="295"/>
      <c r="W130" s="329">
        <f>SUM(W122:W129)</f>
        <v>30440.7</v>
      </c>
      <c r="X130" s="298"/>
      <c r="Y130" s="329">
        <f>SUM(Y122:Y129)</f>
        <v>125057.7</v>
      </c>
      <c r="Z130" s="298"/>
      <c r="AA130" s="329">
        <f>SUM(AA122:AA129)</f>
        <v>24442.2</v>
      </c>
      <c r="AB130" s="298"/>
      <c r="AC130" s="329">
        <f>SUM(AC122:AC129)</f>
        <v>66861.36</v>
      </c>
      <c r="AD130" s="298"/>
      <c r="AE130" s="329">
        <f>SUM(AE122:AE129)</f>
        <v>204010.18</v>
      </c>
      <c r="AF130" s="313"/>
      <c r="AG130" s="329">
        <f>SUM(AG122:AG129)</f>
        <v>84199.6</v>
      </c>
      <c r="AH130" s="313"/>
      <c r="AI130" s="329">
        <f>SUM(AI122:AI129)</f>
        <v>0</v>
      </c>
      <c r="AJ130" s="313"/>
      <c r="AK130" s="329">
        <f>SUM(AK122:AK129)</f>
        <v>0</v>
      </c>
      <c r="AL130" s="313"/>
      <c r="AM130" s="329">
        <f>SUM(AM122:AM129)</f>
        <v>37358.1</v>
      </c>
      <c r="AN130" s="313"/>
      <c r="AO130" s="329">
        <f>SUM(AO122:AO129)</f>
        <v>0</v>
      </c>
      <c r="AP130" s="313"/>
      <c r="AQ130" s="329">
        <f>SUM(AQ122:AQ129)</f>
        <v>12247.95</v>
      </c>
      <c r="AR130" s="296"/>
      <c r="AS130" s="329">
        <f>SUM(AS122:AS129)</f>
        <v>0</v>
      </c>
      <c r="AT130" s="296"/>
      <c r="AU130" s="329">
        <f>SUM(AU122:AU129)</f>
        <v>0</v>
      </c>
      <c r="AV130" s="296"/>
      <c r="AW130" s="329">
        <f>SUM(AW122:AW129)</f>
        <v>0</v>
      </c>
      <c r="AX130" s="296"/>
      <c r="AY130" s="329">
        <f>SUM(AY122:AY129)</f>
        <v>865369.27999999991</v>
      </c>
      <c r="AZ130" s="295"/>
      <c r="BA130" s="329">
        <f>SUM(BA122:BA129)</f>
        <v>0</v>
      </c>
      <c r="BB130" s="295"/>
      <c r="BC130" s="329">
        <f>SUM(BC122:BC129)</f>
        <v>0</v>
      </c>
      <c r="BD130" s="295"/>
      <c r="BE130" s="329">
        <f>SUM(BE122:BE129)</f>
        <v>865369.27999999991</v>
      </c>
      <c r="BF130" s="295"/>
      <c r="BG130" s="329">
        <f>SUM(BG122:BG129)</f>
        <v>-598369.27999999991</v>
      </c>
    </row>
    <row r="131" spans="1:59" x14ac:dyDescent="0.25">
      <c r="A131" s="312"/>
      <c r="B131" s="31"/>
      <c r="C131" s="31"/>
      <c r="D131" s="294"/>
      <c r="E131" s="294"/>
      <c r="F131" s="294"/>
      <c r="G131" s="294"/>
      <c r="H131" s="294"/>
      <c r="I131" s="294"/>
      <c r="J131" s="294"/>
      <c r="K131" s="295"/>
      <c r="L131" s="294"/>
      <c r="M131" s="295"/>
      <c r="N131" s="294"/>
      <c r="O131" s="295"/>
      <c r="P131" s="294"/>
      <c r="Q131" s="298"/>
      <c r="R131" s="297"/>
      <c r="S131" s="298"/>
      <c r="T131" s="297"/>
      <c r="U131" s="298"/>
      <c r="V131" s="295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5"/>
      <c r="AZ131" s="294"/>
      <c r="BA131" s="298"/>
      <c r="BB131" s="294"/>
      <c r="BC131" s="295"/>
      <c r="BD131" s="294"/>
      <c r="BE131" s="295"/>
      <c r="BF131" s="294"/>
      <c r="BG131" s="295"/>
    </row>
    <row r="132" spans="1:59" x14ac:dyDescent="0.25">
      <c r="A132" s="112" t="s">
        <v>74</v>
      </c>
      <c r="B132" s="322"/>
      <c r="C132" s="31" t="s">
        <v>0</v>
      </c>
      <c r="D132" s="294"/>
      <c r="E132" s="294" t="s">
        <v>68</v>
      </c>
      <c r="F132" s="294"/>
      <c r="G132" s="294" t="s">
        <v>75</v>
      </c>
      <c r="H132" s="294"/>
      <c r="I132" s="294"/>
      <c r="J132" s="294"/>
      <c r="K132" s="295">
        <v>0</v>
      </c>
      <c r="L132" s="294"/>
      <c r="M132" s="295">
        <v>0</v>
      </c>
      <c r="N132" s="294"/>
      <c r="O132" s="295">
        <f>SUM(K132:N132)</f>
        <v>0</v>
      </c>
      <c r="P132" s="294"/>
      <c r="Q132" s="298">
        <v>0</v>
      </c>
      <c r="R132" s="297"/>
      <c r="S132" s="298">
        <v>0</v>
      </c>
      <c r="T132" s="297"/>
      <c r="U132" s="298"/>
      <c r="V132" s="295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5">
        <f>SUM(P132:AT132)</f>
        <v>0</v>
      </c>
      <c r="AZ132" s="294"/>
      <c r="BA132" s="298"/>
      <c r="BB132" s="294"/>
      <c r="BC132" s="295">
        <f>IF(+O132-AY132+BA132&gt;0,O132-AY132+BA132,0)</f>
        <v>0</v>
      </c>
      <c r="BD132" s="294"/>
      <c r="BE132" s="295">
        <f t="shared" si="20"/>
        <v>0</v>
      </c>
      <c r="BF132" s="294"/>
      <c r="BG132" s="295">
        <f>+O132-BE132</f>
        <v>0</v>
      </c>
    </row>
    <row r="133" spans="1:59" x14ac:dyDescent="0.25">
      <c r="A133" s="312"/>
      <c r="B133" s="31"/>
      <c r="C133" s="31"/>
      <c r="D133" s="294"/>
      <c r="E133" s="294"/>
      <c r="F133" s="294"/>
      <c r="G133" s="294"/>
      <c r="H133" s="294"/>
      <c r="I133" s="294"/>
      <c r="J133" s="294"/>
      <c r="K133" s="295"/>
      <c r="L133" s="294"/>
      <c r="M133" s="295"/>
      <c r="N133" s="294"/>
      <c r="O133" s="295"/>
      <c r="P133" s="294"/>
      <c r="Q133" s="298"/>
      <c r="R133" s="297"/>
      <c r="S133" s="298"/>
      <c r="T133" s="297"/>
      <c r="U133" s="298"/>
      <c r="V133" s="295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5"/>
      <c r="AZ133" s="294"/>
      <c r="BA133" s="298"/>
      <c r="BB133" s="294"/>
      <c r="BC133" s="295"/>
      <c r="BD133" s="294"/>
      <c r="BE133" s="295"/>
      <c r="BF133" s="294"/>
      <c r="BG133" s="295"/>
    </row>
    <row r="134" spans="1:59" x14ac:dyDescent="0.25">
      <c r="A134" s="112" t="s">
        <v>76</v>
      </c>
      <c r="B134" s="322"/>
      <c r="C134" s="31" t="s">
        <v>0</v>
      </c>
      <c r="D134" s="294"/>
      <c r="E134" s="294" t="s">
        <v>68</v>
      </c>
      <c r="F134" s="294"/>
      <c r="G134" s="294" t="s">
        <v>125</v>
      </c>
      <c r="H134" s="294"/>
      <c r="I134" s="294"/>
      <c r="J134" s="294"/>
      <c r="K134" s="295"/>
      <c r="L134" s="294"/>
      <c r="M134" s="295"/>
      <c r="N134" s="294"/>
      <c r="O134" s="295"/>
      <c r="P134" s="294"/>
      <c r="Q134" s="298"/>
      <c r="R134" s="297"/>
      <c r="S134" s="298"/>
      <c r="T134" s="297"/>
      <c r="U134" s="298"/>
      <c r="V134" s="295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5"/>
      <c r="AZ134" s="294"/>
      <c r="BA134" s="298"/>
      <c r="BB134" s="294"/>
      <c r="BC134" s="295"/>
      <c r="BD134" s="294"/>
      <c r="BE134" s="295"/>
      <c r="BF134" s="294"/>
      <c r="BG134" s="295"/>
    </row>
    <row r="135" spans="1:59" x14ac:dyDescent="0.25">
      <c r="A135" s="112"/>
      <c r="B135" s="322" t="s">
        <v>77</v>
      </c>
      <c r="C135" s="31"/>
      <c r="D135" s="294"/>
      <c r="E135" s="294"/>
      <c r="F135" s="294"/>
      <c r="G135" s="294"/>
      <c r="H135" s="294"/>
      <c r="I135" s="294"/>
      <c r="J135" s="294"/>
      <c r="K135" s="299">
        <v>1543817</v>
      </c>
      <c r="L135" s="294"/>
      <c r="M135" s="299">
        <v>0</v>
      </c>
      <c r="N135" s="294"/>
      <c r="O135" s="299">
        <f>SUM(K135:N135)</f>
        <v>1543817</v>
      </c>
      <c r="P135" s="294"/>
      <c r="Q135" s="298">
        <v>0</v>
      </c>
      <c r="R135" s="297"/>
      <c r="S135" s="298">
        <v>0</v>
      </c>
      <c r="T135" s="297"/>
      <c r="U135" s="298">
        <v>73861.53</v>
      </c>
      <c r="V135" s="295"/>
      <c r="W135" s="298"/>
      <c r="X135" s="298"/>
      <c r="Y135" s="298"/>
      <c r="Z135" s="298"/>
      <c r="AA135" s="298">
        <f>134995.5+386664.84+124867</f>
        <v>646527.34000000008</v>
      </c>
      <c r="AB135" s="298"/>
      <c r="AC135" s="298"/>
      <c r="AD135" s="298"/>
      <c r="AE135" s="298">
        <v>379197.17</v>
      </c>
      <c r="AF135" s="298"/>
      <c r="AG135" s="298">
        <v>353835.71</v>
      </c>
      <c r="AH135" s="298"/>
      <c r="AI135" s="298">
        <v>91393.38</v>
      </c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5">
        <f>SUM(P135:AX135)</f>
        <v>1544815.13</v>
      </c>
      <c r="AZ135" s="294"/>
      <c r="BA135" s="298"/>
      <c r="BB135" s="294"/>
      <c r="BC135" s="295">
        <f>IF(+O135-AY135+BA135&gt;0,O135-AY135+BA135,0)</f>
        <v>0</v>
      </c>
      <c r="BD135" s="294"/>
      <c r="BE135" s="295">
        <f t="shared" ref="BE135:BE161" si="23">+BC135+AY135</f>
        <v>1544815.13</v>
      </c>
      <c r="BF135" s="294"/>
      <c r="BG135" s="295">
        <f>+O135-BE135</f>
        <v>-998.12999999988824</v>
      </c>
    </row>
    <row r="136" spans="1:59" x14ac:dyDescent="0.25">
      <c r="A136" s="112"/>
      <c r="B136" s="322" t="s">
        <v>79</v>
      </c>
      <c r="C136" s="31"/>
      <c r="D136" s="294"/>
      <c r="E136" s="294"/>
      <c r="F136" s="294"/>
      <c r="G136" s="294"/>
      <c r="H136" s="294"/>
      <c r="I136" s="294"/>
      <c r="J136" s="294"/>
      <c r="K136" s="299">
        <f>K135*0.216</f>
        <v>333464.47200000001</v>
      </c>
      <c r="L136" s="294"/>
      <c r="M136" s="299">
        <v>0</v>
      </c>
      <c r="N136" s="294"/>
      <c r="O136" s="299">
        <f>SUM(K136:N136)</f>
        <v>333464.47200000001</v>
      </c>
      <c r="P136" s="294"/>
      <c r="Q136" s="298">
        <v>0</v>
      </c>
      <c r="R136" s="297"/>
      <c r="S136" s="298">
        <v>0</v>
      </c>
      <c r="T136" s="297"/>
      <c r="U136" s="298"/>
      <c r="V136" s="295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>
        <f>29117.84+23858.36</f>
        <v>52976.2</v>
      </c>
      <c r="AL136" s="298"/>
      <c r="AM136" s="298">
        <v>5187.9399999999996</v>
      </c>
      <c r="AN136" s="298"/>
      <c r="AO136" s="298">
        <v>133605</v>
      </c>
      <c r="AP136" s="298"/>
      <c r="AQ136" s="298">
        <v>3347.28</v>
      </c>
      <c r="AR136" s="298"/>
      <c r="AS136" s="298"/>
      <c r="AT136" s="298"/>
      <c r="AU136" s="298"/>
      <c r="AV136" s="298"/>
      <c r="AW136" s="298"/>
      <c r="AX136" s="298"/>
      <c r="AY136" s="295">
        <f>SUM(P136:AX136)</f>
        <v>195116.42</v>
      </c>
      <c r="AZ136" s="294"/>
      <c r="BA136" s="298"/>
      <c r="BB136" s="294"/>
      <c r="BC136" s="295">
        <f>IF(+O136-AY136+BA136&gt;0,O136-AY136+BA136,0)</f>
        <v>138348.052</v>
      </c>
      <c r="BD136" s="294"/>
      <c r="BE136" s="295">
        <f t="shared" si="23"/>
        <v>333464.47200000001</v>
      </c>
      <c r="BF136" s="294"/>
      <c r="BG136" s="295">
        <f>+O136-BE136</f>
        <v>0</v>
      </c>
    </row>
    <row r="137" spans="1:59" x14ac:dyDescent="0.25">
      <c r="A137" s="112"/>
      <c r="B137" s="322" t="s">
        <v>271</v>
      </c>
      <c r="C137" s="31"/>
      <c r="D137" s="294"/>
      <c r="E137" s="294"/>
      <c r="F137" s="294"/>
      <c r="G137" s="294"/>
      <c r="H137" s="294"/>
      <c r="I137" s="294"/>
      <c r="J137" s="294"/>
      <c r="K137" s="299">
        <v>0</v>
      </c>
      <c r="L137" s="294"/>
      <c r="M137" s="299">
        <v>35152</v>
      </c>
      <c r="N137" s="294"/>
      <c r="O137" s="299">
        <f>SUM(K137:N137)</f>
        <v>35152</v>
      </c>
      <c r="P137" s="294"/>
      <c r="Q137" s="298">
        <v>0</v>
      </c>
      <c r="R137" s="297"/>
      <c r="S137" s="298">
        <v>0</v>
      </c>
      <c r="T137" s="297"/>
      <c r="U137" s="298"/>
      <c r="V137" s="295"/>
      <c r="W137" s="298"/>
      <c r="X137" s="298"/>
      <c r="Y137" s="298"/>
      <c r="Z137" s="298"/>
      <c r="AA137" s="298">
        <f>11826.01</f>
        <v>11826.01</v>
      </c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5">
        <f>SUM(P137:AX137)</f>
        <v>11826.01</v>
      </c>
      <c r="AZ137" s="294"/>
      <c r="BA137" s="298"/>
      <c r="BB137" s="294"/>
      <c r="BC137" s="295">
        <f>IF(+O137-AY137+BA137&gt;0,O137-AY137+BA137,0)</f>
        <v>23325.989999999998</v>
      </c>
      <c r="BD137" s="294"/>
      <c r="BE137" s="295">
        <f t="shared" si="23"/>
        <v>35152</v>
      </c>
      <c r="BF137" s="294"/>
      <c r="BG137" s="295">
        <f>+O137-BE137</f>
        <v>0</v>
      </c>
    </row>
    <row r="138" spans="1:59" x14ac:dyDescent="0.25">
      <c r="A138" s="112"/>
      <c r="B138" s="322" t="s">
        <v>272</v>
      </c>
      <c r="C138" s="31"/>
      <c r="D138" s="294"/>
      <c r="E138" s="294"/>
      <c r="F138" s="294"/>
      <c r="G138" s="294"/>
      <c r="H138" s="294"/>
      <c r="I138" s="294"/>
      <c r="J138" s="294"/>
      <c r="K138" s="299">
        <v>0</v>
      </c>
      <c r="L138" s="294"/>
      <c r="M138" s="299">
        <v>55920</v>
      </c>
      <c r="N138" s="294"/>
      <c r="O138" s="299">
        <f>SUM(K138:N138)</f>
        <v>55920</v>
      </c>
      <c r="P138" s="294"/>
      <c r="Q138" s="298">
        <v>0</v>
      </c>
      <c r="R138" s="297"/>
      <c r="S138" s="298">
        <v>0</v>
      </c>
      <c r="T138" s="297"/>
      <c r="U138" s="298"/>
      <c r="V138" s="295"/>
      <c r="W138" s="298"/>
      <c r="X138" s="298"/>
      <c r="Y138" s="298"/>
      <c r="Z138" s="298"/>
      <c r="AA138" s="298">
        <v>59057.41</v>
      </c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5">
        <f>SUM(P138:AX138)</f>
        <v>59057.41</v>
      </c>
      <c r="AZ138" s="294"/>
      <c r="BA138" s="298"/>
      <c r="BB138" s="294"/>
      <c r="BC138" s="295">
        <f>IF(+O138-AY138+BA138&gt;0,O138-AY138+BA138,0)</f>
        <v>0</v>
      </c>
      <c r="BD138" s="294"/>
      <c r="BE138" s="295">
        <f t="shared" si="23"/>
        <v>59057.41</v>
      </c>
      <c r="BF138" s="294"/>
      <c r="BG138" s="295">
        <f>+O138-BE138</f>
        <v>-3137.4100000000035</v>
      </c>
    </row>
    <row r="139" spans="1:59" x14ac:dyDescent="0.25">
      <c r="A139" s="112"/>
      <c r="B139" s="322"/>
      <c r="C139" s="31"/>
      <c r="D139" s="294"/>
      <c r="E139" s="294"/>
      <c r="F139" s="294"/>
      <c r="G139" s="294"/>
      <c r="H139" s="294"/>
      <c r="I139" s="294"/>
      <c r="J139" s="294"/>
      <c r="K139" s="329">
        <f>SUM(K135:K138)</f>
        <v>1877281.4720000001</v>
      </c>
      <c r="L139" s="294"/>
      <c r="M139" s="329">
        <f>SUM(M135:M138)</f>
        <v>91072</v>
      </c>
      <c r="N139" s="294"/>
      <c r="O139" s="329">
        <f>SUM(O135:O138)</f>
        <v>1968353.4720000001</v>
      </c>
      <c r="P139" s="294"/>
      <c r="Q139" s="329">
        <f>SUM(Q135:Q138)</f>
        <v>0</v>
      </c>
      <c r="R139" s="297"/>
      <c r="S139" s="329">
        <f>SUM(S135:S138)</f>
        <v>0</v>
      </c>
      <c r="T139" s="297"/>
      <c r="U139" s="329">
        <f>SUM(U135:U138)</f>
        <v>73861.53</v>
      </c>
      <c r="V139" s="295"/>
      <c r="W139" s="329">
        <f>SUM(W135:W138)</f>
        <v>0</v>
      </c>
      <c r="X139" s="298"/>
      <c r="Y139" s="329">
        <f>SUM(Y135:Y138)</f>
        <v>0</v>
      </c>
      <c r="Z139" s="298"/>
      <c r="AA139" s="329">
        <f>SUM(AA135:AA138)</f>
        <v>717410.76000000013</v>
      </c>
      <c r="AB139" s="298"/>
      <c r="AC139" s="329">
        <f>SUM(AC135:AC138)</f>
        <v>0</v>
      </c>
      <c r="AD139" s="298"/>
      <c r="AE139" s="329">
        <f>SUM(AE135:AE138)</f>
        <v>379197.17</v>
      </c>
      <c r="AF139" s="313"/>
      <c r="AG139" s="329">
        <f>SUM(AG135:AG138)</f>
        <v>353835.71</v>
      </c>
      <c r="AH139" s="313"/>
      <c r="AI139" s="329">
        <f>SUM(AI135:AI138)</f>
        <v>91393.38</v>
      </c>
      <c r="AJ139" s="313"/>
      <c r="AK139" s="329">
        <f>SUM(AK135:AK138)</f>
        <v>52976.2</v>
      </c>
      <c r="AL139" s="313"/>
      <c r="AM139" s="329">
        <f>SUM(AM135:AM138)</f>
        <v>5187.9399999999996</v>
      </c>
      <c r="AN139" s="313"/>
      <c r="AO139" s="329">
        <f>SUM(AO135:AO138)</f>
        <v>133605</v>
      </c>
      <c r="AP139" s="313"/>
      <c r="AQ139" s="329">
        <f>SUM(AQ135:AQ138)</f>
        <v>3347.28</v>
      </c>
      <c r="AR139" s="298"/>
      <c r="AS139" s="329">
        <f>SUM(AS135:AS138)</f>
        <v>0</v>
      </c>
      <c r="AT139" s="298"/>
      <c r="AU139" s="329">
        <f>SUM(AU135:AU138)</f>
        <v>0</v>
      </c>
      <c r="AV139" s="298"/>
      <c r="AW139" s="329">
        <f>SUM(AW135:AW138)</f>
        <v>0</v>
      </c>
      <c r="AX139" s="298"/>
      <c r="AY139" s="329">
        <f>SUM(AY135:AY138)</f>
        <v>1810814.9699999997</v>
      </c>
      <c r="AZ139" s="294"/>
      <c r="BA139" s="329">
        <f>SUM(BA135:BA138)</f>
        <v>0</v>
      </c>
      <c r="BB139" s="294"/>
      <c r="BC139" s="329">
        <f>SUM(BC135:BC138)</f>
        <v>161674.04199999999</v>
      </c>
      <c r="BD139" s="294"/>
      <c r="BE139" s="329">
        <f>SUM(BE135:BE138)</f>
        <v>1972489.0119999999</v>
      </c>
      <c r="BF139" s="294"/>
      <c r="BG139" s="329">
        <f>SUM(BG135:BG138)</f>
        <v>-4135.5399999998917</v>
      </c>
    </row>
    <row r="140" spans="1:59" x14ac:dyDescent="0.25">
      <c r="A140" s="312"/>
      <c r="B140" s="31"/>
      <c r="C140" s="31"/>
      <c r="D140" s="294"/>
      <c r="E140" s="294"/>
      <c r="F140" s="294"/>
      <c r="G140" s="294"/>
      <c r="H140" s="294"/>
      <c r="I140" s="294"/>
      <c r="J140" s="294"/>
      <c r="K140" s="295"/>
      <c r="L140" s="294"/>
      <c r="M140" s="295"/>
      <c r="N140" s="294"/>
      <c r="O140" s="295"/>
      <c r="P140" s="294"/>
      <c r="Q140" s="298"/>
      <c r="R140" s="297"/>
      <c r="S140" s="298"/>
      <c r="T140" s="297"/>
      <c r="U140" s="298"/>
      <c r="V140" s="295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5"/>
      <c r="AZ140" s="294"/>
      <c r="BA140" s="298"/>
      <c r="BB140" s="294"/>
      <c r="BC140" s="295"/>
      <c r="BD140" s="294"/>
      <c r="BE140" s="295"/>
      <c r="BF140" s="294"/>
      <c r="BG140" s="295"/>
    </row>
    <row r="141" spans="1:59" x14ac:dyDescent="0.25">
      <c r="A141" s="112" t="s">
        <v>80</v>
      </c>
      <c r="B141" s="322"/>
      <c r="C141" s="31" t="s">
        <v>0</v>
      </c>
      <c r="D141" s="294"/>
      <c r="E141" s="294" t="s">
        <v>81</v>
      </c>
      <c r="F141" s="294"/>
      <c r="G141" s="294" t="s">
        <v>82</v>
      </c>
      <c r="H141" s="294"/>
      <c r="I141" s="294"/>
      <c r="J141" s="294"/>
      <c r="K141" s="299">
        <v>225949</v>
      </c>
      <c r="L141" s="294"/>
      <c r="M141" s="299">
        <v>0</v>
      </c>
      <c r="N141" s="294"/>
      <c r="O141" s="299">
        <f>SUM(K141:N141)</f>
        <v>225949</v>
      </c>
      <c r="P141" s="294"/>
      <c r="Q141" s="298">
        <v>0</v>
      </c>
      <c r="R141" s="297"/>
      <c r="S141" s="298">
        <v>0</v>
      </c>
      <c r="T141" s="297"/>
      <c r="U141" s="298"/>
      <c r="V141" s="295"/>
      <c r="W141" s="298">
        <v>5852.62</v>
      </c>
      <c r="X141" s="298"/>
      <c r="Y141" s="298"/>
      <c r="Z141" s="298"/>
      <c r="AA141" s="298">
        <f>16486.19+1213.67+73.31+650.78+458.74+1089.09+253.64+287+6093.94+806.11</f>
        <v>27412.47</v>
      </c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5">
        <f t="shared" ref="AY141:AY150" si="24">SUM(P141:AX141)</f>
        <v>33265.090000000004</v>
      </c>
      <c r="AZ141" s="294"/>
      <c r="BA141" s="298"/>
      <c r="BB141" s="294"/>
      <c r="BC141" s="295">
        <f>IF(+O141-AY141+BA141&gt;0,O141-AY141+BA141,0)</f>
        <v>192683.91</v>
      </c>
      <c r="BD141" s="294"/>
      <c r="BE141" s="295">
        <f t="shared" si="23"/>
        <v>225949</v>
      </c>
      <c r="BF141" s="294"/>
      <c r="BG141" s="295">
        <f>+O141-BE141</f>
        <v>0</v>
      </c>
    </row>
    <row r="142" spans="1:59" x14ac:dyDescent="0.25">
      <c r="A142" s="312"/>
      <c r="B142" s="31"/>
      <c r="C142" s="31"/>
      <c r="D142" s="294"/>
      <c r="E142" s="294"/>
      <c r="F142" s="294"/>
      <c r="G142" s="294"/>
      <c r="H142" s="294"/>
      <c r="I142" s="294"/>
      <c r="J142" s="294"/>
      <c r="K142" s="295"/>
      <c r="L142" s="294"/>
      <c r="M142" s="295"/>
      <c r="N142" s="294"/>
      <c r="O142" s="295"/>
      <c r="P142" s="294"/>
      <c r="Q142" s="298"/>
      <c r="R142" s="297"/>
      <c r="S142" s="298"/>
      <c r="T142" s="297"/>
      <c r="U142" s="298"/>
      <c r="V142" s="295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5"/>
      <c r="AZ142" s="294"/>
      <c r="BA142" s="298"/>
      <c r="BB142" s="294"/>
      <c r="BC142" s="295"/>
      <c r="BD142" s="294"/>
      <c r="BE142" s="295"/>
      <c r="BF142" s="294"/>
      <c r="BG142" s="295"/>
    </row>
    <row r="143" spans="1:59" x14ac:dyDescent="0.25">
      <c r="A143" s="112" t="s">
        <v>83</v>
      </c>
      <c r="B143" s="322"/>
      <c r="C143" s="31" t="s">
        <v>0</v>
      </c>
      <c r="D143" s="294"/>
      <c r="E143" s="294" t="s">
        <v>68</v>
      </c>
      <c r="F143" s="294"/>
      <c r="G143" s="294" t="s">
        <v>85</v>
      </c>
      <c r="H143" s="294"/>
      <c r="I143" s="294"/>
      <c r="J143" s="294"/>
      <c r="K143" s="299">
        <v>145263</v>
      </c>
      <c r="L143" s="294"/>
      <c r="M143" s="299">
        <v>14699</v>
      </c>
      <c r="N143" s="294"/>
      <c r="O143" s="299">
        <f>SUM(K143:N143)</f>
        <v>159962</v>
      </c>
      <c r="P143" s="294"/>
      <c r="Q143" s="298">
        <v>0</v>
      </c>
      <c r="R143" s="297"/>
      <c r="S143" s="298">
        <v>0</v>
      </c>
      <c r="T143" s="297"/>
      <c r="U143" s="298">
        <v>117600</v>
      </c>
      <c r="V143" s="295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>
        <v>14699</v>
      </c>
      <c r="AH143" s="298"/>
      <c r="AI143" s="298"/>
      <c r="AJ143" s="298"/>
      <c r="AK143" s="298">
        <v>22048</v>
      </c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5">
        <f t="shared" si="24"/>
        <v>154347</v>
      </c>
      <c r="AZ143" s="294"/>
      <c r="BA143" s="298">
        <v>4386</v>
      </c>
      <c r="BB143" s="294"/>
      <c r="BC143" s="295">
        <f>IF(+O143-AY143+BA143&gt;0,O143-AY143+BA143,0)</f>
        <v>10001</v>
      </c>
      <c r="BD143" s="294"/>
      <c r="BE143" s="295">
        <f t="shared" si="23"/>
        <v>164348</v>
      </c>
      <c r="BF143" s="294"/>
      <c r="BG143" s="295">
        <f>+O143-BE143</f>
        <v>-4386</v>
      </c>
    </row>
    <row r="144" spans="1:59" x14ac:dyDescent="0.25">
      <c r="A144" s="120"/>
      <c r="B144" s="322"/>
      <c r="C144" s="31"/>
      <c r="D144" s="294"/>
      <c r="E144" s="294"/>
      <c r="F144" s="294"/>
      <c r="G144" s="294"/>
      <c r="H144" s="294"/>
      <c r="I144" s="294"/>
      <c r="J144" s="294"/>
      <c r="K144" s="295"/>
      <c r="L144" s="294"/>
      <c r="M144" s="295"/>
      <c r="N144" s="294"/>
      <c r="O144" s="295"/>
      <c r="P144" s="294"/>
      <c r="Q144" s="298"/>
      <c r="R144" s="297"/>
      <c r="S144" s="298"/>
      <c r="T144" s="297"/>
      <c r="U144" s="298"/>
      <c r="V144" s="295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5"/>
      <c r="AZ144" s="294"/>
      <c r="BA144" s="298"/>
      <c r="BB144" s="294"/>
      <c r="BC144" s="295"/>
      <c r="BD144" s="294"/>
      <c r="BE144" s="295"/>
      <c r="BF144" s="294"/>
      <c r="BG144" s="295"/>
    </row>
    <row r="145" spans="1:61" x14ac:dyDescent="0.25">
      <c r="A145" s="112" t="s">
        <v>86</v>
      </c>
      <c r="B145" s="322"/>
      <c r="C145" s="31" t="s">
        <v>0</v>
      </c>
      <c r="D145" s="294"/>
      <c r="E145" s="294" t="s">
        <v>87</v>
      </c>
      <c r="F145" s="294"/>
      <c r="G145" s="294" t="s">
        <v>88</v>
      </c>
      <c r="H145" s="294"/>
      <c r="I145" s="294"/>
      <c r="J145" s="294"/>
      <c r="K145" s="299">
        <v>113333</v>
      </c>
      <c r="L145" s="294"/>
      <c r="M145" s="299">
        <v>0</v>
      </c>
      <c r="N145" s="294"/>
      <c r="O145" s="299">
        <f>SUM(K145:N145)</f>
        <v>113333</v>
      </c>
      <c r="P145" s="294"/>
      <c r="Q145" s="298">
        <v>0</v>
      </c>
      <c r="R145" s="297"/>
      <c r="S145" s="298">
        <v>0</v>
      </c>
      <c r="T145" s="297"/>
      <c r="U145" s="298"/>
      <c r="V145" s="295"/>
      <c r="W145" s="298">
        <f>885.42+4983.56</f>
        <v>5868.9800000000005</v>
      </c>
      <c r="X145" s="298"/>
      <c r="Y145" s="298"/>
      <c r="Z145" s="298"/>
      <c r="AA145" s="298">
        <f>10145.07-5868.98</f>
        <v>4276.09</v>
      </c>
      <c r="AB145" s="298"/>
      <c r="AC145" s="298">
        <f>3616.15+10736.91</f>
        <v>14353.06</v>
      </c>
      <c r="AD145" s="298"/>
      <c r="AE145" s="298">
        <f>3601.92+2831.89</f>
        <v>6433.8099999999995</v>
      </c>
      <c r="AF145" s="298"/>
      <c r="AG145" s="298">
        <v>4128.4799999999996</v>
      </c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5">
        <f t="shared" si="24"/>
        <v>35060.42</v>
      </c>
      <c r="AZ145" s="294"/>
      <c r="BA145" s="298">
        <v>-20000</v>
      </c>
      <c r="BB145" s="294"/>
      <c r="BC145" s="295">
        <v>0</v>
      </c>
      <c r="BD145" s="294"/>
      <c r="BE145" s="295">
        <f t="shared" si="23"/>
        <v>35060.42</v>
      </c>
      <c r="BF145" s="294"/>
      <c r="BG145" s="295">
        <f>+O145-BE145</f>
        <v>78272.58</v>
      </c>
    </row>
    <row r="146" spans="1:61" x14ac:dyDescent="0.25">
      <c r="A146" s="120"/>
      <c r="B146" s="322"/>
      <c r="C146" s="31"/>
      <c r="D146" s="294"/>
      <c r="E146" s="294"/>
      <c r="F146" s="294"/>
      <c r="G146" s="294"/>
      <c r="H146" s="294"/>
      <c r="I146" s="294"/>
      <c r="J146" s="294"/>
      <c r="K146" s="295"/>
      <c r="L146" s="294"/>
      <c r="M146" s="295"/>
      <c r="N146" s="294"/>
      <c r="O146" s="295"/>
      <c r="P146" s="294"/>
      <c r="Q146" s="298"/>
      <c r="R146" s="297"/>
      <c r="S146" s="298"/>
      <c r="T146" s="297"/>
      <c r="U146" s="298"/>
      <c r="V146" s="295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5"/>
      <c r="AZ146" s="294"/>
      <c r="BA146" s="298"/>
      <c r="BB146" s="294"/>
      <c r="BC146" s="295"/>
      <c r="BD146" s="294"/>
      <c r="BE146" s="295"/>
      <c r="BF146" s="294"/>
      <c r="BG146" s="295"/>
    </row>
    <row r="147" spans="1:61" x14ac:dyDescent="0.25">
      <c r="A147" s="112" t="s">
        <v>89</v>
      </c>
      <c r="B147" s="322"/>
      <c r="C147" s="31" t="s">
        <v>0</v>
      </c>
      <c r="D147" s="294"/>
      <c r="E147" s="294" t="s">
        <v>87</v>
      </c>
      <c r="F147" s="294"/>
      <c r="G147" s="294" t="s">
        <v>88</v>
      </c>
      <c r="H147" s="294"/>
      <c r="I147" s="294"/>
      <c r="J147" s="294"/>
      <c r="K147" s="313">
        <v>6718835</v>
      </c>
      <c r="L147" s="294"/>
      <c r="M147" s="313">
        <f>5637222-6718835+6141-9893+143+1093+1094-1921+11361+4129+252682-120713-478763+213-2-37+80480-176244+407+398-18413-18720-91-5+34297+11356-18658+5262-429077-198643+1307922+198643+321-76043-681325+1443+147-109-54-1761-27283+303+655061-12042-2332-1239314-290628</f>
        <v>-2310788</v>
      </c>
      <c r="N147" s="294"/>
      <c r="O147" s="313">
        <f>SUM(K147:N147)</f>
        <v>4408047</v>
      </c>
      <c r="P147" s="294"/>
      <c r="Q147" s="308">
        <f>117476+177632+239809+271230</f>
        <v>806147</v>
      </c>
      <c r="R147" s="297"/>
      <c r="S147" s="308">
        <f>1245945+32657</f>
        <v>1278602</v>
      </c>
      <c r="T147" s="297"/>
      <c r="U147" s="308">
        <f>39185.34+401814.17</f>
        <v>440999.51</v>
      </c>
      <c r="V147" s="295"/>
      <c r="W147" s="308">
        <f>374381.83</f>
        <v>374381.83</v>
      </c>
      <c r="X147" s="298"/>
      <c r="Y147" s="308">
        <f>391590.46</f>
        <v>391590.46</v>
      </c>
      <c r="Z147" s="298"/>
      <c r="AA147" s="308">
        <v>467674.29</v>
      </c>
      <c r="AB147" s="298"/>
      <c r="AC147" s="308">
        <f>358547.28+75226+340336-386409-131695</f>
        <v>256005.28000000003</v>
      </c>
      <c r="AD147" s="298"/>
      <c r="AE147" s="308">
        <f>123417+559857</f>
        <v>683274</v>
      </c>
      <c r="AF147" s="308"/>
      <c r="AG147" s="308">
        <v>598297</v>
      </c>
      <c r="AH147" s="308"/>
      <c r="AI147" s="308">
        <v>-598297</v>
      </c>
      <c r="AJ147" s="308"/>
      <c r="AK147" s="308">
        <v>-290628</v>
      </c>
      <c r="AL147" s="308"/>
      <c r="AM147" s="308"/>
      <c r="AN147" s="308"/>
      <c r="AO147" s="308"/>
      <c r="AP147" s="308"/>
      <c r="AQ147" s="308"/>
      <c r="AR147" s="308"/>
      <c r="AS147" s="308"/>
      <c r="AT147" s="308"/>
      <c r="AU147" s="308"/>
      <c r="AV147" s="308"/>
      <c r="AW147" s="308"/>
      <c r="AX147" s="308"/>
      <c r="AY147" s="295">
        <f t="shared" si="24"/>
        <v>4408046.37</v>
      </c>
      <c r="AZ147" s="294"/>
      <c r="BA147" s="308">
        <v>0</v>
      </c>
      <c r="BB147" s="294"/>
      <c r="BC147" s="295">
        <f>IF(+O147-AY147+BA147&gt;0,O147-AY147+BA147,0)</f>
        <v>0.62999999988824129</v>
      </c>
      <c r="BD147" s="294"/>
      <c r="BE147" s="295">
        <f t="shared" si="23"/>
        <v>4408047</v>
      </c>
      <c r="BF147" s="294"/>
      <c r="BG147" s="295">
        <f>+O147-BE147</f>
        <v>0</v>
      </c>
    </row>
    <row r="148" spans="1:61" x14ac:dyDescent="0.25">
      <c r="A148" s="112"/>
      <c r="B148" s="322" t="s">
        <v>486</v>
      </c>
      <c r="C148" s="31"/>
      <c r="D148" s="294"/>
      <c r="E148" s="294"/>
      <c r="F148" s="294"/>
      <c r="G148" s="294"/>
      <c r="H148" s="294"/>
      <c r="I148" s="294"/>
      <c r="J148" s="294"/>
      <c r="K148" s="313"/>
      <c r="L148" s="294"/>
      <c r="M148" s="313">
        <v>-125689</v>
      </c>
      <c r="N148" s="294"/>
      <c r="O148" s="313">
        <f>SUM(K148:N148)</f>
        <v>-125689</v>
      </c>
      <c r="P148" s="294"/>
      <c r="Q148" s="308"/>
      <c r="R148" s="297"/>
      <c r="S148" s="308"/>
      <c r="T148" s="297"/>
      <c r="U148" s="308"/>
      <c r="V148" s="295"/>
      <c r="W148" s="308"/>
      <c r="X148" s="298"/>
      <c r="Y148" s="308"/>
      <c r="Z148" s="298"/>
      <c r="AA148" s="308">
        <f>-125689-391000+338643+54082</f>
        <v>-123964</v>
      </c>
      <c r="AB148" s="298"/>
      <c r="AC148" s="308"/>
      <c r="AD148" s="298"/>
      <c r="AE148" s="308"/>
      <c r="AF148" s="308"/>
      <c r="AG148" s="308"/>
      <c r="AH148" s="308"/>
      <c r="AI148" s="308"/>
      <c r="AJ148" s="308"/>
      <c r="AK148" s="308"/>
      <c r="AL148" s="308"/>
      <c r="AM148" s="308"/>
      <c r="AN148" s="308"/>
      <c r="AO148" s="308"/>
      <c r="AP148" s="308"/>
      <c r="AQ148" s="308"/>
      <c r="AR148" s="308"/>
      <c r="AS148" s="308"/>
      <c r="AT148" s="308"/>
      <c r="AU148" s="308"/>
      <c r="AV148" s="308"/>
      <c r="AW148" s="308"/>
      <c r="AX148" s="308"/>
      <c r="AY148" s="295">
        <f t="shared" si="24"/>
        <v>-123964</v>
      </c>
      <c r="AZ148" s="294"/>
      <c r="BA148" s="308"/>
      <c r="BB148" s="294"/>
      <c r="BC148" s="295">
        <v>0</v>
      </c>
      <c r="BD148" s="294"/>
      <c r="BE148" s="295">
        <f t="shared" si="23"/>
        <v>-123964</v>
      </c>
      <c r="BF148" s="294"/>
      <c r="BG148" s="295">
        <f>+O148-BE148</f>
        <v>-1725</v>
      </c>
    </row>
    <row r="149" spans="1:61" x14ac:dyDescent="0.25">
      <c r="A149" s="112" t="s">
        <v>484</v>
      </c>
      <c r="B149" s="322"/>
      <c r="C149" s="31"/>
      <c r="D149" s="294"/>
      <c r="E149" s="294"/>
      <c r="F149" s="294"/>
      <c r="G149" s="294"/>
      <c r="H149" s="294"/>
      <c r="I149" s="294"/>
      <c r="J149" s="294"/>
      <c r="K149" s="313">
        <v>0</v>
      </c>
      <c r="L149" s="294"/>
      <c r="M149" s="313">
        <f>30155-156+249-3-38+10-28+49+289-578-101-44+383-26460+153</f>
        <v>3880</v>
      </c>
      <c r="N149" s="294"/>
      <c r="O149" s="313">
        <f>SUM(K149:N149)</f>
        <v>3880</v>
      </c>
      <c r="P149" s="294"/>
      <c r="Q149" s="308">
        <v>0</v>
      </c>
      <c r="R149" s="297"/>
      <c r="S149" s="308">
        <v>0</v>
      </c>
      <c r="T149" s="297"/>
      <c r="U149" s="308">
        <v>6251.01</v>
      </c>
      <c r="V149" s="295"/>
      <c r="W149" s="308">
        <v>5254.99</v>
      </c>
      <c r="X149" s="298"/>
      <c r="Y149" s="308">
        <v>4060.88</v>
      </c>
      <c r="Z149" s="298"/>
      <c r="AA149" s="308">
        <v>3911.42</v>
      </c>
      <c r="AB149" s="298"/>
      <c r="AC149" s="308">
        <v>3727</v>
      </c>
      <c r="AD149" s="298"/>
      <c r="AE149" s="308"/>
      <c r="AF149" s="308"/>
      <c r="AG149" s="308"/>
      <c r="AH149" s="308"/>
      <c r="AI149" s="308"/>
      <c r="AJ149" s="308"/>
      <c r="AK149" s="308"/>
      <c r="AL149" s="308"/>
      <c r="AM149" s="308"/>
      <c r="AN149" s="308"/>
      <c r="AO149" s="308"/>
      <c r="AP149" s="308"/>
      <c r="AQ149" s="308"/>
      <c r="AR149" s="308"/>
      <c r="AS149" s="308"/>
      <c r="AT149" s="308"/>
      <c r="AU149" s="308"/>
      <c r="AV149" s="308"/>
      <c r="AW149" s="308"/>
      <c r="AX149" s="308"/>
      <c r="AY149" s="295">
        <f t="shared" si="24"/>
        <v>23205.300000000003</v>
      </c>
      <c r="AZ149" s="294"/>
      <c r="BA149" s="308"/>
      <c r="BB149" s="294"/>
      <c r="BC149" s="295">
        <f>IF(+O149-AY149+BA149&gt;0,O149-AY149+BA149,0)</f>
        <v>0</v>
      </c>
      <c r="BD149" s="294"/>
      <c r="BE149" s="295">
        <f>+BC149+AY149</f>
        <v>23205.300000000003</v>
      </c>
      <c r="BF149" s="294"/>
      <c r="BG149" s="295">
        <f>+O149-BE149</f>
        <v>-19325.300000000003</v>
      </c>
    </row>
    <row r="150" spans="1:61" x14ac:dyDescent="0.25">
      <c r="A150" s="112" t="s">
        <v>485</v>
      </c>
      <c r="B150" s="322"/>
      <c r="C150" s="31"/>
      <c r="D150" s="294"/>
      <c r="E150" s="294"/>
      <c r="F150" s="294"/>
      <c r="G150" s="294"/>
      <c r="H150" s="294"/>
      <c r="I150" s="294"/>
      <c r="J150" s="294"/>
      <c r="K150" s="313">
        <v>0</v>
      </c>
      <c r="L150" s="294"/>
      <c r="M150" s="313">
        <f>2666-18334</f>
        <v>-15668</v>
      </c>
      <c r="N150" s="294"/>
      <c r="O150" s="313">
        <f>SUM(K150:N150)</f>
        <v>-15668</v>
      </c>
      <c r="P150" s="294"/>
      <c r="Q150" s="308">
        <v>0</v>
      </c>
      <c r="R150" s="297"/>
      <c r="S150" s="308">
        <v>0</v>
      </c>
      <c r="T150" s="297"/>
      <c r="U150" s="308">
        <v>0</v>
      </c>
      <c r="V150" s="295"/>
      <c r="W150" s="308">
        <v>0</v>
      </c>
      <c r="X150" s="298"/>
      <c r="Y150" s="308">
        <v>0</v>
      </c>
      <c r="Z150" s="298"/>
      <c r="AA150" s="308">
        <v>2666</v>
      </c>
      <c r="AB150" s="298"/>
      <c r="AC150" s="308">
        <v>-18333.939999999999</v>
      </c>
      <c r="AD150" s="298"/>
      <c r="AE150" s="308"/>
      <c r="AF150" s="308"/>
      <c r="AG150" s="308"/>
      <c r="AH150" s="308"/>
      <c r="AI150" s="308"/>
      <c r="AJ150" s="308"/>
      <c r="AK150" s="308"/>
      <c r="AL150" s="308"/>
      <c r="AM150" s="308"/>
      <c r="AN150" s="308"/>
      <c r="AO150" s="308"/>
      <c r="AP150" s="308"/>
      <c r="AQ150" s="308"/>
      <c r="AR150" s="308"/>
      <c r="AS150" s="308"/>
      <c r="AT150" s="308"/>
      <c r="AU150" s="308"/>
      <c r="AV150" s="308"/>
      <c r="AW150" s="308"/>
      <c r="AX150" s="308"/>
      <c r="AY150" s="295">
        <f t="shared" si="24"/>
        <v>-15667.939999999999</v>
      </c>
      <c r="AZ150" s="294"/>
      <c r="BA150" s="308">
        <v>0</v>
      </c>
      <c r="BB150" s="294"/>
      <c r="BC150" s="295">
        <f>IF(+O150-AY150+BA150&gt;0,O150-AY150+BA150,0)</f>
        <v>0</v>
      </c>
      <c r="BD150" s="294"/>
      <c r="BE150" s="295">
        <f>+BC150+AY150</f>
        <v>-15667.939999999999</v>
      </c>
      <c r="BF150" s="294"/>
      <c r="BG150" s="295">
        <f>+O150-BE150</f>
        <v>-6.0000000001309672E-2</v>
      </c>
    </row>
    <row r="151" spans="1:61" x14ac:dyDescent="0.25">
      <c r="A151" s="112"/>
      <c r="B151" s="322"/>
      <c r="C151" s="31"/>
      <c r="D151" s="294"/>
      <c r="E151" s="294"/>
      <c r="F151" s="294"/>
      <c r="G151" s="294"/>
      <c r="H151" s="294"/>
      <c r="I151" s="294"/>
      <c r="J151" s="294"/>
      <c r="K151" s="313"/>
      <c r="L151" s="294"/>
      <c r="M151" s="313"/>
      <c r="N151" s="294"/>
      <c r="O151" s="313"/>
      <c r="P151" s="294"/>
      <c r="Q151" s="308"/>
      <c r="R151" s="297"/>
      <c r="S151" s="308"/>
      <c r="T151" s="297"/>
      <c r="U151" s="308"/>
      <c r="V151" s="295"/>
      <c r="W151" s="308"/>
      <c r="X151" s="298"/>
      <c r="Y151" s="308"/>
      <c r="Z151" s="298"/>
      <c r="AA151" s="308"/>
      <c r="AB151" s="298"/>
      <c r="AC151" s="308"/>
      <c r="AD151" s="298"/>
      <c r="AE151" s="308"/>
      <c r="AF151" s="308"/>
      <c r="AG151" s="308"/>
      <c r="AH151" s="308"/>
      <c r="AI151" s="308"/>
      <c r="AJ151" s="308"/>
      <c r="AK151" s="308"/>
      <c r="AL151" s="308"/>
      <c r="AM151" s="308"/>
      <c r="AN151" s="308"/>
      <c r="AO151" s="308"/>
      <c r="AP151" s="308"/>
      <c r="AQ151" s="308"/>
      <c r="AR151" s="308"/>
      <c r="AS151" s="308"/>
      <c r="AT151" s="308"/>
      <c r="AU151" s="308"/>
      <c r="AV151" s="308"/>
      <c r="AW151" s="308"/>
      <c r="AX151" s="308"/>
      <c r="AY151" s="295"/>
      <c r="AZ151" s="294"/>
      <c r="BA151" s="308"/>
      <c r="BB151" s="294"/>
      <c r="BC151" s="295"/>
      <c r="BD151" s="294"/>
      <c r="BE151" s="295"/>
      <c r="BF151" s="294"/>
      <c r="BG151" s="295"/>
    </row>
    <row r="152" spans="1:61" x14ac:dyDescent="0.25">
      <c r="A152" s="312"/>
      <c r="B152" s="115" t="s">
        <v>90</v>
      </c>
      <c r="C152" s="31"/>
      <c r="D152" s="294"/>
      <c r="E152" s="294"/>
      <c r="F152" s="294"/>
      <c r="G152" s="294"/>
      <c r="H152" s="294"/>
      <c r="I152" s="294"/>
      <c r="J152" s="294"/>
      <c r="K152" s="329">
        <f>SUM(K111:K150)+K109-K139-K130-K120-K113</f>
        <v>121071212.472</v>
      </c>
      <c r="L152" s="294"/>
      <c r="M152" s="329">
        <f>SUM(M111:M150)+M109-M139-M130-M120-M113</f>
        <v>-196714</v>
      </c>
      <c r="N152" s="294"/>
      <c r="O152" s="329">
        <f>SUM(O111:O150)+O109-O139-O130-O120-O113</f>
        <v>120874498.472</v>
      </c>
      <c r="P152" s="294"/>
      <c r="Q152" s="329">
        <f>SUM(Q111:Q150)+Q109-Q139-Q130-Q120-Q113</f>
        <v>61073087.550000004</v>
      </c>
      <c r="R152" s="297"/>
      <c r="S152" s="329">
        <f>SUM(S111:S150)+S109-S139-S130-S120-S113</f>
        <v>5192978.3499999996</v>
      </c>
      <c r="T152" s="297"/>
      <c r="U152" s="329">
        <f>SUM(U111:U150)+U109-U139-U130-U120-U113</f>
        <v>6766874.5199999996</v>
      </c>
      <c r="V152" s="295"/>
      <c r="W152" s="329">
        <f>SUM(W111:W150)+W109-W139-W130-W120-W113</f>
        <v>5978419.4400000004</v>
      </c>
      <c r="X152" s="298"/>
      <c r="Y152" s="329">
        <f>SUM(Y111:Y150)+Y109-Y139-Y130-Y120-Y113</f>
        <v>7829208.6200000001</v>
      </c>
      <c r="Z152" s="298"/>
      <c r="AA152" s="329">
        <f>SUM(AA111:AA150)+AA109-AA139-AA130-AA120-AA113</f>
        <v>4248814.21</v>
      </c>
      <c r="AB152" s="329">
        <f>SUM(AB111:AB150)+AB109-AB139-AB130-AB120-AB113</f>
        <v>0</v>
      </c>
      <c r="AC152" s="329">
        <f>SUM(AC111:AC150)+AC109-AC139-AC130-AC120-AC113</f>
        <v>6347697.3200000003</v>
      </c>
      <c r="AD152" s="329"/>
      <c r="AE152" s="329">
        <f>SUM(AE111:AE150)+AE109-AE139-AE130-AE120-AE113</f>
        <v>7492746.3499999996</v>
      </c>
      <c r="AF152" s="313"/>
      <c r="AG152" s="329">
        <f>SUM(AG111:AG150)+AG109-AG139-AG130-AG120-AG113</f>
        <v>6349430.0099999988</v>
      </c>
      <c r="AH152" s="313"/>
      <c r="AI152" s="329">
        <f>SUM(AI111:AI150)+AI109-AI139-AI130-AI120-AI113</f>
        <v>7646800.4799999995</v>
      </c>
      <c r="AJ152" s="313"/>
      <c r="AK152" s="329">
        <f>SUM(AK111:AK150)+AK109-AK139-AK130-AK120-AK113</f>
        <v>1211500.9100000001</v>
      </c>
      <c r="AL152" s="313"/>
      <c r="AM152" s="329">
        <f>SUM(AM111:AM150)+AM109-AM139-AM130-AM120-AM113</f>
        <v>1918888.56</v>
      </c>
      <c r="AN152" s="313"/>
      <c r="AO152" s="329">
        <f>SUM(AO111:AO150)+AO109-AO139-AO130-AO120-AO113</f>
        <v>1964218.3599999999</v>
      </c>
      <c r="AP152" s="313"/>
      <c r="AQ152" s="329">
        <f>SUM(AQ111:AQ150)+AQ109-AQ139-AQ130-AQ120-AQ113</f>
        <v>823562.13</v>
      </c>
      <c r="AR152" s="314"/>
      <c r="AS152" s="329">
        <f>SUM(AS111:AS150)+AS109-AS139-AS130-AS120-AS113</f>
        <v>0</v>
      </c>
      <c r="AT152" s="314"/>
      <c r="AU152" s="329">
        <f>SUM(AU111:AU150)+AU109-AU139-AU130-AU120-AU113</f>
        <v>0</v>
      </c>
      <c r="AV152" s="314"/>
      <c r="AW152" s="329">
        <f>SUM(AW111:AW150)+AW109-AW139-AW130-AW120-AW113</f>
        <v>0</v>
      </c>
      <c r="AX152" s="314"/>
      <c r="AY152" s="329">
        <f>SUM(AY111:AY150)+AY109-AY139-AY130-AY120-AY113</f>
        <v>124844226.81</v>
      </c>
      <c r="AZ152" s="294"/>
      <c r="BA152" s="329">
        <f>SUM(BA111:BA147)+BA109-BA139-BA130-BA120-BA113</f>
        <v>711438.33000000007</v>
      </c>
      <c r="BB152" s="294"/>
      <c r="BC152" s="329">
        <f>SUM(BC111:BC150)+BC109-BC139-BC130-BC120-BC113</f>
        <v>365880.12199999986</v>
      </c>
      <c r="BD152" s="294"/>
      <c r="BE152" s="329">
        <f>SUM(BE111:BE150)+BE109-BE139-BE130-BE120-BE113</f>
        <v>125210106.93200001</v>
      </c>
      <c r="BF152" s="294"/>
      <c r="BG152" s="329">
        <f>SUM(BG111:BG150)+BG109-BG139-BG130-BG120-BG113</f>
        <v>-4335608.4600000065</v>
      </c>
    </row>
    <row r="153" spans="1:61" x14ac:dyDescent="0.25">
      <c r="A153" s="312"/>
      <c r="B153" s="115"/>
      <c r="C153" s="31"/>
      <c r="D153" s="294"/>
      <c r="E153" s="294"/>
      <c r="F153" s="294"/>
      <c r="G153" s="294"/>
      <c r="H153" s="294"/>
      <c r="I153" s="294"/>
      <c r="J153" s="294"/>
      <c r="K153" s="299"/>
      <c r="L153" s="294"/>
      <c r="M153" s="299"/>
      <c r="N153" s="294"/>
      <c r="O153" s="299"/>
      <c r="P153" s="294"/>
      <c r="Q153" s="296"/>
      <c r="R153" s="297"/>
      <c r="S153" s="296"/>
      <c r="T153" s="297"/>
      <c r="U153" s="296"/>
      <c r="V153" s="295"/>
      <c r="W153" s="296"/>
      <c r="X153" s="298"/>
      <c r="Y153" s="296"/>
      <c r="Z153" s="298"/>
      <c r="AA153" s="296"/>
      <c r="AB153" s="298"/>
      <c r="AC153" s="296"/>
      <c r="AD153" s="298"/>
      <c r="AE153" s="296"/>
      <c r="AF153" s="296"/>
      <c r="AG153" s="296"/>
      <c r="AH153" s="296"/>
      <c r="AI153" s="296"/>
      <c r="AJ153" s="296"/>
      <c r="AK153" s="296"/>
      <c r="AL153" s="296"/>
      <c r="AM153" s="296"/>
      <c r="AN153" s="296"/>
      <c r="AO153" s="296"/>
      <c r="AP153" s="296"/>
      <c r="AQ153" s="296"/>
      <c r="AR153" s="296"/>
      <c r="AS153" s="296"/>
      <c r="AT153" s="296"/>
      <c r="AU153" s="296"/>
      <c r="AV153" s="296"/>
      <c r="AW153" s="296"/>
      <c r="AX153" s="296"/>
      <c r="AY153" s="299"/>
      <c r="AZ153" s="294"/>
      <c r="BA153" s="296"/>
      <c r="BB153" s="294"/>
      <c r="BC153" s="299"/>
      <c r="BD153" s="294"/>
      <c r="BE153" s="299"/>
      <c r="BF153" s="294"/>
      <c r="BG153" s="299"/>
    </row>
    <row r="154" spans="1:61" x14ac:dyDescent="0.25">
      <c r="A154" s="112" t="s">
        <v>91</v>
      </c>
      <c r="B154" s="115"/>
      <c r="C154" s="31" t="s">
        <v>0</v>
      </c>
      <c r="D154" s="294"/>
      <c r="E154" s="294" t="s">
        <v>92</v>
      </c>
      <c r="F154" s="294"/>
      <c r="G154" s="294" t="s">
        <v>93</v>
      </c>
      <c r="H154" s="294"/>
      <c r="I154" s="294"/>
      <c r="J154" s="294"/>
      <c r="K154" s="299">
        <v>1500000</v>
      </c>
      <c r="L154" s="294"/>
      <c r="M154" s="299">
        <v>-500000</v>
      </c>
      <c r="N154" s="294"/>
      <c r="O154" s="299">
        <f>SUM(K154:M154)</f>
        <v>1000000</v>
      </c>
      <c r="P154" s="294"/>
      <c r="Q154" s="296">
        <v>0</v>
      </c>
      <c r="R154" s="297"/>
      <c r="S154" s="296">
        <v>0</v>
      </c>
      <c r="T154" s="297"/>
      <c r="U154" s="296">
        <v>756250</v>
      </c>
      <c r="V154" s="295"/>
      <c r="W154" s="296"/>
      <c r="X154" s="298"/>
      <c r="Y154" s="296"/>
      <c r="Z154" s="298"/>
      <c r="AA154" s="296"/>
      <c r="AB154" s="298"/>
      <c r="AC154" s="296">
        <f>8223.78-8223.78+2741.26+80592.08</f>
        <v>83333.34</v>
      </c>
      <c r="AD154" s="298"/>
      <c r="AE154" s="296"/>
      <c r="AF154" s="296"/>
      <c r="AG154" s="296"/>
      <c r="AH154" s="296"/>
      <c r="AI154" s="296"/>
      <c r="AJ154" s="296"/>
      <c r="AK154" s="296"/>
      <c r="AL154" s="296"/>
      <c r="AM154" s="296"/>
      <c r="AN154" s="296"/>
      <c r="AO154" s="296"/>
      <c r="AP154" s="296"/>
      <c r="AQ154" s="296">
        <v>-41666</v>
      </c>
      <c r="AR154" s="296"/>
      <c r="AS154" s="296"/>
      <c r="AT154" s="296"/>
      <c r="AU154" s="296"/>
      <c r="AV154" s="296"/>
      <c r="AW154" s="296"/>
      <c r="AX154" s="296"/>
      <c r="AY154" s="295">
        <f>SUM(P154:AX154)</f>
        <v>797917.34</v>
      </c>
      <c r="AZ154" s="294"/>
      <c r="BA154" s="296">
        <v>-243750</v>
      </c>
      <c r="BB154" s="294"/>
      <c r="BC154" s="295">
        <f>IF(+O154-AY154+BA154&gt;0,O154-AY154+BA154,0)</f>
        <v>0</v>
      </c>
      <c r="BD154" s="294"/>
      <c r="BE154" s="295">
        <f t="shared" si="23"/>
        <v>797917.34</v>
      </c>
      <c r="BF154" s="294"/>
      <c r="BG154" s="295">
        <f t="shared" ref="BG154:BG159" si="25">+O154-BE154</f>
        <v>202082.66000000003</v>
      </c>
    </row>
    <row r="155" spans="1:61" x14ac:dyDescent="0.25">
      <c r="A155" s="112"/>
      <c r="B155" s="322" t="s">
        <v>332</v>
      </c>
      <c r="C155" s="31"/>
      <c r="D155" s="294"/>
      <c r="E155" s="294"/>
      <c r="F155" s="294"/>
      <c r="G155" s="294"/>
      <c r="H155" s="294"/>
      <c r="I155" s="294"/>
      <c r="J155" s="294"/>
      <c r="K155" s="299"/>
      <c r="L155" s="294"/>
      <c r="M155" s="299"/>
      <c r="N155" s="294"/>
      <c r="O155" s="299"/>
      <c r="P155" s="294"/>
      <c r="Q155" s="298">
        <v>0</v>
      </c>
      <c r="R155" s="297"/>
      <c r="S155" s="298">
        <f>167937.5/3</f>
        <v>55979.166666666664</v>
      </c>
      <c r="T155" s="297"/>
      <c r="U155" s="298"/>
      <c r="V155" s="295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5">
        <f>SUM(P155:AX155)</f>
        <v>55979.166666666664</v>
      </c>
      <c r="AZ155" s="294"/>
      <c r="BA155" s="298"/>
      <c r="BB155" s="294"/>
      <c r="BC155" s="295">
        <f>IF(+O155-AY155+BA155&gt;0,O155-AY155+BA155,0)</f>
        <v>0</v>
      </c>
      <c r="BD155" s="299"/>
      <c r="BE155" s="295">
        <f t="shared" si="23"/>
        <v>55979.166666666664</v>
      </c>
      <c r="BF155" s="299"/>
      <c r="BG155" s="295">
        <f t="shared" si="25"/>
        <v>-55979.166666666664</v>
      </c>
      <c r="BH155" s="15"/>
      <c r="BI155" s="15"/>
    </row>
    <row r="156" spans="1:61" x14ac:dyDescent="0.25">
      <c r="A156" s="112"/>
      <c r="B156" s="322" t="s">
        <v>333</v>
      </c>
      <c r="C156" s="31"/>
      <c r="D156" s="294"/>
      <c r="E156" s="294"/>
      <c r="F156" s="294"/>
      <c r="G156" s="294"/>
      <c r="H156" s="294"/>
      <c r="I156" s="294"/>
      <c r="J156" s="294"/>
      <c r="K156" s="299"/>
      <c r="L156" s="294"/>
      <c r="M156" s="299"/>
      <c r="N156" s="294"/>
      <c r="O156" s="299"/>
      <c r="P156" s="294"/>
      <c r="Q156" s="298">
        <v>0</v>
      </c>
      <c r="R156" s="297"/>
      <c r="S156" s="298">
        <f>7600/3</f>
        <v>2533.3333333333335</v>
      </c>
      <c r="T156" s="297"/>
      <c r="U156" s="298"/>
      <c r="V156" s="295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>
        <v>83333.33</v>
      </c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5">
        <f>SUM(P156:AX156)</f>
        <v>85866.66333333333</v>
      </c>
      <c r="AZ156" s="294"/>
      <c r="BA156" s="298">
        <v>352817</v>
      </c>
      <c r="BB156" s="294"/>
      <c r="BC156" s="295">
        <v>0</v>
      </c>
      <c r="BD156" s="299"/>
      <c r="BE156" s="295">
        <f t="shared" si="23"/>
        <v>85866.66333333333</v>
      </c>
      <c r="BF156" s="299"/>
      <c r="BG156" s="295">
        <f t="shared" si="25"/>
        <v>-85866.66333333333</v>
      </c>
      <c r="BH156" s="15"/>
      <c r="BI156" s="15"/>
    </row>
    <row r="157" spans="1:61" x14ac:dyDescent="0.25">
      <c r="A157" s="112"/>
      <c r="B157" s="322" t="s">
        <v>334</v>
      </c>
      <c r="C157" s="31"/>
      <c r="D157" s="294"/>
      <c r="E157" s="294"/>
      <c r="F157" s="294"/>
      <c r="G157" s="294"/>
      <c r="H157" s="294"/>
      <c r="I157" s="294"/>
      <c r="J157" s="294"/>
      <c r="K157" s="299"/>
      <c r="L157" s="294"/>
      <c r="M157" s="299"/>
      <c r="N157" s="294"/>
      <c r="O157" s="299"/>
      <c r="P157" s="294"/>
      <c r="Q157" s="298">
        <v>0</v>
      </c>
      <c r="R157" s="297"/>
      <c r="S157" s="298">
        <f>10000/3</f>
        <v>3333.3333333333335</v>
      </c>
      <c r="T157" s="297"/>
      <c r="U157" s="298"/>
      <c r="V157" s="295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5">
        <f>SUM(P157:AX157)</f>
        <v>3333.3333333333335</v>
      </c>
      <c r="AZ157" s="294"/>
      <c r="BA157" s="298"/>
      <c r="BB157" s="294"/>
      <c r="BC157" s="295">
        <f>IF(+O157-AY157+BA157&gt;0,O157-AY157+BA157,0)</f>
        <v>0</v>
      </c>
      <c r="BD157" s="299"/>
      <c r="BE157" s="295">
        <f t="shared" si="23"/>
        <v>3333.3333333333335</v>
      </c>
      <c r="BF157" s="299"/>
      <c r="BG157" s="295">
        <f t="shared" si="25"/>
        <v>-3333.3333333333335</v>
      </c>
      <c r="BH157" s="15"/>
      <c r="BI157" s="15"/>
    </row>
    <row r="158" spans="1:61" x14ac:dyDescent="0.25">
      <c r="A158" s="112"/>
      <c r="B158" s="322" t="s">
        <v>370</v>
      </c>
      <c r="C158" s="31"/>
      <c r="D158" s="294"/>
      <c r="E158" s="294"/>
      <c r="F158" s="294"/>
      <c r="G158" s="294"/>
      <c r="H158" s="294"/>
      <c r="I158" s="294"/>
      <c r="J158" s="294"/>
      <c r="K158" s="299"/>
      <c r="L158" s="294"/>
      <c r="M158" s="299"/>
      <c r="N158" s="294"/>
      <c r="O158" s="299"/>
      <c r="P158" s="294"/>
      <c r="Q158" s="298">
        <v>0</v>
      </c>
      <c r="R158" s="297"/>
      <c r="S158" s="298">
        <f>(12620.33+7000)/3</f>
        <v>6540.1100000000006</v>
      </c>
      <c r="T158" s="297"/>
      <c r="U158" s="298">
        <v>4787.55</v>
      </c>
      <c r="V158" s="295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>
        <f>82333.33+25346.23</f>
        <v>107679.56</v>
      </c>
      <c r="AR158" s="298"/>
      <c r="AS158" s="298"/>
      <c r="AT158" s="298"/>
      <c r="AU158" s="298"/>
      <c r="AV158" s="298"/>
      <c r="AW158" s="298"/>
      <c r="AX158" s="298"/>
      <c r="AY158" s="295">
        <f>SUM(P158:AX158)</f>
        <v>119007.22</v>
      </c>
      <c r="AZ158" s="294"/>
      <c r="BA158" s="298">
        <f>25000+4207+4788</f>
        <v>33995</v>
      </c>
      <c r="BB158" s="294"/>
      <c r="BC158" s="295">
        <v>0</v>
      </c>
      <c r="BD158" s="299"/>
      <c r="BE158" s="295">
        <f t="shared" si="23"/>
        <v>119007.22</v>
      </c>
      <c r="BF158" s="299"/>
      <c r="BG158" s="295">
        <f t="shared" si="25"/>
        <v>-119007.22</v>
      </c>
      <c r="BH158" s="15"/>
      <c r="BI158" s="15"/>
    </row>
    <row r="159" spans="1:61" x14ac:dyDescent="0.25">
      <c r="A159" s="112"/>
      <c r="B159" s="115"/>
      <c r="C159" s="31"/>
      <c r="D159" s="294"/>
      <c r="E159" s="294"/>
      <c r="F159" s="294"/>
      <c r="G159" s="294"/>
      <c r="H159" s="294"/>
      <c r="I159" s="294"/>
      <c r="J159" s="294"/>
      <c r="K159" s="360">
        <f>SUBTOTAL(9,K154:K158)</f>
        <v>1500000</v>
      </c>
      <c r="L159" s="294"/>
      <c r="M159" s="360">
        <f>SUBTOTAL(9,M154:M158)</f>
        <v>-500000</v>
      </c>
      <c r="N159" s="294"/>
      <c r="O159" s="360">
        <f>SUBTOTAL(9,O154:O158)</f>
        <v>1000000</v>
      </c>
      <c r="P159" s="294"/>
      <c r="Q159" s="361">
        <f>SUBTOTAL(9,Q154:Q158)</f>
        <v>0</v>
      </c>
      <c r="R159" s="297"/>
      <c r="S159" s="361">
        <f>SUBTOTAL(9,S154:S158)</f>
        <v>68385.943333333329</v>
      </c>
      <c r="T159" s="297"/>
      <c r="U159" s="361">
        <f>SUBTOTAL(9,U154:U158)</f>
        <v>761037.55</v>
      </c>
      <c r="V159" s="295"/>
      <c r="W159" s="361">
        <f>SUBTOTAL(9,W154:W158)</f>
        <v>0</v>
      </c>
      <c r="X159" s="298"/>
      <c r="Y159" s="361">
        <f>SUBTOTAL(9,Y154:Y158)</f>
        <v>0</v>
      </c>
      <c r="Z159" s="298"/>
      <c r="AA159" s="361">
        <f>SUBTOTAL(9,AA154:AA158)</f>
        <v>0</v>
      </c>
      <c r="AB159" s="298"/>
      <c r="AC159" s="361">
        <f>SUBTOTAL(9,AC154:AC158)</f>
        <v>83333.34</v>
      </c>
      <c r="AD159" s="298"/>
      <c r="AE159" s="361">
        <f>SUBTOTAL(9,AE154:AE158)</f>
        <v>0</v>
      </c>
      <c r="AF159" s="308"/>
      <c r="AG159" s="361">
        <f>SUBTOTAL(9,AG154:AG158)</f>
        <v>0</v>
      </c>
      <c r="AH159" s="308"/>
      <c r="AI159" s="361">
        <f>SUBTOTAL(9,AI154:AI158)</f>
        <v>0</v>
      </c>
      <c r="AJ159" s="308"/>
      <c r="AK159" s="361">
        <f>SUBTOTAL(9,AK154:AK158)</f>
        <v>0</v>
      </c>
      <c r="AL159" s="308"/>
      <c r="AM159" s="361">
        <f>SUBTOTAL(9,AM154:AM158)</f>
        <v>0</v>
      </c>
      <c r="AN159" s="308"/>
      <c r="AO159" s="361">
        <f>SUBTOTAL(9,AO154:AO158)</f>
        <v>83333.33</v>
      </c>
      <c r="AP159" s="308"/>
      <c r="AQ159" s="361">
        <f>SUBTOTAL(9,AQ154:AQ158)</f>
        <v>66013.56</v>
      </c>
      <c r="AR159" s="308"/>
      <c r="AS159" s="361">
        <f>SUBTOTAL(9,AS154:AS158)</f>
        <v>0</v>
      </c>
      <c r="AT159" s="308"/>
      <c r="AU159" s="361">
        <f>SUBTOTAL(9,AU154:AU158)</f>
        <v>0</v>
      </c>
      <c r="AV159" s="308"/>
      <c r="AW159" s="361">
        <f>SUBTOTAL(9,AW154:AW158)</f>
        <v>0</v>
      </c>
      <c r="AX159" s="308"/>
      <c r="AY159" s="360">
        <f>SUBTOTAL(9,AY154:AY158)</f>
        <v>1062103.7233333334</v>
      </c>
      <c r="AZ159" s="294"/>
      <c r="BA159" s="361">
        <f>SUBTOTAL(9,BA154:BA158)</f>
        <v>143062</v>
      </c>
      <c r="BB159" s="294"/>
      <c r="BC159" s="360">
        <f>SUBTOTAL(9,BC154:BC158)</f>
        <v>0</v>
      </c>
      <c r="BD159" s="299"/>
      <c r="BE159" s="360">
        <f t="shared" si="23"/>
        <v>1062103.7233333334</v>
      </c>
      <c r="BF159" s="299"/>
      <c r="BG159" s="360">
        <f t="shared" si="25"/>
        <v>-62103.723333333386</v>
      </c>
      <c r="BH159" s="15"/>
      <c r="BI159" s="15"/>
    </row>
    <row r="160" spans="1:61" x14ac:dyDescent="0.25">
      <c r="A160" s="312"/>
      <c r="B160" s="31"/>
      <c r="C160" s="31"/>
      <c r="D160" s="294"/>
      <c r="E160" s="294"/>
      <c r="F160" s="294"/>
      <c r="G160" s="294"/>
      <c r="H160" s="294"/>
      <c r="I160" s="294"/>
      <c r="J160" s="294"/>
      <c r="K160" s="295"/>
      <c r="L160" s="294"/>
      <c r="M160" s="295"/>
      <c r="N160" s="294"/>
      <c r="O160" s="295"/>
      <c r="P160" s="294"/>
      <c r="Q160" s="298"/>
      <c r="R160" s="297"/>
      <c r="S160" s="298"/>
      <c r="T160" s="297"/>
      <c r="U160" s="298"/>
      <c r="V160" s="295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5"/>
      <c r="AZ160" s="294"/>
      <c r="BA160" s="298"/>
      <c r="BB160" s="294"/>
      <c r="BC160" s="295"/>
      <c r="BD160" s="294"/>
      <c r="BE160" s="295"/>
      <c r="BF160" s="294"/>
      <c r="BG160" s="295"/>
    </row>
    <row r="161" spans="1:61" x14ac:dyDescent="0.25">
      <c r="A161" s="112" t="s">
        <v>328</v>
      </c>
      <c r="B161" s="115"/>
      <c r="C161" s="31" t="s">
        <v>0</v>
      </c>
      <c r="D161" s="294"/>
      <c r="E161" s="294"/>
      <c r="F161" s="294"/>
      <c r="G161" s="294" t="s">
        <v>82</v>
      </c>
      <c r="H161" s="294"/>
      <c r="I161" s="294"/>
      <c r="J161" s="294"/>
      <c r="K161" s="299">
        <v>0</v>
      </c>
      <c r="L161" s="294"/>
      <c r="M161" s="299">
        <v>67487</v>
      </c>
      <c r="N161" s="294"/>
      <c r="O161" s="299">
        <f>SUM(K161:N161)</f>
        <v>67487</v>
      </c>
      <c r="P161" s="294"/>
      <c r="Q161" s="296">
        <v>67487</v>
      </c>
      <c r="R161" s="297"/>
      <c r="S161" s="296">
        <f>69937-67487</f>
        <v>2450</v>
      </c>
      <c r="T161" s="297"/>
      <c r="U161" s="296"/>
      <c r="V161" s="295"/>
      <c r="W161" s="296"/>
      <c r="X161" s="298"/>
      <c r="Y161" s="296"/>
      <c r="Z161" s="298"/>
      <c r="AA161" s="296"/>
      <c r="AB161" s="298"/>
      <c r="AC161" s="296"/>
      <c r="AD161" s="298"/>
      <c r="AE161" s="296"/>
      <c r="AF161" s="296"/>
      <c r="AG161" s="296"/>
      <c r="AH161" s="296"/>
      <c r="AI161" s="296"/>
      <c r="AJ161" s="296"/>
      <c r="AK161" s="296"/>
      <c r="AL161" s="296"/>
      <c r="AM161" s="296"/>
      <c r="AN161" s="296"/>
      <c r="AO161" s="296"/>
      <c r="AP161" s="296"/>
      <c r="AQ161" s="296"/>
      <c r="AR161" s="296"/>
      <c r="AS161" s="296"/>
      <c r="AT161" s="296"/>
      <c r="AU161" s="296"/>
      <c r="AV161" s="296"/>
      <c r="AW161" s="296"/>
      <c r="AX161" s="296"/>
      <c r="AY161" s="295">
        <f>SUM(P161:AX161)</f>
        <v>69937</v>
      </c>
      <c r="AZ161" s="294"/>
      <c r="BA161" s="296"/>
      <c r="BB161" s="294"/>
      <c r="BC161" s="295">
        <f>IF(+O161-AY161+BA161&gt;0,O161-AY161+BA161,0)</f>
        <v>0</v>
      </c>
      <c r="BD161" s="294"/>
      <c r="BE161" s="295">
        <f t="shared" si="23"/>
        <v>69937</v>
      </c>
      <c r="BF161" s="294"/>
      <c r="BG161" s="295">
        <f>+O161-BE161</f>
        <v>-2450</v>
      </c>
    </row>
    <row r="162" spans="1:61" x14ac:dyDescent="0.25">
      <c r="A162" s="112"/>
      <c r="B162" s="31"/>
      <c r="C162" s="31"/>
      <c r="D162" s="294"/>
      <c r="E162" s="294"/>
      <c r="F162" s="294"/>
      <c r="G162" s="294"/>
      <c r="H162" s="294"/>
      <c r="I162" s="294"/>
      <c r="J162" s="294"/>
      <c r="K162" s="295"/>
      <c r="L162" s="294"/>
      <c r="M162" s="295"/>
      <c r="N162" s="294"/>
      <c r="O162" s="295"/>
      <c r="P162" s="294"/>
      <c r="Q162" s="298"/>
      <c r="R162" s="297"/>
      <c r="S162" s="298"/>
      <c r="T162" s="297"/>
      <c r="U162" s="298"/>
      <c r="V162" s="295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5"/>
      <c r="AZ162" s="294"/>
      <c r="BA162" s="298"/>
      <c r="BB162" s="294"/>
      <c r="BC162" s="295"/>
      <c r="BD162" s="295"/>
      <c r="BE162" s="295"/>
      <c r="BF162" s="295"/>
      <c r="BG162" s="295"/>
      <c r="BH162" s="8"/>
      <c r="BI162" s="8"/>
    </row>
    <row r="163" spans="1:61" x14ac:dyDescent="0.25">
      <c r="A163" s="112" t="s">
        <v>94</v>
      </c>
      <c r="B163" s="322"/>
      <c r="C163" s="31" t="s">
        <v>0</v>
      </c>
      <c r="D163" s="294"/>
      <c r="E163" s="294" t="s">
        <v>157</v>
      </c>
      <c r="F163" s="294"/>
      <c r="G163" s="294" t="s">
        <v>88</v>
      </c>
      <c r="H163" s="294"/>
      <c r="I163" s="294"/>
      <c r="J163" s="294"/>
      <c r="K163" s="294"/>
      <c r="L163" s="294"/>
      <c r="M163" s="294"/>
      <c r="N163" s="294"/>
      <c r="O163" s="294"/>
      <c r="P163" s="294"/>
      <c r="Q163" s="298"/>
      <c r="R163" s="297"/>
      <c r="S163" s="298"/>
      <c r="T163" s="297"/>
      <c r="U163" s="298"/>
      <c r="V163" s="295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5"/>
      <c r="AZ163" s="294"/>
      <c r="BA163" s="298"/>
      <c r="BB163" s="294"/>
      <c r="BC163" s="295"/>
      <c r="BD163" s="294"/>
      <c r="BE163" s="295"/>
      <c r="BF163" s="294"/>
      <c r="BG163" s="295"/>
    </row>
    <row r="164" spans="1:61" x14ac:dyDescent="0.25">
      <c r="A164" s="112"/>
      <c r="B164" s="322" t="s">
        <v>95</v>
      </c>
      <c r="C164" s="31"/>
      <c r="D164" s="294"/>
      <c r="E164" s="294"/>
      <c r="F164" s="294"/>
      <c r="G164" s="294"/>
      <c r="H164" s="294"/>
      <c r="I164" s="294"/>
      <c r="J164" s="294"/>
      <c r="K164" s="295"/>
      <c r="L164" s="294"/>
      <c r="M164" s="295">
        <v>0</v>
      </c>
      <c r="N164" s="294"/>
      <c r="O164" s="295"/>
      <c r="P164" s="294"/>
      <c r="Q164" s="298">
        <v>20888</v>
      </c>
      <c r="R164" s="297"/>
      <c r="S164" s="298">
        <v>4649</v>
      </c>
      <c r="T164" s="297"/>
      <c r="U164" s="298"/>
      <c r="V164" s="295"/>
      <c r="W164" s="298">
        <v>1054.9100000000001</v>
      </c>
      <c r="X164" s="298"/>
      <c r="Y164" s="298">
        <v>188</v>
      </c>
      <c r="Z164" s="298"/>
      <c r="AA164" s="298">
        <f>410.56+520.84+45.35+848.93+24.71+727.6+91.22+112.07+732.6</f>
        <v>3513.88</v>
      </c>
      <c r="AB164" s="298"/>
      <c r="AC164" s="298">
        <f>477.4+23969.94</f>
        <v>24447.34</v>
      </c>
      <c r="AD164" s="298"/>
      <c r="AE164" s="298">
        <f>23+995.15+33.42+1282.42+19.29+171.35+969.17+41.43</f>
        <v>3535.2299999999996</v>
      </c>
      <c r="AF164" s="298"/>
      <c r="AG164" s="298">
        <f>2277.65+960.82</f>
        <v>3238.4700000000003</v>
      </c>
      <c r="AH164" s="298"/>
      <c r="AI164" s="298">
        <f>1428.78+786.04+1305.07</f>
        <v>3519.8899999999994</v>
      </c>
      <c r="AJ164" s="298"/>
      <c r="AK164" s="298">
        <v>1417.15</v>
      </c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5">
        <f t="shared" ref="AY164:AY178" si="26">SUM(P164:AX164)</f>
        <v>66451.87</v>
      </c>
      <c r="AZ164" s="294"/>
      <c r="BA164" s="298"/>
      <c r="BB164" s="294"/>
      <c r="BC164" s="295"/>
      <c r="BD164" s="294"/>
      <c r="BE164" s="295">
        <f t="shared" ref="BE164:BE197" si="27">+BC164+AY164</f>
        <v>66451.87</v>
      </c>
      <c r="BF164" s="294"/>
      <c r="BG164" s="295"/>
    </row>
    <row r="165" spans="1:61" x14ac:dyDescent="0.25">
      <c r="A165" s="112"/>
      <c r="B165" s="322" t="s">
        <v>96</v>
      </c>
      <c r="C165" s="31"/>
      <c r="D165" s="294"/>
      <c r="E165" s="294"/>
      <c r="F165" s="294"/>
      <c r="G165" s="294"/>
      <c r="H165" s="294"/>
      <c r="I165" s="294"/>
      <c r="J165" s="294"/>
      <c r="K165" s="295"/>
      <c r="L165" s="294"/>
      <c r="M165" s="295">
        <v>0</v>
      </c>
      <c r="N165" s="294"/>
      <c r="O165" s="295"/>
      <c r="P165" s="294"/>
      <c r="Q165" s="298">
        <v>5024</v>
      </c>
      <c r="R165" s="297"/>
      <c r="S165" s="298">
        <v>0</v>
      </c>
      <c r="T165" s="297"/>
      <c r="U165" s="298"/>
      <c r="V165" s="295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5">
        <f t="shared" si="26"/>
        <v>5024</v>
      </c>
      <c r="AZ165" s="294"/>
      <c r="BA165" s="298"/>
      <c r="BB165" s="294"/>
      <c r="BC165" s="295"/>
      <c r="BD165" s="294"/>
      <c r="BE165" s="295">
        <f t="shared" si="27"/>
        <v>5024</v>
      </c>
      <c r="BF165" s="294"/>
      <c r="BG165" s="295"/>
    </row>
    <row r="166" spans="1:61" x14ac:dyDescent="0.25">
      <c r="A166" s="112"/>
      <c r="B166" s="322" t="s">
        <v>201</v>
      </c>
      <c r="C166" s="31"/>
      <c r="D166" s="294"/>
      <c r="E166" s="294"/>
      <c r="F166" s="294"/>
      <c r="G166" s="294"/>
      <c r="H166" s="294"/>
      <c r="I166" s="294"/>
      <c r="J166" s="294"/>
      <c r="K166" s="295"/>
      <c r="L166" s="294"/>
      <c r="M166" s="295">
        <v>0</v>
      </c>
      <c r="N166" s="294"/>
      <c r="O166" s="295"/>
      <c r="P166" s="294"/>
      <c r="Q166" s="298">
        <v>19407</v>
      </c>
      <c r="R166" s="297"/>
      <c r="S166" s="298">
        <v>0</v>
      </c>
      <c r="T166" s="297"/>
      <c r="U166" s="298">
        <v>3386.49</v>
      </c>
      <c r="V166" s="295"/>
      <c r="W166" s="298">
        <v>3356.81</v>
      </c>
      <c r="X166" s="298"/>
      <c r="Y166" s="298"/>
      <c r="Z166" s="298"/>
      <c r="AA166" s="298"/>
      <c r="AB166" s="298"/>
      <c r="AC166" s="298">
        <f>3710.97+3343.35+3481.92+3538.03</f>
        <v>14074.27</v>
      </c>
      <c r="AD166" s="298"/>
      <c r="AE166" s="298">
        <v>3359.47</v>
      </c>
      <c r="AF166" s="298"/>
      <c r="AG166" s="298"/>
      <c r="AH166" s="298"/>
      <c r="AI166" s="298">
        <f>3385.34</f>
        <v>3385.34</v>
      </c>
      <c r="AJ166" s="298"/>
      <c r="AK166" s="298">
        <f>3358.98+3370.6</f>
        <v>6729.58</v>
      </c>
      <c r="AL166" s="298"/>
      <c r="AM166" s="298"/>
      <c r="AN166" s="298"/>
      <c r="AO166" s="298">
        <v>3362.57</v>
      </c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5">
        <f t="shared" si="26"/>
        <v>57061.530000000006</v>
      </c>
      <c r="AZ166" s="294"/>
      <c r="BA166" s="298"/>
      <c r="BB166" s="294"/>
      <c r="BC166" s="295"/>
      <c r="BD166" s="294"/>
      <c r="BE166" s="295">
        <f t="shared" si="27"/>
        <v>57061.530000000006</v>
      </c>
      <c r="BF166" s="294"/>
      <c r="BG166" s="295"/>
    </row>
    <row r="167" spans="1:61" x14ac:dyDescent="0.25">
      <c r="A167" s="112"/>
      <c r="B167" s="322" t="s">
        <v>505</v>
      </c>
      <c r="C167" s="31"/>
      <c r="D167" s="294"/>
      <c r="E167" s="294"/>
      <c r="F167" s="294"/>
      <c r="G167" s="294"/>
      <c r="H167" s="294"/>
      <c r="I167" s="294"/>
      <c r="J167" s="294"/>
      <c r="K167" s="295"/>
      <c r="L167" s="294"/>
      <c r="M167" s="295"/>
      <c r="N167" s="294"/>
      <c r="O167" s="295"/>
      <c r="P167" s="294"/>
      <c r="Q167" s="298">
        <v>0</v>
      </c>
      <c r="R167" s="297"/>
      <c r="S167" s="298">
        <v>0</v>
      </c>
      <c r="T167" s="297"/>
      <c r="U167" s="298"/>
      <c r="V167" s="295"/>
      <c r="W167" s="298"/>
      <c r="X167" s="298"/>
      <c r="Y167" s="298"/>
      <c r="Z167" s="298"/>
      <c r="AA167" s="298"/>
      <c r="AB167" s="298"/>
      <c r="AC167" s="298">
        <f>26029.66+682.56+53011.08+23359</f>
        <v>103082.3</v>
      </c>
      <c r="AD167" s="298"/>
      <c r="AE167" s="298">
        <v>30238.799999999999</v>
      </c>
      <c r="AF167" s="298"/>
      <c r="AG167" s="298">
        <f>30444.88+20951.23</f>
        <v>51396.11</v>
      </c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5">
        <f t="shared" si="26"/>
        <v>184717.21000000002</v>
      </c>
      <c r="AZ167" s="294"/>
      <c r="BA167" s="298"/>
      <c r="BB167" s="294"/>
      <c r="BC167" s="295"/>
      <c r="BD167" s="294"/>
      <c r="BE167" s="295">
        <f t="shared" si="27"/>
        <v>184717.21000000002</v>
      </c>
      <c r="BF167" s="294"/>
      <c r="BG167" s="295"/>
    </row>
    <row r="168" spans="1:61" x14ac:dyDescent="0.25">
      <c r="A168" s="112"/>
      <c r="B168" s="322" t="s">
        <v>182</v>
      </c>
      <c r="C168" s="31"/>
      <c r="D168" s="294"/>
      <c r="E168" s="294"/>
      <c r="F168" s="294"/>
      <c r="G168" s="294"/>
      <c r="H168" s="294"/>
      <c r="I168" s="294"/>
      <c r="J168" s="294"/>
      <c r="K168" s="295"/>
      <c r="L168" s="294"/>
      <c r="M168" s="295">
        <v>0</v>
      </c>
      <c r="N168" s="294"/>
      <c r="O168" s="295"/>
      <c r="P168" s="294"/>
      <c r="Q168" s="298">
        <v>135</v>
      </c>
      <c r="R168" s="297"/>
      <c r="S168" s="298">
        <v>0</v>
      </c>
      <c r="T168" s="297"/>
      <c r="U168" s="298"/>
      <c r="V168" s="295"/>
      <c r="W168" s="298"/>
      <c r="X168" s="298"/>
      <c r="Y168" s="298">
        <v>1925.14</v>
      </c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5">
        <f t="shared" si="26"/>
        <v>2060.1400000000003</v>
      </c>
      <c r="AZ168" s="294"/>
      <c r="BA168" s="298"/>
      <c r="BB168" s="294"/>
      <c r="BC168" s="295"/>
      <c r="BD168" s="294"/>
      <c r="BE168" s="295">
        <f t="shared" si="27"/>
        <v>2060.1400000000003</v>
      </c>
      <c r="BF168" s="294"/>
      <c r="BG168" s="295"/>
    </row>
    <row r="169" spans="1:61" x14ac:dyDescent="0.25">
      <c r="A169" s="112"/>
      <c r="B169" s="322" t="s">
        <v>97</v>
      </c>
      <c r="C169" s="31"/>
      <c r="D169" s="294"/>
      <c r="E169" s="294"/>
      <c r="F169" s="294"/>
      <c r="G169" s="294"/>
      <c r="H169" s="294"/>
      <c r="I169" s="294"/>
      <c r="J169" s="294"/>
      <c r="K169" s="295"/>
      <c r="L169" s="294"/>
      <c r="M169" s="295">
        <v>0</v>
      </c>
      <c r="N169" s="294"/>
      <c r="O169" s="295"/>
      <c r="P169" s="294"/>
      <c r="Q169" s="298">
        <v>21650</v>
      </c>
      <c r="R169" s="297"/>
      <c r="S169" s="298">
        <v>833</v>
      </c>
      <c r="T169" s="297"/>
      <c r="U169" s="298"/>
      <c r="V169" s="295"/>
      <c r="W169" s="298"/>
      <c r="X169" s="298"/>
      <c r="Y169" s="298">
        <v>-22066.22</v>
      </c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5">
        <f t="shared" si="26"/>
        <v>416.77999999999884</v>
      </c>
      <c r="AZ169" s="294"/>
      <c r="BA169" s="298"/>
      <c r="BB169" s="294"/>
      <c r="BC169" s="295"/>
      <c r="BD169" s="294"/>
      <c r="BE169" s="295">
        <f t="shared" si="27"/>
        <v>416.77999999999884</v>
      </c>
      <c r="BF169" s="294"/>
      <c r="BG169" s="295"/>
    </row>
    <row r="170" spans="1:61" x14ac:dyDescent="0.25">
      <c r="A170" s="112"/>
      <c r="B170" s="322" t="s">
        <v>98</v>
      </c>
      <c r="C170" s="31"/>
      <c r="D170" s="294"/>
      <c r="E170" s="294"/>
      <c r="F170" s="294"/>
      <c r="G170" s="294"/>
      <c r="H170" s="294"/>
      <c r="I170" s="294"/>
      <c r="J170" s="294"/>
      <c r="K170" s="295"/>
      <c r="L170" s="294"/>
      <c r="M170" s="295">
        <v>0</v>
      </c>
      <c r="N170" s="294"/>
      <c r="O170" s="295"/>
      <c r="P170" s="294"/>
      <c r="Q170" s="298">
        <v>0</v>
      </c>
      <c r="R170" s="297"/>
      <c r="S170" s="298">
        <v>0</v>
      </c>
      <c r="T170" s="297"/>
      <c r="U170" s="298"/>
      <c r="V170" s="295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5">
        <f t="shared" si="26"/>
        <v>0</v>
      </c>
      <c r="AZ170" s="294"/>
      <c r="BA170" s="298"/>
      <c r="BB170" s="294"/>
      <c r="BC170" s="295"/>
      <c r="BD170" s="294"/>
      <c r="BE170" s="295">
        <f t="shared" si="27"/>
        <v>0</v>
      </c>
      <c r="BF170" s="294"/>
      <c r="BG170" s="295"/>
    </row>
    <row r="171" spans="1:61" x14ac:dyDescent="0.25">
      <c r="A171" s="112"/>
      <c r="B171" s="322" t="s">
        <v>327</v>
      </c>
      <c r="C171" s="31"/>
      <c r="D171" s="294"/>
      <c r="E171" s="294"/>
      <c r="F171" s="294"/>
      <c r="G171" s="294"/>
      <c r="H171" s="294"/>
      <c r="I171" s="294"/>
      <c r="J171" s="294"/>
      <c r="K171" s="295"/>
      <c r="L171" s="294"/>
      <c r="M171" s="295">
        <v>0</v>
      </c>
      <c r="N171" s="294"/>
      <c r="O171" s="295"/>
      <c r="P171" s="294"/>
      <c r="Q171" s="298">
        <v>4055.15</v>
      </c>
      <c r="R171" s="297"/>
      <c r="S171" s="298">
        <v>0</v>
      </c>
      <c r="T171" s="297"/>
      <c r="U171" s="298"/>
      <c r="V171" s="295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5">
        <f t="shared" si="26"/>
        <v>4055.15</v>
      </c>
      <c r="AZ171" s="294"/>
      <c r="BA171" s="298"/>
      <c r="BB171" s="294"/>
      <c r="BC171" s="295"/>
      <c r="BD171" s="294"/>
      <c r="BE171" s="295">
        <f t="shared" si="27"/>
        <v>4055.15</v>
      </c>
      <c r="BF171" s="294"/>
      <c r="BG171" s="295"/>
    </row>
    <row r="172" spans="1:61" x14ac:dyDescent="0.25">
      <c r="A172" s="112"/>
      <c r="B172" s="322" t="s">
        <v>100</v>
      </c>
      <c r="C172" s="31"/>
      <c r="D172" s="294"/>
      <c r="E172" s="294"/>
      <c r="F172" s="294"/>
      <c r="G172" s="294"/>
      <c r="H172" s="294"/>
      <c r="I172" s="294"/>
      <c r="J172" s="294"/>
      <c r="K172" s="295"/>
      <c r="L172" s="294"/>
      <c r="M172" s="295">
        <v>0</v>
      </c>
      <c r="N172" s="294"/>
      <c r="O172" s="295"/>
      <c r="P172" s="294"/>
      <c r="Q172" s="298">
        <f>16217.88</f>
        <v>16217.88</v>
      </c>
      <c r="R172" s="297"/>
      <c r="S172" s="298">
        <v>0</v>
      </c>
      <c r="T172" s="297"/>
      <c r="U172" s="298"/>
      <c r="V172" s="295"/>
      <c r="W172" s="298"/>
      <c r="X172" s="298"/>
      <c r="Y172" s="298"/>
      <c r="Z172" s="298"/>
      <c r="AA172" s="298"/>
      <c r="AB172" s="298"/>
      <c r="AC172" s="298">
        <v>1785.83</v>
      </c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5">
        <f t="shared" si="26"/>
        <v>18003.71</v>
      </c>
      <c r="AZ172" s="294"/>
      <c r="BA172" s="298"/>
      <c r="BB172" s="294"/>
      <c r="BC172" s="295"/>
      <c r="BD172" s="294"/>
      <c r="BE172" s="295">
        <f t="shared" si="27"/>
        <v>18003.71</v>
      </c>
      <c r="BF172" s="294"/>
      <c r="BG172" s="295"/>
    </row>
    <row r="173" spans="1:61" x14ac:dyDescent="0.25">
      <c r="A173" s="112"/>
      <c r="B173" s="322" t="s">
        <v>99</v>
      </c>
      <c r="C173" s="31"/>
      <c r="D173" s="294"/>
      <c r="E173" s="294"/>
      <c r="F173" s="294"/>
      <c r="G173" s="294"/>
      <c r="H173" s="294"/>
      <c r="I173" s="294"/>
      <c r="J173" s="294"/>
      <c r="K173" s="295"/>
      <c r="L173" s="294"/>
      <c r="M173" s="295">
        <v>0</v>
      </c>
      <c r="N173" s="294"/>
      <c r="O173" s="295"/>
      <c r="P173" s="294"/>
      <c r="Q173" s="298">
        <f>230.09+77</f>
        <v>307.09000000000003</v>
      </c>
      <c r="R173" s="297"/>
      <c r="S173" s="298">
        <v>0</v>
      </c>
      <c r="T173" s="297"/>
      <c r="U173" s="298"/>
      <c r="V173" s="295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5">
        <f t="shared" si="26"/>
        <v>307.09000000000003</v>
      </c>
      <c r="AZ173" s="294"/>
      <c r="BA173" s="298"/>
      <c r="BB173" s="294"/>
      <c r="BC173" s="295"/>
      <c r="BD173" s="294"/>
      <c r="BE173" s="295">
        <f t="shared" si="27"/>
        <v>307.09000000000003</v>
      </c>
      <c r="BF173" s="294"/>
      <c r="BG173" s="295"/>
    </row>
    <row r="174" spans="1:61" x14ac:dyDescent="0.25">
      <c r="A174" s="112"/>
      <c r="B174" s="322" t="s">
        <v>183</v>
      </c>
      <c r="C174" s="31"/>
      <c r="D174" s="294"/>
      <c r="E174" s="294"/>
      <c r="F174" s="294"/>
      <c r="G174" s="294"/>
      <c r="H174" s="294"/>
      <c r="I174" s="294"/>
      <c r="J174" s="294"/>
      <c r="K174" s="295"/>
      <c r="L174" s="294"/>
      <c r="M174" s="295">
        <v>0</v>
      </c>
      <c r="N174" s="294"/>
      <c r="O174" s="295"/>
      <c r="P174" s="294"/>
      <c r="Q174" s="298">
        <f>45500+45500</f>
        <v>91000</v>
      </c>
      <c r="R174" s="297"/>
      <c r="S174" s="298">
        <v>0</v>
      </c>
      <c r="T174" s="297"/>
      <c r="U174" s="298"/>
      <c r="V174" s="295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5">
        <f t="shared" si="26"/>
        <v>91000</v>
      </c>
      <c r="AZ174" s="294"/>
      <c r="BA174" s="298"/>
      <c r="BB174" s="294"/>
      <c r="BC174" s="295"/>
      <c r="BD174" s="294"/>
      <c r="BE174" s="295">
        <f t="shared" si="27"/>
        <v>91000</v>
      </c>
      <c r="BF174" s="294"/>
      <c r="BG174" s="295"/>
    </row>
    <row r="175" spans="1:61" x14ac:dyDescent="0.25">
      <c r="A175" s="112"/>
      <c r="B175" s="322" t="s">
        <v>101</v>
      </c>
      <c r="C175" s="31"/>
      <c r="D175" s="294"/>
      <c r="E175" s="294"/>
      <c r="F175" s="294"/>
      <c r="G175" s="294"/>
      <c r="H175" s="294"/>
      <c r="I175" s="294"/>
      <c r="J175" s="294"/>
      <c r="K175" s="294"/>
      <c r="L175" s="294"/>
      <c r="M175" s="295">
        <v>0</v>
      </c>
      <c r="N175" s="294"/>
      <c r="O175" s="294"/>
      <c r="P175" s="294"/>
      <c r="Q175" s="298">
        <f>10235.67+3312+1739.49</f>
        <v>15287.16</v>
      </c>
      <c r="R175" s="297"/>
      <c r="S175" s="298">
        <v>0</v>
      </c>
      <c r="T175" s="297"/>
      <c r="U175" s="298"/>
      <c r="V175" s="295"/>
      <c r="W175" s="298"/>
      <c r="X175" s="298"/>
      <c r="Y175" s="298"/>
      <c r="Z175" s="298"/>
      <c r="AA175" s="298"/>
      <c r="AB175" s="298"/>
      <c r="AC175" s="298"/>
      <c r="AD175" s="298"/>
      <c r="AE175" s="298">
        <v>4449.95</v>
      </c>
      <c r="AF175" s="298"/>
      <c r="AG175" s="298"/>
      <c r="AH175" s="298"/>
      <c r="AI175" s="298">
        <v>19502.669999999998</v>
      </c>
      <c r="AJ175" s="298"/>
      <c r="AK175" s="298">
        <f>4260.58+3078.33+7891.4</f>
        <v>15230.31</v>
      </c>
      <c r="AL175" s="298"/>
      <c r="AM175" s="298">
        <v>3271.03</v>
      </c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5">
        <f t="shared" si="26"/>
        <v>57741.119999999995</v>
      </c>
      <c r="AZ175" s="294"/>
      <c r="BA175" s="298"/>
      <c r="BB175" s="294"/>
      <c r="BC175" s="295"/>
      <c r="BD175" s="294"/>
      <c r="BE175" s="295">
        <f t="shared" si="27"/>
        <v>57741.119999999995</v>
      </c>
      <c r="BF175" s="294"/>
      <c r="BG175" s="295"/>
    </row>
    <row r="176" spans="1:61" x14ac:dyDescent="0.25">
      <c r="A176" s="112"/>
      <c r="B176" s="322" t="s">
        <v>211</v>
      </c>
      <c r="C176" s="31"/>
      <c r="D176" s="294"/>
      <c r="E176" s="294"/>
      <c r="F176" s="294"/>
      <c r="G176" s="294"/>
      <c r="H176" s="294"/>
      <c r="I176" s="294"/>
      <c r="J176" s="294"/>
      <c r="K176" s="294"/>
      <c r="L176" s="294"/>
      <c r="M176" s="295">
        <v>0</v>
      </c>
      <c r="N176" s="294"/>
      <c r="O176" s="294"/>
      <c r="P176" s="294"/>
      <c r="Q176" s="298">
        <v>651</v>
      </c>
      <c r="R176" s="297"/>
      <c r="S176" s="298">
        <v>0</v>
      </c>
      <c r="T176" s="297"/>
      <c r="U176" s="298"/>
      <c r="V176" s="295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5">
        <f t="shared" si="26"/>
        <v>651</v>
      </c>
      <c r="AZ176" s="294"/>
      <c r="BA176" s="298"/>
      <c r="BB176" s="294"/>
      <c r="BC176" s="295"/>
      <c r="BD176" s="294"/>
      <c r="BE176" s="295">
        <f t="shared" si="27"/>
        <v>651</v>
      </c>
      <c r="BF176" s="294"/>
      <c r="BG176" s="295"/>
    </row>
    <row r="177" spans="1:59" x14ac:dyDescent="0.25">
      <c r="A177" s="112"/>
      <c r="B177" s="322" t="s">
        <v>202</v>
      </c>
      <c r="C177" s="31"/>
      <c r="D177" s="294"/>
      <c r="E177" s="294"/>
      <c r="F177" s="294"/>
      <c r="G177" s="294"/>
      <c r="H177" s="294"/>
      <c r="I177" s="294"/>
      <c r="J177" s="294"/>
      <c r="K177" s="332"/>
      <c r="L177" s="322"/>
      <c r="M177" s="332">
        <v>0</v>
      </c>
      <c r="N177" s="322"/>
      <c r="O177" s="332"/>
      <c r="P177" s="322"/>
      <c r="Q177" s="298">
        <v>52.5</v>
      </c>
      <c r="R177" s="362"/>
      <c r="S177" s="298">
        <v>0</v>
      </c>
      <c r="T177" s="362"/>
      <c r="U177" s="298"/>
      <c r="V177" s="295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5">
        <f t="shared" si="26"/>
        <v>52.5</v>
      </c>
      <c r="AZ177" s="294"/>
      <c r="BA177" s="298"/>
      <c r="BB177" s="294"/>
      <c r="BC177" s="295"/>
      <c r="BD177" s="294"/>
      <c r="BE177" s="295">
        <f t="shared" si="27"/>
        <v>52.5</v>
      </c>
      <c r="BF177" s="294"/>
      <c r="BG177" s="295"/>
    </row>
    <row r="178" spans="1:59" x14ac:dyDescent="0.25">
      <c r="A178" s="112"/>
      <c r="B178" s="322" t="s">
        <v>335</v>
      </c>
      <c r="C178" s="31"/>
      <c r="D178" s="294"/>
      <c r="E178" s="294"/>
      <c r="F178" s="294"/>
      <c r="G178" s="294"/>
      <c r="H178" s="294"/>
      <c r="I178" s="294"/>
      <c r="J178" s="294"/>
      <c r="K178" s="309"/>
      <c r="L178" s="294"/>
      <c r="M178" s="309"/>
      <c r="N178" s="294"/>
      <c r="O178" s="309"/>
      <c r="P178" s="294"/>
      <c r="Q178" s="307">
        <v>0</v>
      </c>
      <c r="R178" s="297"/>
      <c r="S178" s="307">
        <v>0</v>
      </c>
      <c r="T178" s="297"/>
      <c r="U178" s="307"/>
      <c r="V178" s="295"/>
      <c r="W178" s="307"/>
      <c r="X178" s="298"/>
      <c r="Y178" s="307"/>
      <c r="Z178" s="298"/>
      <c r="AA178" s="307"/>
      <c r="AB178" s="298"/>
      <c r="AC178" s="307">
        <f>33.02+2590.23+2053-99-1</f>
        <v>4576.25</v>
      </c>
      <c r="AD178" s="298"/>
      <c r="AE178" s="307"/>
      <c r="AF178" s="308"/>
      <c r="AG178" s="307">
        <f>1136.91+324.46+3067.15+3202.54+2218.42</f>
        <v>9949.48</v>
      </c>
      <c r="AH178" s="308"/>
      <c r="AI178" s="307">
        <f>39960.67+10857.6</f>
        <v>50818.27</v>
      </c>
      <c r="AJ178" s="308"/>
      <c r="AK178" s="307">
        <f>1589.29+228.85+136.15+263.97+110.78</f>
        <v>2329.0400000000004</v>
      </c>
      <c r="AL178" s="308"/>
      <c r="AM178" s="307"/>
      <c r="AN178" s="308"/>
      <c r="AO178" s="307">
        <v>100</v>
      </c>
      <c r="AP178" s="308"/>
      <c r="AQ178" s="307"/>
      <c r="AR178" s="298"/>
      <c r="AS178" s="307"/>
      <c r="AT178" s="298"/>
      <c r="AU178" s="307"/>
      <c r="AV178" s="298"/>
      <c r="AW178" s="307"/>
      <c r="AX178" s="298"/>
      <c r="AY178" s="309">
        <f t="shared" si="26"/>
        <v>67773.039999999994</v>
      </c>
      <c r="AZ178" s="294"/>
      <c r="BA178" s="298"/>
      <c r="BB178" s="294"/>
      <c r="BC178" s="295"/>
      <c r="BD178" s="294"/>
      <c r="BE178" s="295">
        <f t="shared" si="27"/>
        <v>67773.039999999994</v>
      </c>
      <c r="BF178" s="294"/>
      <c r="BG178" s="295"/>
    </row>
    <row r="179" spans="1:59" x14ac:dyDescent="0.25">
      <c r="A179" s="112"/>
      <c r="B179" s="322" t="s">
        <v>156</v>
      </c>
      <c r="C179" s="31"/>
      <c r="D179" s="294"/>
      <c r="E179" s="294"/>
      <c r="F179" s="294"/>
      <c r="G179" s="294"/>
      <c r="H179" s="294"/>
      <c r="I179" s="294"/>
      <c r="J179" s="294"/>
      <c r="K179" s="299">
        <v>500000</v>
      </c>
      <c r="L179" s="294"/>
      <c r="M179" s="299">
        <v>-200000</v>
      </c>
      <c r="N179" s="294"/>
      <c r="O179" s="299">
        <f>SUM(K179:N179)</f>
        <v>300000</v>
      </c>
      <c r="P179" s="294"/>
      <c r="Q179" s="296">
        <f>SUBTOTAL(9,Q164:Q178)</f>
        <v>194674.78</v>
      </c>
      <c r="R179" s="297"/>
      <c r="S179" s="296">
        <f>SUBTOTAL(9,S164:S178)</f>
        <v>5482</v>
      </c>
      <c r="T179" s="297"/>
      <c r="U179" s="296">
        <f>SUBTOTAL(9,U164:U178)</f>
        <v>3386.49</v>
      </c>
      <c r="V179" s="297"/>
      <c r="W179" s="296">
        <f>SUBTOTAL(9,W164:W178)</f>
        <v>4411.72</v>
      </c>
      <c r="X179" s="297"/>
      <c r="Y179" s="296">
        <f>SUBTOTAL(9,Y164:Y178)</f>
        <v>-19953.080000000002</v>
      </c>
      <c r="Z179" s="297"/>
      <c r="AA179" s="296">
        <f>SUBTOTAL(9,AA164:AA178)</f>
        <v>3513.88</v>
      </c>
      <c r="AB179" s="297"/>
      <c r="AC179" s="296">
        <f>SUBTOTAL(9,AC164:AC178)</f>
        <v>147965.99</v>
      </c>
      <c r="AD179" s="297"/>
      <c r="AE179" s="296">
        <f>SUBTOTAL(9,AE164:AE178)</f>
        <v>41583.449999999997</v>
      </c>
      <c r="AF179" s="296"/>
      <c r="AG179" s="296">
        <f>SUBTOTAL(9,AG164:AG178)</f>
        <v>64584.06</v>
      </c>
      <c r="AH179" s="296"/>
      <c r="AI179" s="296">
        <f>SUBTOTAL(9,AI164:AI178)</f>
        <v>77226.17</v>
      </c>
      <c r="AJ179" s="296"/>
      <c r="AK179" s="296">
        <f>SUBTOTAL(9,AK164:AK178)</f>
        <v>25706.080000000002</v>
      </c>
      <c r="AL179" s="296"/>
      <c r="AM179" s="296">
        <f>SUBTOTAL(9,AM164:AM178)</f>
        <v>3271.03</v>
      </c>
      <c r="AN179" s="296"/>
      <c r="AO179" s="296">
        <f>SUBTOTAL(9,AO164:AO178)</f>
        <v>3462.57</v>
      </c>
      <c r="AP179" s="296"/>
      <c r="AQ179" s="296">
        <f>SUBTOTAL(9,AQ164:AQ178)</f>
        <v>0</v>
      </c>
      <c r="AR179" s="297"/>
      <c r="AS179" s="296">
        <f>SUBTOTAL(9,AS164:AS178)</f>
        <v>0</v>
      </c>
      <c r="AT179" s="297"/>
      <c r="AU179" s="296">
        <f>SUBTOTAL(9,AU164:AU178)</f>
        <v>0</v>
      </c>
      <c r="AV179" s="297"/>
      <c r="AW179" s="296">
        <f>SUBTOTAL(9,AW164:AW178)</f>
        <v>0</v>
      </c>
      <c r="AX179" s="297"/>
      <c r="AY179" s="296">
        <f>SUBTOTAL(9,AY164:AY178)</f>
        <v>555315.14000000013</v>
      </c>
      <c r="AZ179" s="294"/>
      <c r="BA179" s="328">
        <f>SUBTOTAL(9,BA164:BA177)</f>
        <v>0</v>
      </c>
      <c r="BB179" s="294"/>
      <c r="BC179" s="329">
        <f>IF(+O179-AY179+BA179&gt;0,O179-AY179+BA179,0)</f>
        <v>0</v>
      </c>
      <c r="BD179" s="294"/>
      <c r="BE179" s="329">
        <f t="shared" si="27"/>
        <v>555315.14000000013</v>
      </c>
      <c r="BF179" s="294"/>
      <c r="BG179" s="328">
        <f>+O179-BE179</f>
        <v>-255315.14000000013</v>
      </c>
    </row>
    <row r="180" spans="1:59" x14ac:dyDescent="0.25">
      <c r="A180" s="112"/>
      <c r="B180" s="322"/>
      <c r="C180" s="31"/>
      <c r="D180" s="294"/>
      <c r="E180" s="294"/>
      <c r="F180" s="294"/>
      <c r="G180" s="294"/>
      <c r="H180" s="294"/>
      <c r="I180" s="294"/>
      <c r="J180" s="294"/>
      <c r="K180" s="295"/>
      <c r="L180" s="294"/>
      <c r="M180" s="295"/>
      <c r="N180" s="294"/>
      <c r="O180" s="295"/>
      <c r="P180" s="294"/>
      <c r="Q180" s="298"/>
      <c r="R180" s="297"/>
      <c r="S180" s="298"/>
      <c r="T180" s="297"/>
      <c r="U180" s="298"/>
      <c r="V180" s="295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5"/>
      <c r="AZ180" s="294"/>
      <c r="BA180" s="298"/>
      <c r="BB180" s="294"/>
      <c r="BC180" s="295"/>
      <c r="BD180" s="294"/>
      <c r="BE180" s="295"/>
      <c r="BF180" s="294"/>
      <c r="BG180" s="295"/>
    </row>
    <row r="181" spans="1:59" x14ac:dyDescent="0.25">
      <c r="A181" s="112" t="s">
        <v>102</v>
      </c>
      <c r="B181" s="322"/>
      <c r="C181" s="31" t="s">
        <v>0</v>
      </c>
      <c r="D181" s="294"/>
      <c r="E181" s="294" t="s">
        <v>103</v>
      </c>
      <c r="F181" s="294"/>
      <c r="G181" s="294" t="s">
        <v>104</v>
      </c>
      <c r="H181" s="294"/>
      <c r="I181" s="294"/>
      <c r="J181" s="294"/>
      <c r="K181" s="294"/>
      <c r="L181" s="294"/>
      <c r="M181" s="294"/>
      <c r="N181" s="294"/>
      <c r="O181" s="294"/>
      <c r="P181" s="294"/>
      <c r="Q181" s="298"/>
      <c r="R181" s="297"/>
      <c r="S181" s="298"/>
      <c r="T181" s="297"/>
      <c r="U181" s="298"/>
      <c r="V181" s="295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5"/>
      <c r="AZ181" s="294"/>
      <c r="BA181" s="298"/>
      <c r="BB181" s="294"/>
      <c r="BC181" s="295"/>
      <c r="BD181" s="294"/>
      <c r="BE181" s="295"/>
      <c r="BF181" s="294"/>
      <c r="BG181" s="295"/>
    </row>
    <row r="182" spans="1:59" x14ac:dyDescent="0.25">
      <c r="A182" s="112"/>
      <c r="B182" s="322" t="s">
        <v>184</v>
      </c>
      <c r="C182" s="31"/>
      <c r="D182" s="294"/>
      <c r="E182" s="294"/>
      <c r="F182" s="294"/>
      <c r="G182" s="294"/>
      <c r="H182" s="294"/>
      <c r="I182" s="294"/>
      <c r="J182" s="294"/>
      <c r="K182" s="332"/>
      <c r="L182" s="294"/>
      <c r="M182" s="332">
        <v>0</v>
      </c>
      <c r="N182" s="294"/>
      <c r="O182" s="332"/>
      <c r="P182" s="322"/>
      <c r="Q182" s="308">
        <f>1761.25+2981.47</f>
        <v>4742.7199999999993</v>
      </c>
      <c r="R182" s="297"/>
      <c r="S182" s="308">
        <v>0</v>
      </c>
      <c r="T182" s="297"/>
      <c r="U182" s="308"/>
      <c r="V182" s="295"/>
      <c r="W182" s="308"/>
      <c r="X182" s="298"/>
      <c r="Y182" s="308"/>
      <c r="Z182" s="298"/>
      <c r="AA182" s="308"/>
      <c r="AB182" s="298"/>
      <c r="AC182" s="308"/>
      <c r="AD182" s="298"/>
      <c r="AE182" s="308"/>
      <c r="AF182" s="308"/>
      <c r="AG182" s="308"/>
      <c r="AH182" s="308"/>
      <c r="AI182" s="308"/>
      <c r="AJ182" s="308"/>
      <c r="AK182" s="308"/>
      <c r="AL182" s="308"/>
      <c r="AM182" s="308"/>
      <c r="AN182" s="308"/>
      <c r="AO182" s="308"/>
      <c r="AP182" s="308"/>
      <c r="AQ182" s="308"/>
      <c r="AR182" s="308"/>
      <c r="AS182" s="308"/>
      <c r="AT182" s="308"/>
      <c r="AU182" s="308"/>
      <c r="AV182" s="308"/>
      <c r="AW182" s="308"/>
      <c r="AX182" s="308"/>
      <c r="AY182" s="295">
        <f t="shared" ref="AY182:AY192" si="28">SUM(P182:AX182)</f>
        <v>4742.7199999999993</v>
      </c>
      <c r="AZ182" s="294"/>
      <c r="BA182" s="308"/>
      <c r="BB182" s="294"/>
      <c r="BC182" s="295"/>
      <c r="BD182" s="294"/>
      <c r="BE182" s="295">
        <f t="shared" si="27"/>
        <v>4742.7199999999993</v>
      </c>
      <c r="BF182" s="294"/>
      <c r="BG182" s="295"/>
    </row>
    <row r="183" spans="1:59" x14ac:dyDescent="0.25">
      <c r="A183" s="112"/>
      <c r="B183" s="322" t="s">
        <v>197</v>
      </c>
      <c r="C183" s="31"/>
      <c r="D183" s="294"/>
      <c r="E183" s="294"/>
      <c r="F183" s="294"/>
      <c r="G183" s="294"/>
      <c r="H183" s="294"/>
      <c r="I183" s="294"/>
      <c r="J183" s="294"/>
      <c r="K183" s="332"/>
      <c r="L183" s="294"/>
      <c r="M183" s="332">
        <v>0</v>
      </c>
      <c r="N183" s="294"/>
      <c r="O183" s="332"/>
      <c r="P183" s="322"/>
      <c r="Q183" s="308">
        <v>0</v>
      </c>
      <c r="R183" s="297"/>
      <c r="S183" s="308">
        <v>0</v>
      </c>
      <c r="T183" s="297"/>
      <c r="U183" s="308"/>
      <c r="V183" s="295"/>
      <c r="W183" s="308"/>
      <c r="X183" s="298"/>
      <c r="Y183" s="308"/>
      <c r="Z183" s="298"/>
      <c r="AA183" s="308"/>
      <c r="AB183" s="298"/>
      <c r="AC183" s="308"/>
      <c r="AD183" s="298"/>
      <c r="AE183" s="308"/>
      <c r="AF183" s="308"/>
      <c r="AG183" s="308"/>
      <c r="AH183" s="308"/>
      <c r="AI183" s="308"/>
      <c r="AJ183" s="308"/>
      <c r="AK183" s="308"/>
      <c r="AL183" s="308"/>
      <c r="AM183" s="308"/>
      <c r="AN183" s="308"/>
      <c r="AO183" s="308"/>
      <c r="AP183" s="308"/>
      <c r="AQ183" s="308"/>
      <c r="AR183" s="308"/>
      <c r="AS183" s="308"/>
      <c r="AT183" s="308"/>
      <c r="AU183" s="308"/>
      <c r="AV183" s="308"/>
      <c r="AW183" s="308"/>
      <c r="AX183" s="308"/>
      <c r="AY183" s="295">
        <f t="shared" si="28"/>
        <v>0</v>
      </c>
      <c r="AZ183" s="294"/>
      <c r="BA183" s="308"/>
      <c r="BB183" s="294"/>
      <c r="BC183" s="295"/>
      <c r="BD183" s="294"/>
      <c r="BE183" s="295">
        <f t="shared" si="27"/>
        <v>0</v>
      </c>
      <c r="BF183" s="294"/>
      <c r="BG183" s="295"/>
    </row>
    <row r="184" spans="1:59" x14ac:dyDescent="0.25">
      <c r="A184" s="112"/>
      <c r="B184" s="322" t="s">
        <v>105</v>
      </c>
      <c r="C184" s="31"/>
      <c r="D184" s="294"/>
      <c r="E184" s="294"/>
      <c r="F184" s="294"/>
      <c r="G184" s="294"/>
      <c r="H184" s="294"/>
      <c r="I184" s="294"/>
      <c r="J184" s="294"/>
      <c r="K184" s="332"/>
      <c r="L184" s="294"/>
      <c r="M184" s="332">
        <v>0</v>
      </c>
      <c r="N184" s="294"/>
      <c r="O184" s="332">
        <v>190000</v>
      </c>
      <c r="P184" s="322"/>
      <c r="Q184" s="308">
        <f>9144.13+7358.79+165+2323.43+774+135+482.06+3048.05+1575.38+30905.86+6976.23+19149+1239+243</f>
        <v>83518.929999999993</v>
      </c>
      <c r="R184" s="297"/>
      <c r="S184" s="308">
        <v>0</v>
      </c>
      <c r="T184" s="297"/>
      <c r="U184" s="308">
        <v>2085.5</v>
      </c>
      <c r="V184" s="295"/>
      <c r="W184" s="308"/>
      <c r="X184" s="298"/>
      <c r="Y184" s="308"/>
      <c r="Z184" s="298"/>
      <c r="AA184" s="308"/>
      <c r="AB184" s="298"/>
      <c r="AC184" s="308">
        <f>26336.99+1911.01+7532.23+10052.41</f>
        <v>45832.639999999999</v>
      </c>
      <c r="AD184" s="298"/>
      <c r="AE184" s="308"/>
      <c r="AF184" s="308"/>
      <c r="AG184" s="308">
        <f>8514.87+9018.07+5514.19+235.32</f>
        <v>23282.45</v>
      </c>
      <c r="AH184" s="308"/>
      <c r="AI184" s="308"/>
      <c r="AJ184" s="308"/>
      <c r="AK184" s="308">
        <f>2031.75+23047.13</f>
        <v>25078.880000000001</v>
      </c>
      <c r="AL184" s="308"/>
      <c r="AM184" s="308"/>
      <c r="AN184" s="308"/>
      <c r="AO184" s="308"/>
      <c r="AP184" s="308"/>
      <c r="AQ184" s="308"/>
      <c r="AR184" s="308"/>
      <c r="AS184" s="308"/>
      <c r="AT184" s="308"/>
      <c r="AU184" s="308"/>
      <c r="AV184" s="308"/>
      <c r="AW184" s="308"/>
      <c r="AX184" s="308"/>
      <c r="AY184" s="295">
        <f t="shared" si="28"/>
        <v>179798.40000000002</v>
      </c>
      <c r="AZ184" s="294"/>
      <c r="BA184" s="308"/>
      <c r="BB184" s="294"/>
      <c r="BC184" s="295"/>
      <c r="BD184" s="294"/>
      <c r="BE184" s="295">
        <f t="shared" si="27"/>
        <v>179798.40000000002</v>
      </c>
      <c r="BF184" s="294"/>
      <c r="BG184" s="295"/>
    </row>
    <row r="185" spans="1:59" x14ac:dyDescent="0.25">
      <c r="A185" s="112"/>
      <c r="B185" s="322" t="s">
        <v>185</v>
      </c>
      <c r="C185" s="31"/>
      <c r="D185" s="294"/>
      <c r="E185" s="294"/>
      <c r="F185" s="294"/>
      <c r="G185" s="294"/>
      <c r="H185" s="294"/>
      <c r="I185" s="294"/>
      <c r="J185" s="294"/>
      <c r="K185" s="332"/>
      <c r="L185" s="294"/>
      <c r="M185" s="332">
        <v>0</v>
      </c>
      <c r="N185" s="294"/>
      <c r="O185" s="332"/>
      <c r="P185" s="322"/>
      <c r="Q185" s="308">
        <f>18189.55+22206+23066.11</f>
        <v>63461.66</v>
      </c>
      <c r="R185" s="297"/>
      <c r="S185" s="308">
        <v>0</v>
      </c>
      <c r="T185" s="297"/>
      <c r="U185" s="308">
        <f>2709.34+458.98</f>
        <v>3168.32</v>
      </c>
      <c r="V185" s="295"/>
      <c r="W185" s="308"/>
      <c r="X185" s="298"/>
      <c r="Y185" s="308"/>
      <c r="Z185" s="298"/>
      <c r="AA185" s="308"/>
      <c r="AB185" s="298"/>
      <c r="AC185" s="308">
        <f>86683.03</f>
        <v>86683.03</v>
      </c>
      <c r="AD185" s="298"/>
      <c r="AE185" s="308"/>
      <c r="AF185" s="308"/>
      <c r="AG185" s="308">
        <v>869.46</v>
      </c>
      <c r="AH185" s="308"/>
      <c r="AI185" s="308"/>
      <c r="AJ185" s="308"/>
      <c r="AK185" s="308">
        <f>16529.85+101841.14</f>
        <v>118370.98999999999</v>
      </c>
      <c r="AL185" s="308"/>
      <c r="AM185" s="308">
        <v>5463.38</v>
      </c>
      <c r="AN185" s="308"/>
      <c r="AO185" s="308"/>
      <c r="AP185" s="308"/>
      <c r="AQ185" s="308"/>
      <c r="AR185" s="308"/>
      <c r="AS185" s="308"/>
      <c r="AT185" s="308"/>
      <c r="AU185" s="308"/>
      <c r="AV185" s="308"/>
      <c r="AW185" s="308"/>
      <c r="AX185" s="308"/>
      <c r="AY185" s="295">
        <f t="shared" si="28"/>
        <v>278016.83999999997</v>
      </c>
      <c r="AZ185" s="294"/>
      <c r="BA185" s="308"/>
      <c r="BB185" s="294"/>
      <c r="BC185" s="295"/>
      <c r="BD185" s="294"/>
      <c r="BE185" s="295">
        <f t="shared" si="27"/>
        <v>278016.83999999997</v>
      </c>
      <c r="BF185" s="294"/>
      <c r="BG185" s="295"/>
    </row>
    <row r="186" spans="1:59" x14ac:dyDescent="0.25">
      <c r="A186" s="112"/>
      <c r="B186" s="322" t="s">
        <v>106</v>
      </c>
      <c r="C186" s="31"/>
      <c r="D186" s="294"/>
      <c r="E186" s="294"/>
      <c r="F186" s="294"/>
      <c r="G186" s="294"/>
      <c r="H186" s="294"/>
      <c r="I186" s="294"/>
      <c r="J186" s="294"/>
      <c r="K186" s="332"/>
      <c r="L186" s="294"/>
      <c r="M186" s="332">
        <v>0</v>
      </c>
      <c r="N186" s="294"/>
      <c r="O186" s="332"/>
      <c r="P186" s="322"/>
      <c r="Q186" s="308">
        <f>447.91+4678.3</f>
        <v>5126.21</v>
      </c>
      <c r="R186" s="297"/>
      <c r="S186" s="308">
        <v>0</v>
      </c>
      <c r="T186" s="297"/>
      <c r="U186" s="308"/>
      <c r="V186" s="295"/>
      <c r="W186" s="308"/>
      <c r="X186" s="298"/>
      <c r="Y186" s="308"/>
      <c r="Z186" s="298"/>
      <c r="AA186" s="308"/>
      <c r="AB186" s="298"/>
      <c r="AC186" s="308"/>
      <c r="AD186" s="298"/>
      <c r="AE186" s="308"/>
      <c r="AF186" s="308"/>
      <c r="AG186" s="308"/>
      <c r="AH186" s="308"/>
      <c r="AI186" s="308"/>
      <c r="AJ186" s="308"/>
      <c r="AK186" s="308"/>
      <c r="AL186" s="308"/>
      <c r="AM186" s="308"/>
      <c r="AN186" s="308"/>
      <c r="AO186" s="308"/>
      <c r="AP186" s="308"/>
      <c r="AQ186" s="308"/>
      <c r="AR186" s="308"/>
      <c r="AS186" s="308"/>
      <c r="AT186" s="308"/>
      <c r="AU186" s="308"/>
      <c r="AV186" s="308"/>
      <c r="AW186" s="308"/>
      <c r="AX186" s="308"/>
      <c r="AY186" s="295">
        <f t="shared" si="28"/>
        <v>5126.21</v>
      </c>
      <c r="AZ186" s="294"/>
      <c r="BA186" s="308"/>
      <c r="BB186" s="294"/>
      <c r="BC186" s="295"/>
      <c r="BD186" s="294"/>
      <c r="BE186" s="295">
        <f t="shared" si="27"/>
        <v>5126.21</v>
      </c>
      <c r="BF186" s="294"/>
      <c r="BG186" s="295"/>
    </row>
    <row r="187" spans="1:59" x14ac:dyDescent="0.25">
      <c r="A187" s="112"/>
      <c r="B187" s="322" t="s">
        <v>107</v>
      </c>
      <c r="C187" s="31"/>
      <c r="D187" s="294"/>
      <c r="E187" s="294"/>
      <c r="F187" s="294"/>
      <c r="G187" s="294"/>
      <c r="H187" s="294"/>
      <c r="I187" s="294"/>
      <c r="J187" s="294"/>
      <c r="K187" s="332"/>
      <c r="L187" s="294"/>
      <c r="M187" s="332">
        <v>0</v>
      </c>
      <c r="N187" s="294"/>
      <c r="O187" s="332">
        <v>45000</v>
      </c>
      <c r="P187" s="322"/>
      <c r="Q187" s="308">
        <f>80.16+4421.03+2229.15+696.5+3738</f>
        <v>11164.84</v>
      </c>
      <c r="R187" s="297"/>
      <c r="S187" s="308">
        <v>0</v>
      </c>
      <c r="T187" s="297"/>
      <c r="U187" s="308"/>
      <c r="V187" s="295"/>
      <c r="W187" s="308"/>
      <c r="X187" s="298"/>
      <c r="Y187" s="308"/>
      <c r="Z187" s="298"/>
      <c r="AA187" s="308"/>
      <c r="AB187" s="298"/>
      <c r="AC187" s="308"/>
      <c r="AD187" s="298"/>
      <c r="AE187" s="308"/>
      <c r="AF187" s="308"/>
      <c r="AG187" s="308"/>
      <c r="AH187" s="308"/>
      <c r="AI187" s="308"/>
      <c r="AJ187" s="308"/>
      <c r="AK187" s="308"/>
      <c r="AL187" s="308"/>
      <c r="AM187" s="308"/>
      <c r="AN187" s="308"/>
      <c r="AO187" s="308"/>
      <c r="AP187" s="308"/>
      <c r="AQ187" s="308"/>
      <c r="AR187" s="308"/>
      <c r="AS187" s="308"/>
      <c r="AT187" s="308"/>
      <c r="AU187" s="308"/>
      <c r="AV187" s="308"/>
      <c r="AW187" s="308"/>
      <c r="AX187" s="308"/>
      <c r="AY187" s="295">
        <f t="shared" si="28"/>
        <v>11164.84</v>
      </c>
      <c r="AZ187" s="294"/>
      <c r="BA187" s="308"/>
      <c r="BB187" s="294"/>
      <c r="BC187" s="295"/>
      <c r="BD187" s="294"/>
      <c r="BE187" s="295">
        <f t="shared" si="27"/>
        <v>11164.84</v>
      </c>
      <c r="BF187" s="294"/>
      <c r="BG187" s="295"/>
    </row>
    <row r="188" spans="1:59" x14ac:dyDescent="0.25">
      <c r="A188" s="112"/>
      <c r="B188" s="322" t="s">
        <v>416</v>
      </c>
      <c r="C188" s="31"/>
      <c r="D188" s="294"/>
      <c r="E188" s="294"/>
      <c r="F188" s="294"/>
      <c r="G188" s="294"/>
      <c r="H188" s="294"/>
      <c r="I188" s="294"/>
      <c r="J188" s="294"/>
      <c r="K188" s="332"/>
      <c r="L188" s="294"/>
      <c r="M188" s="332"/>
      <c r="N188" s="294"/>
      <c r="O188" s="332"/>
      <c r="P188" s="322"/>
      <c r="Q188" s="308">
        <v>0</v>
      </c>
      <c r="R188" s="297"/>
      <c r="S188" s="308">
        <v>0</v>
      </c>
      <c r="T188" s="297"/>
      <c r="U188" s="308"/>
      <c r="V188" s="295"/>
      <c r="W188" s="308">
        <v>2145</v>
      </c>
      <c r="X188" s="298"/>
      <c r="Y188" s="308"/>
      <c r="Z188" s="298"/>
      <c r="AA188" s="308">
        <f>3490.5-1</f>
        <v>3489.5</v>
      </c>
      <c r="AB188" s="298"/>
      <c r="AC188" s="308">
        <f>3387.1</f>
        <v>3387.1</v>
      </c>
      <c r="AD188" s="298"/>
      <c r="AE188" s="308"/>
      <c r="AF188" s="308"/>
      <c r="AG188" s="308"/>
      <c r="AH188" s="308"/>
      <c r="AI188" s="308"/>
      <c r="AJ188" s="308"/>
      <c r="AK188" s="308"/>
      <c r="AL188" s="308"/>
      <c r="AM188" s="308"/>
      <c r="AN188" s="308"/>
      <c r="AO188" s="308"/>
      <c r="AP188" s="308"/>
      <c r="AQ188" s="308"/>
      <c r="AR188" s="308"/>
      <c r="AS188" s="308"/>
      <c r="AT188" s="308"/>
      <c r="AU188" s="308"/>
      <c r="AV188" s="308"/>
      <c r="AW188" s="308"/>
      <c r="AX188" s="308"/>
      <c r="AY188" s="295">
        <f t="shared" si="28"/>
        <v>9021.6</v>
      </c>
      <c r="AZ188" s="294"/>
      <c r="BA188" s="308"/>
      <c r="BB188" s="294"/>
      <c r="BC188" s="295"/>
      <c r="BD188" s="294"/>
      <c r="BE188" s="295">
        <f t="shared" si="27"/>
        <v>9021.6</v>
      </c>
      <c r="BF188" s="294"/>
      <c r="BG188" s="295"/>
    </row>
    <row r="189" spans="1:59" x14ac:dyDescent="0.25">
      <c r="A189" s="112"/>
      <c r="B189" s="322" t="s">
        <v>503</v>
      </c>
      <c r="C189" s="31"/>
      <c r="D189" s="294"/>
      <c r="E189" s="294"/>
      <c r="F189" s="294"/>
      <c r="G189" s="294"/>
      <c r="H189" s="294"/>
      <c r="I189" s="294"/>
      <c r="J189" s="294"/>
      <c r="K189" s="332"/>
      <c r="L189" s="294"/>
      <c r="M189" s="332"/>
      <c r="N189" s="294"/>
      <c r="O189" s="332"/>
      <c r="P189" s="322"/>
      <c r="Q189" s="308">
        <v>0</v>
      </c>
      <c r="R189" s="297"/>
      <c r="S189" s="308">
        <v>0</v>
      </c>
      <c r="T189" s="297"/>
      <c r="U189" s="308"/>
      <c r="V189" s="295"/>
      <c r="W189" s="308"/>
      <c r="X189" s="298"/>
      <c r="Y189" s="308"/>
      <c r="Z189" s="298"/>
      <c r="AA189" s="308"/>
      <c r="AB189" s="298"/>
      <c r="AC189" s="308">
        <v>2750</v>
      </c>
      <c r="AD189" s="298"/>
      <c r="AE189" s="308"/>
      <c r="AF189" s="308"/>
      <c r="AG189" s="308"/>
      <c r="AH189" s="308"/>
      <c r="AI189" s="308"/>
      <c r="AJ189" s="308"/>
      <c r="AK189" s="308"/>
      <c r="AL189" s="308"/>
      <c r="AM189" s="308"/>
      <c r="AN189" s="308"/>
      <c r="AO189" s="308"/>
      <c r="AP189" s="308"/>
      <c r="AQ189" s="308"/>
      <c r="AR189" s="308"/>
      <c r="AS189" s="308"/>
      <c r="AT189" s="308"/>
      <c r="AU189" s="308"/>
      <c r="AV189" s="308"/>
      <c r="AW189" s="308"/>
      <c r="AX189" s="308"/>
      <c r="AY189" s="295">
        <f t="shared" si="28"/>
        <v>2750</v>
      </c>
      <c r="AZ189" s="294"/>
      <c r="BA189" s="308"/>
      <c r="BB189" s="294"/>
      <c r="BC189" s="295"/>
      <c r="BD189" s="294"/>
      <c r="BE189" s="295">
        <f t="shared" si="27"/>
        <v>2750</v>
      </c>
      <c r="BF189" s="294"/>
      <c r="BG189" s="295"/>
    </row>
    <row r="190" spans="1:59" x14ac:dyDescent="0.25">
      <c r="A190" s="112"/>
      <c r="B190" s="322" t="s">
        <v>186</v>
      </c>
      <c r="C190" s="31"/>
      <c r="D190" s="294"/>
      <c r="E190" s="294"/>
      <c r="F190" s="294"/>
      <c r="G190" s="294"/>
      <c r="H190" s="294"/>
      <c r="I190" s="294"/>
      <c r="J190" s="294"/>
      <c r="K190" s="332"/>
      <c r="L190" s="322"/>
      <c r="M190" s="332">
        <v>0</v>
      </c>
      <c r="N190" s="322"/>
      <c r="O190" s="332"/>
      <c r="P190" s="322"/>
      <c r="Q190" s="308">
        <v>13500.54</v>
      </c>
      <c r="R190" s="297"/>
      <c r="S190" s="308">
        <v>0</v>
      </c>
      <c r="T190" s="297"/>
      <c r="U190" s="308"/>
      <c r="V190" s="295"/>
      <c r="W190" s="308"/>
      <c r="X190" s="298"/>
      <c r="Y190" s="308"/>
      <c r="Z190" s="298"/>
      <c r="AA190" s="308"/>
      <c r="AB190" s="298"/>
      <c r="AC190" s="308"/>
      <c r="AD190" s="298"/>
      <c r="AE190" s="308"/>
      <c r="AF190" s="308"/>
      <c r="AG190" s="308"/>
      <c r="AH190" s="308"/>
      <c r="AI190" s="308"/>
      <c r="AJ190" s="308"/>
      <c r="AK190" s="308">
        <v>316.3</v>
      </c>
      <c r="AL190" s="308"/>
      <c r="AM190" s="308"/>
      <c r="AN190" s="308"/>
      <c r="AO190" s="308"/>
      <c r="AP190" s="308"/>
      <c r="AQ190" s="308"/>
      <c r="AR190" s="308"/>
      <c r="AS190" s="308"/>
      <c r="AT190" s="308"/>
      <c r="AU190" s="308"/>
      <c r="AV190" s="308"/>
      <c r="AW190" s="308"/>
      <c r="AX190" s="308"/>
      <c r="AY190" s="295">
        <f t="shared" si="28"/>
        <v>13816.84</v>
      </c>
      <c r="AZ190" s="294"/>
      <c r="BA190" s="308"/>
      <c r="BB190" s="294"/>
      <c r="BC190" s="295"/>
      <c r="BD190" s="294"/>
      <c r="BE190" s="295">
        <f t="shared" si="27"/>
        <v>13816.84</v>
      </c>
      <c r="BF190" s="294"/>
      <c r="BG190" s="295"/>
    </row>
    <row r="191" spans="1:59" x14ac:dyDescent="0.25">
      <c r="A191" s="112"/>
      <c r="B191" s="322" t="s">
        <v>552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252208.46</v>
      </c>
      <c r="AR191" s="308"/>
      <c r="AS191" s="308"/>
      <c r="AT191" s="308"/>
      <c r="AU191" s="308"/>
      <c r="AV191" s="308"/>
      <c r="AW191" s="308"/>
      <c r="AX191" s="308"/>
      <c r="AY191" s="295">
        <f t="shared" si="28"/>
        <v>252208.46</v>
      </c>
      <c r="AZ191" s="294"/>
      <c r="BA191" s="308"/>
      <c r="BB191" s="294"/>
      <c r="BC191" s="295"/>
      <c r="BD191" s="294"/>
      <c r="BE191" s="295">
        <f t="shared" si="27"/>
        <v>252208.46</v>
      </c>
      <c r="BF191" s="294"/>
      <c r="BG191" s="295"/>
    </row>
    <row r="192" spans="1:59" x14ac:dyDescent="0.25">
      <c r="A192" s="112"/>
      <c r="B192" s="322" t="s">
        <v>504</v>
      </c>
      <c r="C192" s="31"/>
      <c r="D192" s="294"/>
      <c r="E192" s="294"/>
      <c r="F192" s="294"/>
      <c r="G192" s="294"/>
      <c r="H192" s="294"/>
      <c r="I192" s="294"/>
      <c r="J192" s="294"/>
      <c r="K192" s="309"/>
      <c r="L192" s="294"/>
      <c r="M192" s="309"/>
      <c r="N192" s="294"/>
      <c r="O192" s="309"/>
      <c r="P192" s="322"/>
      <c r="Q192" s="307"/>
      <c r="R192" s="297"/>
      <c r="S192" s="307"/>
      <c r="T192" s="297"/>
      <c r="U192" s="307"/>
      <c r="V192" s="295"/>
      <c r="W192" s="307">
        <v>126458.5</v>
      </c>
      <c r="X192" s="298"/>
      <c r="Y192" s="307"/>
      <c r="Z192" s="298"/>
      <c r="AA192" s="307"/>
      <c r="AB192" s="298"/>
      <c r="AC192" s="307">
        <f>70.62+7285.45+119286.95</f>
        <v>126643.01999999999</v>
      </c>
      <c r="AD192" s="298"/>
      <c r="AE192" s="307"/>
      <c r="AF192" s="308"/>
      <c r="AG192" s="307">
        <f>3681.01+9-1</f>
        <v>3689.01</v>
      </c>
      <c r="AH192" s="308"/>
      <c r="AI192" s="307"/>
      <c r="AJ192" s="308"/>
      <c r="AK192" s="307">
        <f>2747.72+1-1</f>
        <v>2747.72</v>
      </c>
      <c r="AL192" s="308"/>
      <c r="AM192" s="307">
        <f>299.22+2141.83</f>
        <v>2441.0500000000002</v>
      </c>
      <c r="AN192" s="308"/>
      <c r="AO192" s="307"/>
      <c r="AP192" s="308"/>
      <c r="AQ192" s="307"/>
      <c r="AR192" s="308"/>
      <c r="AS192" s="307"/>
      <c r="AT192" s="308"/>
      <c r="AU192" s="307"/>
      <c r="AV192" s="308"/>
      <c r="AW192" s="307"/>
      <c r="AX192" s="308"/>
      <c r="AY192" s="309">
        <f t="shared" si="28"/>
        <v>261979.3</v>
      </c>
      <c r="AZ192" s="294"/>
      <c r="BA192" s="308"/>
      <c r="BB192" s="294"/>
      <c r="BC192" s="295"/>
      <c r="BD192" s="294"/>
      <c r="BE192" s="295">
        <f t="shared" si="27"/>
        <v>261979.3</v>
      </c>
      <c r="BF192" s="294"/>
      <c r="BG192" s="295"/>
    </row>
    <row r="193" spans="1:61" x14ac:dyDescent="0.25">
      <c r="A193" s="317"/>
      <c r="B193" s="294" t="s">
        <v>128</v>
      </c>
      <c r="C193" s="294"/>
      <c r="D193" s="294"/>
      <c r="E193" s="294"/>
      <c r="F193" s="294"/>
      <c r="G193" s="294"/>
      <c r="H193" s="294"/>
      <c r="I193" s="294"/>
      <c r="J193" s="294"/>
      <c r="K193" s="299">
        <v>850000</v>
      </c>
      <c r="L193" s="294"/>
      <c r="M193" s="299">
        <v>-350000</v>
      </c>
      <c r="N193" s="294"/>
      <c r="O193" s="299">
        <f>SUM(K193:N193)</f>
        <v>500000</v>
      </c>
      <c r="P193" s="322"/>
      <c r="Q193" s="296">
        <f>SUBTOTAL(9,Q182:Q192)</f>
        <v>181514.9</v>
      </c>
      <c r="R193" s="296"/>
      <c r="S193" s="296">
        <f>SUBTOTAL(9,S182:S192)</f>
        <v>0</v>
      </c>
      <c r="T193" s="296"/>
      <c r="U193" s="296">
        <f>SUBTOTAL(9,U182:U192)</f>
        <v>5253.82</v>
      </c>
      <c r="V193" s="296"/>
      <c r="W193" s="296">
        <f>SUBTOTAL(9,W182:W192)</f>
        <v>128603.5</v>
      </c>
      <c r="X193" s="296"/>
      <c r="Y193" s="296">
        <f>SUBTOTAL(9,Y182:Y192)</f>
        <v>0</v>
      </c>
      <c r="Z193" s="296"/>
      <c r="AA193" s="296">
        <f>SUBTOTAL(9,AA182:AA192)</f>
        <v>3489.5</v>
      </c>
      <c r="AB193" s="296"/>
      <c r="AC193" s="296">
        <f>SUBTOTAL(9,AC182:AC192)</f>
        <v>265295.78999999998</v>
      </c>
      <c r="AD193" s="296"/>
      <c r="AE193" s="296">
        <f>SUBTOTAL(9,AE182:AE192)</f>
        <v>0</v>
      </c>
      <c r="AF193" s="296"/>
      <c r="AG193" s="296">
        <f>SUBTOTAL(9,AG182:AG192)</f>
        <v>27840.92</v>
      </c>
      <c r="AH193" s="296"/>
      <c r="AI193" s="296">
        <f>SUBTOTAL(9,AI182:AI192)</f>
        <v>0</v>
      </c>
      <c r="AJ193" s="296"/>
      <c r="AK193" s="296">
        <f>SUBTOTAL(9,AK182:AK192)</f>
        <v>146513.88999999998</v>
      </c>
      <c r="AL193" s="296"/>
      <c r="AM193" s="296">
        <f>SUBTOTAL(9,AM182:AM192)</f>
        <v>7904.43</v>
      </c>
      <c r="AN193" s="296"/>
      <c r="AO193" s="296">
        <f>SUBTOTAL(9,AO182:AO192)</f>
        <v>0</v>
      </c>
      <c r="AP193" s="296"/>
      <c r="AQ193" s="296">
        <f>SUBTOTAL(9,AQ182:AQ192)</f>
        <v>252208.46</v>
      </c>
      <c r="AR193" s="296"/>
      <c r="AS193" s="296">
        <f>SUBTOTAL(9,AS182:AS192)</f>
        <v>0</v>
      </c>
      <c r="AT193" s="296"/>
      <c r="AU193" s="296">
        <f>SUBTOTAL(9,AU182:AU192)</f>
        <v>0</v>
      </c>
      <c r="AV193" s="296"/>
      <c r="AW193" s="296">
        <f>SUBTOTAL(9,AW182:AW192)</f>
        <v>0</v>
      </c>
      <c r="AX193" s="296"/>
      <c r="AY193" s="296">
        <f>SUBTOTAL(9,AY182:AY192)</f>
        <v>1018625.21</v>
      </c>
      <c r="AZ193" s="294"/>
      <c r="BA193" s="328">
        <f>SUBTOTAL(9,BA182:BA190)</f>
        <v>0</v>
      </c>
      <c r="BB193" s="294"/>
      <c r="BC193" s="329">
        <f>IF(+O193-AY193+BA193&gt;0,O193-AY193+BA193,0)</f>
        <v>0</v>
      </c>
      <c r="BD193" s="294"/>
      <c r="BE193" s="329">
        <f t="shared" si="27"/>
        <v>1018625.21</v>
      </c>
      <c r="BF193" s="294"/>
      <c r="BG193" s="328">
        <f>+O193-BE193</f>
        <v>-518625.20999999996</v>
      </c>
    </row>
    <row r="194" spans="1:61" x14ac:dyDescent="0.25">
      <c r="A194" s="112"/>
      <c r="B194" s="322"/>
      <c r="C194" s="31"/>
      <c r="D194" s="294"/>
      <c r="E194" s="294"/>
      <c r="F194" s="294"/>
      <c r="G194" s="294"/>
      <c r="H194" s="294"/>
      <c r="I194" s="294"/>
      <c r="J194" s="294"/>
      <c r="K194" s="332"/>
      <c r="L194" s="294"/>
      <c r="M194" s="332"/>
      <c r="N194" s="294"/>
      <c r="O194" s="332"/>
      <c r="P194" s="294"/>
      <c r="Q194" s="308"/>
      <c r="R194" s="297"/>
      <c r="S194" s="308"/>
      <c r="T194" s="297"/>
      <c r="U194" s="308"/>
      <c r="V194" s="295"/>
      <c r="W194" s="308"/>
      <c r="X194" s="298"/>
      <c r="Y194" s="308"/>
      <c r="Z194" s="298"/>
      <c r="AA194" s="308"/>
      <c r="AB194" s="298"/>
      <c r="AC194" s="308"/>
      <c r="AD194" s="298"/>
      <c r="AE194" s="308"/>
      <c r="AF194" s="308"/>
      <c r="AG194" s="308"/>
      <c r="AH194" s="308"/>
      <c r="AI194" s="308"/>
      <c r="AJ194" s="308"/>
      <c r="AK194" s="308"/>
      <c r="AL194" s="308"/>
      <c r="AM194" s="308"/>
      <c r="AN194" s="308"/>
      <c r="AO194" s="308"/>
      <c r="AP194" s="308"/>
      <c r="AQ194" s="308"/>
      <c r="AR194" s="308"/>
      <c r="AS194" s="308"/>
      <c r="AT194" s="308"/>
      <c r="AU194" s="308"/>
      <c r="AV194" s="308"/>
      <c r="AW194" s="308"/>
      <c r="AX194" s="308"/>
      <c r="AY194" s="332"/>
      <c r="AZ194" s="294"/>
      <c r="BA194" s="308"/>
      <c r="BB194" s="294"/>
      <c r="BC194" s="332"/>
      <c r="BD194" s="294"/>
      <c r="BE194" s="332"/>
      <c r="BF194" s="294"/>
      <c r="BG194" s="332"/>
    </row>
    <row r="195" spans="1:61" x14ac:dyDescent="0.25">
      <c r="A195" s="112" t="s">
        <v>365</v>
      </c>
      <c r="B195" s="322"/>
      <c r="C195" s="31" t="s">
        <v>0</v>
      </c>
      <c r="D195" s="294"/>
      <c r="E195" s="294"/>
      <c r="F195" s="294"/>
      <c r="G195" s="294" t="s">
        <v>366</v>
      </c>
      <c r="H195" s="294"/>
      <c r="I195" s="294"/>
      <c r="J195" s="294"/>
      <c r="K195" s="299">
        <v>0</v>
      </c>
      <c r="L195" s="294"/>
      <c r="M195" s="299">
        <v>1000000</v>
      </c>
      <c r="N195" s="294"/>
      <c r="O195" s="299">
        <f>SUM(K195:N195)</f>
        <v>1000000</v>
      </c>
      <c r="P195" s="294"/>
      <c r="Q195" s="296">
        <v>0</v>
      </c>
      <c r="R195" s="297"/>
      <c r="S195" s="296">
        <v>0</v>
      </c>
      <c r="T195" s="297"/>
      <c r="U195" s="296">
        <v>0</v>
      </c>
      <c r="V195" s="295"/>
      <c r="W195" s="296"/>
      <c r="X195" s="298"/>
      <c r="Y195" s="296"/>
      <c r="Z195" s="298"/>
      <c r="AA195" s="296"/>
      <c r="AB195" s="298"/>
      <c r="AC195" s="296">
        <v>121527.11</v>
      </c>
      <c r="AD195" s="298"/>
      <c r="AE195" s="296">
        <v>58914</v>
      </c>
      <c r="AF195" s="296"/>
      <c r="AG195" s="296">
        <v>47610</v>
      </c>
      <c r="AH195" s="296"/>
      <c r="AI195" s="296"/>
      <c r="AJ195" s="296"/>
      <c r="AK195" s="296"/>
      <c r="AL195" s="296"/>
      <c r="AM195" s="296"/>
      <c r="AN195" s="296"/>
      <c r="AO195" s="296"/>
      <c r="AP195" s="296"/>
      <c r="AQ195" s="296"/>
      <c r="AR195" s="296"/>
      <c r="AS195" s="296"/>
      <c r="AT195" s="296"/>
      <c r="AU195" s="296"/>
      <c r="AV195" s="296"/>
      <c r="AW195" s="296"/>
      <c r="AX195" s="296"/>
      <c r="AY195" s="295">
        <f>SUM(P195:AX195)</f>
        <v>228051.11</v>
      </c>
      <c r="AZ195" s="294"/>
      <c r="BA195" s="296">
        <f>-650000-121949</f>
        <v>-771949</v>
      </c>
      <c r="BB195" s="294"/>
      <c r="BC195" s="295">
        <f>IF(+O195-AY195+BA195&gt;0,O195-AY195+BA195,0)</f>
        <v>0</v>
      </c>
      <c r="BD195" s="294"/>
      <c r="BE195" s="295">
        <f t="shared" si="27"/>
        <v>228051.11</v>
      </c>
      <c r="BF195" s="294"/>
      <c r="BG195" s="295">
        <f>+O195-BE195</f>
        <v>771948.89</v>
      </c>
    </row>
    <row r="196" spans="1:61" x14ac:dyDescent="0.25">
      <c r="A196" s="112"/>
      <c r="B196" s="322"/>
      <c r="C196" s="31"/>
      <c r="D196" s="294"/>
      <c r="E196" s="294"/>
      <c r="F196" s="294"/>
      <c r="G196" s="294"/>
      <c r="H196" s="294"/>
      <c r="I196" s="294"/>
      <c r="J196" s="294"/>
      <c r="K196" s="332"/>
      <c r="L196" s="294"/>
      <c r="M196" s="332"/>
      <c r="N196" s="294"/>
      <c r="O196" s="332"/>
      <c r="P196" s="294"/>
      <c r="Q196" s="308"/>
      <c r="R196" s="297"/>
      <c r="S196" s="308"/>
      <c r="T196" s="297"/>
      <c r="U196" s="308"/>
      <c r="V196" s="295"/>
      <c r="W196" s="308"/>
      <c r="X196" s="298"/>
      <c r="Y196" s="308"/>
      <c r="Z196" s="298"/>
      <c r="AA196" s="308"/>
      <c r="AB196" s="298"/>
      <c r="AC196" s="308"/>
      <c r="AD196" s="298"/>
      <c r="AE196" s="308"/>
      <c r="AF196" s="308"/>
      <c r="AG196" s="308"/>
      <c r="AH196" s="308"/>
      <c r="AI196" s="308"/>
      <c r="AJ196" s="308"/>
      <c r="AK196" s="308"/>
      <c r="AL196" s="308"/>
      <c r="AM196" s="308"/>
      <c r="AN196" s="308"/>
      <c r="AO196" s="308"/>
      <c r="AP196" s="308"/>
      <c r="AQ196" s="308"/>
      <c r="AR196" s="308"/>
      <c r="AS196" s="308"/>
      <c r="AT196" s="308"/>
      <c r="AU196" s="308"/>
      <c r="AV196" s="308"/>
      <c r="AW196" s="308"/>
      <c r="AX196" s="308"/>
      <c r="AY196" s="332"/>
      <c r="AZ196" s="294"/>
      <c r="BA196" s="308"/>
      <c r="BB196" s="294"/>
      <c r="BC196" s="332"/>
      <c r="BD196" s="294"/>
      <c r="BE196" s="332"/>
      <c r="BF196" s="294"/>
      <c r="BG196" s="332"/>
    </row>
    <row r="197" spans="1:61" x14ac:dyDescent="0.25">
      <c r="A197" s="312"/>
      <c r="B197" s="363" t="s">
        <v>108</v>
      </c>
      <c r="C197" s="364"/>
      <c r="D197" s="294"/>
      <c r="E197" s="294"/>
      <c r="F197" s="294"/>
      <c r="G197" s="294"/>
      <c r="H197" s="294"/>
      <c r="I197" s="294"/>
      <c r="J197" s="294"/>
      <c r="K197" s="299">
        <f>K159+K161+K179+K193+K195</f>
        <v>2850000</v>
      </c>
      <c r="L197" s="294"/>
      <c r="M197" s="299">
        <f>M159+M161+M179+M193+M195</f>
        <v>17487</v>
      </c>
      <c r="N197" s="294"/>
      <c r="O197" s="299">
        <f>O159+O161+O179+O193+O195</f>
        <v>2867487</v>
      </c>
      <c r="P197" s="294"/>
      <c r="Q197" s="296">
        <f>Q159+Q161+Q179+Q193+Q195</f>
        <v>443676.68000000005</v>
      </c>
      <c r="R197" s="297"/>
      <c r="S197" s="296">
        <f>S159+S161+S179+S193+S195</f>
        <v>76317.943333333329</v>
      </c>
      <c r="T197" s="297"/>
      <c r="U197" s="296">
        <f>U159+U161+U179+U193+U195</f>
        <v>769677.86</v>
      </c>
      <c r="V197" s="295"/>
      <c r="W197" s="296">
        <f>W159+W161+W179+W193+W195</f>
        <v>133015.22</v>
      </c>
      <c r="X197" s="298"/>
      <c r="Y197" s="296">
        <f>Y159+Y161+Y179+Y193+Y195</f>
        <v>-19953.080000000002</v>
      </c>
      <c r="Z197" s="298"/>
      <c r="AA197" s="296">
        <f>AA159+AA161+AA179+AA193+AA195</f>
        <v>7003.38</v>
      </c>
      <c r="AB197" s="298"/>
      <c r="AC197" s="296">
        <f>AC159+AC161+AC179+AC193+AC195</f>
        <v>618122.23</v>
      </c>
      <c r="AD197" s="298"/>
      <c r="AE197" s="296">
        <f>AE159+AE161+AE179+AE193+AE195</f>
        <v>100497.45</v>
      </c>
      <c r="AF197" s="296"/>
      <c r="AG197" s="296">
        <f>AG159+AG161+AG179+AG193+AG195</f>
        <v>140034.97999999998</v>
      </c>
      <c r="AH197" s="296"/>
      <c r="AI197" s="296">
        <f>AI159+AI161+AI179+AI193+AI195</f>
        <v>77226.17</v>
      </c>
      <c r="AJ197" s="296"/>
      <c r="AK197" s="296">
        <f>AK159+AK161+AK179+AK193+AK195</f>
        <v>172219.96999999997</v>
      </c>
      <c r="AL197" s="296"/>
      <c r="AM197" s="296">
        <f>AM159+AM161+AM179+AM193+AM195</f>
        <v>11175.460000000001</v>
      </c>
      <c r="AN197" s="296"/>
      <c r="AO197" s="296">
        <f>AO159+AO161+AO179+AO193+AO195</f>
        <v>86795.900000000009</v>
      </c>
      <c r="AP197" s="296"/>
      <c r="AQ197" s="296">
        <f>AQ159+AQ161+AQ179+AQ193+AQ195</f>
        <v>318222.02</v>
      </c>
      <c r="AR197" s="296"/>
      <c r="AS197" s="296">
        <f>AS159+AS161+AS179+AS193+AS195</f>
        <v>0</v>
      </c>
      <c r="AT197" s="296"/>
      <c r="AU197" s="296">
        <f>AU159+AU161+AU179+AU193+AU195</f>
        <v>0</v>
      </c>
      <c r="AV197" s="296"/>
      <c r="AW197" s="296">
        <f>AW159+AW161+AW179+AW193+AW195</f>
        <v>0</v>
      </c>
      <c r="AX197" s="296"/>
      <c r="AY197" s="299">
        <f>AY159+AY161+AY179+AY193+AY195</f>
        <v>2934032.1833333331</v>
      </c>
      <c r="AZ197" s="294"/>
      <c r="BA197" s="296">
        <f>BA159+BA161+BA179+BA193+BA195</f>
        <v>-628887</v>
      </c>
      <c r="BB197" s="294"/>
      <c r="BC197" s="299">
        <f>BC159+BC161+BC179+BC193+BC195</f>
        <v>0</v>
      </c>
      <c r="BD197" s="294"/>
      <c r="BE197" s="299">
        <f t="shared" si="27"/>
        <v>2934032.1833333331</v>
      </c>
      <c r="BF197" s="294"/>
      <c r="BG197" s="296">
        <f>+O197-BE197</f>
        <v>-66545.183333333116</v>
      </c>
    </row>
    <row r="198" spans="1:61" ht="13.8" thickBot="1" x14ac:dyDescent="0.3">
      <c r="A198" s="180" t="s">
        <v>187</v>
      </c>
      <c r="B198" s="365"/>
      <c r="C198" s="122"/>
      <c r="D198" s="294"/>
      <c r="E198" s="294"/>
      <c r="F198" s="294"/>
      <c r="G198" s="294"/>
      <c r="H198" s="294"/>
      <c r="I198" s="294"/>
      <c r="J198" s="294"/>
      <c r="K198" s="318">
        <f>K197+K152</f>
        <v>123921212.472</v>
      </c>
      <c r="L198" s="294"/>
      <c r="M198" s="318">
        <f>M197+M152</f>
        <v>-179227</v>
      </c>
      <c r="N198" s="294"/>
      <c r="O198" s="318">
        <f>O197+O152</f>
        <v>123741985.472</v>
      </c>
      <c r="P198" s="294"/>
      <c r="Q198" s="320">
        <f>Q197+Q152</f>
        <v>61516764.230000004</v>
      </c>
      <c r="R198" s="297"/>
      <c r="S198" s="320">
        <f>S197+S152</f>
        <v>5269296.293333333</v>
      </c>
      <c r="T198" s="297"/>
      <c r="U198" s="320">
        <f>U197+U152</f>
        <v>7536552.3799999999</v>
      </c>
      <c r="V198" s="295"/>
      <c r="W198" s="320">
        <f>W197+W152</f>
        <v>6111434.6600000001</v>
      </c>
      <c r="X198" s="298"/>
      <c r="Y198" s="320">
        <f>Y197+Y152</f>
        <v>7809255.54</v>
      </c>
      <c r="Z198" s="298"/>
      <c r="AA198" s="320">
        <f>AA197+AA152</f>
        <v>4255817.59</v>
      </c>
      <c r="AB198" s="298"/>
      <c r="AC198" s="320">
        <f>AC197+AC152</f>
        <v>6965819.5500000007</v>
      </c>
      <c r="AD198" s="298"/>
      <c r="AE198" s="320">
        <f>AE197+AE152</f>
        <v>7593243.7999999998</v>
      </c>
      <c r="AF198" s="314"/>
      <c r="AG198" s="320">
        <f>AG197+AG152</f>
        <v>6489464.9899999984</v>
      </c>
      <c r="AH198" s="314"/>
      <c r="AI198" s="320">
        <f>AI197+AI152</f>
        <v>7724026.6499999994</v>
      </c>
      <c r="AJ198" s="314"/>
      <c r="AK198" s="320">
        <f>AK197+AK152</f>
        <v>1383720.8800000001</v>
      </c>
      <c r="AL198" s="314"/>
      <c r="AM198" s="320">
        <f>AM197+AM152</f>
        <v>1930064.02</v>
      </c>
      <c r="AN198" s="314"/>
      <c r="AO198" s="320">
        <f>AO197+AO152</f>
        <v>2051014.2599999998</v>
      </c>
      <c r="AP198" s="314"/>
      <c r="AQ198" s="320">
        <f>AQ197+AQ152</f>
        <v>1141784.1499999999</v>
      </c>
      <c r="AR198" s="314"/>
      <c r="AS198" s="320">
        <f>AS197+AS152</f>
        <v>0</v>
      </c>
      <c r="AT198" s="314"/>
      <c r="AU198" s="320">
        <f>AU197+AU152</f>
        <v>0</v>
      </c>
      <c r="AV198" s="314"/>
      <c r="AW198" s="320">
        <f>AW197+AW152</f>
        <v>0</v>
      </c>
      <c r="AX198" s="314"/>
      <c r="AY198" s="318">
        <f>AY197+AY152</f>
        <v>127778258.99333334</v>
      </c>
      <c r="AZ198" s="294"/>
      <c r="BA198" s="320">
        <f>BA197+BA152</f>
        <v>82551.330000000075</v>
      </c>
      <c r="BB198" s="294"/>
      <c r="BC198" s="318">
        <f>BC197+BC152+BC33</f>
        <v>365879.66199999989</v>
      </c>
      <c r="BD198" s="294"/>
      <c r="BE198" s="318">
        <f>+BC198+AY198</f>
        <v>128144138.65533334</v>
      </c>
      <c r="BF198" s="294"/>
      <c r="BG198" s="320">
        <f>+O198-BE198</f>
        <v>-4402153.1833333373</v>
      </c>
      <c r="BI198" s="39"/>
    </row>
    <row r="199" spans="1:61" ht="5.25" customHeight="1" thickTop="1" x14ac:dyDescent="0.25">
      <c r="A199" s="344"/>
      <c r="B199" s="346"/>
      <c r="C199" s="346"/>
      <c r="D199" s="294"/>
      <c r="E199" s="294"/>
      <c r="F199" s="294"/>
      <c r="G199" s="294"/>
      <c r="H199" s="294"/>
      <c r="I199" s="294"/>
      <c r="J199" s="294"/>
      <c r="K199" s="295"/>
      <c r="L199" s="294"/>
      <c r="M199" s="295"/>
      <c r="N199" s="294"/>
      <c r="O199" s="295"/>
      <c r="P199" s="294"/>
      <c r="Q199" s="298"/>
      <c r="R199" s="297"/>
      <c r="S199" s="298"/>
      <c r="T199" s="297"/>
      <c r="U199" s="298"/>
      <c r="V199" s="295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5"/>
      <c r="AZ199" s="294"/>
      <c r="BA199" s="298"/>
      <c r="BB199" s="294"/>
      <c r="BC199" s="295"/>
      <c r="BD199" s="294"/>
      <c r="BE199" s="295"/>
      <c r="BF199" s="294"/>
      <c r="BG199" s="298"/>
    </row>
    <row r="200" spans="1:61" ht="13.8" thickBot="1" x14ac:dyDescent="0.3">
      <c r="A200" s="180" t="s">
        <v>421</v>
      </c>
      <c r="B200" s="346"/>
      <c r="C200" s="346"/>
      <c r="D200" s="294"/>
      <c r="E200" s="294"/>
      <c r="F200" s="294"/>
      <c r="G200" s="294"/>
      <c r="H200" s="294"/>
      <c r="I200" s="294"/>
      <c r="J200" s="294"/>
      <c r="K200" s="366">
        <f>K198/460</f>
        <v>269393.94015652174</v>
      </c>
      <c r="L200" s="294"/>
      <c r="M200" s="295"/>
      <c r="N200" s="294"/>
      <c r="O200" s="366">
        <f>O198/460</f>
        <v>269004.31624347827</v>
      </c>
      <c r="P200" s="294"/>
      <c r="Q200" s="298"/>
      <c r="R200" s="297"/>
      <c r="S200" s="298"/>
      <c r="T200" s="297"/>
      <c r="U200" s="298"/>
      <c r="V200" s="295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5"/>
      <c r="AZ200" s="294"/>
      <c r="BA200" s="298"/>
      <c r="BB200" s="294"/>
      <c r="BC200" s="295"/>
      <c r="BD200" s="294"/>
      <c r="BE200" s="366">
        <f>BE198/460</f>
        <v>278574.21446811594</v>
      </c>
      <c r="BF200" s="294"/>
      <c r="BG200" s="295"/>
    </row>
    <row r="201" spans="1:61" customFormat="1" x14ac:dyDescent="0.25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7"/>
      <c r="M201" s="367"/>
      <c r="N201" s="367"/>
      <c r="O201" s="367"/>
      <c r="P201" s="367"/>
      <c r="Q201" s="367"/>
      <c r="R201" s="368"/>
      <c r="S201" s="367"/>
      <c r="T201" s="368"/>
      <c r="U201" s="367"/>
      <c r="V201" s="367"/>
      <c r="W201" s="367"/>
      <c r="X201" s="367"/>
      <c r="Y201" s="367"/>
      <c r="Z201" s="367"/>
      <c r="AA201" s="367"/>
      <c r="AB201" s="367"/>
      <c r="AC201" s="369"/>
      <c r="AD201" s="367"/>
      <c r="AE201" s="369"/>
      <c r="AF201" s="367"/>
      <c r="AG201" s="369"/>
      <c r="AH201" s="367"/>
      <c r="AI201" s="367"/>
      <c r="AJ201" s="367"/>
      <c r="AK201" s="367"/>
      <c r="AL201" s="367"/>
      <c r="AM201" s="367"/>
      <c r="AN201" s="367"/>
      <c r="AO201" s="367"/>
      <c r="AP201" s="367"/>
      <c r="AQ201" s="367"/>
      <c r="AR201" s="367"/>
      <c r="AS201" s="367"/>
      <c r="AT201" s="367"/>
      <c r="AU201" s="367"/>
      <c r="AV201" s="367"/>
      <c r="AW201" s="367"/>
      <c r="AX201" s="367"/>
      <c r="AY201" s="367"/>
      <c r="AZ201" s="367"/>
      <c r="BA201" s="367"/>
      <c r="BB201" s="367"/>
      <c r="BC201" s="367"/>
      <c r="BD201" s="367"/>
      <c r="BE201" s="367"/>
      <c r="BF201" s="367"/>
      <c r="BG201" s="295"/>
    </row>
    <row r="202" spans="1:61" customFormat="1" x14ac:dyDescent="0.25">
      <c r="A202" s="370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7"/>
      <c r="M202" s="367"/>
      <c r="N202" s="367"/>
      <c r="O202" s="367"/>
      <c r="P202" s="367"/>
      <c r="Q202" s="367"/>
      <c r="R202" s="368"/>
      <c r="S202" s="367"/>
      <c r="T202" s="368"/>
      <c r="U202" s="367"/>
      <c r="V202" s="367"/>
      <c r="W202" s="367"/>
      <c r="X202" s="367"/>
      <c r="Y202" s="367"/>
      <c r="Z202" s="367"/>
      <c r="AA202" s="369"/>
      <c r="AB202" s="367"/>
      <c r="AC202" s="369"/>
      <c r="AD202" s="367"/>
      <c r="AE202" s="369"/>
      <c r="AF202" s="367"/>
      <c r="AG202" s="367"/>
      <c r="AH202" s="367"/>
      <c r="AI202" s="367"/>
      <c r="AJ202" s="367"/>
      <c r="AK202" s="367"/>
      <c r="AL202" s="367"/>
      <c r="AM202" s="367"/>
      <c r="AN202" s="367"/>
      <c r="AO202" s="367"/>
      <c r="AP202" s="367"/>
      <c r="AQ202" s="367"/>
      <c r="AR202" s="367"/>
      <c r="AS202" s="367"/>
      <c r="AT202" s="367"/>
      <c r="AU202" s="367"/>
      <c r="AV202" s="367"/>
      <c r="AW202" s="367"/>
      <c r="AX202" s="367"/>
      <c r="AY202" s="367"/>
      <c r="AZ202" s="367"/>
      <c r="BA202" s="367"/>
      <c r="BB202" s="367"/>
      <c r="BC202" s="367"/>
      <c r="BD202" s="367"/>
      <c r="BE202" s="367"/>
      <c r="BF202" s="367"/>
      <c r="BG202" s="295"/>
    </row>
    <row r="203" spans="1:61" customFormat="1" x14ac:dyDescent="0.25">
      <c r="A203" s="370"/>
      <c r="B203" s="367"/>
      <c r="C203" s="367"/>
      <c r="D203" s="367"/>
      <c r="E203" s="367"/>
      <c r="F203" s="367"/>
      <c r="G203" s="367"/>
      <c r="H203" s="367"/>
      <c r="I203" s="367"/>
      <c r="J203" s="367"/>
      <c r="K203" s="367"/>
      <c r="L203" s="367"/>
      <c r="M203" s="367"/>
      <c r="N203" s="367"/>
      <c r="O203" s="367"/>
      <c r="P203" s="367"/>
      <c r="Q203" s="369"/>
      <c r="R203" s="368"/>
      <c r="S203" s="369"/>
      <c r="T203" s="368"/>
      <c r="U203" s="369"/>
      <c r="V203" s="367"/>
      <c r="W203" s="369"/>
      <c r="X203" s="367"/>
      <c r="Y203" s="369"/>
      <c r="Z203" s="367"/>
      <c r="AA203" s="369"/>
      <c r="AB203" s="367"/>
      <c r="AC203" s="369"/>
      <c r="AD203" s="367"/>
      <c r="AE203" s="369"/>
      <c r="AF203" s="367"/>
      <c r="AG203" s="367"/>
      <c r="AH203" s="367"/>
      <c r="AI203" s="367"/>
      <c r="AJ203" s="367"/>
      <c r="AK203" s="367"/>
      <c r="AL203" s="367"/>
      <c r="AM203" s="367"/>
      <c r="AN203" s="367"/>
      <c r="AO203" s="367"/>
      <c r="AP203" s="367"/>
      <c r="AQ203" s="367"/>
      <c r="AR203" s="367"/>
      <c r="AS203" s="367"/>
      <c r="AT203" s="367"/>
      <c r="AU203" s="367"/>
      <c r="AV203" s="367"/>
      <c r="AW203" s="367"/>
      <c r="AX203" s="367"/>
      <c r="AY203" s="367"/>
      <c r="AZ203" s="367"/>
      <c r="BA203" s="367"/>
      <c r="BB203" s="367"/>
      <c r="BC203" s="367"/>
      <c r="BD203" s="367"/>
      <c r="BE203" s="367"/>
      <c r="BF203" s="367"/>
      <c r="BG203" s="295"/>
    </row>
    <row r="204" spans="1:61" x14ac:dyDescent="0.25">
      <c r="A204" s="294"/>
      <c r="B204" s="294"/>
      <c r="C204" s="294"/>
      <c r="D204" s="294"/>
      <c r="E204" s="294"/>
      <c r="F204" s="294"/>
      <c r="G204" s="294"/>
      <c r="H204" s="294"/>
      <c r="I204" s="294"/>
      <c r="J204" s="294"/>
      <c r="K204" s="295"/>
      <c r="L204" s="294"/>
      <c r="M204" s="295"/>
      <c r="N204" s="294"/>
      <c r="O204" s="295"/>
      <c r="P204" s="294"/>
      <c r="Q204" s="298"/>
      <c r="R204" s="297"/>
      <c r="S204" s="298"/>
      <c r="T204" s="297"/>
      <c r="U204" s="298"/>
      <c r="V204" s="295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5"/>
      <c r="AZ204" s="294"/>
      <c r="BA204" s="298"/>
      <c r="BB204" s="294"/>
      <c r="BC204" s="295"/>
      <c r="BD204" s="294"/>
      <c r="BE204" s="295"/>
      <c r="BF204" s="294"/>
      <c r="BG204" s="295"/>
    </row>
    <row r="205" spans="1:61" s="41" customFormat="1" x14ac:dyDescent="0.25">
      <c r="A205" s="370" t="s">
        <v>422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299">
        <v>0</v>
      </c>
      <c r="L205" s="370"/>
      <c r="M205" s="299"/>
      <c r="N205" s="370"/>
      <c r="O205" s="299">
        <f>SUM(K205:N205)</f>
        <v>0</v>
      </c>
      <c r="P205" s="370"/>
      <c r="Q205" s="296"/>
      <c r="R205" s="371"/>
      <c r="S205" s="296"/>
      <c r="T205" s="371"/>
      <c r="U205" s="296">
        <v>0</v>
      </c>
      <c r="V205" s="299"/>
      <c r="W205" s="296"/>
      <c r="X205" s="296"/>
      <c r="Y205" s="296"/>
      <c r="Z205" s="296"/>
      <c r="AA205" s="296"/>
      <c r="AB205" s="296"/>
      <c r="AC205" s="296"/>
      <c r="AD205" s="296"/>
      <c r="AE205" s="296"/>
      <c r="AF205" s="296"/>
      <c r="AG205" s="296"/>
      <c r="AH205" s="296"/>
      <c r="AI205" s="296"/>
      <c r="AJ205" s="296"/>
      <c r="AK205" s="296"/>
      <c r="AL205" s="296"/>
      <c r="AM205" s="296"/>
      <c r="AN205" s="296"/>
      <c r="AO205" s="296"/>
      <c r="AP205" s="296"/>
      <c r="AQ205" s="296"/>
      <c r="AR205" s="296"/>
      <c r="AS205" s="296"/>
      <c r="AT205" s="296"/>
      <c r="AU205" s="296"/>
      <c r="AV205" s="296"/>
      <c r="AW205" s="296"/>
      <c r="AX205" s="296"/>
      <c r="AY205" s="299">
        <f>SUM(P205:AR205)</f>
        <v>0</v>
      </c>
      <c r="AZ205" s="370"/>
      <c r="BA205" s="296">
        <v>0</v>
      </c>
      <c r="BB205" s="370"/>
      <c r="BC205" s="299">
        <f>IF(+O205-AY205+BA205&gt;0,O205-AY205+BA205,0)</f>
        <v>0</v>
      </c>
      <c r="BD205" s="370"/>
      <c r="BE205" s="299">
        <f>+BC205+AY205</f>
        <v>0</v>
      </c>
      <c r="BF205" s="370"/>
      <c r="BG205" s="299">
        <f>+O205-BE205</f>
        <v>0</v>
      </c>
    </row>
    <row r="206" spans="1:61" x14ac:dyDescent="0.25">
      <c r="A206" s="370" t="s">
        <v>535</v>
      </c>
      <c r="B206" s="294"/>
      <c r="C206" s="294"/>
      <c r="D206" s="294"/>
      <c r="E206" s="294"/>
      <c r="F206" s="294"/>
      <c r="G206" s="294"/>
      <c r="H206" s="294"/>
      <c r="I206" s="294"/>
      <c r="J206" s="294"/>
      <c r="K206" s="295"/>
      <c r="L206" s="294"/>
      <c r="M206" s="295"/>
      <c r="N206" s="294"/>
      <c r="O206" s="295"/>
      <c r="P206" s="294"/>
      <c r="Q206" s="298"/>
      <c r="R206" s="297"/>
      <c r="S206" s="298"/>
      <c r="T206" s="297"/>
      <c r="U206" s="298"/>
      <c r="V206" s="295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378">
        <f>+[1]Deprec!$D$29</f>
        <v>-1725105.6680733333</v>
      </c>
      <c r="AZ206" s="294"/>
      <c r="BA206" s="298"/>
      <c r="BB206" s="294"/>
      <c r="BC206" s="295"/>
      <c r="BD206" s="294"/>
      <c r="BE206" s="299">
        <f>+AY206</f>
        <v>-1725105.6680733333</v>
      </c>
      <c r="BF206" s="294"/>
      <c r="BG206" s="295"/>
    </row>
    <row r="207" spans="1:61" ht="13.8" thickBot="1" x14ac:dyDescent="0.3">
      <c r="A207" s="180" t="s">
        <v>423</v>
      </c>
      <c r="B207" s="365"/>
      <c r="C207" s="294"/>
      <c r="D207" s="294"/>
      <c r="E207" s="294"/>
      <c r="F207" s="294"/>
      <c r="G207" s="294"/>
      <c r="H207" s="294"/>
      <c r="I207" s="294"/>
      <c r="J207" s="294"/>
      <c r="K207" s="372">
        <f>+K198+K205</f>
        <v>123921212.472</v>
      </c>
      <c r="L207" s="294"/>
      <c r="M207" s="372">
        <f>+M198+M205</f>
        <v>-179227</v>
      </c>
      <c r="N207" s="294"/>
      <c r="O207" s="372">
        <f>+O198+O205</f>
        <v>123741985.472</v>
      </c>
      <c r="P207" s="294"/>
      <c r="Q207" s="298"/>
      <c r="R207" s="297"/>
      <c r="S207" s="298"/>
      <c r="T207" s="297"/>
      <c r="U207" s="298"/>
      <c r="V207" s="295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372">
        <f>+AY198+AY205+AY206</f>
        <v>126053153.32526001</v>
      </c>
      <c r="AZ207" s="294"/>
      <c r="BA207" s="298"/>
      <c r="BB207" s="294"/>
      <c r="BC207" s="372">
        <f>+BC198+BC205</f>
        <v>365879.66199999989</v>
      </c>
      <c r="BD207" s="294"/>
      <c r="BE207" s="372">
        <f>+BE198+BE205+BE206</f>
        <v>126419032.98726001</v>
      </c>
      <c r="BF207" s="294"/>
      <c r="BG207" s="372">
        <f>+BG198+BG205</f>
        <v>-4402153.1833333373</v>
      </c>
    </row>
    <row r="208" spans="1:61" ht="4.5" customHeight="1" thickTop="1" x14ac:dyDescent="0.25">
      <c r="A208" s="344"/>
      <c r="B208" s="346"/>
      <c r="C208" s="294"/>
      <c r="D208" s="294"/>
      <c r="E208" s="294"/>
      <c r="F208" s="294"/>
      <c r="G208" s="294"/>
      <c r="H208" s="294"/>
      <c r="I208" s="294"/>
      <c r="J208" s="294"/>
      <c r="K208" s="295"/>
      <c r="L208" s="294"/>
      <c r="M208" s="295"/>
      <c r="N208" s="294"/>
      <c r="O208" s="295"/>
      <c r="P208" s="294"/>
      <c r="Q208" s="298"/>
      <c r="R208" s="297"/>
      <c r="S208" s="298"/>
      <c r="T208" s="297"/>
      <c r="U208" s="298"/>
      <c r="V208" s="295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5"/>
      <c r="AZ208" s="294"/>
      <c r="BA208" s="298"/>
      <c r="BB208" s="294"/>
      <c r="BC208" s="295"/>
      <c r="BD208" s="294"/>
      <c r="BE208" s="295"/>
      <c r="BF208" s="294"/>
      <c r="BG208" s="295"/>
    </row>
    <row r="209" spans="1:59" ht="13.8" thickBot="1" x14ac:dyDescent="0.3">
      <c r="A209" s="180" t="s">
        <v>421</v>
      </c>
      <c r="B209" s="346"/>
      <c r="C209" s="294"/>
      <c r="D209" s="294"/>
      <c r="E209" s="294"/>
      <c r="F209" s="294"/>
      <c r="G209" s="294"/>
      <c r="H209" s="294"/>
      <c r="I209" s="294"/>
      <c r="J209" s="294"/>
      <c r="K209" s="366">
        <f>K207/$K$3</f>
        <v>270570.33290829696</v>
      </c>
      <c r="L209" s="294"/>
      <c r="M209" s="295"/>
      <c r="N209" s="294"/>
      <c r="O209" s="366">
        <f>O207/$K$3</f>
        <v>270179.00758078601</v>
      </c>
      <c r="P209" s="294"/>
      <c r="Q209" s="298"/>
      <c r="R209" s="297"/>
      <c r="S209" s="298"/>
      <c r="T209" s="297"/>
      <c r="U209" s="298"/>
      <c r="V209" s="295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5"/>
      <c r="AZ209" s="294"/>
      <c r="BA209" s="298"/>
      <c r="BB209" s="294"/>
      <c r="BC209" s="295"/>
      <c r="BD209" s="294"/>
      <c r="BE209" s="366">
        <f>BE207/$K$3</f>
        <v>276024.08949183411</v>
      </c>
      <c r="BF209" s="294"/>
      <c r="BG209" s="295"/>
    </row>
    <row r="210" spans="1:59" x14ac:dyDescent="0.25">
      <c r="A210" s="294"/>
      <c r="B210" s="294"/>
      <c r="C210" s="294"/>
      <c r="D210" s="294"/>
      <c r="E210" s="294"/>
      <c r="F210" s="294"/>
      <c r="G210" s="294"/>
      <c r="H210" s="294"/>
      <c r="I210" s="294"/>
      <c r="J210" s="294"/>
      <c r="K210" s="295"/>
      <c r="L210" s="294"/>
      <c r="M210" s="295"/>
      <c r="N210" s="294"/>
      <c r="O210" s="295"/>
      <c r="P210" s="294"/>
      <c r="Q210" s="298"/>
      <c r="R210" s="297"/>
      <c r="S210" s="298"/>
      <c r="T210" s="297"/>
      <c r="U210" s="298"/>
      <c r="V210" s="295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5"/>
      <c r="AZ210" s="294"/>
      <c r="BA210" s="298"/>
      <c r="BB210" s="294"/>
      <c r="BC210" s="295"/>
      <c r="BD210" s="294"/>
      <c r="BE210" s="295"/>
      <c r="BF210" s="294"/>
      <c r="BG210" s="295"/>
    </row>
    <row r="211" spans="1:59" x14ac:dyDescent="0.25">
      <c r="A211" s="294"/>
      <c r="B211" s="294"/>
      <c r="C211" s="294"/>
      <c r="D211" s="294"/>
      <c r="E211" s="294"/>
      <c r="F211" s="294"/>
      <c r="G211" s="294"/>
      <c r="H211" s="294"/>
      <c r="I211" s="294"/>
      <c r="J211" s="294"/>
      <c r="K211" s="295"/>
      <c r="L211" s="294"/>
      <c r="M211" s="295"/>
      <c r="N211" s="294"/>
      <c r="O211" s="295"/>
      <c r="P211" s="294"/>
      <c r="Q211" s="298"/>
      <c r="R211" s="297"/>
      <c r="S211" s="298"/>
      <c r="T211" s="297"/>
      <c r="U211" s="298"/>
      <c r="V211" s="295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5"/>
      <c r="AZ211" s="294"/>
      <c r="BA211" s="298"/>
      <c r="BB211" s="294"/>
      <c r="BC211" s="295"/>
      <c r="BD211" s="294"/>
      <c r="BE211" s="295"/>
      <c r="BF211" s="294"/>
      <c r="BG211" s="373" t="str">
        <f ca="1">CELL("filename")</f>
        <v>O:\Fin_Ops\Engysvc\PowerPlants\TVA Plants\TVA Draw Schedules\[TVADraw011100.xls]New Albany</v>
      </c>
    </row>
    <row r="212" spans="1:59" x14ac:dyDescent="0.25">
      <c r="A212" s="294"/>
      <c r="B212" s="294"/>
      <c r="C212" s="294"/>
      <c r="D212" s="294"/>
      <c r="E212" s="294"/>
      <c r="F212" s="294"/>
      <c r="G212" s="294"/>
      <c r="H212" s="294"/>
      <c r="I212" s="294"/>
      <c r="J212" s="294"/>
      <c r="K212" s="295"/>
      <c r="L212" s="294"/>
      <c r="M212" s="295"/>
      <c r="N212" s="294"/>
      <c r="O212" s="295"/>
      <c r="P212" s="294"/>
      <c r="Q212" s="298"/>
      <c r="R212" s="297"/>
      <c r="S212" s="298"/>
      <c r="T212" s="297"/>
      <c r="U212" s="298"/>
      <c r="V212" s="295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5"/>
      <c r="AZ212" s="294"/>
      <c r="BA212" s="298"/>
      <c r="BB212" s="294"/>
      <c r="BC212" s="295"/>
      <c r="BD212" s="294"/>
      <c r="BE212" s="295"/>
      <c r="BF212" s="294"/>
      <c r="BG212" s="295"/>
    </row>
    <row r="214" spans="1:59" x14ac:dyDescent="0.25">
      <c r="B214" s="41" t="s">
        <v>474</v>
      </c>
    </row>
    <row r="216" spans="1:59" x14ac:dyDescent="0.25">
      <c r="B216" s="6" t="s">
        <v>475</v>
      </c>
      <c r="O216" s="8">
        <f>885.42+4983.56+68142828.45+19073516.93</f>
        <v>87222214.360000014</v>
      </c>
      <c r="U216" s="131">
        <f>0+0-Q216</f>
        <v>0</v>
      </c>
      <c r="W216" s="131">
        <f>68142828.45-U216</f>
        <v>68142828.450000003</v>
      </c>
      <c r="BE216" s="8">
        <f>4766965.17+121026807.21</f>
        <v>125793772.38</v>
      </c>
    </row>
    <row r="220" spans="1:59" x14ac:dyDescent="0.25">
      <c r="B220" s="6" t="s">
        <v>542</v>
      </c>
      <c r="O220" s="8">
        <f>SUM(O216:O219)</f>
        <v>87222214.360000014</v>
      </c>
      <c r="R220" s="131"/>
      <c r="T220" s="131"/>
      <c r="U220" s="131">
        <f t="shared" ref="U220:Z220" si="29">+U198</f>
        <v>7536552.3799999999</v>
      </c>
      <c r="V220" s="131">
        <f t="shared" si="29"/>
        <v>0</v>
      </c>
      <c r="W220" s="131">
        <f t="shared" si="29"/>
        <v>6111434.6600000001</v>
      </c>
      <c r="X220" s="131">
        <f t="shared" si="29"/>
        <v>0</v>
      </c>
      <c r="Y220" s="131">
        <f t="shared" si="29"/>
        <v>7809255.54</v>
      </c>
      <c r="Z220" s="131">
        <f t="shared" si="29"/>
        <v>0</v>
      </c>
      <c r="BE220" s="8">
        <f>+AY207-AY206-AY115-AY111+U111+Q111</f>
        <v>125793670.49333332</v>
      </c>
    </row>
    <row r="223" spans="1:59" x14ac:dyDescent="0.25">
      <c r="B223" s="6" t="s">
        <v>477</v>
      </c>
      <c r="O223" s="8">
        <f>O220-Q220</f>
        <v>87222214.360000014</v>
      </c>
      <c r="R223" s="131"/>
      <c r="T223" s="131"/>
      <c r="U223" s="131">
        <f t="shared" ref="U223:Z223" si="30">+U216-U220</f>
        <v>-7536552.3799999999</v>
      </c>
      <c r="V223" s="131">
        <f t="shared" si="30"/>
        <v>0</v>
      </c>
      <c r="W223" s="131">
        <f t="shared" si="30"/>
        <v>62031393.790000007</v>
      </c>
      <c r="X223" s="131">
        <f t="shared" si="30"/>
        <v>0</v>
      </c>
      <c r="Y223" s="131">
        <f t="shared" si="30"/>
        <v>-7809255.54</v>
      </c>
      <c r="Z223" s="131">
        <f t="shared" si="30"/>
        <v>0</v>
      </c>
      <c r="BE223" s="8">
        <f>+BE216-BE220</f>
        <v>101.88666667044163</v>
      </c>
    </row>
  </sheetData>
  <printOptions horizontalCentered="1"/>
  <pageMargins left="0.25" right="0.25" top="0.25" bottom="0.25" header="0.5" footer="0.5"/>
  <pageSetup scale="58" fitToHeight="3" orientation="landscape" horizontalDpi="300" verticalDpi="300" r:id="rId1"/>
  <headerFooter alignWithMargins="0"/>
  <rowBreaks count="2" manualBreakCount="2">
    <brk id="109" max="52" man="1"/>
    <brk id="213" max="16383" man="1"/>
  </rowBreaks>
  <colBreaks count="1" manualBreakCount="1">
    <brk id="60" max="1048575" man="1"/>
  </col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224"/>
  <sheetViews>
    <sheetView tabSelected="1" view="pageBreakPreview" zoomScale="75" zoomScaleNormal="75" zoomScaleSheetLayoutView="75" workbookViewId="0">
      <pane xSplit="9" ySplit="6" topLeftCell="AK173" activePane="bottomRight" state="frozen"/>
      <selection activeCell="A16" sqref="A16"/>
      <selection pane="topRight" activeCell="A16" sqref="A16"/>
      <selection pane="bottomLeft" activeCell="A16" sqref="A16"/>
      <selection pane="bottomRight" activeCell="AY208" sqref="AY208"/>
    </sheetView>
  </sheetViews>
  <sheetFormatPr defaultColWidth="9.109375" defaultRowHeight="13.2" x14ac:dyDescent="0.25"/>
  <cols>
    <col min="1" max="1" width="4.6640625" style="6" customWidth="1"/>
    <col min="2" max="2" width="48" style="6" bestFit="1" customWidth="1"/>
    <col min="3" max="3" width="9.44140625" style="6" hidden="1" customWidth="1"/>
    <col min="4" max="4" width="0.88671875" style="6" hidden="1" customWidth="1"/>
    <col min="5" max="5" width="16.88671875" style="6" hidden="1" customWidth="1"/>
    <col min="6" max="6" width="0.88671875" style="6" hidden="1" customWidth="1"/>
    <col min="7" max="7" width="22.5546875" style="7" hidden="1" customWidth="1"/>
    <col min="8" max="8" width="0.88671875" style="6" hidden="1" customWidth="1"/>
    <col min="9" max="9" width="12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6.44140625" style="8" hidden="1" customWidth="1"/>
    <col min="16" max="16" width="3.33203125" style="6" hidden="1" customWidth="1"/>
    <col min="17" max="17" width="19.109375" style="131" hidden="1" customWidth="1"/>
    <col min="18" max="18" width="0.88671875" style="229" hidden="1" customWidth="1"/>
    <col min="19" max="19" width="19.109375" style="131" hidden="1" customWidth="1"/>
    <col min="20" max="20" width="0.88671875" style="229" hidden="1" customWidth="1"/>
    <col min="21" max="21" width="16" style="157" hidden="1" customWidth="1"/>
    <col min="22" max="22" width="0.88671875" style="157" hidden="1" customWidth="1"/>
    <col min="23" max="23" width="16" style="157" hidden="1" customWidth="1"/>
    <col min="24" max="24" width="0.88671875" style="157" hidden="1" customWidth="1"/>
    <col min="25" max="25" width="16" style="157" hidden="1" customWidth="1"/>
    <col min="26" max="26" width="0.88671875" style="157" hidden="1" customWidth="1"/>
    <col min="27" max="27" width="16" style="157" hidden="1" customWidth="1"/>
    <col min="28" max="28" width="0.88671875" style="6" hidden="1" customWidth="1"/>
    <col min="29" max="29" width="16" style="157" hidden="1" customWidth="1"/>
    <col min="30" max="30" width="0.88671875" style="6" hidden="1" customWidth="1"/>
    <col min="31" max="31" width="16" style="157" hidden="1" customWidth="1"/>
    <col min="32" max="32" width="0.5546875" style="157" hidden="1" customWidth="1"/>
    <col min="33" max="33" width="16" style="157" hidden="1" customWidth="1"/>
    <col min="34" max="34" width="1.33203125" style="157" hidden="1" customWidth="1"/>
    <col min="35" max="35" width="16" style="157" hidden="1" customWidth="1"/>
    <col min="36" max="36" width="1.109375" style="157" customWidth="1"/>
    <col min="37" max="37" width="16" style="157" hidden="1" customWidth="1"/>
    <col min="38" max="38" width="1.33203125" style="157" hidden="1" customWidth="1"/>
    <col min="39" max="39" width="17.109375" style="157" hidden="1" customWidth="1"/>
    <col min="40" max="40" width="1.6640625" style="157" hidden="1" customWidth="1"/>
    <col min="41" max="41" width="22.88671875" style="157" hidden="1" customWidth="1"/>
    <col min="42" max="42" width="1.33203125" style="157" hidden="1" customWidth="1"/>
    <col min="43" max="43" width="22.88671875" style="157" hidden="1" customWidth="1"/>
    <col min="44" max="44" width="0.88671875" style="6" hidden="1" customWidth="1"/>
    <col min="45" max="45" width="22.88671875" style="157" hidden="1" customWidth="1"/>
    <col min="46" max="46" width="0.88671875" style="6" hidden="1" customWidth="1"/>
    <col min="47" max="47" width="22.88671875" style="157" hidden="1" customWidth="1"/>
    <col min="48" max="48" width="0.88671875" style="6" hidden="1" customWidth="1"/>
    <col min="49" max="49" width="22.88671875" style="157" hidden="1" customWidth="1"/>
    <col min="50" max="50" width="0.88671875" style="6" customWidth="1"/>
    <col min="51" max="51" width="22" style="6" customWidth="1"/>
    <col min="52" max="52" width="2.6640625" style="6" customWidth="1"/>
    <col min="53" max="53" width="24.5546875" style="157" customWidth="1"/>
    <col min="54" max="54" width="2.6640625" style="6" customWidth="1"/>
    <col min="55" max="55" width="23.5546875" style="6" customWidth="1"/>
    <col min="56" max="56" width="0.88671875" style="6" customWidth="1"/>
    <col min="57" max="57" width="22" style="6" customWidth="1"/>
    <col min="58" max="58" width="3.33203125" style="6" customWidth="1"/>
    <col min="59" max="59" width="15" style="8" bestFit="1" customWidth="1"/>
    <col min="60" max="60" width="0.88671875" style="6" customWidth="1"/>
    <col min="61" max="61" width="50" style="6" hidden="1" customWidth="1"/>
    <col min="62" max="62" width="0" style="6" hidden="1" customWidth="1"/>
    <col min="63" max="16384" width="9.109375" style="6"/>
  </cols>
  <sheetData>
    <row r="1" spans="1:61" s="36" customFormat="1" ht="15.6" x14ac:dyDescent="0.3">
      <c r="A1" s="145" t="str">
        <f>+Summary!A1</f>
        <v>ENRON CAPITAL &amp; TRADE RESOURCES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147"/>
      <c r="Q1" s="148"/>
      <c r="R1" s="226"/>
      <c r="S1" s="148"/>
      <c r="T1" s="226"/>
      <c r="U1" s="168"/>
      <c r="V1" s="168"/>
      <c r="W1" s="168"/>
      <c r="X1" s="168"/>
      <c r="Y1" s="168"/>
      <c r="Z1" s="168"/>
      <c r="AA1" s="168"/>
      <c r="AC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S1" s="168"/>
      <c r="AU1" s="168"/>
      <c r="AW1" s="168"/>
      <c r="BA1" s="168"/>
      <c r="BG1" s="147"/>
    </row>
    <row r="2" spans="1:61" s="36" customFormat="1" ht="15.6" x14ac:dyDescent="0.3">
      <c r="A2" s="145" t="str">
        <f>+Summary!A2</f>
        <v>1999 TVA PEAKING PLANTS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147"/>
      <c r="Q2" s="148"/>
      <c r="R2" s="226"/>
      <c r="S2" s="148"/>
      <c r="T2" s="226"/>
      <c r="U2" s="168"/>
      <c r="V2" s="168"/>
      <c r="W2" s="168"/>
      <c r="X2" s="168"/>
      <c r="Y2" s="168"/>
      <c r="Z2" s="168"/>
      <c r="AA2" s="168"/>
      <c r="AC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S2" s="168"/>
      <c r="AU2" s="168"/>
      <c r="AW2" s="168"/>
      <c r="BA2" s="168"/>
      <c r="BG2" s="147"/>
    </row>
    <row r="3" spans="1:61" s="36" customFormat="1" ht="15.6" x14ac:dyDescent="0.3">
      <c r="A3" s="219" t="s">
        <v>489</v>
      </c>
      <c r="B3" s="3"/>
      <c r="C3" s="3"/>
      <c r="D3" s="3"/>
      <c r="E3" s="3"/>
      <c r="F3" s="3"/>
      <c r="G3" s="3"/>
      <c r="H3" s="3"/>
      <c r="I3" s="3"/>
      <c r="J3" s="3"/>
      <c r="K3" s="3">
        <v>442</v>
      </c>
      <c r="L3" s="3" t="s">
        <v>193</v>
      </c>
      <c r="M3" s="3"/>
      <c r="O3" s="147"/>
      <c r="Q3" s="148"/>
      <c r="R3" s="226"/>
      <c r="S3" s="148"/>
      <c r="T3" s="226"/>
      <c r="U3" s="168"/>
      <c r="V3" s="168"/>
      <c r="W3" s="168"/>
      <c r="X3" s="168"/>
      <c r="Y3" s="168"/>
      <c r="Z3" s="168"/>
      <c r="AA3" s="168"/>
      <c r="AC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S3" s="168"/>
      <c r="AU3" s="168"/>
      <c r="AW3" s="168"/>
      <c r="BA3" s="168"/>
      <c r="BC3" s="170">
        <f ca="1">NOW()</f>
        <v>36536.561047569441</v>
      </c>
      <c r="BE3" s="170"/>
      <c r="BG3" s="169" t="str">
        <f>Summary!A4</f>
        <v>Revision # 60</v>
      </c>
    </row>
    <row r="4" spans="1:61" s="36" customFormat="1" ht="15.6" x14ac:dyDescent="0.3">
      <c r="A4" s="220"/>
      <c r="B4" s="37"/>
      <c r="C4" s="2"/>
      <c r="G4" s="146"/>
      <c r="K4" s="147"/>
      <c r="M4" s="147"/>
      <c r="O4" s="147"/>
      <c r="Q4" s="148"/>
      <c r="R4" s="227"/>
      <c r="S4" s="148"/>
      <c r="T4" s="227"/>
      <c r="U4" s="149" t="s">
        <v>339</v>
      </c>
      <c r="V4" s="148"/>
      <c r="W4" s="149" t="s">
        <v>339</v>
      </c>
      <c r="X4" s="148"/>
      <c r="Y4" s="149" t="s">
        <v>339</v>
      </c>
      <c r="Z4" s="148"/>
      <c r="AA4" s="149" t="s">
        <v>339</v>
      </c>
      <c r="AB4" s="148"/>
      <c r="AC4" s="149" t="s">
        <v>339</v>
      </c>
      <c r="AD4" s="148"/>
      <c r="AE4" s="149" t="s">
        <v>339</v>
      </c>
      <c r="AF4" s="149"/>
      <c r="AG4" s="149" t="s">
        <v>339</v>
      </c>
      <c r="AH4" s="149"/>
      <c r="AI4" s="149" t="s">
        <v>339</v>
      </c>
      <c r="AJ4" s="149"/>
      <c r="AK4" s="149" t="s">
        <v>339</v>
      </c>
      <c r="AL4" s="149"/>
      <c r="AM4" s="149" t="s">
        <v>339</v>
      </c>
      <c r="AN4" s="149"/>
      <c r="AO4" s="149" t="s">
        <v>339</v>
      </c>
      <c r="AP4" s="149"/>
      <c r="AQ4" s="149" t="s">
        <v>339</v>
      </c>
      <c r="AS4" s="149" t="s">
        <v>277</v>
      </c>
      <c r="AU4" s="149" t="s">
        <v>277</v>
      </c>
      <c r="AW4" s="149" t="s">
        <v>277</v>
      </c>
      <c r="AY4" s="150"/>
      <c r="BA4" s="149" t="s">
        <v>346</v>
      </c>
      <c r="BC4" s="150"/>
      <c r="BE4" s="150"/>
      <c r="BG4" s="150"/>
    </row>
    <row r="5" spans="1:61" s="36" customFormat="1" ht="15.6" x14ac:dyDescent="0.3">
      <c r="A5" s="215"/>
      <c r="G5" s="146"/>
      <c r="K5" s="150" t="s">
        <v>0</v>
      </c>
      <c r="M5" s="150"/>
      <c r="O5" s="150" t="s">
        <v>0</v>
      </c>
      <c r="Q5" s="149" t="s">
        <v>190</v>
      </c>
      <c r="R5" s="227"/>
      <c r="S5" s="149" t="s">
        <v>190</v>
      </c>
      <c r="T5" s="227"/>
      <c r="U5" s="149" t="s">
        <v>340</v>
      </c>
      <c r="V5" s="148"/>
      <c r="W5" s="149" t="s">
        <v>340</v>
      </c>
      <c r="X5" s="148"/>
      <c r="Y5" s="149" t="s">
        <v>340</v>
      </c>
      <c r="Z5" s="148"/>
      <c r="AA5" s="149" t="s">
        <v>340</v>
      </c>
      <c r="AB5" s="148"/>
      <c r="AC5" s="149" t="s">
        <v>340</v>
      </c>
      <c r="AD5" s="148"/>
      <c r="AE5" s="149" t="s">
        <v>340</v>
      </c>
      <c r="AF5" s="149"/>
      <c r="AG5" s="149" t="s">
        <v>340</v>
      </c>
      <c r="AH5" s="149"/>
      <c r="AI5" s="149" t="s">
        <v>340</v>
      </c>
      <c r="AJ5" s="149"/>
      <c r="AK5" s="149" t="s">
        <v>340</v>
      </c>
      <c r="AL5" s="149"/>
      <c r="AM5" s="149" t="s">
        <v>340</v>
      </c>
      <c r="AN5" s="149"/>
      <c r="AO5" s="149" t="s">
        <v>340</v>
      </c>
      <c r="AP5" s="149"/>
      <c r="AQ5" s="149" t="s">
        <v>340</v>
      </c>
      <c r="AS5" s="149" t="s">
        <v>340</v>
      </c>
      <c r="AU5" s="149" t="s">
        <v>340</v>
      </c>
      <c r="AW5" s="149" t="s">
        <v>340</v>
      </c>
      <c r="AY5" s="150" t="s">
        <v>190</v>
      </c>
      <c r="BA5" s="149" t="s">
        <v>347</v>
      </c>
      <c r="BC5" s="150" t="s">
        <v>161</v>
      </c>
      <c r="BE5" s="150" t="s">
        <v>367</v>
      </c>
      <c r="BG5" s="150"/>
    </row>
    <row r="6" spans="1:61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53">
        <v>36150</v>
      </c>
      <c r="R6" s="227"/>
      <c r="S6" s="380" t="s">
        <v>540</v>
      </c>
      <c r="T6" s="227"/>
      <c r="U6" s="153">
        <v>36191</v>
      </c>
      <c r="V6" s="154"/>
      <c r="W6" s="153">
        <v>36219</v>
      </c>
      <c r="X6" s="154"/>
      <c r="Y6" s="153">
        <v>36250</v>
      </c>
      <c r="Z6" s="154"/>
      <c r="AA6" s="153">
        <v>36280</v>
      </c>
      <c r="AB6" s="154"/>
      <c r="AC6" s="153">
        <v>36311</v>
      </c>
      <c r="AD6" s="154"/>
      <c r="AE6" s="153">
        <v>36341</v>
      </c>
      <c r="AF6" s="188"/>
      <c r="AG6" s="153">
        <v>36372</v>
      </c>
      <c r="AH6" s="188"/>
      <c r="AI6" s="153">
        <v>36403</v>
      </c>
      <c r="AJ6" s="188"/>
      <c r="AK6" s="153">
        <v>36433</v>
      </c>
      <c r="AL6" s="153"/>
      <c r="AM6" s="153">
        <v>36464</v>
      </c>
      <c r="AN6" s="188"/>
      <c r="AO6" s="153">
        <v>36494</v>
      </c>
      <c r="AP6" s="188"/>
      <c r="AQ6" s="153">
        <v>36525</v>
      </c>
      <c r="AS6" s="153">
        <v>36556</v>
      </c>
      <c r="AU6" s="153">
        <v>36585</v>
      </c>
      <c r="AW6" s="153">
        <v>36616</v>
      </c>
      <c r="AY6" s="155" t="s">
        <v>343</v>
      </c>
      <c r="BA6" s="153" t="s">
        <v>348</v>
      </c>
      <c r="BC6" s="155" t="s">
        <v>110</v>
      </c>
      <c r="BE6" s="155" t="s">
        <v>368</v>
      </c>
      <c r="BG6" s="155" t="s">
        <v>111</v>
      </c>
      <c r="BI6" s="150" t="s">
        <v>5</v>
      </c>
    </row>
    <row r="7" spans="1:61" x14ac:dyDescent="0.25">
      <c r="A7" s="216"/>
      <c r="B7" s="64"/>
      <c r="C7" s="111"/>
      <c r="I7" s="6"/>
      <c r="Q7" s="132" t="s">
        <v>541</v>
      </c>
      <c r="R7" s="228"/>
      <c r="S7" s="132" t="s">
        <v>541</v>
      </c>
      <c r="T7" s="228"/>
      <c r="U7" s="132" t="str">
        <f>+Summary!$O$3</f>
        <v>as of 01/07/00</v>
      </c>
      <c r="V7" s="131"/>
      <c r="W7" s="132" t="str">
        <f>+Summary!$O$3</f>
        <v>as of 01/07/00</v>
      </c>
      <c r="X7" s="131"/>
      <c r="Y7" s="132" t="str">
        <f>+Summary!$O$3</f>
        <v>as of 01/07/00</v>
      </c>
      <c r="Z7" s="131"/>
      <c r="AA7" s="132" t="str">
        <f>+Summary!$O$3</f>
        <v>as of 01/07/00</v>
      </c>
      <c r="AB7" s="131"/>
      <c r="AC7" s="132" t="str">
        <f>+Summary!$O$3</f>
        <v>as of 01/07/00</v>
      </c>
      <c r="AD7" s="131"/>
      <c r="AE7" s="132" t="str">
        <f>+Summary!$O$3</f>
        <v>as of 01/07/00</v>
      </c>
      <c r="AF7" s="132"/>
      <c r="AG7" s="132" t="str">
        <f>+Summary!$O$3</f>
        <v>as of 01/07/00</v>
      </c>
      <c r="AH7" s="132"/>
      <c r="AI7" s="132" t="str">
        <f>+Summary!$O$3</f>
        <v>as of 01/07/00</v>
      </c>
      <c r="AJ7" s="132"/>
      <c r="AK7" s="132" t="str">
        <f>+Summary!$O$3</f>
        <v>as of 01/07/00</v>
      </c>
      <c r="AL7" s="132"/>
      <c r="AM7" s="132" t="str">
        <f>+Summary!$O$3</f>
        <v>as of 01/07/00</v>
      </c>
      <c r="AN7" s="132"/>
      <c r="AO7" s="132" t="str">
        <f>+Summary!$O$3</f>
        <v>as of 01/07/00</v>
      </c>
      <c r="AP7" s="132"/>
      <c r="AQ7" s="132" t="str">
        <f>+Summary!$O$3</f>
        <v>as of 01/07/00</v>
      </c>
      <c r="AS7" s="132" t="str">
        <f>+Summary!$O$3</f>
        <v>as of 01/07/00</v>
      </c>
      <c r="AU7" s="132" t="str">
        <f>+Summary!$O$3</f>
        <v>as of 01/07/00</v>
      </c>
      <c r="AW7" s="132" t="str">
        <f>+Summary!$O$3</f>
        <v>as of 01/07/00</v>
      </c>
      <c r="AY7" s="10" t="str">
        <f>+Summary!$O$3</f>
        <v>as of 01/07/00</v>
      </c>
      <c r="BA7" s="132" t="str">
        <f>+Summary!$O$3</f>
        <v>as of 01/07/00</v>
      </c>
      <c r="BC7" s="10"/>
      <c r="BE7" s="10"/>
      <c r="BG7" s="10"/>
    </row>
    <row r="8" spans="1:61" x14ac:dyDescent="0.25">
      <c r="A8" s="217" t="s">
        <v>6</v>
      </c>
      <c r="B8" s="64"/>
      <c r="C8" s="111"/>
      <c r="G8" s="6"/>
      <c r="I8" s="6"/>
      <c r="K8" s="6"/>
      <c r="M8" s="6"/>
      <c r="O8" s="6"/>
      <c r="Q8" s="157"/>
      <c r="S8" s="157"/>
      <c r="U8" s="131"/>
      <c r="BG8" s="6"/>
    </row>
    <row r="9" spans="1:61" x14ac:dyDescent="0.25">
      <c r="A9" s="218"/>
      <c r="B9" s="31" t="s">
        <v>130</v>
      </c>
      <c r="C9" s="114" t="s">
        <v>131</v>
      </c>
      <c r="E9" s="7" t="s">
        <v>8</v>
      </c>
      <c r="G9" s="7" t="s">
        <v>9</v>
      </c>
      <c r="I9" s="7" t="s">
        <v>119</v>
      </c>
      <c r="K9" s="12">
        <v>99408000</v>
      </c>
      <c r="M9" s="12">
        <v>-408000</v>
      </c>
      <c r="O9" s="12">
        <f>SUM(K9:N9)</f>
        <v>99000000</v>
      </c>
      <c r="Q9" s="131">
        <f>4950000+6831000+6831000+6831000+4950000+6984776.48</f>
        <v>37377776.480000004</v>
      </c>
      <c r="R9" s="240"/>
      <c r="T9" s="240"/>
      <c r="U9" s="131">
        <f>6859219.62</f>
        <v>6859219.6200000001</v>
      </c>
      <c r="W9" s="131">
        <v>6859219.6200000001</v>
      </c>
      <c r="Y9" s="131">
        <v>12326713.52</v>
      </c>
      <c r="AA9" s="131">
        <v>12919709.859999999</v>
      </c>
      <c r="AC9" s="131">
        <v>15213391.9</v>
      </c>
      <c r="AI9" s="131">
        <v>3280101</v>
      </c>
      <c r="AJ9" s="131"/>
      <c r="AK9" s="131"/>
      <c r="AL9" s="131"/>
      <c r="AM9" s="131"/>
      <c r="AN9" s="131"/>
      <c r="AO9" s="131">
        <f>1690348+195000+2687500+279947.92</f>
        <v>4852795.92</v>
      </c>
      <c r="AP9" s="131"/>
      <c r="AQ9" s="131"/>
      <c r="AS9" s="131"/>
      <c r="AU9" s="131"/>
      <c r="AW9" s="131"/>
      <c r="AY9" s="8">
        <f>SUM(P9:AX9)</f>
        <v>99688927.920000002</v>
      </c>
      <c r="BA9" s="131">
        <v>0</v>
      </c>
      <c r="BC9" s="8">
        <f t="shared" ref="BC9:BC16" si="0">IF(+O9-AY9+BA9&gt;0,O9-AY9+BA9,0)</f>
        <v>0</v>
      </c>
      <c r="BE9" s="8">
        <f>+BC9+AY9</f>
        <v>99688927.920000002</v>
      </c>
      <c r="BG9" s="12">
        <f t="shared" ref="BG9:BG21" si="1">O9-AY9-BC9</f>
        <v>-688927.92000000179</v>
      </c>
      <c r="BI9" s="6" t="s">
        <v>511</v>
      </c>
    </row>
    <row r="10" spans="1:61" x14ac:dyDescent="0.25">
      <c r="A10" s="218"/>
      <c r="B10" s="31" t="s">
        <v>132</v>
      </c>
      <c r="C10" s="114" t="s">
        <v>133</v>
      </c>
      <c r="E10" s="7" t="s">
        <v>17</v>
      </c>
      <c r="G10" s="7" t="s">
        <v>9</v>
      </c>
      <c r="I10" s="7" t="s">
        <v>119</v>
      </c>
      <c r="K10" s="5">
        <f>168000-7200</f>
        <v>160800</v>
      </c>
      <c r="M10" s="5"/>
      <c r="O10" s="5">
        <f t="shared" ref="O10:O33" si="2">SUM(K10:N10)</f>
        <v>160800</v>
      </c>
      <c r="U10" s="131"/>
      <c r="W10" s="131"/>
      <c r="AY10" s="8">
        <f t="shared" ref="AY10:AY20" si="3">SUM(P10:AX10)</f>
        <v>0</v>
      </c>
      <c r="BA10" s="131">
        <v>0</v>
      </c>
      <c r="BC10" s="8">
        <f t="shared" si="0"/>
        <v>160800</v>
      </c>
      <c r="BE10" s="8">
        <f t="shared" ref="BE10:BE81" si="4">+BC10+AY10</f>
        <v>160800</v>
      </c>
      <c r="BG10" s="12">
        <f t="shared" si="1"/>
        <v>0</v>
      </c>
    </row>
    <row r="11" spans="1:61" x14ac:dyDescent="0.25">
      <c r="A11" s="218"/>
      <c r="B11" s="31" t="s">
        <v>134</v>
      </c>
      <c r="C11" s="114" t="s">
        <v>133</v>
      </c>
      <c r="E11" s="7" t="s">
        <v>17</v>
      </c>
      <c r="G11" s="7" t="s">
        <v>9</v>
      </c>
      <c r="I11" s="7" t="s">
        <v>119</v>
      </c>
      <c r="K11" s="5">
        <v>11700</v>
      </c>
      <c r="M11" s="5"/>
      <c r="O11" s="5">
        <f t="shared" si="2"/>
        <v>11700</v>
      </c>
      <c r="U11" s="131"/>
      <c r="W11" s="131"/>
      <c r="AY11" s="8">
        <f t="shared" si="3"/>
        <v>0</v>
      </c>
      <c r="BA11" s="131"/>
      <c r="BC11" s="8">
        <f t="shared" si="0"/>
        <v>11700</v>
      </c>
      <c r="BE11" s="8">
        <f t="shared" si="4"/>
        <v>11700</v>
      </c>
      <c r="BG11" s="12">
        <f t="shared" si="1"/>
        <v>0</v>
      </c>
    </row>
    <row r="12" spans="1:61" x14ac:dyDescent="0.25">
      <c r="A12" s="218"/>
      <c r="B12" s="31" t="s">
        <v>135</v>
      </c>
      <c r="C12" s="114" t="s">
        <v>133</v>
      </c>
      <c r="E12" s="7" t="s">
        <v>17</v>
      </c>
      <c r="G12" s="7" t="s">
        <v>9</v>
      </c>
      <c r="I12" s="7" t="s">
        <v>119</v>
      </c>
      <c r="K12" s="5">
        <v>30000</v>
      </c>
      <c r="M12" s="5"/>
      <c r="O12" s="5">
        <f t="shared" si="2"/>
        <v>30000</v>
      </c>
      <c r="U12" s="131"/>
      <c r="W12" s="131"/>
      <c r="AY12" s="8">
        <f t="shared" si="3"/>
        <v>0</v>
      </c>
      <c r="BA12" s="131"/>
      <c r="BC12" s="8">
        <f t="shared" si="0"/>
        <v>30000</v>
      </c>
      <c r="BE12" s="8">
        <f t="shared" si="4"/>
        <v>30000</v>
      </c>
      <c r="BG12" s="12">
        <f t="shared" si="1"/>
        <v>0</v>
      </c>
    </row>
    <row r="13" spans="1:61" x14ac:dyDescent="0.25">
      <c r="A13" s="218"/>
      <c r="B13" s="31" t="s">
        <v>136</v>
      </c>
      <c r="C13" s="114" t="s">
        <v>133</v>
      </c>
      <c r="E13" s="7" t="s">
        <v>17</v>
      </c>
      <c r="G13" s="7" t="s">
        <v>9</v>
      </c>
      <c r="I13" s="7" t="s">
        <v>119</v>
      </c>
      <c r="K13" s="5">
        <v>11400</v>
      </c>
      <c r="M13" s="5"/>
      <c r="O13" s="5">
        <f t="shared" si="2"/>
        <v>11400</v>
      </c>
      <c r="U13" s="131"/>
      <c r="W13" s="131"/>
      <c r="AY13" s="8">
        <f t="shared" si="3"/>
        <v>0</v>
      </c>
      <c r="BA13" s="131"/>
      <c r="BC13" s="8">
        <f t="shared" si="0"/>
        <v>11400</v>
      </c>
      <c r="BE13" s="8">
        <f t="shared" si="4"/>
        <v>11400</v>
      </c>
      <c r="BG13" s="12">
        <f t="shared" si="1"/>
        <v>0</v>
      </c>
    </row>
    <row r="14" spans="1:61" x14ac:dyDescent="0.25">
      <c r="A14" s="218"/>
      <c r="B14" s="31" t="s">
        <v>137</v>
      </c>
      <c r="C14" s="114" t="s">
        <v>133</v>
      </c>
      <c r="E14" s="7" t="s">
        <v>17</v>
      </c>
      <c r="G14" s="7" t="s">
        <v>9</v>
      </c>
      <c r="I14" s="7" t="s">
        <v>119</v>
      </c>
      <c r="K14" s="5">
        <v>11700</v>
      </c>
      <c r="M14" s="5"/>
      <c r="O14" s="5">
        <f t="shared" si="2"/>
        <v>11700</v>
      </c>
      <c r="U14" s="131"/>
      <c r="W14" s="131"/>
      <c r="AY14" s="8">
        <f t="shared" si="3"/>
        <v>0</v>
      </c>
      <c r="BA14" s="131"/>
      <c r="BC14" s="8">
        <f t="shared" si="0"/>
        <v>11700</v>
      </c>
      <c r="BE14" s="8">
        <f t="shared" si="4"/>
        <v>11700</v>
      </c>
      <c r="BG14" s="12">
        <f t="shared" si="1"/>
        <v>0</v>
      </c>
    </row>
    <row r="15" spans="1:61" x14ac:dyDescent="0.25">
      <c r="A15" s="218"/>
      <c r="B15" s="31" t="s">
        <v>138</v>
      </c>
      <c r="C15" s="114" t="s">
        <v>133</v>
      </c>
      <c r="E15" s="7" t="s">
        <v>17</v>
      </c>
      <c r="G15" s="7" t="s">
        <v>9</v>
      </c>
      <c r="I15" s="7" t="s">
        <v>119</v>
      </c>
      <c r="K15" s="5">
        <v>13680</v>
      </c>
      <c r="M15" s="5"/>
      <c r="O15" s="5">
        <f t="shared" si="2"/>
        <v>13680</v>
      </c>
      <c r="U15" s="131"/>
      <c r="W15" s="131"/>
      <c r="AY15" s="8">
        <f t="shared" si="3"/>
        <v>0</v>
      </c>
      <c r="BA15" s="131"/>
      <c r="BC15" s="8">
        <f t="shared" si="0"/>
        <v>13680</v>
      </c>
      <c r="BE15" s="8">
        <f t="shared" si="4"/>
        <v>13680</v>
      </c>
      <c r="BG15" s="12">
        <f t="shared" si="1"/>
        <v>0</v>
      </c>
    </row>
    <row r="16" spans="1:61" x14ac:dyDescent="0.25">
      <c r="A16" s="218"/>
      <c r="B16" s="31" t="s">
        <v>139</v>
      </c>
      <c r="C16" s="114" t="s">
        <v>133</v>
      </c>
      <c r="E16" s="7" t="s">
        <v>17</v>
      </c>
      <c r="G16" s="7" t="s">
        <v>9</v>
      </c>
      <c r="I16" s="7" t="s">
        <v>119</v>
      </c>
      <c r="K16" s="5">
        <v>99900</v>
      </c>
      <c r="M16" s="5"/>
      <c r="O16" s="5">
        <f t="shared" si="2"/>
        <v>99900</v>
      </c>
      <c r="U16" s="131"/>
      <c r="W16" s="131"/>
      <c r="AY16" s="8">
        <f t="shared" si="3"/>
        <v>0</v>
      </c>
      <c r="BA16" s="131"/>
      <c r="BC16" s="8">
        <f t="shared" si="0"/>
        <v>99900</v>
      </c>
      <c r="BE16" s="8">
        <f t="shared" si="4"/>
        <v>99900</v>
      </c>
      <c r="BG16" s="12">
        <f t="shared" si="1"/>
        <v>0</v>
      </c>
    </row>
    <row r="17" spans="1:61" x14ac:dyDescent="0.25">
      <c r="A17" s="218"/>
      <c r="B17" s="31" t="s">
        <v>414</v>
      </c>
      <c r="C17" s="114" t="s">
        <v>133</v>
      </c>
      <c r="E17" s="7" t="s">
        <v>17</v>
      </c>
      <c r="G17" s="7" t="s">
        <v>9</v>
      </c>
      <c r="I17" s="7" t="s">
        <v>119</v>
      </c>
      <c r="K17" s="5">
        <v>0</v>
      </c>
      <c r="M17" s="5"/>
      <c r="O17" s="5">
        <f>SUM(K17:N17)</f>
        <v>0</v>
      </c>
      <c r="U17" s="131"/>
      <c r="W17" s="131"/>
      <c r="AY17" s="8">
        <f t="shared" si="3"/>
        <v>0</v>
      </c>
      <c r="BA17" s="131"/>
      <c r="BC17" s="8">
        <v>-40200</v>
      </c>
      <c r="BE17" s="8">
        <f>+BC17+AY17</f>
        <v>-40200</v>
      </c>
      <c r="BG17" s="12">
        <f t="shared" si="1"/>
        <v>40200</v>
      </c>
      <c r="BI17" s="6" t="s">
        <v>402</v>
      </c>
    </row>
    <row r="18" spans="1:61" x14ac:dyDescent="0.25">
      <c r="A18" s="218"/>
      <c r="B18" s="31" t="s">
        <v>479</v>
      </c>
      <c r="C18" s="114"/>
      <c r="E18" s="7"/>
      <c r="K18" s="5">
        <v>0</v>
      </c>
      <c r="M18" s="5"/>
      <c r="O18" s="5">
        <f>SUM(K18:N18)</f>
        <v>0</v>
      </c>
      <c r="U18" s="131"/>
      <c r="W18" s="131"/>
      <c r="AY18" s="8">
        <f t="shared" si="3"/>
        <v>0</v>
      </c>
      <c r="BA18" s="131">
        <v>31200</v>
      </c>
      <c r="BC18" s="8">
        <f>IF(+O18-AY18+BA18&gt;0,O18-AY18+BA18,0)</f>
        <v>31200</v>
      </c>
      <c r="BE18" s="8">
        <f>+BC18+AY18</f>
        <v>31200</v>
      </c>
      <c r="BG18" s="12">
        <f t="shared" si="1"/>
        <v>-31200</v>
      </c>
    </row>
    <row r="19" spans="1:61" x14ac:dyDescent="0.25">
      <c r="A19" s="218"/>
      <c r="B19" s="31" t="s">
        <v>547</v>
      </c>
      <c r="C19" s="114"/>
      <c r="E19" s="7"/>
      <c r="K19" s="5"/>
      <c r="M19" s="5"/>
      <c r="O19" s="5"/>
      <c r="U19" s="131"/>
      <c r="W19" s="131"/>
      <c r="AO19" s="157">
        <v>1500000</v>
      </c>
      <c r="AY19" s="8">
        <f t="shared" si="3"/>
        <v>1500000</v>
      </c>
      <c r="BA19" s="131">
        <v>1500000</v>
      </c>
      <c r="BC19" s="8">
        <f>IF(+O19-AY19+BA19&gt;0,O19-AY19+BA19,0)</f>
        <v>0</v>
      </c>
      <c r="BE19" s="8">
        <f>+BC19+AY19</f>
        <v>1500000</v>
      </c>
      <c r="BG19" s="12">
        <f t="shared" si="1"/>
        <v>-1500000</v>
      </c>
    </row>
    <row r="20" spans="1:61" x14ac:dyDescent="0.25">
      <c r="A20" s="218"/>
      <c r="B20" s="31" t="s">
        <v>140</v>
      </c>
      <c r="C20" s="114" t="s">
        <v>133</v>
      </c>
      <c r="E20" s="7" t="s">
        <v>17</v>
      </c>
      <c r="G20" s="7" t="s">
        <v>9</v>
      </c>
      <c r="I20" s="7" t="s">
        <v>119</v>
      </c>
      <c r="K20" s="20">
        <v>110000</v>
      </c>
      <c r="L20" s="19"/>
      <c r="M20" s="20"/>
      <c r="N20" s="19"/>
      <c r="O20" s="20">
        <f t="shared" si="2"/>
        <v>110000</v>
      </c>
      <c r="Q20" s="137"/>
      <c r="S20" s="137"/>
      <c r="U20" s="131"/>
      <c r="W20" s="131"/>
      <c r="AY20" s="8">
        <f t="shared" si="3"/>
        <v>0</v>
      </c>
      <c r="BC20" s="8">
        <f>IF(+O20-AY20+BA20&gt;0,O20-AY20+BA20,0)</f>
        <v>110000</v>
      </c>
      <c r="BE20" s="8">
        <f t="shared" si="4"/>
        <v>110000</v>
      </c>
      <c r="BG20" s="12">
        <f t="shared" si="1"/>
        <v>0</v>
      </c>
      <c r="BI20" s="8"/>
    </row>
    <row r="21" spans="1:61" x14ac:dyDescent="0.25">
      <c r="A21" s="218"/>
      <c r="B21" s="115" t="s">
        <v>141</v>
      </c>
      <c r="C21" s="114"/>
      <c r="E21" s="7"/>
      <c r="K21" s="107">
        <f>SUM(K9:K20)</f>
        <v>99857180</v>
      </c>
      <c r="M21" s="138">
        <f>SUM(M9:M20)</f>
        <v>-408000</v>
      </c>
      <c r="O21" s="107">
        <f>SUM(O9:O20)</f>
        <v>99449180</v>
      </c>
      <c r="Q21" s="138">
        <f>SUM(Q9:Q20)</f>
        <v>37377776.480000004</v>
      </c>
      <c r="S21" s="138">
        <f>SUM(S9:S20)</f>
        <v>0</v>
      </c>
      <c r="U21" s="138">
        <f>SUM(U9:U20)</f>
        <v>6859219.6200000001</v>
      </c>
      <c r="W21" s="138">
        <f>SUM(W9:W20)</f>
        <v>6859219.6200000001</v>
      </c>
      <c r="Y21" s="138">
        <f>SUM(Y9:Y20)</f>
        <v>12326713.52</v>
      </c>
      <c r="AA21" s="138">
        <f>SUM(AA9:AA20)</f>
        <v>12919709.859999999</v>
      </c>
      <c r="AC21" s="138">
        <f>SUM(AC9:AC20)</f>
        <v>15213391.9</v>
      </c>
      <c r="AE21" s="138">
        <f>SUM(AE9:AE20)</f>
        <v>0</v>
      </c>
      <c r="AF21" s="135"/>
      <c r="AG21" s="138">
        <f>SUM(AG9:AG20)</f>
        <v>0</v>
      </c>
      <c r="AH21" s="135"/>
      <c r="AI21" s="138">
        <f>SUM(AI9:AI20)</f>
        <v>3280101</v>
      </c>
      <c r="AJ21" s="135"/>
      <c r="AK21" s="138">
        <f>SUM(AK9:AK20)</f>
        <v>0</v>
      </c>
      <c r="AL21" s="138"/>
      <c r="AM21" s="138">
        <f>SUM(AM9:AM20)</f>
        <v>0</v>
      </c>
      <c r="AN21" s="135"/>
      <c r="AO21" s="138">
        <f>SUM(AO9:AO20)</f>
        <v>6352795.9199999999</v>
      </c>
      <c r="AP21" s="135"/>
      <c r="AQ21" s="138">
        <f>SUM(AQ9:AQ20)</f>
        <v>0</v>
      </c>
      <c r="AS21" s="138">
        <f>SUM(AS9:AS20)</f>
        <v>0</v>
      </c>
      <c r="AU21" s="138">
        <f>SUM(AU9:AU20)</f>
        <v>0</v>
      </c>
      <c r="AW21" s="138">
        <f>SUM(AW9:AW20)</f>
        <v>0</v>
      </c>
      <c r="AY21" s="107">
        <f>SUM(AY9:AY20)</f>
        <v>101188927.92</v>
      </c>
      <c r="BA21" s="138">
        <f>SUM(BA9:BA20)</f>
        <v>1531200</v>
      </c>
      <c r="BC21" s="107">
        <f>SUM(BC9:BC20)</f>
        <v>440180</v>
      </c>
      <c r="BE21" s="107">
        <f>SUM(BE9:BE20)</f>
        <v>101629107.92</v>
      </c>
      <c r="BG21" s="107">
        <f t="shared" si="1"/>
        <v>-2179927.9200000018</v>
      </c>
    </row>
    <row r="22" spans="1:61" x14ac:dyDescent="0.25">
      <c r="A22" s="218"/>
      <c r="B22" s="115"/>
      <c r="C22" s="114"/>
      <c r="E22" s="7"/>
      <c r="K22" s="16"/>
      <c r="M22" s="135"/>
      <c r="O22" s="16"/>
      <c r="Q22" s="135"/>
      <c r="S22" s="135"/>
      <c r="U22" s="135"/>
      <c r="W22" s="135"/>
      <c r="Y22" s="135"/>
      <c r="AA22" s="135"/>
      <c r="AC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S22" s="135"/>
      <c r="AU22" s="135"/>
      <c r="AW22" s="135"/>
      <c r="AY22" s="16"/>
      <c r="BA22" s="135"/>
      <c r="BC22" s="16"/>
      <c r="BE22" s="16"/>
      <c r="BG22" s="16"/>
    </row>
    <row r="23" spans="1:61" x14ac:dyDescent="0.25">
      <c r="A23" s="218"/>
      <c r="B23" s="31" t="s">
        <v>13</v>
      </c>
      <c r="C23" s="114" t="s">
        <v>14</v>
      </c>
      <c r="E23" s="7" t="s">
        <v>17</v>
      </c>
      <c r="G23" s="7" t="s">
        <v>9</v>
      </c>
      <c r="I23" s="7" t="s">
        <v>119</v>
      </c>
      <c r="K23" s="5">
        <v>6150000</v>
      </c>
      <c r="M23" s="5"/>
      <c r="O23" s="5">
        <f t="shared" si="2"/>
        <v>6150000</v>
      </c>
      <c r="Q23" s="131">
        <f>202582+953034-714776+922500</f>
        <v>1363340</v>
      </c>
      <c r="R23" s="240"/>
      <c r="T23" s="240"/>
      <c r="U23" s="131">
        <f>615000+1230000</f>
        <v>1845000</v>
      </c>
      <c r="Y23" s="223">
        <v>615000</v>
      </c>
      <c r="AA23" s="223">
        <f>615000+615000</f>
        <v>1230000</v>
      </c>
      <c r="AC23" s="131">
        <f>205000+205000</f>
        <v>410000</v>
      </c>
      <c r="AE23" s="131">
        <f>205000-953034.65+238258.65+314501.46+615000</f>
        <v>419725.46</v>
      </c>
      <c r="AF23" s="131"/>
      <c r="AG23" s="131"/>
      <c r="AH23" s="131"/>
      <c r="AI23" s="131"/>
      <c r="AJ23" s="131"/>
      <c r="AK23" s="131">
        <f>-314501.46-238258.65-133340+953034.65</f>
        <v>266934.54000000004</v>
      </c>
      <c r="AL23" s="131"/>
      <c r="AM23" s="131"/>
      <c r="AN23" s="131"/>
      <c r="AO23" s="131"/>
      <c r="AP23" s="131"/>
      <c r="AQ23" s="131"/>
      <c r="AS23" s="131"/>
      <c r="AU23" s="131"/>
      <c r="AW23" s="131"/>
      <c r="AY23" s="8">
        <f t="shared" ref="AY23:AY33" si="5">SUM(P23:AX23)</f>
        <v>6150000</v>
      </c>
      <c r="BA23" s="131"/>
      <c r="BC23" s="8">
        <f>6150000-AY23</f>
        <v>0</v>
      </c>
      <c r="BE23" s="264">
        <f t="shared" si="4"/>
        <v>6150000</v>
      </c>
      <c r="BG23" s="12">
        <f t="shared" ref="BG23:BG33" si="6">O23-AY23-BC23</f>
        <v>0</v>
      </c>
      <c r="BI23" s="6" t="s">
        <v>509</v>
      </c>
    </row>
    <row r="24" spans="1:61" x14ac:dyDescent="0.25">
      <c r="A24" s="218"/>
      <c r="B24" s="31" t="s">
        <v>16</v>
      </c>
      <c r="C24" s="114" t="s">
        <v>14</v>
      </c>
      <c r="E24" s="7" t="s">
        <v>17</v>
      </c>
      <c r="G24" s="7" t="s">
        <v>9</v>
      </c>
      <c r="I24" s="7" t="s">
        <v>119</v>
      </c>
      <c r="K24" s="5">
        <v>162480</v>
      </c>
      <c r="M24" s="5"/>
      <c r="O24" s="5">
        <f t="shared" si="2"/>
        <v>162480</v>
      </c>
      <c r="Q24" s="131">
        <v>24814.5</v>
      </c>
      <c r="U24" s="131">
        <v>0</v>
      </c>
      <c r="AA24" s="223">
        <v>115801</v>
      </c>
      <c r="AK24" s="131">
        <f>16543+8271.5</f>
        <v>24814.5</v>
      </c>
      <c r="AL24" s="131"/>
      <c r="AM24" s="131"/>
      <c r="AN24" s="131"/>
      <c r="AO24" s="131"/>
      <c r="AP24" s="131"/>
      <c r="AQ24" s="131"/>
      <c r="AS24" s="131"/>
      <c r="AU24" s="131"/>
      <c r="AW24" s="131"/>
      <c r="AY24" s="8">
        <f t="shared" si="5"/>
        <v>165430</v>
      </c>
      <c r="BA24" s="131">
        <v>0</v>
      </c>
      <c r="BC24" s="8">
        <f>165430-AY24</f>
        <v>0</v>
      </c>
      <c r="BE24" s="8">
        <f t="shared" si="4"/>
        <v>165430</v>
      </c>
      <c r="BG24" s="12">
        <f t="shared" si="6"/>
        <v>-2950</v>
      </c>
    </row>
    <row r="25" spans="1:61" x14ac:dyDescent="0.25">
      <c r="A25" s="218"/>
      <c r="B25" s="31" t="s">
        <v>18</v>
      </c>
      <c r="C25" s="114" t="s">
        <v>14</v>
      </c>
      <c r="E25" s="7" t="s">
        <v>17</v>
      </c>
      <c r="G25" s="7" t="s">
        <v>9</v>
      </c>
      <c r="I25" s="7" t="s">
        <v>119</v>
      </c>
      <c r="K25" s="5">
        <v>59780</v>
      </c>
      <c r="M25" s="5"/>
      <c r="O25" s="5">
        <f t="shared" si="2"/>
        <v>59780</v>
      </c>
      <c r="Q25" s="131">
        <v>11303</v>
      </c>
      <c r="U25" s="131">
        <v>0</v>
      </c>
      <c r="AA25" s="223">
        <v>52749.2</v>
      </c>
      <c r="AK25" s="131">
        <f>7535.6+3767.8</f>
        <v>11303.400000000001</v>
      </c>
      <c r="AL25" s="131"/>
      <c r="AM25" s="131"/>
      <c r="AN25" s="131"/>
      <c r="AO25" s="131"/>
      <c r="AP25" s="131"/>
      <c r="AQ25" s="131"/>
      <c r="AS25" s="131"/>
      <c r="AU25" s="131"/>
      <c r="AW25" s="131"/>
      <c r="AY25" s="8">
        <f t="shared" si="5"/>
        <v>75355.600000000006</v>
      </c>
      <c r="BA25" s="131">
        <v>0</v>
      </c>
      <c r="BC25" s="8">
        <f>75356-AY25</f>
        <v>0.39999999999417923</v>
      </c>
      <c r="BE25" s="8">
        <f t="shared" si="4"/>
        <v>75356</v>
      </c>
      <c r="BG25" s="12">
        <f t="shared" si="6"/>
        <v>-15576</v>
      </c>
    </row>
    <row r="26" spans="1:61" x14ac:dyDescent="0.25">
      <c r="A26" s="218"/>
      <c r="B26" s="31" t="s">
        <v>19</v>
      </c>
      <c r="C26" s="114" t="s">
        <v>14</v>
      </c>
      <c r="E26" s="7" t="s">
        <v>15</v>
      </c>
      <c r="G26" s="7" t="s">
        <v>9</v>
      </c>
      <c r="I26" s="7" t="s">
        <v>119</v>
      </c>
      <c r="K26" s="8">
        <v>3320690</v>
      </c>
      <c r="O26" s="8">
        <f t="shared" si="2"/>
        <v>3320690</v>
      </c>
      <c r="Q26" s="131">
        <f>251841+246262.5</f>
        <v>498103.5</v>
      </c>
      <c r="U26" s="131">
        <f>293814.5+293814.5+293814.5+293814.5+494525+492525</f>
        <v>2162308</v>
      </c>
      <c r="AC26" s="131">
        <f>164175</f>
        <v>164175</v>
      </c>
      <c r="AI26" s="131"/>
      <c r="AJ26" s="131"/>
      <c r="AK26" s="131">
        <f>167894+162175+83947+82087.5</f>
        <v>496103.5</v>
      </c>
      <c r="AL26" s="131"/>
      <c r="AM26" s="131"/>
      <c r="AN26" s="131"/>
      <c r="AO26" s="131"/>
      <c r="AP26" s="131"/>
      <c r="AQ26" s="131"/>
      <c r="AS26" s="131"/>
      <c r="AU26" s="131"/>
      <c r="AW26" s="131"/>
      <c r="AY26" s="8">
        <f t="shared" si="5"/>
        <v>3320690</v>
      </c>
      <c r="BA26" s="131">
        <v>0</v>
      </c>
      <c r="BC26" s="8">
        <f>1678940+1641750-AY26</f>
        <v>0</v>
      </c>
      <c r="BE26" s="8">
        <f t="shared" si="4"/>
        <v>3320690</v>
      </c>
      <c r="BG26" s="12">
        <f t="shared" si="6"/>
        <v>0</v>
      </c>
    </row>
    <row r="27" spans="1:61" x14ac:dyDescent="0.25">
      <c r="A27" s="218"/>
      <c r="B27" s="31" t="s">
        <v>512</v>
      </c>
      <c r="C27" s="114"/>
      <c r="E27" s="7"/>
      <c r="O27" s="8">
        <f t="shared" si="2"/>
        <v>0</v>
      </c>
      <c r="U27" s="131"/>
      <c r="AC27" s="131"/>
      <c r="AY27" s="8">
        <f t="shared" si="5"/>
        <v>0</v>
      </c>
      <c r="BA27" s="131">
        <v>0</v>
      </c>
      <c r="BC27" s="8">
        <v>0</v>
      </c>
      <c r="BE27" s="8">
        <f t="shared" si="4"/>
        <v>0</v>
      </c>
      <c r="BG27" s="12">
        <f t="shared" si="6"/>
        <v>0</v>
      </c>
    </row>
    <row r="28" spans="1:61" x14ac:dyDescent="0.25">
      <c r="A28" s="218"/>
      <c r="B28" s="31" t="s">
        <v>513</v>
      </c>
      <c r="C28" s="114"/>
      <c r="E28" s="7"/>
      <c r="O28" s="8">
        <f t="shared" si="2"/>
        <v>0</v>
      </c>
      <c r="U28" s="131"/>
      <c r="AC28" s="131">
        <v>141000</v>
      </c>
      <c r="AK28" s="131">
        <v>301800</v>
      </c>
      <c r="AL28" s="131"/>
      <c r="AM28" s="131"/>
      <c r="AN28" s="131"/>
      <c r="AO28" s="131"/>
      <c r="AP28" s="131"/>
      <c r="AQ28" s="131"/>
      <c r="AS28" s="131"/>
      <c r="AU28" s="131"/>
      <c r="AW28" s="131"/>
      <c r="AY28" s="8">
        <f t="shared" si="5"/>
        <v>442800</v>
      </c>
      <c r="BA28" s="131">
        <v>0</v>
      </c>
      <c r="BC28" s="8">
        <f>442800-AY28</f>
        <v>0</v>
      </c>
      <c r="BE28" s="8">
        <f t="shared" si="4"/>
        <v>442800</v>
      </c>
      <c r="BG28" s="12">
        <f t="shared" si="6"/>
        <v>-442800</v>
      </c>
    </row>
    <row r="29" spans="1:61" x14ac:dyDescent="0.25">
      <c r="A29" s="218"/>
      <c r="B29" s="31" t="s">
        <v>20</v>
      </c>
      <c r="C29" s="114" t="s">
        <v>14</v>
      </c>
      <c r="E29" s="7" t="s">
        <v>17</v>
      </c>
      <c r="G29" s="7" t="s">
        <v>9</v>
      </c>
      <c r="I29" s="7" t="s">
        <v>21</v>
      </c>
      <c r="K29" s="5">
        <v>25000</v>
      </c>
      <c r="M29" s="5"/>
      <c r="O29" s="5">
        <f t="shared" si="2"/>
        <v>25000</v>
      </c>
      <c r="U29" s="131"/>
      <c r="AY29" s="8">
        <f t="shared" si="5"/>
        <v>0</v>
      </c>
      <c r="BA29" s="131">
        <v>0</v>
      </c>
      <c r="BC29" s="8">
        <v>0</v>
      </c>
      <c r="BE29" s="8">
        <f t="shared" si="4"/>
        <v>0</v>
      </c>
      <c r="BG29" s="12">
        <f t="shared" si="6"/>
        <v>25000</v>
      </c>
    </row>
    <row r="30" spans="1:61" x14ac:dyDescent="0.25">
      <c r="A30" s="218"/>
      <c r="B30" s="31" t="s">
        <v>22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146850</v>
      </c>
      <c r="M30" s="5"/>
      <c r="O30" s="5">
        <f t="shared" si="2"/>
        <v>146850</v>
      </c>
      <c r="U30" s="131"/>
      <c r="AY30" s="8">
        <f t="shared" si="5"/>
        <v>0</v>
      </c>
      <c r="BA30" s="131">
        <v>0</v>
      </c>
      <c r="BC30" s="8">
        <v>0</v>
      </c>
      <c r="BE30" s="8">
        <f t="shared" si="4"/>
        <v>0</v>
      </c>
      <c r="BG30" s="12">
        <f t="shared" si="6"/>
        <v>146850</v>
      </c>
    </row>
    <row r="31" spans="1:61" x14ac:dyDescent="0.25">
      <c r="A31" s="221"/>
      <c r="B31" s="117" t="s">
        <v>23</v>
      </c>
      <c r="C31" s="118" t="s">
        <v>14</v>
      </c>
      <c r="E31" s="7" t="s">
        <v>17</v>
      </c>
      <c r="G31" s="7" t="s">
        <v>9</v>
      </c>
      <c r="I31" s="7" t="s">
        <v>119</v>
      </c>
      <c r="K31" s="5">
        <v>154950</v>
      </c>
      <c r="M31" s="5"/>
      <c r="O31" s="5">
        <f t="shared" si="2"/>
        <v>154950</v>
      </c>
      <c r="U31" s="131"/>
      <c r="AY31" s="8">
        <f t="shared" si="5"/>
        <v>0</v>
      </c>
      <c r="BA31" s="131">
        <v>0</v>
      </c>
      <c r="BC31" s="8">
        <v>0</v>
      </c>
      <c r="BE31" s="8">
        <f t="shared" si="4"/>
        <v>0</v>
      </c>
      <c r="BG31" s="12">
        <f t="shared" si="6"/>
        <v>154950</v>
      </c>
    </row>
    <row r="32" spans="1:61" x14ac:dyDescent="0.25">
      <c r="A32" s="221"/>
      <c r="B32" s="117" t="s">
        <v>24</v>
      </c>
      <c r="C32" s="118" t="s">
        <v>14</v>
      </c>
      <c r="E32" s="7" t="s">
        <v>17</v>
      </c>
      <c r="G32" s="7" t="s">
        <v>9</v>
      </c>
      <c r="I32" s="7" t="s">
        <v>21</v>
      </c>
      <c r="K32" s="5">
        <v>10000</v>
      </c>
      <c r="M32" s="5"/>
      <c r="O32" s="5">
        <f t="shared" si="2"/>
        <v>10000</v>
      </c>
      <c r="U32" s="131"/>
      <c r="AY32" s="8">
        <f t="shared" si="5"/>
        <v>0</v>
      </c>
      <c r="BA32" s="131">
        <v>0</v>
      </c>
      <c r="BC32" s="8">
        <v>0</v>
      </c>
      <c r="BE32" s="8">
        <f t="shared" si="4"/>
        <v>0</v>
      </c>
      <c r="BG32" s="12">
        <f t="shared" si="6"/>
        <v>10000</v>
      </c>
    </row>
    <row r="33" spans="1:61" x14ac:dyDescent="0.25">
      <c r="A33" s="218"/>
      <c r="B33" s="31" t="s">
        <v>25</v>
      </c>
      <c r="C33" s="114" t="s">
        <v>14</v>
      </c>
      <c r="E33" s="7" t="s">
        <v>17</v>
      </c>
      <c r="G33" s="7" t="s">
        <v>9</v>
      </c>
      <c r="I33" s="7" t="s">
        <v>21</v>
      </c>
      <c r="K33" s="13">
        <v>20000</v>
      </c>
      <c r="M33" s="13"/>
      <c r="O33" s="13">
        <f t="shared" si="2"/>
        <v>20000</v>
      </c>
      <c r="Q33" s="133"/>
      <c r="S33" s="133"/>
      <c r="U33" s="131"/>
      <c r="AC33" s="131">
        <f>53300+53300</f>
        <v>106600</v>
      </c>
      <c r="AE33" s="131">
        <v>25845</v>
      </c>
      <c r="AY33" s="8">
        <f t="shared" si="5"/>
        <v>132445</v>
      </c>
      <c r="BA33" s="131">
        <v>0</v>
      </c>
      <c r="BC33" s="8">
        <f>IF(+O33-AY33+BA33&gt;0,O33-AY33+BA33,0)</f>
        <v>0</v>
      </c>
      <c r="BE33" s="8">
        <f t="shared" si="4"/>
        <v>132445</v>
      </c>
      <c r="BG33" s="35">
        <f t="shared" si="6"/>
        <v>-112445</v>
      </c>
    </row>
    <row r="34" spans="1:61" x14ac:dyDescent="0.25">
      <c r="A34" s="218"/>
      <c r="B34" s="115" t="s">
        <v>142</v>
      </c>
      <c r="C34" s="114"/>
      <c r="E34" s="7"/>
      <c r="K34" s="16">
        <f>SUM(K23:K33)</f>
        <v>10049750</v>
      </c>
      <c r="M34" s="16">
        <f>SUM(M23:M33)</f>
        <v>0</v>
      </c>
      <c r="O34" s="16">
        <f>SUM(O23:O33)</f>
        <v>10049750</v>
      </c>
      <c r="Q34" s="135">
        <f>SUM(Q23:Q33)</f>
        <v>1897561</v>
      </c>
      <c r="S34" s="135">
        <f>SUM(S23:S33)</f>
        <v>0</v>
      </c>
      <c r="U34" s="138">
        <f>SUM(U23:U33)</f>
        <v>4007308</v>
      </c>
      <c r="W34" s="138">
        <f>SUM(W23:W33)</f>
        <v>0</v>
      </c>
      <c r="Y34" s="138">
        <f>SUM(Y23:Y33)</f>
        <v>615000</v>
      </c>
      <c r="AA34" s="138">
        <f>SUM(AA23:AA33)</f>
        <v>1398550.2</v>
      </c>
      <c r="AC34" s="138">
        <f>SUM(AC23:AC33)</f>
        <v>821775</v>
      </c>
      <c r="AE34" s="138">
        <f>SUM(AE23:AE33)</f>
        <v>445570.46</v>
      </c>
      <c r="AF34" s="135"/>
      <c r="AG34" s="138">
        <f>SUM(AG23:AG33)</f>
        <v>0</v>
      </c>
      <c r="AH34" s="135"/>
      <c r="AI34" s="138">
        <f>SUM(AI23:AI33)</f>
        <v>0</v>
      </c>
      <c r="AJ34" s="135"/>
      <c r="AK34" s="138">
        <f>SUM(AK23:AK33)</f>
        <v>1100955.94</v>
      </c>
      <c r="AL34" s="138"/>
      <c r="AM34" s="138">
        <f>SUM(AM23:AM33)</f>
        <v>0</v>
      </c>
      <c r="AN34" s="135"/>
      <c r="AO34" s="138">
        <f>SUM(AO23:AO33)</f>
        <v>0</v>
      </c>
      <c r="AP34" s="135"/>
      <c r="AQ34" s="138">
        <f>SUM(AQ23:AQ33)</f>
        <v>0</v>
      </c>
      <c r="AS34" s="138">
        <f>SUM(AS23:AS33)</f>
        <v>0</v>
      </c>
      <c r="AU34" s="138">
        <f>SUM(AU23:AU33)</f>
        <v>0</v>
      </c>
      <c r="AW34" s="138">
        <f>SUM(AW23:AW33)</f>
        <v>0</v>
      </c>
      <c r="AY34" s="107">
        <f>SUM(AY23:AY33)</f>
        <v>10286720.6</v>
      </c>
      <c r="BA34" s="138">
        <f>SUM(BA23:BA33)</f>
        <v>0</v>
      </c>
      <c r="BC34" s="107">
        <f>SUM(BC23:BC33)</f>
        <v>0.39999999999417923</v>
      </c>
      <c r="BE34" s="107">
        <f>SUM(BE23:BE33)</f>
        <v>10286721</v>
      </c>
      <c r="BG34" s="12">
        <f>SUM(BG23:BG33)</f>
        <v>-236971</v>
      </c>
    </row>
    <row r="35" spans="1:61" x14ac:dyDescent="0.25">
      <c r="A35" s="218"/>
      <c r="B35" s="115"/>
      <c r="C35" s="114"/>
      <c r="E35" s="7"/>
      <c r="K35" s="16"/>
      <c r="M35" s="16"/>
      <c r="O35" s="16"/>
      <c r="Q35" s="135"/>
      <c r="S35" s="135"/>
      <c r="U35" s="135"/>
      <c r="W35" s="135"/>
      <c r="Y35" s="135"/>
      <c r="AA35" s="135"/>
      <c r="AC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S35" s="135"/>
      <c r="AU35" s="135"/>
      <c r="AW35" s="135"/>
      <c r="AY35" s="16"/>
      <c r="BA35" s="135"/>
      <c r="BC35" s="16"/>
      <c r="BE35" s="16"/>
      <c r="BG35" s="12"/>
    </row>
    <row r="36" spans="1:61" x14ac:dyDescent="0.25">
      <c r="A36" s="216"/>
      <c r="B36" s="162" t="s">
        <v>26</v>
      </c>
      <c r="C36" s="114"/>
      <c r="E36" s="7"/>
      <c r="K36" s="15">
        <f>K34+K21</f>
        <v>109906930</v>
      </c>
      <c r="M36" s="15">
        <f>M34+M21</f>
        <v>-408000</v>
      </c>
      <c r="O36" s="15">
        <f>O34+O21</f>
        <v>109498930</v>
      </c>
      <c r="Q36" s="134">
        <f>Q34+Q21</f>
        <v>39275337.480000004</v>
      </c>
      <c r="S36" s="134">
        <f>S34+S21</f>
        <v>0</v>
      </c>
      <c r="U36" s="134">
        <f>U34+U21</f>
        <v>10866527.620000001</v>
      </c>
      <c r="W36" s="134">
        <f>W34+W21</f>
        <v>6859219.6200000001</v>
      </c>
      <c r="Y36" s="134">
        <f>Y34+Y21</f>
        <v>12941713.52</v>
      </c>
      <c r="AA36" s="134">
        <f>AA34+AA21</f>
        <v>14318260.059999999</v>
      </c>
      <c r="AC36" s="134">
        <f>AC34+AC21</f>
        <v>16035166.9</v>
      </c>
      <c r="AE36" s="134">
        <f>AE34+AE21</f>
        <v>445570.46</v>
      </c>
      <c r="AF36" s="134"/>
      <c r="AG36" s="134">
        <f>AG34+AG21</f>
        <v>0</v>
      </c>
      <c r="AH36" s="134"/>
      <c r="AI36" s="134">
        <f>AI34+AI21</f>
        <v>3280101</v>
      </c>
      <c r="AJ36" s="134"/>
      <c r="AK36" s="134">
        <f>AK34+AK21</f>
        <v>1100955.94</v>
      </c>
      <c r="AL36" s="134"/>
      <c r="AM36" s="134">
        <f>AM34+AM21</f>
        <v>0</v>
      </c>
      <c r="AN36" s="134"/>
      <c r="AO36" s="134">
        <f>AO34+AO21</f>
        <v>6352795.9199999999</v>
      </c>
      <c r="AP36" s="134"/>
      <c r="AQ36" s="134">
        <f>AQ34+AQ21</f>
        <v>0</v>
      </c>
      <c r="AS36" s="134">
        <f>AS34+AS21</f>
        <v>0</v>
      </c>
      <c r="AU36" s="134">
        <f>AU34+AU21</f>
        <v>0</v>
      </c>
      <c r="AW36" s="134">
        <f>AW34+AW21</f>
        <v>0</v>
      </c>
      <c r="AY36" s="15">
        <f>AY34+AY21</f>
        <v>111475648.52</v>
      </c>
      <c r="BA36" s="131">
        <f>BA34+BA21</f>
        <v>1531200</v>
      </c>
      <c r="BC36" s="15">
        <f>BC34+BC21</f>
        <v>440180.4</v>
      </c>
      <c r="BE36" s="15">
        <f t="shared" si="4"/>
        <v>111915828.92</v>
      </c>
      <c r="BG36" s="12">
        <f>O36-AY36-BC36</f>
        <v>-2416898.9199999957</v>
      </c>
      <c r="BI36" s="80" t="s">
        <v>403</v>
      </c>
    </row>
    <row r="37" spans="1:61" x14ac:dyDescent="0.25">
      <c r="A37" s="221"/>
      <c r="B37" s="117"/>
      <c r="C37" s="118"/>
      <c r="E37" s="7"/>
      <c r="U37" s="131"/>
      <c r="BA37" s="131"/>
    </row>
    <row r="38" spans="1:61" x14ac:dyDescent="0.25">
      <c r="A38" s="217" t="s">
        <v>27</v>
      </c>
      <c r="B38" s="19"/>
      <c r="C38" s="114">
        <v>0</v>
      </c>
      <c r="E38" s="7"/>
      <c r="U38" s="131"/>
      <c r="AE38" s="131"/>
      <c r="AF38" s="131"/>
      <c r="AG38" s="131"/>
      <c r="AH38" s="131"/>
      <c r="AI38" s="131"/>
      <c r="AJ38" s="131"/>
      <c r="AK38" s="131"/>
      <c r="AL38" s="131"/>
      <c r="AM38" s="131"/>
      <c r="AN38" s="131"/>
      <c r="AO38" s="131"/>
      <c r="AP38" s="131"/>
      <c r="AQ38" s="131"/>
      <c r="AS38" s="131"/>
      <c r="AU38" s="131"/>
      <c r="AW38" s="131"/>
      <c r="BA38" s="131"/>
    </row>
    <row r="39" spans="1:61" x14ac:dyDescent="0.25">
      <c r="A39" s="222"/>
      <c r="B39" s="31" t="s">
        <v>28</v>
      </c>
      <c r="C39" s="114" t="s">
        <v>29</v>
      </c>
      <c r="E39" s="7" t="s">
        <v>17</v>
      </c>
      <c r="G39" s="7" t="s">
        <v>37</v>
      </c>
      <c r="I39" s="7" t="s">
        <v>21</v>
      </c>
      <c r="K39" s="5">
        <v>251225</v>
      </c>
      <c r="M39" s="5">
        <f>397500-251225</f>
        <v>146275</v>
      </c>
      <c r="O39" s="5">
        <f>SUM(K39:N39)</f>
        <v>397500</v>
      </c>
      <c r="Q39" s="143"/>
      <c r="R39" s="240"/>
      <c r="S39" s="143">
        <f>43345.07+12903.68+6992.95+33155.2+39118.25+1430</f>
        <v>136945.15</v>
      </c>
      <c r="T39" s="240"/>
      <c r="U39" s="131">
        <v>0</v>
      </c>
      <c r="AE39" s="131">
        <f>45198.48+49849.04+48291.76+29357.99+56561.66</f>
        <v>229258.93</v>
      </c>
      <c r="AF39" s="131"/>
      <c r="AG39" s="143">
        <f>51276.66+54982.95</f>
        <v>106259.61</v>
      </c>
      <c r="AH39" s="143"/>
      <c r="AI39" s="143">
        <v>39750.6</v>
      </c>
      <c r="AJ39" s="143"/>
      <c r="AK39" s="143"/>
      <c r="AL39" s="143"/>
      <c r="AM39" s="143">
        <v>16656.849999999999</v>
      </c>
      <c r="AN39" s="143"/>
      <c r="AO39" s="143">
        <v>4851.78</v>
      </c>
      <c r="AP39" s="143"/>
      <c r="AQ39" s="143">
        <v>1424.38</v>
      </c>
      <c r="AS39" s="143"/>
      <c r="AU39" s="143"/>
      <c r="AW39" s="143"/>
      <c r="AY39" s="8">
        <f>SUM(P39:AX39)</f>
        <v>535147.29999999993</v>
      </c>
      <c r="BA39" s="131">
        <f>451000-397500+62200+22800-2277+3390</f>
        <v>139613</v>
      </c>
      <c r="BC39" s="8">
        <f>IF(+O39-AY39+BA39&gt;0,O39-AY39+BA39,0)</f>
        <v>1965.7000000000698</v>
      </c>
      <c r="BE39" s="8">
        <f t="shared" si="4"/>
        <v>537113</v>
      </c>
      <c r="BG39" s="12">
        <f>O39-AY39-BC39</f>
        <v>-139613</v>
      </c>
      <c r="BI39" s="131"/>
    </row>
    <row r="40" spans="1:61" x14ac:dyDescent="0.25">
      <c r="A40" s="222"/>
      <c r="B40" s="31" t="s">
        <v>30</v>
      </c>
      <c r="C40" s="114" t="s">
        <v>29</v>
      </c>
      <c r="E40" s="7" t="s">
        <v>17</v>
      </c>
      <c r="G40" s="7" t="s">
        <v>37</v>
      </c>
      <c r="I40" s="7" t="s">
        <v>21</v>
      </c>
      <c r="K40" s="5">
        <v>6500</v>
      </c>
      <c r="M40" s="5">
        <v>5700</v>
      </c>
      <c r="O40" s="5">
        <f>SUM(K40:N40)</f>
        <v>12200</v>
      </c>
      <c r="Q40" s="143"/>
      <c r="S40" s="143"/>
      <c r="U40" s="131"/>
      <c r="AE40" s="131"/>
      <c r="AY40" s="8">
        <f>SUM(P40:AX40)</f>
        <v>0</v>
      </c>
      <c r="BA40" s="131">
        <v>-12200</v>
      </c>
      <c r="BC40" s="8">
        <f>IF(+O40-AY40+BA40&gt;0,O40-AY40+BA40,0)</f>
        <v>0</v>
      </c>
      <c r="BE40" s="8">
        <f t="shared" si="4"/>
        <v>0</v>
      </c>
      <c r="BG40" s="12">
        <f>O40-AY40-BC40</f>
        <v>12200</v>
      </c>
    </row>
    <row r="41" spans="1:61" x14ac:dyDescent="0.25">
      <c r="A41" s="120"/>
      <c r="B41" s="31" t="s">
        <v>31</v>
      </c>
      <c r="C41" s="114" t="s">
        <v>29</v>
      </c>
      <c r="E41" s="7" t="s">
        <v>17</v>
      </c>
      <c r="G41" s="7" t="s">
        <v>37</v>
      </c>
      <c r="I41" s="7" t="s">
        <v>21</v>
      </c>
      <c r="K41" s="5">
        <v>24500</v>
      </c>
      <c r="M41" s="5">
        <v>0</v>
      </c>
      <c r="O41" s="5">
        <f>SUM(K41:N41)</f>
        <v>24500</v>
      </c>
      <c r="Q41" s="143"/>
      <c r="S41" s="143"/>
      <c r="U41" s="131"/>
      <c r="AE41" s="131">
        <f>9495.51+12545.77+1664.69</f>
        <v>23705.969999999998</v>
      </c>
      <c r="AG41" s="131">
        <f>1308.97+13891.32</f>
        <v>15200.289999999999</v>
      </c>
      <c r="AH41" s="131"/>
      <c r="AI41" s="131">
        <v>157.27000000000001</v>
      </c>
      <c r="AJ41" s="131"/>
      <c r="AK41" s="131"/>
      <c r="AL41" s="131"/>
      <c r="AM41" s="131"/>
      <c r="AN41" s="131"/>
      <c r="AO41" s="131"/>
      <c r="AP41" s="131"/>
      <c r="AQ41" s="131"/>
      <c r="AS41" s="131"/>
      <c r="AU41" s="131"/>
      <c r="AW41" s="131"/>
      <c r="AY41" s="8">
        <f>SUM(P41:AX41)</f>
        <v>39063.529999999992</v>
      </c>
      <c r="BA41" s="131">
        <f>47300-24500-8236</f>
        <v>14564</v>
      </c>
      <c r="BC41" s="8">
        <f>IF(+O41-AY41+BA41&gt;0,O41-AY41+BA41,0)</f>
        <v>0.47000000000844011</v>
      </c>
      <c r="BE41" s="8">
        <f t="shared" si="4"/>
        <v>39064</v>
      </c>
      <c r="BG41" s="12">
        <f>O41-AY41-BC41</f>
        <v>-14564</v>
      </c>
    </row>
    <row r="42" spans="1:61" x14ac:dyDescent="0.25">
      <c r="A42" s="120"/>
      <c r="B42" s="31" t="s">
        <v>32</v>
      </c>
      <c r="C42" s="114" t="s">
        <v>29</v>
      </c>
      <c r="E42" s="7" t="s">
        <v>17</v>
      </c>
      <c r="G42" s="6"/>
      <c r="I42" s="7" t="s">
        <v>21</v>
      </c>
      <c r="K42" s="20">
        <v>113050</v>
      </c>
      <c r="M42" s="20">
        <f>115300-113050</f>
        <v>2250</v>
      </c>
      <c r="O42" s="20">
        <f>SUM(K42:N42)</f>
        <v>115300</v>
      </c>
      <c r="Q42" s="173"/>
      <c r="R42" s="240"/>
      <c r="S42" s="173">
        <f>7097.31+2098.7</f>
        <v>9196.01</v>
      </c>
      <c r="T42" s="240"/>
      <c r="U42" s="131">
        <v>0</v>
      </c>
      <c r="AE42" s="131">
        <f>4812.18+5088.42+8316.9+668.53+9939.82</f>
        <v>28825.85</v>
      </c>
      <c r="AG42" s="131">
        <f>9621.68+12783.45</f>
        <v>22405.13</v>
      </c>
      <c r="AH42" s="131"/>
      <c r="AI42" s="131">
        <v>1614.84</v>
      </c>
      <c r="AJ42" s="131"/>
      <c r="AK42" s="131"/>
      <c r="AL42" s="131"/>
      <c r="AM42" s="131">
        <v>10762.23</v>
      </c>
      <c r="AN42" s="131"/>
      <c r="AO42" s="131">
        <v>6032.65</v>
      </c>
      <c r="AP42" s="131"/>
      <c r="AQ42" s="131"/>
      <c r="AS42" s="131"/>
      <c r="AU42" s="131"/>
      <c r="AW42" s="131"/>
      <c r="AY42" s="8">
        <f>SUM(P42:AX42)</f>
        <v>78836.709999999992</v>
      </c>
      <c r="BA42" s="131">
        <f>137000-115300-50000</f>
        <v>-28300</v>
      </c>
      <c r="BC42" s="8">
        <f>IF(+O42-AY42+BA42&gt;0,O42-AY42+BA42,0)</f>
        <v>8163.2900000000081</v>
      </c>
      <c r="BE42" s="8">
        <f t="shared" si="4"/>
        <v>87000</v>
      </c>
      <c r="BG42" s="12">
        <f>O42-AY42-BC42</f>
        <v>28300</v>
      </c>
    </row>
    <row r="43" spans="1:61" x14ac:dyDescent="0.25">
      <c r="A43" s="120"/>
      <c r="B43" s="273" t="s">
        <v>143</v>
      </c>
      <c r="C43" s="114"/>
      <c r="E43" s="7"/>
      <c r="G43" s="6"/>
      <c r="K43" s="13">
        <v>0</v>
      </c>
      <c r="M43" s="13">
        <v>70600</v>
      </c>
      <c r="O43" s="13">
        <f>SUM(K43:N43)</f>
        <v>70600</v>
      </c>
      <c r="Q43" s="144"/>
      <c r="S43" s="144">
        <v>87652.89</v>
      </c>
      <c r="U43" s="131"/>
      <c r="AE43" s="131">
        <v>35124.32</v>
      </c>
      <c r="AY43" s="8">
        <f>SUM(P43:AX43)</f>
        <v>122777.20999999999</v>
      </c>
      <c r="BA43" s="131">
        <f>122777-70600</f>
        <v>52177</v>
      </c>
      <c r="BC43" s="8">
        <f>IF(+O43-AY43+BA43&gt;0,O43-AY43+BA43,0)</f>
        <v>0</v>
      </c>
      <c r="BE43" s="8">
        <f t="shared" si="4"/>
        <v>122777.20999999999</v>
      </c>
      <c r="BG43" s="35">
        <f>O43-AY43-BC43</f>
        <v>-52177.209999999992</v>
      </c>
    </row>
    <row r="44" spans="1:61" x14ac:dyDescent="0.25">
      <c r="A44" s="17"/>
      <c r="B44" s="31" t="s">
        <v>33</v>
      </c>
      <c r="C44" s="114"/>
      <c r="E44" s="7"/>
      <c r="G44" s="6"/>
      <c r="K44" s="15">
        <f>SUM(K39:K43)</f>
        <v>395275</v>
      </c>
      <c r="M44" s="15">
        <f>SUM(M39:M43)</f>
        <v>224825</v>
      </c>
      <c r="O44" s="15">
        <f>SUM(O39:O43)</f>
        <v>620100</v>
      </c>
      <c r="Q44" s="134">
        <f>SUM(Q39:Q43)</f>
        <v>0</v>
      </c>
      <c r="R44" s="240"/>
      <c r="S44" s="134">
        <f>SUM(S39:S43)</f>
        <v>233794.05</v>
      </c>
      <c r="T44" s="240"/>
      <c r="U44" s="138">
        <f>SUM(U39:U43)</f>
        <v>0</v>
      </c>
      <c r="W44" s="138">
        <f>SUM(W39:W43)</f>
        <v>0</v>
      </c>
      <c r="Y44" s="138">
        <f>SUM(Y39:Y43)</f>
        <v>0</v>
      </c>
      <c r="AA44" s="138">
        <f>SUM(AA39:AA43)</f>
        <v>0</v>
      </c>
      <c r="AC44" s="138">
        <f>SUM(AC39:AC43)</f>
        <v>0</v>
      </c>
      <c r="AE44" s="138">
        <f>SUM(AE39:AE43)</f>
        <v>316915.07</v>
      </c>
      <c r="AF44" s="135"/>
      <c r="AG44" s="138">
        <f>SUM(AG39:AG43)</f>
        <v>143865.03</v>
      </c>
      <c r="AH44" s="135"/>
      <c r="AI44" s="138">
        <f>SUM(AI39:AI43)</f>
        <v>41522.709999999992</v>
      </c>
      <c r="AJ44" s="135"/>
      <c r="AK44" s="138">
        <f>SUM(AK39:AK43)</f>
        <v>0</v>
      </c>
      <c r="AL44" s="138"/>
      <c r="AM44" s="138">
        <f>SUM(AM39:AM43)</f>
        <v>27419.079999999998</v>
      </c>
      <c r="AN44" s="135"/>
      <c r="AO44" s="138">
        <f>SUM(AO39:AO43)</f>
        <v>10884.43</v>
      </c>
      <c r="AP44" s="135"/>
      <c r="AQ44" s="138">
        <f>SUM(AQ39:AQ43)</f>
        <v>1424.38</v>
      </c>
      <c r="AS44" s="138">
        <f>SUM(AS39:AS43)</f>
        <v>0</v>
      </c>
      <c r="AU44" s="138">
        <f>SUM(AU39:AU43)</f>
        <v>0</v>
      </c>
      <c r="AW44" s="138">
        <f>SUM(AW39:AW43)</f>
        <v>0</v>
      </c>
      <c r="AY44" s="107">
        <f>SUM(AY39:AY43)</f>
        <v>775824.74999999988</v>
      </c>
      <c r="BA44" s="138">
        <f>SUM(BA39:BA43)</f>
        <v>165854</v>
      </c>
      <c r="BC44" s="107">
        <f>SUM(BC39:BC43)</f>
        <v>10129.460000000086</v>
      </c>
      <c r="BE44" s="107">
        <f>SUM(BE39:BE43)</f>
        <v>785954.21</v>
      </c>
      <c r="BG44" s="107">
        <f>SUM(BG39:BG43)</f>
        <v>-165854.21</v>
      </c>
    </row>
    <row r="45" spans="1:61" x14ac:dyDescent="0.25">
      <c r="A45" s="120"/>
      <c r="B45" s="31"/>
      <c r="C45" s="114"/>
      <c r="E45" s="7"/>
      <c r="G45" s="6"/>
      <c r="U45" s="131"/>
    </row>
    <row r="46" spans="1:61" x14ac:dyDescent="0.25">
      <c r="A46" s="113"/>
      <c r="B46" s="31"/>
      <c r="C46" s="114"/>
      <c r="E46" s="7"/>
      <c r="U46" s="131"/>
    </row>
    <row r="47" spans="1:61" x14ac:dyDescent="0.25">
      <c r="A47" s="112" t="s">
        <v>34</v>
      </c>
      <c r="B47" s="31"/>
      <c r="C47" s="114"/>
      <c r="E47" s="7"/>
      <c r="G47" s="6"/>
      <c r="U47" s="131"/>
    </row>
    <row r="48" spans="1:61" x14ac:dyDescent="0.25">
      <c r="A48" s="112"/>
      <c r="B48" s="31" t="s">
        <v>212</v>
      </c>
      <c r="C48" s="114" t="s">
        <v>36</v>
      </c>
      <c r="E48" s="7" t="s">
        <v>17</v>
      </c>
      <c r="G48" s="7" t="s">
        <v>254</v>
      </c>
      <c r="K48" s="5">
        <v>21792</v>
      </c>
      <c r="O48" s="5">
        <f t="shared" ref="O48:O69" si="7">SUM(K48:N48)</f>
        <v>21792</v>
      </c>
      <c r="Q48" s="157"/>
      <c r="R48" s="241"/>
      <c r="S48" s="157"/>
      <c r="T48" s="241"/>
      <c r="U48" s="131">
        <v>0</v>
      </c>
      <c r="V48" s="131"/>
      <c r="W48" s="131"/>
      <c r="X48" s="131"/>
      <c r="Y48" s="131"/>
      <c r="Z48" s="131"/>
      <c r="AA48" s="131"/>
      <c r="AB48" s="8"/>
      <c r="AC48" s="131"/>
      <c r="AD48" s="8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  <c r="AP48" s="131"/>
      <c r="AQ48" s="131"/>
      <c r="AR48" s="8"/>
      <c r="AS48" s="131"/>
      <c r="AT48" s="8"/>
      <c r="AU48" s="131"/>
      <c r="AV48" s="8"/>
      <c r="AW48" s="131"/>
      <c r="AX48" s="8"/>
      <c r="AY48" s="8">
        <f t="shared" ref="AY48:AY69" si="8">SUM(P48:AX48)</f>
        <v>0</v>
      </c>
      <c r="AZ48" s="8"/>
      <c r="BA48" s="131">
        <f>78000-21792+14000+22229+2000-116229</f>
        <v>-21792</v>
      </c>
      <c r="BB48" s="8"/>
      <c r="BC48" s="8">
        <f t="shared" ref="BC48:BC69" si="9">IF(+O48-AY48+BA48&gt;0,O48-AY48+BA48,0)</f>
        <v>0</v>
      </c>
      <c r="BD48" s="8"/>
      <c r="BE48" s="8">
        <f t="shared" si="4"/>
        <v>0</v>
      </c>
      <c r="BF48" s="8"/>
      <c r="BG48" s="12">
        <f t="shared" ref="BG48:BG70" si="10">O48-AY48-BC48</f>
        <v>21792</v>
      </c>
    </row>
    <row r="49" spans="1:60" x14ac:dyDescent="0.25">
      <c r="A49" s="112"/>
      <c r="B49" s="31" t="s">
        <v>213</v>
      </c>
      <c r="C49" s="114"/>
      <c r="E49" s="7" t="s">
        <v>17</v>
      </c>
      <c r="G49" s="7" t="s">
        <v>254</v>
      </c>
      <c r="K49" s="5">
        <v>785499</v>
      </c>
      <c r="O49" s="5">
        <f t="shared" si="7"/>
        <v>785499</v>
      </c>
      <c r="Q49" s="157"/>
      <c r="R49" s="228"/>
      <c r="S49" s="157"/>
      <c r="T49" s="228"/>
      <c r="U49" s="131">
        <f>40600</f>
        <v>40600</v>
      </c>
      <c r="V49" s="131"/>
      <c r="W49" s="131"/>
      <c r="X49" s="131"/>
      <c r="Y49" s="131"/>
      <c r="Z49" s="131"/>
      <c r="AA49" s="131"/>
      <c r="AB49" s="8"/>
      <c r="AC49" s="131"/>
      <c r="AD49" s="8"/>
      <c r="AE49" s="131"/>
      <c r="AF49" s="131"/>
      <c r="AG49" s="131">
        <v>-40600</v>
      </c>
      <c r="AH49" s="131"/>
      <c r="AI49" s="131"/>
      <c r="AJ49" s="131"/>
      <c r="AK49" s="131"/>
      <c r="AL49" s="131"/>
      <c r="AM49" s="131"/>
      <c r="AN49" s="131"/>
      <c r="AO49" s="131"/>
      <c r="AP49" s="131"/>
      <c r="AQ49" s="131"/>
      <c r="AR49" s="8"/>
      <c r="AS49" s="131"/>
      <c r="AT49" s="8"/>
      <c r="AU49" s="131"/>
      <c r="AV49" s="8"/>
      <c r="AW49" s="131"/>
      <c r="AX49" s="8"/>
      <c r="AY49" s="8">
        <f t="shared" si="8"/>
        <v>0</v>
      </c>
      <c r="AZ49" s="8"/>
      <c r="BA49" s="131">
        <f>625130-785499+5000-1100+2000-631030</f>
        <v>-785499</v>
      </c>
      <c r="BB49" s="8"/>
      <c r="BC49" s="8">
        <f t="shared" si="9"/>
        <v>0</v>
      </c>
      <c r="BD49" s="8"/>
      <c r="BE49" s="8">
        <f t="shared" si="4"/>
        <v>0</v>
      </c>
      <c r="BF49" s="8"/>
      <c r="BG49" s="12">
        <f t="shared" si="10"/>
        <v>785499</v>
      </c>
    </row>
    <row r="50" spans="1:60" x14ac:dyDescent="0.25">
      <c r="A50" s="112"/>
      <c r="B50" s="31" t="s">
        <v>214</v>
      </c>
      <c r="C50" s="114"/>
      <c r="E50" s="7" t="s">
        <v>17</v>
      </c>
      <c r="G50" s="7" t="s">
        <v>254</v>
      </c>
      <c r="K50" s="5">
        <v>18330</v>
      </c>
      <c r="O50" s="5">
        <f t="shared" si="7"/>
        <v>18330</v>
      </c>
      <c r="Q50" s="157"/>
      <c r="R50" s="228"/>
      <c r="S50" s="157"/>
      <c r="T50" s="228"/>
      <c r="U50" s="131"/>
      <c r="V50" s="131"/>
      <c r="W50" s="131"/>
      <c r="X50" s="131"/>
      <c r="Y50" s="131"/>
      <c r="Z50" s="131"/>
      <c r="AA50" s="131"/>
      <c r="AB50" s="8"/>
      <c r="AC50" s="131"/>
      <c r="AD50" s="8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  <c r="AP50" s="131"/>
      <c r="AQ50" s="131"/>
      <c r="AR50" s="8"/>
      <c r="AS50" s="131"/>
      <c r="AT50" s="8"/>
      <c r="AU50" s="131"/>
      <c r="AV50" s="8"/>
      <c r="AW50" s="131"/>
      <c r="AX50" s="8"/>
      <c r="AY50" s="8">
        <f t="shared" si="8"/>
        <v>0</v>
      </c>
      <c r="AZ50" s="8"/>
      <c r="BA50" s="131">
        <f>23860-18330+500+4000-28360</f>
        <v>-18330</v>
      </c>
      <c r="BB50" s="8"/>
      <c r="BC50" s="8">
        <f t="shared" si="9"/>
        <v>0</v>
      </c>
      <c r="BD50" s="8"/>
      <c r="BE50" s="8">
        <f t="shared" si="4"/>
        <v>0</v>
      </c>
      <c r="BF50" s="8"/>
      <c r="BG50" s="12">
        <f t="shared" si="10"/>
        <v>18330</v>
      </c>
    </row>
    <row r="51" spans="1:60" x14ac:dyDescent="0.25">
      <c r="A51" s="112"/>
      <c r="B51" s="31" t="s">
        <v>215</v>
      </c>
      <c r="C51" s="114"/>
      <c r="E51" s="7" t="s">
        <v>17</v>
      </c>
      <c r="G51" s="7" t="s">
        <v>254</v>
      </c>
      <c r="K51" s="5">
        <v>357180</v>
      </c>
      <c r="O51" s="5">
        <f t="shared" si="7"/>
        <v>357180</v>
      </c>
      <c r="Q51" s="157"/>
      <c r="R51" s="228"/>
      <c r="S51" s="157"/>
      <c r="T51" s="228"/>
      <c r="U51" s="131">
        <v>53.62</v>
      </c>
      <c r="V51" s="131"/>
      <c r="W51" s="131">
        <f>137615+1665.8</f>
        <v>139280.79999999999</v>
      </c>
      <c r="X51" s="131"/>
      <c r="Y51" s="131"/>
      <c r="Z51" s="131"/>
      <c r="AA51" s="131"/>
      <c r="AB51" s="8"/>
      <c r="AC51" s="131"/>
      <c r="AD51" s="8"/>
      <c r="AE51" s="131"/>
      <c r="AF51" s="131"/>
      <c r="AG51" s="131">
        <v>-139334</v>
      </c>
      <c r="AH51" s="131"/>
      <c r="AI51" s="131"/>
      <c r="AJ51" s="131"/>
      <c r="AK51" s="131"/>
      <c r="AL51" s="131"/>
      <c r="AM51" s="131"/>
      <c r="AN51" s="131"/>
      <c r="AO51" s="131"/>
      <c r="AP51" s="131"/>
      <c r="AQ51" s="131"/>
      <c r="AR51" s="8"/>
      <c r="AS51" s="131"/>
      <c r="AT51" s="8"/>
      <c r="AU51" s="131"/>
      <c r="AV51" s="8"/>
      <c r="AW51" s="131"/>
      <c r="AX51" s="8"/>
      <c r="AY51" s="8">
        <f t="shared" si="8"/>
        <v>0.41999999998370185</v>
      </c>
      <c r="AZ51" s="8"/>
      <c r="BA51" s="131">
        <f>226692-357180-3886-222806</f>
        <v>-357180</v>
      </c>
      <c r="BB51" s="8"/>
      <c r="BC51" s="8">
        <f t="shared" si="9"/>
        <v>0</v>
      </c>
      <c r="BD51" s="8"/>
      <c r="BE51" s="8">
        <f t="shared" si="4"/>
        <v>0.41999999998370185</v>
      </c>
      <c r="BF51" s="8"/>
      <c r="BG51" s="12">
        <f t="shared" si="10"/>
        <v>357179.58</v>
      </c>
    </row>
    <row r="52" spans="1:60" x14ac:dyDescent="0.25">
      <c r="A52" s="112"/>
      <c r="B52" s="31" t="s">
        <v>225</v>
      </c>
      <c r="C52" s="114"/>
      <c r="E52" s="7" t="s">
        <v>17</v>
      </c>
      <c r="G52" s="7" t="s">
        <v>254</v>
      </c>
      <c r="K52" s="5">
        <v>125690</v>
      </c>
      <c r="O52" s="5">
        <f t="shared" si="7"/>
        <v>125690</v>
      </c>
      <c r="Q52" s="157"/>
      <c r="R52" s="228"/>
      <c r="S52" s="157"/>
      <c r="T52" s="228"/>
      <c r="U52" s="131"/>
      <c r="V52" s="131"/>
      <c r="W52" s="131"/>
      <c r="X52" s="131"/>
      <c r="Y52" s="131"/>
      <c r="Z52" s="131"/>
      <c r="AA52" s="131"/>
      <c r="AB52" s="8"/>
      <c r="AC52" s="131"/>
      <c r="AD52" s="8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  <c r="AP52" s="131"/>
      <c r="AQ52" s="131"/>
      <c r="AR52" s="8"/>
      <c r="AS52" s="131"/>
      <c r="AT52" s="8"/>
      <c r="AU52" s="131"/>
      <c r="AV52" s="8"/>
      <c r="AW52" s="131"/>
      <c r="AX52" s="8"/>
      <c r="AY52" s="8">
        <f t="shared" si="8"/>
        <v>0</v>
      </c>
      <c r="AZ52" s="8"/>
      <c r="BA52" s="131">
        <v>-125690</v>
      </c>
      <c r="BB52" s="8"/>
      <c r="BC52" s="8">
        <f t="shared" si="9"/>
        <v>0</v>
      </c>
      <c r="BD52" s="8"/>
      <c r="BE52" s="8">
        <f t="shared" si="4"/>
        <v>0</v>
      </c>
      <c r="BF52" s="8"/>
      <c r="BG52" s="12">
        <f t="shared" si="10"/>
        <v>125690</v>
      </c>
    </row>
    <row r="53" spans="1:60" x14ac:dyDescent="0.25">
      <c r="A53" s="112"/>
      <c r="B53" s="31" t="s">
        <v>216</v>
      </c>
      <c r="C53" s="114"/>
      <c r="E53" s="7" t="s">
        <v>17</v>
      </c>
      <c r="G53" s="7" t="s">
        <v>254</v>
      </c>
      <c r="K53" s="5">
        <v>2762</v>
      </c>
      <c r="O53" s="5">
        <f t="shared" si="7"/>
        <v>2762</v>
      </c>
      <c r="Q53" s="157"/>
      <c r="R53" s="228"/>
      <c r="S53" s="157"/>
      <c r="T53" s="228"/>
      <c r="U53" s="131">
        <f>13144+9858</f>
        <v>23002</v>
      </c>
      <c r="V53" s="131"/>
      <c r="W53" s="131">
        <v>26288</v>
      </c>
      <c r="X53" s="131"/>
      <c r="Y53" s="131"/>
      <c r="Z53" s="131"/>
      <c r="AA53" s="131"/>
      <c r="AB53" s="8"/>
      <c r="AC53" s="131"/>
      <c r="AD53" s="8"/>
      <c r="AE53" s="131"/>
      <c r="AF53" s="131"/>
      <c r="AG53" s="131">
        <v>-49290</v>
      </c>
      <c r="AH53" s="131"/>
      <c r="AI53" s="131"/>
      <c r="AJ53" s="131"/>
      <c r="AK53" s="131"/>
      <c r="AL53" s="131"/>
      <c r="AM53" s="131"/>
      <c r="AN53" s="131"/>
      <c r="AO53" s="131"/>
      <c r="AP53" s="131"/>
      <c r="AQ53" s="131"/>
      <c r="AR53" s="8"/>
      <c r="AS53" s="131"/>
      <c r="AT53" s="8"/>
      <c r="AU53" s="131"/>
      <c r="AV53" s="8"/>
      <c r="AW53" s="131"/>
      <c r="AX53" s="8"/>
      <c r="AY53" s="8">
        <f t="shared" si="8"/>
        <v>0</v>
      </c>
      <c r="AZ53" s="8"/>
      <c r="BA53" s="131">
        <f>99951-2762+916-100867</f>
        <v>-2762</v>
      </c>
      <c r="BB53" s="8"/>
      <c r="BC53" s="8">
        <f t="shared" si="9"/>
        <v>0</v>
      </c>
      <c r="BD53" s="8">
        <v>0</v>
      </c>
      <c r="BE53" s="8">
        <f t="shared" si="4"/>
        <v>0</v>
      </c>
      <c r="BF53" s="8"/>
      <c r="BG53" s="12">
        <f t="shared" si="10"/>
        <v>2762</v>
      </c>
      <c r="BH53" s="6">
        <v>0</v>
      </c>
    </row>
    <row r="54" spans="1:60" x14ac:dyDescent="0.25">
      <c r="A54" s="112"/>
      <c r="B54" s="31" t="s">
        <v>404</v>
      </c>
      <c r="C54" s="114"/>
      <c r="E54" s="7" t="s">
        <v>17</v>
      </c>
      <c r="G54" s="7" t="s">
        <v>254</v>
      </c>
      <c r="K54" s="5">
        <v>0</v>
      </c>
      <c r="O54" s="5">
        <f>SUM(K54:N54)</f>
        <v>0</v>
      </c>
      <c r="Q54" s="157"/>
      <c r="R54" s="228"/>
      <c r="S54" s="157"/>
      <c r="T54" s="228"/>
      <c r="U54" s="131">
        <v>0</v>
      </c>
      <c r="V54" s="131"/>
      <c r="W54" s="131"/>
      <c r="X54" s="131"/>
      <c r="Y54" s="131"/>
      <c r="Z54" s="131"/>
      <c r="AA54" s="131"/>
      <c r="AB54" s="8"/>
      <c r="AC54" s="131"/>
      <c r="AD54" s="8"/>
      <c r="AE54" s="131"/>
      <c r="AF54" s="131"/>
      <c r="AG54" s="131"/>
      <c r="AH54" s="131"/>
      <c r="AI54" s="131"/>
      <c r="AJ54" s="131"/>
      <c r="AK54" s="131"/>
      <c r="AL54" s="131"/>
      <c r="AM54" s="131"/>
      <c r="AN54" s="131"/>
      <c r="AO54" s="131"/>
      <c r="AP54" s="131"/>
      <c r="AQ54" s="131"/>
      <c r="AR54" s="8"/>
      <c r="AS54" s="131"/>
      <c r="AT54" s="8"/>
      <c r="AU54" s="131"/>
      <c r="AV54" s="8"/>
      <c r="AW54" s="131"/>
      <c r="AX54" s="8"/>
      <c r="AY54" s="8">
        <f t="shared" si="8"/>
        <v>0</v>
      </c>
      <c r="AZ54" s="8"/>
      <c r="BA54" s="131">
        <f>2891+920+3000+6700-13511</f>
        <v>0</v>
      </c>
      <c r="BB54" s="8"/>
      <c r="BC54" s="8">
        <f t="shared" si="9"/>
        <v>0</v>
      </c>
      <c r="BD54" s="8"/>
      <c r="BE54" s="8">
        <f>+BC54+AY54</f>
        <v>0</v>
      </c>
      <c r="BF54" s="8"/>
      <c r="BG54" s="12">
        <f t="shared" si="10"/>
        <v>0</v>
      </c>
    </row>
    <row r="55" spans="1:60" x14ac:dyDescent="0.25">
      <c r="A55" s="112"/>
      <c r="B55" s="31" t="s">
        <v>425</v>
      </c>
      <c r="C55" s="114"/>
      <c r="E55" s="7"/>
      <c r="G55" s="7" t="s">
        <v>254</v>
      </c>
      <c r="K55" s="5">
        <v>0</v>
      </c>
      <c r="O55" s="5">
        <v>0</v>
      </c>
      <c r="Q55" s="157"/>
      <c r="R55" s="228"/>
      <c r="S55" s="157"/>
      <c r="T55" s="228"/>
      <c r="U55" s="131"/>
      <c r="V55" s="131"/>
      <c r="W55" s="131"/>
      <c r="X55" s="131"/>
      <c r="Y55" s="131"/>
      <c r="Z55" s="131"/>
      <c r="AA55" s="131"/>
      <c r="AB55" s="8"/>
      <c r="AC55" s="131"/>
      <c r="AD55" s="8"/>
      <c r="AE55" s="131"/>
      <c r="AF55" s="131"/>
      <c r="AG55" s="131"/>
      <c r="AH55" s="131"/>
      <c r="AI55" s="131"/>
      <c r="AJ55" s="131"/>
      <c r="AK55" s="131"/>
      <c r="AL55" s="131"/>
      <c r="AM55" s="131"/>
      <c r="AN55" s="131"/>
      <c r="AO55" s="131"/>
      <c r="AP55" s="131"/>
      <c r="AQ55" s="131"/>
      <c r="AR55" s="8"/>
      <c r="AS55" s="131"/>
      <c r="AT55" s="8"/>
      <c r="AU55" s="131"/>
      <c r="AV55" s="8"/>
      <c r="AW55" s="131"/>
      <c r="AX55" s="8"/>
      <c r="AY55" s="8">
        <f t="shared" si="8"/>
        <v>0</v>
      </c>
      <c r="AZ55" s="8"/>
      <c r="BA55" s="131">
        <f>920-920</f>
        <v>0</v>
      </c>
      <c r="BB55" s="8"/>
      <c r="BC55" s="8">
        <f t="shared" si="9"/>
        <v>0</v>
      </c>
      <c r="BD55" s="8"/>
      <c r="BE55" s="8">
        <f>+BC55+AY55</f>
        <v>0</v>
      </c>
      <c r="BF55" s="8"/>
      <c r="BG55" s="12">
        <f t="shared" si="10"/>
        <v>0</v>
      </c>
    </row>
    <row r="56" spans="1:60" x14ac:dyDescent="0.25">
      <c r="A56" s="112"/>
      <c r="B56" s="31" t="s">
        <v>217</v>
      </c>
      <c r="C56" s="114"/>
      <c r="E56" s="7" t="s">
        <v>17</v>
      </c>
      <c r="G56" s="7" t="s">
        <v>254</v>
      </c>
      <c r="K56" s="5">
        <v>192677</v>
      </c>
      <c r="O56" s="5">
        <f t="shared" si="7"/>
        <v>192677</v>
      </c>
      <c r="Q56" s="157"/>
      <c r="R56" s="228"/>
      <c r="S56" s="157"/>
      <c r="T56" s="228"/>
      <c r="U56" s="131"/>
      <c r="V56" s="131"/>
      <c r="W56" s="131"/>
      <c r="X56" s="131"/>
      <c r="Y56" s="131"/>
      <c r="Z56" s="131"/>
      <c r="AA56" s="131"/>
      <c r="AB56" s="8"/>
      <c r="AC56" s="131"/>
      <c r="AD56" s="8"/>
      <c r="AE56" s="131"/>
      <c r="AF56" s="131"/>
      <c r="AG56" s="131"/>
      <c r="AH56" s="131"/>
      <c r="AI56" s="131"/>
      <c r="AJ56" s="131"/>
      <c r="AK56" s="131"/>
      <c r="AL56" s="131"/>
      <c r="AM56" s="131"/>
      <c r="AN56" s="131"/>
      <c r="AO56" s="131"/>
      <c r="AP56" s="131"/>
      <c r="AQ56" s="131"/>
      <c r="AR56" s="8"/>
      <c r="AS56" s="131"/>
      <c r="AT56" s="8"/>
      <c r="AU56" s="131"/>
      <c r="AV56" s="8"/>
      <c r="AW56" s="131"/>
      <c r="AX56" s="8"/>
      <c r="AY56" s="8">
        <f t="shared" si="8"/>
        <v>0</v>
      </c>
      <c r="AZ56" s="8"/>
      <c r="BA56" s="131">
        <f>121350-192677-7000+8318-122668</f>
        <v>-192677</v>
      </c>
      <c r="BB56" s="8"/>
      <c r="BC56" s="8">
        <f t="shared" si="9"/>
        <v>0</v>
      </c>
      <c r="BD56" s="8"/>
      <c r="BE56" s="8">
        <f t="shared" si="4"/>
        <v>0</v>
      </c>
      <c r="BF56" s="8"/>
      <c r="BG56" s="12">
        <f t="shared" si="10"/>
        <v>192677</v>
      </c>
    </row>
    <row r="57" spans="1:60" x14ac:dyDescent="0.25">
      <c r="A57" s="112"/>
      <c r="B57" s="31" t="s">
        <v>428</v>
      </c>
      <c r="C57" s="114"/>
      <c r="E57" s="7" t="s">
        <v>17</v>
      </c>
      <c r="G57" s="7" t="s">
        <v>254</v>
      </c>
      <c r="K57" s="5">
        <v>30000</v>
      </c>
      <c r="O57" s="5">
        <f t="shared" si="7"/>
        <v>30000</v>
      </c>
      <c r="Q57" s="157"/>
      <c r="R57" s="228"/>
      <c r="S57" s="157"/>
      <c r="T57" s="228"/>
      <c r="U57" s="131"/>
      <c r="V57" s="131"/>
      <c r="W57" s="131"/>
      <c r="X57" s="131"/>
      <c r="Y57" s="131"/>
      <c r="Z57" s="131"/>
      <c r="AA57" s="131"/>
      <c r="AB57" s="8"/>
      <c r="AC57" s="131"/>
      <c r="AD57" s="8"/>
      <c r="AE57" s="131"/>
      <c r="AF57" s="131"/>
      <c r="AG57" s="131"/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8"/>
      <c r="AS57" s="131"/>
      <c r="AT57" s="8"/>
      <c r="AU57" s="131"/>
      <c r="AV57" s="8"/>
      <c r="AW57" s="131"/>
      <c r="AX57" s="8"/>
      <c r="AY57" s="8">
        <f t="shared" si="8"/>
        <v>0</v>
      </c>
      <c r="AZ57" s="8"/>
      <c r="BA57" s="131">
        <v>-30000</v>
      </c>
      <c r="BB57" s="8"/>
      <c r="BC57" s="8">
        <f t="shared" si="9"/>
        <v>0</v>
      </c>
      <c r="BD57" s="8"/>
      <c r="BE57" s="8">
        <f t="shared" si="4"/>
        <v>0</v>
      </c>
      <c r="BF57" s="8"/>
      <c r="BG57" s="12">
        <f t="shared" si="10"/>
        <v>30000</v>
      </c>
    </row>
    <row r="58" spans="1:60" x14ac:dyDescent="0.25">
      <c r="A58" s="112"/>
      <c r="B58" s="31" t="s">
        <v>429</v>
      </c>
      <c r="C58" s="114"/>
      <c r="E58" s="7" t="s">
        <v>17</v>
      </c>
      <c r="G58" s="7" t="s">
        <v>254</v>
      </c>
      <c r="K58" s="5">
        <v>44197</v>
      </c>
      <c r="O58" s="5">
        <f t="shared" si="7"/>
        <v>44197</v>
      </c>
      <c r="Q58" s="157"/>
      <c r="R58" s="228"/>
      <c r="S58" s="157"/>
      <c r="T58" s="228"/>
      <c r="U58" s="131"/>
      <c r="V58" s="131"/>
      <c r="W58" s="131"/>
      <c r="X58" s="131"/>
      <c r="Y58" s="131"/>
      <c r="Z58" s="131"/>
      <c r="AA58" s="131"/>
      <c r="AB58" s="8"/>
      <c r="AC58" s="131"/>
      <c r="AD58" s="8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8"/>
      <c r="AS58" s="131"/>
      <c r="AT58" s="8"/>
      <c r="AU58" s="131"/>
      <c r="AV58" s="8"/>
      <c r="AW58" s="131"/>
      <c r="AX58" s="8"/>
      <c r="AY58" s="8">
        <f t="shared" si="8"/>
        <v>0</v>
      </c>
      <c r="AZ58" s="8"/>
      <c r="BA58" s="131">
        <f>38712-44197-38712</f>
        <v>-44197</v>
      </c>
      <c r="BB58" s="8"/>
      <c r="BC58" s="8">
        <f t="shared" si="9"/>
        <v>0</v>
      </c>
      <c r="BD58" s="8"/>
      <c r="BE58" s="8">
        <f t="shared" si="4"/>
        <v>0</v>
      </c>
      <c r="BF58" s="8"/>
      <c r="BG58" s="12">
        <f t="shared" si="10"/>
        <v>44197</v>
      </c>
    </row>
    <row r="59" spans="1:60" x14ac:dyDescent="0.25">
      <c r="A59" s="112"/>
      <c r="B59" s="31" t="s">
        <v>219</v>
      </c>
      <c r="C59" s="114"/>
      <c r="E59" s="7" t="s">
        <v>17</v>
      </c>
      <c r="G59" s="7" t="s">
        <v>254</v>
      </c>
      <c r="K59" s="5">
        <v>49514</v>
      </c>
      <c r="O59" s="182">
        <f t="shared" si="7"/>
        <v>49514</v>
      </c>
      <c r="Q59" s="157"/>
      <c r="R59" s="228"/>
      <c r="S59" s="157"/>
      <c r="T59" s="228"/>
      <c r="U59" s="131"/>
      <c r="V59" s="131"/>
      <c r="W59" s="131"/>
      <c r="X59" s="131"/>
      <c r="Y59" s="131"/>
      <c r="Z59" s="131"/>
      <c r="AA59" s="131"/>
      <c r="AB59" s="8"/>
      <c r="AC59" s="131"/>
      <c r="AD59" s="8"/>
      <c r="AE59" s="131"/>
      <c r="AF59" s="131"/>
      <c r="AG59" s="131"/>
      <c r="AH59" s="131"/>
      <c r="AI59" s="131"/>
      <c r="AJ59" s="131"/>
      <c r="AK59" s="131"/>
      <c r="AL59" s="131"/>
      <c r="AM59" s="131"/>
      <c r="AN59" s="131"/>
      <c r="AO59" s="131"/>
      <c r="AP59" s="131"/>
      <c r="AQ59" s="131"/>
      <c r="AR59" s="8"/>
      <c r="AS59" s="131"/>
      <c r="AT59" s="8"/>
      <c r="AU59" s="131"/>
      <c r="AV59" s="8"/>
      <c r="AW59" s="131"/>
      <c r="AX59" s="8"/>
      <c r="AY59" s="8">
        <f t="shared" si="8"/>
        <v>0</v>
      </c>
      <c r="AZ59" s="8"/>
      <c r="BA59" s="131">
        <f>16002-49514+1615-17617</f>
        <v>-49514</v>
      </c>
      <c r="BB59" s="8"/>
      <c r="BC59" s="8">
        <f t="shared" si="9"/>
        <v>0</v>
      </c>
      <c r="BD59" s="8"/>
      <c r="BE59" s="8">
        <f t="shared" si="4"/>
        <v>0</v>
      </c>
      <c r="BF59" s="8"/>
      <c r="BG59" s="12">
        <f t="shared" si="10"/>
        <v>49514</v>
      </c>
    </row>
    <row r="60" spans="1:60" x14ac:dyDescent="0.25">
      <c r="A60" s="112"/>
      <c r="B60" s="31" t="s">
        <v>380</v>
      </c>
      <c r="C60" s="114"/>
      <c r="E60" s="7" t="s">
        <v>17</v>
      </c>
      <c r="G60" s="7" t="s">
        <v>254</v>
      </c>
      <c r="K60" s="5">
        <v>58003</v>
      </c>
      <c r="O60" s="182">
        <f t="shared" si="7"/>
        <v>58003</v>
      </c>
      <c r="R60" s="228"/>
      <c r="S60" s="131">
        <v>35929.35</v>
      </c>
      <c r="T60" s="228"/>
      <c r="U60" s="131">
        <v>0</v>
      </c>
      <c r="V60" s="131"/>
      <c r="W60" s="131"/>
      <c r="X60" s="131"/>
      <c r="Y60" s="131"/>
      <c r="Z60" s="131"/>
      <c r="AA60" s="131"/>
      <c r="AB60" s="8"/>
      <c r="AC60" s="131"/>
      <c r="AD60" s="8"/>
      <c r="AE60" s="131"/>
      <c r="AF60" s="131"/>
      <c r="AG60" s="131">
        <v>-35929</v>
      </c>
      <c r="AH60" s="131"/>
      <c r="AI60" s="131"/>
      <c r="AJ60" s="131"/>
      <c r="AK60" s="131"/>
      <c r="AL60" s="131"/>
      <c r="AM60" s="131"/>
      <c r="AN60" s="131"/>
      <c r="AO60" s="131"/>
      <c r="AP60" s="131"/>
      <c r="AQ60" s="131"/>
      <c r="AR60" s="8"/>
      <c r="AS60" s="131"/>
      <c r="AT60" s="8"/>
      <c r="AU60" s="131"/>
      <c r="AV60" s="8"/>
      <c r="AW60" s="131"/>
      <c r="AX60" s="8"/>
      <c r="AY60" s="8">
        <f t="shared" si="8"/>
        <v>0.34999999999854481</v>
      </c>
      <c r="AZ60" s="8"/>
      <c r="BA60" s="131">
        <f>-11000-47003</f>
        <v>-58003</v>
      </c>
      <c r="BB60" s="8"/>
      <c r="BC60" s="8">
        <f t="shared" si="9"/>
        <v>0</v>
      </c>
      <c r="BD60" s="8"/>
      <c r="BE60" s="8">
        <f t="shared" si="4"/>
        <v>0.34999999999854481</v>
      </c>
      <c r="BF60" s="8"/>
      <c r="BG60" s="12">
        <f t="shared" si="10"/>
        <v>58002.65</v>
      </c>
    </row>
    <row r="61" spans="1:60" x14ac:dyDescent="0.25">
      <c r="A61" s="112"/>
      <c r="B61" s="31" t="s">
        <v>220</v>
      </c>
      <c r="C61" s="114"/>
      <c r="E61" s="7" t="s">
        <v>17</v>
      </c>
      <c r="G61" s="7" t="s">
        <v>254</v>
      </c>
      <c r="K61" s="5">
        <v>643354</v>
      </c>
      <c r="O61" s="182">
        <f t="shared" si="7"/>
        <v>643354</v>
      </c>
      <c r="Q61" s="157"/>
      <c r="R61" s="228"/>
      <c r="S61" s="157"/>
      <c r="T61" s="228"/>
      <c r="U61" s="131"/>
      <c r="V61" s="131"/>
      <c r="W61" s="131">
        <v>0</v>
      </c>
      <c r="X61" s="131"/>
      <c r="Y61" s="131"/>
      <c r="Z61" s="131"/>
      <c r="AA61" s="131"/>
      <c r="AB61" s="8"/>
      <c r="AC61" s="131"/>
      <c r="AD61" s="8"/>
      <c r="AE61" s="131"/>
      <c r="AF61" s="131"/>
      <c r="AG61" s="131"/>
      <c r="AH61" s="131"/>
      <c r="AI61" s="131"/>
      <c r="AJ61" s="131"/>
      <c r="AK61" s="131"/>
      <c r="AL61" s="131"/>
      <c r="AM61" s="131"/>
      <c r="AN61" s="131"/>
      <c r="AO61" s="131"/>
      <c r="AP61" s="131"/>
      <c r="AQ61" s="131"/>
      <c r="AR61" s="8"/>
      <c r="AS61" s="131"/>
      <c r="AT61" s="8"/>
      <c r="AU61" s="131"/>
      <c r="AV61" s="8"/>
      <c r="AW61" s="131"/>
      <c r="AX61" s="8"/>
      <c r="AY61" s="8">
        <f t="shared" si="8"/>
        <v>0</v>
      </c>
      <c r="AZ61" s="8"/>
      <c r="BA61" s="131">
        <f>300000-643354+175-4399-295776</f>
        <v>-643354</v>
      </c>
      <c r="BB61" s="8"/>
      <c r="BC61" s="8">
        <f t="shared" si="9"/>
        <v>0</v>
      </c>
      <c r="BD61" s="8"/>
      <c r="BE61" s="8">
        <f t="shared" si="4"/>
        <v>0</v>
      </c>
      <c r="BF61" s="8"/>
      <c r="BG61" s="12">
        <f t="shared" si="10"/>
        <v>643354</v>
      </c>
    </row>
    <row r="62" spans="1:60" x14ac:dyDescent="0.25">
      <c r="A62" s="112"/>
      <c r="B62" s="31" t="s">
        <v>221</v>
      </c>
      <c r="C62" s="114"/>
      <c r="E62" s="7" t="s">
        <v>17</v>
      </c>
      <c r="G62" s="7" t="s">
        <v>254</v>
      </c>
      <c r="K62" s="5">
        <v>66337</v>
      </c>
      <c r="O62" s="182">
        <f t="shared" si="7"/>
        <v>66337</v>
      </c>
      <c r="Q62" s="131">
        <v>39128</v>
      </c>
      <c r="R62" s="228"/>
      <c r="S62" s="131">
        <v>-39128</v>
      </c>
      <c r="T62" s="228"/>
      <c r="U62" s="131">
        <v>0</v>
      </c>
      <c r="V62" s="131"/>
      <c r="W62" s="131">
        <v>0</v>
      </c>
      <c r="X62" s="131"/>
      <c r="Y62" s="131"/>
      <c r="Z62" s="131"/>
      <c r="AA62" s="131"/>
      <c r="AB62" s="8"/>
      <c r="AC62" s="131"/>
      <c r="AD62" s="8"/>
      <c r="AE62" s="131"/>
      <c r="AF62" s="131"/>
      <c r="AG62" s="131"/>
      <c r="AH62" s="131"/>
      <c r="AI62" s="131"/>
      <c r="AJ62" s="131"/>
      <c r="AK62" s="131"/>
      <c r="AL62" s="131"/>
      <c r="AM62" s="131"/>
      <c r="AN62" s="131"/>
      <c r="AO62" s="131"/>
      <c r="AP62" s="131"/>
      <c r="AQ62" s="131"/>
      <c r="AR62" s="8"/>
      <c r="AS62" s="131"/>
      <c r="AT62" s="8"/>
      <c r="AU62" s="131"/>
      <c r="AV62" s="8"/>
      <c r="AW62" s="131"/>
      <c r="AX62" s="8"/>
      <c r="AY62" s="8">
        <f t="shared" si="8"/>
        <v>0</v>
      </c>
      <c r="AZ62" s="8"/>
      <c r="BA62" s="131">
        <v>-66337</v>
      </c>
      <c r="BB62" s="8"/>
      <c r="BC62" s="8">
        <f t="shared" si="9"/>
        <v>0</v>
      </c>
      <c r="BD62" s="8"/>
      <c r="BE62" s="8">
        <f t="shared" si="4"/>
        <v>0</v>
      </c>
      <c r="BF62" s="8"/>
      <c r="BG62" s="12">
        <f t="shared" si="10"/>
        <v>66337</v>
      </c>
    </row>
    <row r="63" spans="1:60" x14ac:dyDescent="0.25">
      <c r="A63" s="112"/>
      <c r="B63" s="31" t="s">
        <v>222</v>
      </c>
      <c r="C63" s="114"/>
      <c r="E63" s="7" t="s">
        <v>17</v>
      </c>
      <c r="G63" s="7" t="s">
        <v>254</v>
      </c>
      <c r="K63" s="5">
        <v>16775</v>
      </c>
      <c r="O63" s="182">
        <f t="shared" si="7"/>
        <v>16775</v>
      </c>
      <c r="Q63" s="157"/>
      <c r="R63" s="228"/>
      <c r="S63" s="157"/>
      <c r="T63" s="228"/>
      <c r="U63" s="131"/>
      <c r="V63" s="131"/>
      <c r="W63" s="131"/>
      <c r="X63" s="131"/>
      <c r="Y63" s="131"/>
      <c r="Z63" s="131"/>
      <c r="AA63" s="131"/>
      <c r="AB63" s="8"/>
      <c r="AC63" s="131"/>
      <c r="AD63" s="8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31"/>
      <c r="AP63" s="131"/>
      <c r="AQ63" s="131"/>
      <c r="AR63" s="8"/>
      <c r="AS63" s="131"/>
      <c r="AT63" s="8"/>
      <c r="AU63" s="131"/>
      <c r="AV63" s="8"/>
      <c r="AW63" s="131"/>
      <c r="AX63" s="8"/>
      <c r="AY63" s="8">
        <f t="shared" si="8"/>
        <v>0</v>
      </c>
      <c r="AZ63" s="8"/>
      <c r="BA63" s="131">
        <f>-10000+490-980-6285</f>
        <v>-16775</v>
      </c>
      <c r="BB63" s="8"/>
      <c r="BC63" s="8">
        <f t="shared" si="9"/>
        <v>0</v>
      </c>
      <c r="BD63" s="8"/>
      <c r="BE63" s="8">
        <f t="shared" si="4"/>
        <v>0</v>
      </c>
      <c r="BF63" s="8"/>
      <c r="BG63" s="12">
        <f t="shared" si="10"/>
        <v>16775</v>
      </c>
    </row>
    <row r="64" spans="1:60" x14ac:dyDescent="0.25">
      <c r="A64" s="112"/>
      <c r="B64" s="31" t="s">
        <v>223</v>
      </c>
      <c r="C64" s="114"/>
      <c r="E64" s="7" t="s">
        <v>17</v>
      </c>
      <c r="G64" s="7" t="s">
        <v>254</v>
      </c>
      <c r="K64" s="5">
        <v>8102</v>
      </c>
      <c r="O64" s="182">
        <f t="shared" si="7"/>
        <v>8102</v>
      </c>
      <c r="Q64" s="157"/>
      <c r="R64" s="228"/>
      <c r="S64" s="157"/>
      <c r="T64" s="228"/>
      <c r="U64" s="131"/>
      <c r="V64" s="131"/>
      <c r="W64" s="131"/>
      <c r="X64" s="131"/>
      <c r="Y64" s="131"/>
      <c r="Z64" s="131"/>
      <c r="AA64" s="131"/>
      <c r="AB64" s="8"/>
      <c r="AC64" s="131"/>
      <c r="AD64" s="8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31"/>
      <c r="AP64" s="131"/>
      <c r="AQ64" s="131"/>
      <c r="AR64" s="8"/>
      <c r="AS64" s="131"/>
      <c r="AT64" s="8"/>
      <c r="AU64" s="131"/>
      <c r="AV64" s="8"/>
      <c r="AW64" s="131"/>
      <c r="AX64" s="8"/>
      <c r="AY64" s="8">
        <f t="shared" si="8"/>
        <v>0</v>
      </c>
      <c r="AZ64" s="8"/>
      <c r="BA64" s="131">
        <v>-8102</v>
      </c>
      <c r="BB64" s="8"/>
      <c r="BC64" s="8">
        <f t="shared" si="9"/>
        <v>0</v>
      </c>
      <c r="BD64" s="8"/>
      <c r="BE64" s="8">
        <f t="shared" si="4"/>
        <v>0</v>
      </c>
      <c r="BF64" s="8"/>
      <c r="BG64" s="12">
        <f t="shared" si="10"/>
        <v>8102</v>
      </c>
    </row>
    <row r="65" spans="1:61" x14ac:dyDescent="0.25">
      <c r="A65" s="112"/>
      <c r="B65" s="31" t="s">
        <v>224</v>
      </c>
      <c r="C65" s="114"/>
      <c r="E65" s="7" t="s">
        <v>17</v>
      </c>
      <c r="G65" s="7" t="s">
        <v>254</v>
      </c>
      <c r="K65" s="5">
        <v>17156</v>
      </c>
      <c r="O65" s="182">
        <f t="shared" si="7"/>
        <v>17156</v>
      </c>
      <c r="Q65" s="157"/>
      <c r="R65" s="228"/>
      <c r="S65" s="157"/>
      <c r="T65" s="228"/>
      <c r="U65" s="131"/>
      <c r="V65" s="131"/>
      <c r="W65" s="131"/>
      <c r="X65" s="131"/>
      <c r="Y65" s="131"/>
      <c r="Z65" s="131"/>
      <c r="AA65" s="131"/>
      <c r="AB65" s="8"/>
      <c r="AC65" s="131"/>
      <c r="AD65" s="8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8"/>
      <c r="AS65" s="131"/>
      <c r="AT65" s="8"/>
      <c r="AU65" s="131"/>
      <c r="AV65" s="8"/>
      <c r="AW65" s="131"/>
      <c r="AX65" s="8"/>
      <c r="AY65" s="8">
        <f t="shared" si="8"/>
        <v>0</v>
      </c>
      <c r="AZ65" s="8"/>
      <c r="BA65" s="131">
        <f>20488-17156+73865-180+155-94328</f>
        <v>-17156</v>
      </c>
      <c r="BB65" s="8"/>
      <c r="BC65" s="8">
        <f t="shared" si="9"/>
        <v>0</v>
      </c>
      <c r="BD65" s="8"/>
      <c r="BE65" s="8">
        <f t="shared" si="4"/>
        <v>0</v>
      </c>
      <c r="BF65" s="8"/>
      <c r="BG65" s="12">
        <f t="shared" si="10"/>
        <v>17156</v>
      </c>
    </row>
    <row r="66" spans="1:61" x14ac:dyDescent="0.25">
      <c r="A66" s="112"/>
      <c r="B66" s="31" t="s">
        <v>226</v>
      </c>
      <c r="C66" s="114"/>
      <c r="E66" s="7" t="s">
        <v>17</v>
      </c>
      <c r="G66" s="7" t="s">
        <v>254</v>
      </c>
      <c r="K66" s="5">
        <v>549000</v>
      </c>
      <c r="O66" s="182">
        <f t="shared" si="7"/>
        <v>549000</v>
      </c>
      <c r="Q66" s="157"/>
      <c r="R66" s="228"/>
      <c r="S66" s="157"/>
      <c r="T66" s="228"/>
      <c r="U66" s="131"/>
      <c r="V66" s="131"/>
      <c r="W66" s="131"/>
      <c r="X66" s="131"/>
      <c r="Y66" s="131"/>
      <c r="Z66" s="131"/>
      <c r="AA66" s="131"/>
      <c r="AB66" s="8"/>
      <c r="AC66" s="131"/>
      <c r="AD66" s="8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8"/>
      <c r="AS66" s="131"/>
      <c r="AT66" s="8"/>
      <c r="AU66" s="131"/>
      <c r="AV66" s="8"/>
      <c r="AW66" s="131"/>
      <c r="AX66" s="8"/>
      <c r="AY66" s="8">
        <f t="shared" si="8"/>
        <v>0</v>
      </c>
      <c r="AZ66" s="8"/>
      <c r="BA66" s="131">
        <f>-200000-102918-246082</f>
        <v>-549000</v>
      </c>
      <c r="BB66" s="8"/>
      <c r="BC66" s="8">
        <f t="shared" si="9"/>
        <v>0</v>
      </c>
      <c r="BD66" s="8"/>
      <c r="BE66" s="8">
        <f t="shared" si="4"/>
        <v>0</v>
      </c>
      <c r="BF66" s="8"/>
      <c r="BG66" s="12">
        <f t="shared" si="10"/>
        <v>549000</v>
      </c>
    </row>
    <row r="67" spans="1:61" x14ac:dyDescent="0.25">
      <c r="A67" s="112"/>
      <c r="B67" s="31" t="s">
        <v>227</v>
      </c>
      <c r="C67" s="114"/>
      <c r="E67" s="7" t="s">
        <v>17</v>
      </c>
      <c r="G67" s="7" t="s">
        <v>254</v>
      </c>
      <c r="K67" s="5">
        <v>95788</v>
      </c>
      <c r="O67" s="182">
        <f t="shared" si="7"/>
        <v>95788</v>
      </c>
      <c r="Q67" s="157"/>
      <c r="R67" s="228"/>
      <c r="S67" s="157"/>
      <c r="T67" s="228"/>
      <c r="U67" s="131"/>
      <c r="V67" s="131"/>
      <c r="W67" s="131"/>
      <c r="X67" s="131"/>
      <c r="Y67" s="131"/>
      <c r="Z67" s="131"/>
      <c r="AA67" s="131"/>
      <c r="AB67" s="8"/>
      <c r="AC67" s="131"/>
      <c r="AD67" s="8"/>
      <c r="AE67" s="131"/>
      <c r="AF67" s="131"/>
      <c r="AG67" s="131"/>
      <c r="AH67" s="131"/>
      <c r="AI67" s="131"/>
      <c r="AJ67" s="131"/>
      <c r="AK67" s="131"/>
      <c r="AL67" s="131"/>
      <c r="AM67" s="131"/>
      <c r="AN67" s="131"/>
      <c r="AO67" s="131"/>
      <c r="AP67" s="131"/>
      <c r="AQ67" s="131"/>
      <c r="AR67" s="8"/>
      <c r="AS67" s="131"/>
      <c r="AT67" s="8"/>
      <c r="AU67" s="131"/>
      <c r="AV67" s="8"/>
      <c r="AW67" s="131"/>
      <c r="AX67" s="8"/>
      <c r="AY67" s="8">
        <f t="shared" si="8"/>
        <v>0</v>
      </c>
      <c r="AZ67" s="8"/>
      <c r="BA67" s="131">
        <f>76524-95788-76524+35000+15509-50509</f>
        <v>-95788</v>
      </c>
      <c r="BB67" s="8"/>
      <c r="BC67" s="8">
        <f t="shared" si="9"/>
        <v>0</v>
      </c>
      <c r="BD67" s="8"/>
      <c r="BE67" s="8">
        <f t="shared" si="4"/>
        <v>0</v>
      </c>
      <c r="BF67" s="8"/>
      <c r="BG67" s="12">
        <f t="shared" si="10"/>
        <v>95788</v>
      </c>
    </row>
    <row r="68" spans="1:61" x14ac:dyDescent="0.25">
      <c r="A68" s="112"/>
      <c r="B68" s="31" t="s">
        <v>228</v>
      </c>
      <c r="C68" s="114"/>
      <c r="E68" s="7" t="s">
        <v>17</v>
      </c>
      <c r="G68" s="7" t="s">
        <v>254</v>
      </c>
      <c r="K68" s="5">
        <v>106000</v>
      </c>
      <c r="O68" s="182">
        <f t="shared" si="7"/>
        <v>106000</v>
      </c>
      <c r="Q68" s="223"/>
      <c r="R68" s="228"/>
      <c r="S68" s="223">
        <v>39128</v>
      </c>
      <c r="T68" s="228"/>
      <c r="U68" s="131"/>
      <c r="V68" s="131"/>
      <c r="W68" s="131"/>
      <c r="X68" s="131"/>
      <c r="Y68" s="131"/>
      <c r="Z68" s="131"/>
      <c r="AA68" s="131"/>
      <c r="AB68" s="8"/>
      <c r="AC68" s="131"/>
      <c r="AD68" s="8"/>
      <c r="AE68" s="131"/>
      <c r="AF68" s="131"/>
      <c r="AG68" s="131">
        <v>-39128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8"/>
      <c r="AS68" s="131"/>
      <c r="AT68" s="8"/>
      <c r="AU68" s="131"/>
      <c r="AV68" s="8"/>
      <c r="AW68" s="131"/>
      <c r="AX68" s="8"/>
      <c r="AY68" s="8">
        <f t="shared" si="8"/>
        <v>0</v>
      </c>
      <c r="AZ68" s="8"/>
      <c r="BA68" s="131">
        <f>72029-106000-16900-16001-39128</f>
        <v>-106000</v>
      </c>
      <c r="BB68" s="8"/>
      <c r="BC68" s="8">
        <f t="shared" si="9"/>
        <v>0</v>
      </c>
      <c r="BD68" s="8"/>
      <c r="BE68" s="8">
        <f t="shared" si="4"/>
        <v>0</v>
      </c>
      <c r="BF68" s="8"/>
      <c r="BG68" s="12">
        <f t="shared" si="10"/>
        <v>106000</v>
      </c>
    </row>
    <row r="69" spans="1:61" x14ac:dyDescent="0.25">
      <c r="A69" s="112"/>
      <c r="B69" s="31" t="s">
        <v>229</v>
      </c>
      <c r="C69" s="114"/>
      <c r="E69" s="7" t="s">
        <v>17</v>
      </c>
      <c r="G69" s="7" t="s">
        <v>254</v>
      </c>
      <c r="K69" s="5">
        <v>23828</v>
      </c>
      <c r="M69" s="14"/>
      <c r="O69" s="81">
        <f t="shared" si="7"/>
        <v>23828</v>
      </c>
      <c r="Q69" s="233"/>
      <c r="R69" s="228"/>
      <c r="S69" s="233"/>
      <c r="T69" s="228"/>
      <c r="U69" s="131"/>
      <c r="V69" s="131"/>
      <c r="W69" s="131"/>
      <c r="X69" s="131"/>
      <c r="Y69" s="131"/>
      <c r="Z69" s="131"/>
      <c r="AA69" s="131"/>
      <c r="AB69" s="8"/>
      <c r="AC69" s="131"/>
      <c r="AD69" s="8"/>
      <c r="AE69" s="131"/>
      <c r="AF69" s="131"/>
      <c r="AG69" s="131"/>
      <c r="AH69" s="131"/>
      <c r="AI69" s="131"/>
      <c r="AJ69" s="131"/>
      <c r="AK69" s="131"/>
      <c r="AL69" s="131"/>
      <c r="AM69" s="131"/>
      <c r="AN69" s="131"/>
      <c r="AO69" s="131"/>
      <c r="AP69" s="131"/>
      <c r="AQ69" s="131"/>
      <c r="AR69" s="8"/>
      <c r="AS69" s="131"/>
      <c r="AT69" s="8"/>
      <c r="AU69" s="131"/>
      <c r="AV69" s="8"/>
      <c r="AW69" s="131"/>
      <c r="AX69" s="8"/>
      <c r="AY69" s="8">
        <f t="shared" si="8"/>
        <v>0</v>
      </c>
      <c r="AZ69" s="8"/>
      <c r="BA69" s="131">
        <f>-20118-871+50000-52839</f>
        <v>-23828</v>
      </c>
      <c r="BB69" s="8"/>
      <c r="BC69" s="8">
        <f t="shared" si="9"/>
        <v>0</v>
      </c>
      <c r="BD69" s="8"/>
      <c r="BE69" s="264">
        <f t="shared" si="4"/>
        <v>0</v>
      </c>
      <c r="BF69" s="8"/>
      <c r="BG69" s="35">
        <f t="shared" si="10"/>
        <v>23828</v>
      </c>
      <c r="BI69" s="157"/>
    </row>
    <row r="70" spans="1:61" x14ac:dyDescent="0.25">
      <c r="A70" s="17"/>
      <c r="B70" s="119" t="s">
        <v>39</v>
      </c>
      <c r="C70" s="114"/>
      <c r="E70" s="7"/>
      <c r="K70" s="107">
        <f>SUM(K48:K69)</f>
        <v>3211984</v>
      </c>
      <c r="M70" s="15">
        <f>SUM(M48:M69)</f>
        <v>0</v>
      </c>
      <c r="O70" s="29">
        <f>SUM(O48:O69)</f>
        <v>3211984</v>
      </c>
      <c r="Q70" s="138">
        <f>SUM(Q48:Q69)</f>
        <v>39128</v>
      </c>
      <c r="S70" s="138">
        <f>SUM(S48:S69)</f>
        <v>35929.35</v>
      </c>
      <c r="U70" s="138">
        <f>SUM(U48:U69)</f>
        <v>63655.62</v>
      </c>
      <c r="W70" s="138">
        <f>SUM(W48:W69)</f>
        <v>165568.79999999999</v>
      </c>
      <c r="Y70" s="138">
        <f>SUM(Y48:Y69)</f>
        <v>0</v>
      </c>
      <c r="AA70" s="138">
        <f>SUM(AA48:AA69)</f>
        <v>0</v>
      </c>
      <c r="AC70" s="138">
        <f>SUM(AC48:AC69)</f>
        <v>0</v>
      </c>
      <c r="AE70" s="138">
        <f>SUM(AE48:AE69)</f>
        <v>0</v>
      </c>
      <c r="AF70" s="135"/>
      <c r="AG70" s="138">
        <f>SUM(AG48:AG69)</f>
        <v>-304281</v>
      </c>
      <c r="AH70" s="135"/>
      <c r="AI70" s="138">
        <f>SUM(AI48:AI69)</f>
        <v>0</v>
      </c>
      <c r="AJ70" s="135"/>
      <c r="AK70" s="138">
        <f>SUM(AK48:AK69)</f>
        <v>0</v>
      </c>
      <c r="AL70" s="138"/>
      <c r="AM70" s="138">
        <f>SUM(AM48:AM69)</f>
        <v>0</v>
      </c>
      <c r="AN70" s="135"/>
      <c r="AO70" s="138">
        <f>SUM(AO48:AO69)</f>
        <v>0</v>
      </c>
      <c r="AP70" s="135"/>
      <c r="AQ70" s="138">
        <f>SUM(AQ48:AQ69)</f>
        <v>0</v>
      </c>
      <c r="AS70" s="138">
        <f>SUM(AS48:AS69)</f>
        <v>0</v>
      </c>
      <c r="AU70" s="138">
        <f>SUM(AU48:AU69)</f>
        <v>0</v>
      </c>
      <c r="AW70" s="138">
        <f>SUM(AW48:AW69)</f>
        <v>0</v>
      </c>
      <c r="AY70" s="107">
        <f>SUM(AY48:AY69)</f>
        <v>0.76999999998224666</v>
      </c>
      <c r="BA70" s="138">
        <f>SUM(BA48:BA69)</f>
        <v>-3211984</v>
      </c>
      <c r="BC70" s="107">
        <f>SUM(BC48:BC69)</f>
        <v>0</v>
      </c>
      <c r="BE70" s="107">
        <f t="shared" si="4"/>
        <v>0.76999999998224666</v>
      </c>
      <c r="BG70" s="107">
        <f t="shared" si="10"/>
        <v>3211983.23</v>
      </c>
    </row>
    <row r="71" spans="1:61" x14ac:dyDescent="0.25">
      <c r="A71" s="113"/>
      <c r="B71" s="31"/>
      <c r="C71" s="114"/>
      <c r="E71" s="7"/>
      <c r="O71" s="45"/>
      <c r="U71" s="131"/>
    </row>
    <row r="72" spans="1:61" x14ac:dyDescent="0.25">
      <c r="A72" s="121" t="s">
        <v>45</v>
      </c>
      <c r="B72" s="31"/>
      <c r="C72" s="114"/>
      <c r="E72" s="7"/>
      <c r="O72" s="45"/>
      <c r="U72" s="131"/>
      <c r="BG72" s="8">
        <f t="shared" ref="BG72:BG98" si="11">O72-AY72-BC72</f>
        <v>0</v>
      </c>
    </row>
    <row r="73" spans="1:61" x14ac:dyDescent="0.25">
      <c r="A73" s="113"/>
      <c r="B73" s="31" t="s">
        <v>230</v>
      </c>
      <c r="C73" s="114" t="s">
        <v>36</v>
      </c>
      <c r="E73" s="7" t="s">
        <v>17</v>
      </c>
      <c r="G73" s="7" t="s">
        <v>254</v>
      </c>
      <c r="I73" s="7" t="s">
        <v>21</v>
      </c>
      <c r="K73" s="5">
        <v>28593</v>
      </c>
      <c r="M73" s="5"/>
      <c r="O73" s="182">
        <f t="shared" ref="O73:O96" si="12">SUM(K73:N73)</f>
        <v>28593</v>
      </c>
      <c r="Q73" s="157"/>
      <c r="R73" s="241"/>
      <c r="S73" s="157"/>
      <c r="T73" s="241"/>
      <c r="U73" s="131">
        <v>3360</v>
      </c>
      <c r="V73" s="131"/>
      <c r="W73" s="131">
        <v>59500</v>
      </c>
      <c r="X73" s="131"/>
      <c r="Y73" s="131">
        <v>-360</v>
      </c>
      <c r="Z73" s="131"/>
      <c r="AA73" s="131"/>
      <c r="AB73" s="8"/>
      <c r="AC73" s="131"/>
      <c r="AD73" s="8"/>
      <c r="AE73" s="131"/>
      <c r="AF73" s="131"/>
      <c r="AG73" s="131">
        <f>825+16303</f>
        <v>17128</v>
      </c>
      <c r="AH73" s="131"/>
      <c r="AI73" s="131"/>
      <c r="AJ73" s="131"/>
      <c r="AK73" s="131">
        <v>4927</v>
      </c>
      <c r="AL73" s="131"/>
      <c r="AM73" s="131"/>
      <c r="AN73" s="131"/>
      <c r="AO73" s="131"/>
      <c r="AP73" s="131"/>
      <c r="AQ73" s="131"/>
      <c r="AR73" s="8"/>
      <c r="AS73" s="131"/>
      <c r="AT73" s="8"/>
      <c r="AU73" s="131"/>
      <c r="AV73" s="8"/>
      <c r="AW73" s="131"/>
      <c r="AX73" s="8"/>
      <c r="AY73" s="8">
        <f t="shared" ref="AY73:AY97" si="13">SUM(P73:AX73)</f>
        <v>84555</v>
      </c>
      <c r="AZ73" s="8"/>
      <c r="BA73" s="131">
        <f>62500-28593+100000-77945</f>
        <v>55962</v>
      </c>
      <c r="BB73" s="8"/>
      <c r="BC73" s="8">
        <f t="shared" ref="BC73:BC97" si="14">IF(+O73-AY73+BA73&gt;0,O73-AY73+BA73,0)</f>
        <v>0</v>
      </c>
      <c r="BD73" s="8"/>
      <c r="BE73" s="8">
        <f t="shared" si="4"/>
        <v>84555</v>
      </c>
      <c r="BF73" s="8"/>
      <c r="BG73" s="12">
        <f t="shared" si="11"/>
        <v>-55962</v>
      </c>
      <c r="BI73" s="6" t="s">
        <v>413</v>
      </c>
    </row>
    <row r="74" spans="1:61" x14ac:dyDescent="0.25">
      <c r="A74" s="113"/>
      <c r="B74" s="31" t="s">
        <v>231</v>
      </c>
      <c r="C74" s="114"/>
      <c r="E74" s="7"/>
      <c r="G74" s="7" t="s">
        <v>254</v>
      </c>
      <c r="K74" s="5">
        <v>392305</v>
      </c>
      <c r="M74" s="5"/>
      <c r="O74" s="182">
        <f t="shared" si="12"/>
        <v>392305</v>
      </c>
      <c r="Q74" s="157"/>
      <c r="R74" s="241"/>
      <c r="S74" s="157"/>
      <c r="T74" s="241"/>
      <c r="U74" s="131">
        <v>0</v>
      </c>
      <c r="V74" s="131"/>
      <c r="W74" s="131">
        <v>28295</v>
      </c>
      <c r="X74" s="131"/>
      <c r="Y74" s="131">
        <v>22312</v>
      </c>
      <c r="Z74" s="131"/>
      <c r="AA74" s="131"/>
      <c r="AB74" s="8"/>
      <c r="AC74" s="131"/>
      <c r="AD74" s="8"/>
      <c r="AE74" s="131">
        <v>24526</v>
      </c>
      <c r="AF74" s="131"/>
      <c r="AG74" s="131">
        <f>17484+74287</f>
        <v>91771</v>
      </c>
      <c r="AH74" s="131"/>
      <c r="AI74" s="131">
        <v>15358</v>
      </c>
      <c r="AJ74" s="131"/>
      <c r="AK74" s="131">
        <v>258550</v>
      </c>
      <c r="AL74" s="131"/>
      <c r="AM74" s="131"/>
      <c r="AN74" s="131"/>
      <c r="AO74" s="131">
        <v>10055</v>
      </c>
      <c r="AP74" s="131"/>
      <c r="AQ74" s="131"/>
      <c r="AR74" s="8"/>
      <c r="AS74" s="131"/>
      <c r="AT74" s="8"/>
      <c r="AU74" s="131"/>
      <c r="AV74" s="8"/>
      <c r="AW74" s="131"/>
      <c r="AX74" s="8"/>
      <c r="AY74" s="8">
        <f t="shared" si="13"/>
        <v>450867</v>
      </c>
      <c r="AZ74" s="8"/>
      <c r="BA74" s="131">
        <f>845+118530-9574-24727-18595-17972+10055</f>
        <v>58562</v>
      </c>
      <c r="BB74" s="8"/>
      <c r="BC74" s="8">
        <f t="shared" si="14"/>
        <v>0</v>
      </c>
      <c r="BD74" s="8"/>
      <c r="BE74" s="8">
        <f t="shared" si="4"/>
        <v>450867</v>
      </c>
      <c r="BF74" s="8"/>
      <c r="BG74" s="12">
        <f t="shared" si="11"/>
        <v>-58562</v>
      </c>
    </row>
    <row r="75" spans="1:61" x14ac:dyDescent="0.25">
      <c r="A75" s="113"/>
      <c r="B75" s="31" t="s">
        <v>232</v>
      </c>
      <c r="C75" s="114"/>
      <c r="E75" s="7"/>
      <c r="G75" s="7" t="s">
        <v>254</v>
      </c>
      <c r="K75" s="5">
        <v>329754</v>
      </c>
      <c r="M75" s="5"/>
      <c r="O75" s="182">
        <f t="shared" si="12"/>
        <v>329754</v>
      </c>
      <c r="Q75" s="157"/>
      <c r="R75" s="241"/>
      <c r="S75" s="157"/>
      <c r="T75" s="241"/>
      <c r="U75" s="131">
        <v>85</v>
      </c>
      <c r="V75" s="131"/>
      <c r="W75" s="131">
        <v>116095</v>
      </c>
      <c r="X75" s="131"/>
      <c r="Y75" s="131">
        <f>126282+49279</f>
        <v>175561</v>
      </c>
      <c r="Z75" s="131"/>
      <c r="AA75" s="131"/>
      <c r="AB75" s="8"/>
      <c r="AC75" s="131">
        <f>122394</f>
        <v>122394</v>
      </c>
      <c r="AD75" s="8"/>
      <c r="AE75" s="131">
        <v>98652</v>
      </c>
      <c r="AF75" s="131"/>
      <c r="AG75" s="131">
        <f>48395+129100</f>
        <v>177495</v>
      </c>
      <c r="AH75" s="131"/>
      <c r="AI75" s="131">
        <v>30976</v>
      </c>
      <c r="AJ75" s="131"/>
      <c r="AK75" s="131">
        <v>74578</v>
      </c>
      <c r="AL75" s="131"/>
      <c r="AM75" s="131">
        <v>11795</v>
      </c>
      <c r="AN75" s="131"/>
      <c r="AO75" s="131"/>
      <c r="AP75" s="131"/>
      <c r="AQ75" s="131"/>
      <c r="AR75" s="8"/>
      <c r="AS75" s="131"/>
      <c r="AT75" s="8"/>
      <c r="AU75" s="131"/>
      <c r="AV75" s="8"/>
      <c r="AW75" s="131"/>
      <c r="AX75" s="8"/>
      <c r="AY75" s="8">
        <f t="shared" si="13"/>
        <v>807631</v>
      </c>
      <c r="AZ75" s="8"/>
      <c r="BA75" s="131">
        <f>668414-329754+63305+76904+32208-14130-19070</f>
        <v>477877</v>
      </c>
      <c r="BB75" s="8"/>
      <c r="BC75" s="8">
        <f t="shared" si="14"/>
        <v>0</v>
      </c>
      <c r="BD75" s="8"/>
      <c r="BE75" s="8">
        <f t="shared" si="4"/>
        <v>807631</v>
      </c>
      <c r="BF75" s="8"/>
      <c r="BG75" s="12">
        <f t="shared" si="11"/>
        <v>-477877</v>
      </c>
    </row>
    <row r="76" spans="1:61" x14ac:dyDescent="0.25">
      <c r="A76" s="113"/>
      <c r="B76" s="31" t="s">
        <v>233</v>
      </c>
      <c r="C76" s="114"/>
      <c r="E76" s="7"/>
      <c r="G76" s="7" t="s">
        <v>254</v>
      </c>
      <c r="K76" s="5">
        <v>468032</v>
      </c>
      <c r="M76" s="5"/>
      <c r="O76" s="182">
        <f t="shared" si="12"/>
        <v>468032</v>
      </c>
      <c r="Q76" s="157"/>
      <c r="R76" s="241"/>
      <c r="S76" s="157"/>
      <c r="T76" s="241"/>
      <c r="U76" s="131">
        <v>266</v>
      </c>
      <c r="V76" s="131"/>
      <c r="W76" s="131">
        <v>61118</v>
      </c>
      <c r="X76" s="131"/>
      <c r="Y76" s="131">
        <f>48991+22526</f>
        <v>71517</v>
      </c>
      <c r="Z76" s="131"/>
      <c r="AA76" s="131"/>
      <c r="AB76" s="8"/>
      <c r="AC76" s="131">
        <v>77566</v>
      </c>
      <c r="AD76" s="8"/>
      <c r="AE76" s="131">
        <v>35507</v>
      </c>
      <c r="AF76" s="131"/>
      <c r="AG76" s="131">
        <f>11811+2559</f>
        <v>14370</v>
      </c>
      <c r="AH76" s="131"/>
      <c r="AI76" s="131">
        <v>127</v>
      </c>
      <c r="AJ76" s="131"/>
      <c r="AK76" s="131">
        <v>2181</v>
      </c>
      <c r="AL76" s="131"/>
      <c r="AM76" s="131"/>
      <c r="AN76" s="131"/>
      <c r="AO76" s="131"/>
      <c r="AP76" s="131"/>
      <c r="AQ76" s="131"/>
      <c r="AR76" s="8"/>
      <c r="AS76" s="131"/>
      <c r="AT76" s="8"/>
      <c r="AU76" s="131"/>
      <c r="AV76" s="8"/>
      <c r="AW76" s="131"/>
      <c r="AX76" s="8"/>
      <c r="AY76" s="8">
        <f t="shared" si="13"/>
        <v>262652</v>
      </c>
      <c r="AZ76" s="8"/>
      <c r="BA76" s="131">
        <f>528331-468032-70400-144686-46697-1579+873-3190</f>
        <v>-205380</v>
      </c>
      <c r="BB76" s="8"/>
      <c r="BC76" s="8">
        <f t="shared" si="14"/>
        <v>0</v>
      </c>
      <c r="BD76" s="8"/>
      <c r="BE76" s="8">
        <f t="shared" si="4"/>
        <v>262652</v>
      </c>
      <c r="BF76" s="8"/>
      <c r="BG76" s="12">
        <f t="shared" si="11"/>
        <v>205380</v>
      </c>
    </row>
    <row r="77" spans="1:61" x14ac:dyDescent="0.25">
      <c r="A77" s="113"/>
      <c r="B77" s="31" t="s">
        <v>234</v>
      </c>
      <c r="C77" s="114"/>
      <c r="E77" s="7"/>
      <c r="G77" s="7" t="s">
        <v>254</v>
      </c>
      <c r="K77" s="5">
        <v>1299267</v>
      </c>
      <c r="M77" s="5"/>
      <c r="O77" s="182">
        <f t="shared" si="12"/>
        <v>1299267</v>
      </c>
      <c r="Q77" s="157"/>
      <c r="R77" s="241"/>
      <c r="S77" s="157"/>
      <c r="T77" s="241"/>
      <c r="U77" s="131">
        <v>105428</v>
      </c>
      <c r="V77" s="131"/>
      <c r="W77" s="131">
        <v>33315</v>
      </c>
      <c r="X77" s="131"/>
      <c r="Y77" s="131">
        <f>12421+444991</f>
        <v>457412</v>
      </c>
      <c r="Z77" s="131"/>
      <c r="AA77" s="131"/>
      <c r="AB77" s="8"/>
      <c r="AC77" s="131">
        <v>298984</v>
      </c>
      <c r="AD77" s="8"/>
      <c r="AE77" s="131">
        <v>160839</v>
      </c>
      <c r="AF77" s="131"/>
      <c r="AG77" s="131">
        <f>196650+142497</f>
        <v>339147</v>
      </c>
      <c r="AH77" s="131"/>
      <c r="AI77" s="131">
        <v>14297</v>
      </c>
      <c r="AJ77" s="131"/>
      <c r="AK77" s="131">
        <v>107746</v>
      </c>
      <c r="AL77" s="131"/>
      <c r="AM77" s="131">
        <v>3263</v>
      </c>
      <c r="AN77" s="131"/>
      <c r="AO77" s="131">
        <v>-1778</v>
      </c>
      <c r="AP77" s="131"/>
      <c r="AQ77" s="131"/>
      <c r="AR77" s="8"/>
      <c r="AS77" s="131"/>
      <c r="AT77" s="8"/>
      <c r="AU77" s="131"/>
      <c r="AV77" s="8"/>
      <c r="AW77" s="131"/>
      <c r="AX77" s="8"/>
      <c r="AY77" s="8">
        <f t="shared" si="13"/>
        <v>1518653</v>
      </c>
      <c r="AZ77" s="8"/>
      <c r="BA77" s="131">
        <f>1676591-1299267-40000+53432-143729-42917+33025-15971-1778</f>
        <v>219386</v>
      </c>
      <c r="BB77" s="8"/>
      <c r="BC77" s="12">
        <f>IF(+O77-AY77+BA77&gt;0,O77-AY77+BA77,0)</f>
        <v>0</v>
      </c>
      <c r="BD77" s="8"/>
      <c r="BE77" s="8">
        <f t="shared" si="4"/>
        <v>1518653</v>
      </c>
      <c r="BF77" s="8"/>
      <c r="BG77" s="12">
        <f t="shared" si="11"/>
        <v>-219386</v>
      </c>
    </row>
    <row r="78" spans="1:61" x14ac:dyDescent="0.25">
      <c r="A78" s="113"/>
      <c r="B78" s="31" t="s">
        <v>388</v>
      </c>
      <c r="C78" s="114"/>
      <c r="E78" s="7"/>
      <c r="G78" s="7" t="s">
        <v>254</v>
      </c>
      <c r="K78" s="5">
        <v>72359</v>
      </c>
      <c r="M78" s="5"/>
      <c r="O78" s="182">
        <f t="shared" si="12"/>
        <v>72359</v>
      </c>
      <c r="Q78" s="157"/>
      <c r="R78" s="228"/>
      <c r="S78" s="157"/>
      <c r="T78" s="228"/>
      <c r="U78" s="131"/>
      <c r="V78" s="131"/>
      <c r="W78" s="131"/>
      <c r="X78" s="131"/>
      <c r="Y78" s="131"/>
      <c r="Z78" s="131"/>
      <c r="AA78" s="131"/>
      <c r="AB78" s="8"/>
      <c r="AC78" s="131"/>
      <c r="AD78" s="8"/>
      <c r="AE78" s="131">
        <v>8435</v>
      </c>
      <c r="AF78" s="131"/>
      <c r="AG78" s="131">
        <f>24057+25904</f>
        <v>49961</v>
      </c>
      <c r="AH78" s="131"/>
      <c r="AI78" s="131">
        <v>22433</v>
      </c>
      <c r="AJ78" s="131"/>
      <c r="AK78" s="131">
        <v>5529</v>
      </c>
      <c r="AL78" s="131"/>
      <c r="AM78" s="131">
        <v>1650</v>
      </c>
      <c r="AN78" s="131"/>
      <c r="AO78" s="131"/>
      <c r="AP78" s="131"/>
      <c r="AQ78" s="131"/>
      <c r="AR78" s="8"/>
      <c r="AS78" s="131"/>
      <c r="AT78" s="8"/>
      <c r="AU78" s="131"/>
      <c r="AV78" s="8"/>
      <c r="AW78" s="131"/>
      <c r="AX78" s="8"/>
      <c r="AY78" s="8">
        <f t="shared" si="13"/>
        <v>88008</v>
      </c>
      <c r="AZ78" s="8"/>
      <c r="BA78" s="131">
        <f>14103+12577-433-7220-3378</f>
        <v>15649</v>
      </c>
      <c r="BB78" s="8"/>
      <c r="BC78" s="8">
        <f t="shared" si="14"/>
        <v>0</v>
      </c>
      <c r="BD78" s="8"/>
      <c r="BE78" s="8">
        <f t="shared" si="4"/>
        <v>88008</v>
      </c>
      <c r="BF78" s="8"/>
      <c r="BG78" s="12">
        <f t="shared" si="11"/>
        <v>-15649</v>
      </c>
    </row>
    <row r="79" spans="1:61" x14ac:dyDescent="0.25">
      <c r="A79" s="113"/>
      <c r="B79" s="31" t="s">
        <v>235</v>
      </c>
      <c r="C79" s="114"/>
      <c r="E79" s="7"/>
      <c r="G79" s="7" t="s">
        <v>254</v>
      </c>
      <c r="K79" s="5">
        <v>192039</v>
      </c>
      <c r="M79" s="5"/>
      <c r="O79" s="182">
        <f t="shared" si="12"/>
        <v>192039</v>
      </c>
      <c r="Q79" s="157"/>
      <c r="R79" s="228"/>
      <c r="S79" s="157"/>
      <c r="T79" s="228"/>
      <c r="U79" s="131"/>
      <c r="V79" s="131"/>
      <c r="W79" s="131"/>
      <c r="X79" s="131"/>
      <c r="Y79" s="131"/>
      <c r="Z79" s="131"/>
      <c r="AA79" s="131"/>
      <c r="AB79" s="8"/>
      <c r="AC79" s="131"/>
      <c r="AD79" s="8"/>
      <c r="AE79" s="131"/>
      <c r="AF79" s="131"/>
      <c r="AG79" s="131">
        <f>7744+65069</f>
        <v>72813</v>
      </c>
      <c r="AH79" s="131"/>
      <c r="AI79" s="131">
        <v>1419</v>
      </c>
      <c r="AJ79" s="131"/>
      <c r="AK79" s="131">
        <v>20433</v>
      </c>
      <c r="AL79" s="131"/>
      <c r="AM79" s="131">
        <v>36708</v>
      </c>
      <c r="AN79" s="131"/>
      <c r="AO79" s="131">
        <v>71110</v>
      </c>
      <c r="AP79" s="131"/>
      <c r="AQ79" s="131"/>
      <c r="AR79" s="8"/>
      <c r="AS79" s="131"/>
      <c r="AT79" s="8"/>
      <c r="AU79" s="131"/>
      <c r="AV79" s="8"/>
      <c r="AW79" s="131"/>
      <c r="AX79" s="8"/>
      <c r="AY79" s="8">
        <f t="shared" si="13"/>
        <v>202483</v>
      </c>
      <c r="AZ79" s="8"/>
      <c r="BA79" s="131">
        <f>2610-1707+9776-340-71005+71110</f>
        <v>10444</v>
      </c>
      <c r="BB79" s="8"/>
      <c r="BC79" s="8">
        <f t="shared" si="14"/>
        <v>0</v>
      </c>
      <c r="BD79" s="8"/>
      <c r="BE79" s="8">
        <f t="shared" si="4"/>
        <v>202483</v>
      </c>
      <c r="BF79" s="8"/>
      <c r="BG79" s="12">
        <f t="shared" si="11"/>
        <v>-10444</v>
      </c>
    </row>
    <row r="80" spans="1:61" x14ac:dyDescent="0.25">
      <c r="A80" s="113"/>
      <c r="B80" s="31" t="s">
        <v>236</v>
      </c>
      <c r="C80" s="114"/>
      <c r="E80" s="7"/>
      <c r="G80" s="7" t="s">
        <v>254</v>
      </c>
      <c r="K80" s="5">
        <v>79153</v>
      </c>
      <c r="M80" s="5"/>
      <c r="O80" s="182">
        <f t="shared" si="12"/>
        <v>79153</v>
      </c>
      <c r="Q80" s="157"/>
      <c r="R80" s="228"/>
      <c r="S80" s="157"/>
      <c r="T80" s="228"/>
      <c r="U80" s="131"/>
      <c r="V80" s="131"/>
      <c r="W80" s="131"/>
      <c r="X80" s="131"/>
      <c r="Y80" s="131"/>
      <c r="Z80" s="131"/>
      <c r="AA80" s="131"/>
      <c r="AB80" s="8"/>
      <c r="AC80" s="131"/>
      <c r="AD80" s="8"/>
      <c r="AE80" s="131"/>
      <c r="AF80" s="131"/>
      <c r="AG80" s="131">
        <v>0</v>
      </c>
      <c r="AH80" s="131"/>
      <c r="AI80" s="131"/>
      <c r="AJ80" s="131"/>
      <c r="AK80" s="131"/>
      <c r="AL80" s="131"/>
      <c r="AM80" s="131"/>
      <c r="AN80" s="131"/>
      <c r="AO80" s="131">
        <v>46980</v>
      </c>
      <c r="AP80" s="131"/>
      <c r="AQ80" s="131"/>
      <c r="AR80" s="8"/>
      <c r="AS80" s="131"/>
      <c r="AT80" s="8"/>
      <c r="AU80" s="131"/>
      <c r="AV80" s="8"/>
      <c r="AW80" s="131"/>
      <c r="AX80" s="8"/>
      <c r="AY80" s="8">
        <f t="shared" si="13"/>
        <v>46980</v>
      </c>
      <c r="AZ80" s="8"/>
      <c r="BA80" s="131">
        <f>-79153+46980</f>
        <v>-32173</v>
      </c>
      <c r="BB80" s="8"/>
      <c r="BC80" s="8">
        <f t="shared" si="14"/>
        <v>0</v>
      </c>
      <c r="BD80" s="8"/>
      <c r="BE80" s="8">
        <f t="shared" si="4"/>
        <v>46980</v>
      </c>
      <c r="BF80" s="8"/>
      <c r="BG80" s="12">
        <f t="shared" si="11"/>
        <v>32173</v>
      </c>
    </row>
    <row r="81" spans="1:61" x14ac:dyDescent="0.25">
      <c r="A81" s="113"/>
      <c r="B81" s="31" t="s">
        <v>237</v>
      </c>
      <c r="C81" s="114"/>
      <c r="E81" s="7"/>
      <c r="G81" s="7" t="s">
        <v>254</v>
      </c>
      <c r="K81" s="5">
        <v>326384</v>
      </c>
      <c r="M81" s="5"/>
      <c r="O81" s="182">
        <f t="shared" si="12"/>
        <v>326384</v>
      </c>
      <c r="Q81" s="157"/>
      <c r="R81" s="228"/>
      <c r="S81" s="157"/>
      <c r="T81" s="228"/>
      <c r="U81" s="131"/>
      <c r="V81" s="131"/>
      <c r="W81" s="131"/>
      <c r="X81" s="131"/>
      <c r="Y81" s="131">
        <v>22473</v>
      </c>
      <c r="Z81" s="131"/>
      <c r="AA81" s="131"/>
      <c r="AB81" s="8"/>
      <c r="AC81" s="131"/>
      <c r="AD81" s="8"/>
      <c r="AE81" s="131">
        <v>105713</v>
      </c>
      <c r="AF81" s="131"/>
      <c r="AG81" s="131">
        <f>-5347+153792</f>
        <v>148445</v>
      </c>
      <c r="AH81" s="131"/>
      <c r="AI81" s="131">
        <v>35553</v>
      </c>
      <c r="AJ81" s="131"/>
      <c r="AK81" s="131">
        <v>26438</v>
      </c>
      <c r="AL81" s="131"/>
      <c r="AM81" s="131"/>
      <c r="AN81" s="131"/>
      <c r="AO81" s="131"/>
      <c r="AP81" s="131"/>
      <c r="AQ81" s="131"/>
      <c r="AR81" s="8"/>
      <c r="AS81" s="131"/>
      <c r="AT81" s="8"/>
      <c r="AU81" s="131"/>
      <c r="AV81" s="8"/>
      <c r="AW81" s="131"/>
      <c r="AX81" s="8"/>
      <c r="AY81" s="8">
        <f t="shared" si="13"/>
        <v>338622</v>
      </c>
      <c r="AZ81" s="8"/>
      <c r="BA81" s="131">
        <f>57311+3585-22421+22606-48843</f>
        <v>12238</v>
      </c>
      <c r="BB81" s="8"/>
      <c r="BC81" s="8">
        <f t="shared" si="14"/>
        <v>0</v>
      </c>
      <c r="BD81" s="8"/>
      <c r="BE81" s="8">
        <f t="shared" si="4"/>
        <v>338622</v>
      </c>
      <c r="BF81" s="8"/>
      <c r="BG81" s="12">
        <f t="shared" si="11"/>
        <v>-12238</v>
      </c>
    </row>
    <row r="82" spans="1:61" x14ac:dyDescent="0.25">
      <c r="A82" s="113"/>
      <c r="B82" s="31" t="s">
        <v>238</v>
      </c>
      <c r="C82" s="114"/>
      <c r="E82" s="7"/>
      <c r="G82" s="7" t="s">
        <v>254</v>
      </c>
      <c r="K82" s="5"/>
      <c r="M82" s="5"/>
      <c r="O82" s="182">
        <f t="shared" si="12"/>
        <v>0</v>
      </c>
      <c r="Q82" s="157"/>
      <c r="R82" s="228"/>
      <c r="S82" s="157"/>
      <c r="T82" s="228"/>
      <c r="U82" s="131"/>
      <c r="V82" s="131"/>
      <c r="W82" s="131"/>
      <c r="X82" s="131"/>
      <c r="Y82" s="131"/>
      <c r="Z82" s="131"/>
      <c r="AA82" s="131"/>
      <c r="AB82" s="8"/>
      <c r="AC82" s="131"/>
      <c r="AD82" s="8"/>
      <c r="AE82" s="131"/>
      <c r="AF82" s="131"/>
      <c r="AG82" s="131">
        <v>0</v>
      </c>
      <c r="AH82" s="131"/>
      <c r="AI82" s="131"/>
      <c r="AJ82" s="131"/>
      <c r="AK82" s="131"/>
      <c r="AL82" s="131"/>
      <c r="AM82" s="131"/>
      <c r="AN82" s="131"/>
      <c r="AO82" s="131"/>
      <c r="AP82" s="131"/>
      <c r="AQ82" s="131"/>
      <c r="AR82" s="8"/>
      <c r="AS82" s="131"/>
      <c r="AT82" s="8"/>
      <c r="AU82" s="131"/>
      <c r="AV82" s="8"/>
      <c r="AW82" s="131"/>
      <c r="AX82" s="8"/>
      <c r="AY82" s="8">
        <f t="shared" si="13"/>
        <v>0</v>
      </c>
      <c r="AZ82" s="8"/>
      <c r="BA82" s="131"/>
      <c r="BB82" s="8"/>
      <c r="BC82" s="8">
        <f t="shared" si="14"/>
        <v>0</v>
      </c>
      <c r="BD82" s="8"/>
      <c r="BE82" s="8">
        <f t="shared" ref="BE82:BE147" si="15">+BC82+AY82</f>
        <v>0</v>
      </c>
      <c r="BF82" s="8"/>
      <c r="BG82" s="12">
        <f t="shared" si="11"/>
        <v>0</v>
      </c>
    </row>
    <row r="83" spans="1:61" x14ac:dyDescent="0.25">
      <c r="A83" s="113"/>
      <c r="B83" s="31" t="s">
        <v>239</v>
      </c>
      <c r="C83" s="114"/>
      <c r="E83" s="7"/>
      <c r="G83" s="7" t="s">
        <v>254</v>
      </c>
      <c r="K83" s="5">
        <v>91291</v>
      </c>
      <c r="M83" s="5"/>
      <c r="O83" s="182">
        <f t="shared" si="12"/>
        <v>91291</v>
      </c>
      <c r="Q83" s="157"/>
      <c r="R83" s="241"/>
      <c r="S83" s="157"/>
      <c r="T83" s="241"/>
      <c r="U83" s="131">
        <v>1231</v>
      </c>
      <c r="V83" s="131"/>
      <c r="W83" s="131">
        <v>129</v>
      </c>
      <c r="X83" s="131"/>
      <c r="Y83" s="131">
        <v>11466</v>
      </c>
      <c r="Z83" s="131"/>
      <c r="AA83" s="131"/>
      <c r="AB83" s="8"/>
      <c r="AC83" s="131">
        <v>39952</v>
      </c>
      <c r="AD83" s="8"/>
      <c r="AE83" s="131">
        <v>63581</v>
      </c>
      <c r="AF83" s="131"/>
      <c r="AG83" s="131">
        <f>41310+48083-35378</f>
        <v>54015</v>
      </c>
      <c r="AH83" s="131"/>
      <c r="AI83" s="131">
        <f>35378+65637</f>
        <v>101015</v>
      </c>
      <c r="AJ83" s="131"/>
      <c r="AK83" s="131">
        <v>-7447</v>
      </c>
      <c r="AL83" s="131"/>
      <c r="AM83" s="131">
        <v>25242</v>
      </c>
      <c r="AN83" s="131"/>
      <c r="AO83" s="131">
        <v>17257</v>
      </c>
      <c r="AP83" s="131"/>
      <c r="AQ83" s="131"/>
      <c r="AR83" s="8"/>
      <c r="AS83" s="131"/>
      <c r="AT83" s="8"/>
      <c r="AU83" s="131"/>
      <c r="AV83" s="8"/>
      <c r="AW83" s="131"/>
      <c r="AX83" s="8"/>
      <c r="AY83" s="8">
        <f t="shared" si="13"/>
        <v>306441</v>
      </c>
      <c r="AZ83" s="8"/>
      <c r="BA83" s="131">
        <f>48852+15000+15231-4267+116229+6523+2702+2621-4998+17257</f>
        <v>215150</v>
      </c>
      <c r="BB83" s="8"/>
      <c r="BC83" s="8">
        <f t="shared" si="14"/>
        <v>0</v>
      </c>
      <c r="BD83" s="8"/>
      <c r="BE83" s="264">
        <f t="shared" si="15"/>
        <v>306441</v>
      </c>
      <c r="BF83" s="8"/>
      <c r="BG83" s="12">
        <f t="shared" si="11"/>
        <v>-215150</v>
      </c>
    </row>
    <row r="84" spans="1:61" x14ac:dyDescent="0.25">
      <c r="A84" s="113"/>
      <c r="B84" s="31" t="s">
        <v>240</v>
      </c>
      <c r="C84" s="114"/>
      <c r="E84" s="7"/>
      <c r="G84" s="7" t="s">
        <v>254</v>
      </c>
      <c r="K84" s="5">
        <v>0</v>
      </c>
      <c r="M84" s="5"/>
      <c r="O84" s="182">
        <f t="shared" si="12"/>
        <v>0</v>
      </c>
      <c r="Q84" s="157"/>
      <c r="R84" s="228"/>
      <c r="S84" s="157"/>
      <c r="T84" s="228"/>
      <c r="U84" s="131"/>
      <c r="V84" s="131"/>
      <c r="W84" s="131"/>
      <c r="X84" s="131"/>
      <c r="Y84" s="131"/>
      <c r="Z84" s="131"/>
      <c r="AA84" s="131"/>
      <c r="AB84" s="8"/>
      <c r="AC84" s="131"/>
      <c r="AD84" s="8"/>
      <c r="AE84" s="131"/>
      <c r="AF84" s="131"/>
      <c r="AG84" s="131">
        <v>0</v>
      </c>
      <c r="AH84" s="131"/>
      <c r="AI84" s="131"/>
      <c r="AJ84" s="131"/>
      <c r="AK84" s="131"/>
      <c r="AL84" s="131"/>
      <c r="AM84" s="131"/>
      <c r="AN84" s="131"/>
      <c r="AO84" s="131"/>
      <c r="AP84" s="131"/>
      <c r="AQ84" s="131"/>
      <c r="AR84" s="8"/>
      <c r="AS84" s="131"/>
      <c r="AT84" s="8"/>
      <c r="AU84" s="131"/>
      <c r="AV84" s="8"/>
      <c r="AW84" s="131"/>
      <c r="AX84" s="8"/>
      <c r="AY84" s="8">
        <f t="shared" si="13"/>
        <v>0</v>
      </c>
      <c r="AZ84" s="8"/>
      <c r="BA84" s="131">
        <f>0</f>
        <v>0</v>
      </c>
      <c r="BB84" s="8"/>
      <c r="BC84" s="8">
        <f t="shared" si="14"/>
        <v>0</v>
      </c>
      <c r="BD84" s="8"/>
      <c r="BE84" s="8">
        <f t="shared" si="15"/>
        <v>0</v>
      </c>
      <c r="BF84" s="8"/>
      <c r="BG84" s="12">
        <f t="shared" si="11"/>
        <v>0</v>
      </c>
    </row>
    <row r="85" spans="1:61" x14ac:dyDescent="0.25">
      <c r="A85" s="113"/>
      <c r="B85" s="31" t="s">
        <v>241</v>
      </c>
      <c r="C85" s="114"/>
      <c r="E85" s="7"/>
      <c r="G85" s="7" t="s">
        <v>254</v>
      </c>
      <c r="K85" s="5">
        <v>151616</v>
      </c>
      <c r="M85" s="5"/>
      <c r="O85" s="182">
        <f t="shared" si="12"/>
        <v>151616</v>
      </c>
      <c r="Q85" s="157"/>
      <c r="R85" s="228"/>
      <c r="S85" s="157"/>
      <c r="T85" s="228"/>
      <c r="U85" s="131"/>
      <c r="V85" s="131"/>
      <c r="W85" s="131"/>
      <c r="X85" s="131"/>
      <c r="Y85" s="131"/>
      <c r="Z85" s="131"/>
      <c r="AA85" s="131"/>
      <c r="AB85" s="8"/>
      <c r="AC85" s="131">
        <v>2715</v>
      </c>
      <c r="AD85" s="8"/>
      <c r="AE85" s="131">
        <v>81897</v>
      </c>
      <c r="AF85" s="131"/>
      <c r="AG85" s="131">
        <f>289555+35432</f>
        <v>324987</v>
      </c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8"/>
      <c r="AS85" s="131"/>
      <c r="AT85" s="8"/>
      <c r="AU85" s="131"/>
      <c r="AV85" s="8"/>
      <c r="AW85" s="131"/>
      <c r="AX85" s="8"/>
      <c r="AY85" s="8">
        <f t="shared" si="13"/>
        <v>409599</v>
      </c>
      <c r="AZ85" s="8"/>
      <c r="BA85" s="131">
        <f>70885+427466-240368+712-712</f>
        <v>257983</v>
      </c>
      <c r="BB85" s="8"/>
      <c r="BC85" s="8">
        <f t="shared" si="14"/>
        <v>0</v>
      </c>
      <c r="BD85" s="8"/>
      <c r="BE85" s="8">
        <f t="shared" si="15"/>
        <v>409599</v>
      </c>
      <c r="BF85" s="8"/>
      <c r="BG85" s="12">
        <f t="shared" si="11"/>
        <v>-257983</v>
      </c>
    </row>
    <row r="86" spans="1:61" x14ac:dyDescent="0.25">
      <c r="A86" s="113"/>
      <c r="B86" s="31" t="s">
        <v>242</v>
      </c>
      <c r="C86" s="114"/>
      <c r="E86" s="7"/>
      <c r="G86" s="7" t="s">
        <v>254</v>
      </c>
      <c r="K86" s="5"/>
      <c r="M86" s="5"/>
      <c r="O86" s="182">
        <f t="shared" si="12"/>
        <v>0</v>
      </c>
      <c r="Q86" s="157"/>
      <c r="R86" s="228"/>
      <c r="S86" s="157"/>
      <c r="T86" s="228"/>
      <c r="U86" s="131"/>
      <c r="V86" s="131"/>
      <c r="W86" s="131"/>
      <c r="X86" s="131"/>
      <c r="Y86" s="131"/>
      <c r="Z86" s="131"/>
      <c r="AA86" s="131"/>
      <c r="AB86" s="8"/>
      <c r="AC86" s="131"/>
      <c r="AD86" s="8"/>
      <c r="AE86" s="131"/>
      <c r="AF86" s="131"/>
      <c r="AG86" s="131"/>
      <c r="AH86" s="131"/>
      <c r="AI86" s="131"/>
      <c r="AJ86" s="131"/>
      <c r="AK86" s="131"/>
      <c r="AL86" s="131"/>
      <c r="AM86" s="131"/>
      <c r="AN86" s="131"/>
      <c r="AO86" s="131"/>
      <c r="AP86" s="131"/>
      <c r="AQ86" s="131"/>
      <c r="AR86" s="8"/>
      <c r="AS86" s="131"/>
      <c r="AT86" s="8"/>
      <c r="AU86" s="131"/>
      <c r="AV86" s="8"/>
      <c r="AW86" s="131"/>
      <c r="AX86" s="8"/>
      <c r="AY86" s="8">
        <f t="shared" si="13"/>
        <v>0</v>
      </c>
      <c r="AZ86" s="8"/>
      <c r="BA86" s="131"/>
      <c r="BB86" s="8"/>
      <c r="BC86" s="8">
        <f t="shared" si="14"/>
        <v>0</v>
      </c>
      <c r="BD86" s="8"/>
      <c r="BE86" s="8">
        <f t="shared" si="15"/>
        <v>0</v>
      </c>
      <c r="BF86" s="8"/>
      <c r="BG86" s="12">
        <f t="shared" si="11"/>
        <v>0</v>
      </c>
    </row>
    <row r="87" spans="1:61" x14ac:dyDescent="0.25">
      <c r="A87" s="113"/>
      <c r="B87" s="31" t="s">
        <v>239</v>
      </c>
      <c r="C87" s="114"/>
      <c r="E87" s="7"/>
      <c r="G87" s="7" t="s">
        <v>254</v>
      </c>
      <c r="K87" s="5">
        <v>566895</v>
      </c>
      <c r="M87" s="5"/>
      <c r="O87" s="182">
        <f t="shared" si="12"/>
        <v>566895</v>
      </c>
      <c r="Q87" s="157"/>
      <c r="R87" s="228"/>
      <c r="S87" s="157"/>
      <c r="T87" s="228"/>
      <c r="U87" s="131"/>
      <c r="V87" s="131"/>
      <c r="W87" s="131"/>
      <c r="X87" s="131"/>
      <c r="Y87" s="131"/>
      <c r="Z87" s="131"/>
      <c r="AA87" s="131"/>
      <c r="AB87" s="8"/>
      <c r="AC87" s="131">
        <v>580833</v>
      </c>
      <c r="AD87" s="8"/>
      <c r="AE87" s="131">
        <v>50490</v>
      </c>
      <c r="AF87" s="131"/>
      <c r="AG87" s="131">
        <f>580843+234469-725512+40600+139334+49290</f>
        <v>319024</v>
      </c>
      <c r="AH87" s="131"/>
      <c r="AI87" s="131">
        <f>725512+349818</f>
        <v>1075330</v>
      </c>
      <c r="AJ87" s="131"/>
      <c r="AK87" s="131">
        <v>383598</v>
      </c>
      <c r="AL87" s="131"/>
      <c r="AM87" s="131">
        <v>104692</v>
      </c>
      <c r="AN87" s="131"/>
      <c r="AO87" s="131">
        <v>94687</v>
      </c>
      <c r="AP87" s="131"/>
      <c r="AQ87" s="131"/>
      <c r="AR87" s="8"/>
      <c r="AS87" s="131"/>
      <c r="AT87" s="8"/>
      <c r="AU87" s="131"/>
      <c r="AV87" s="8"/>
      <c r="AW87" s="131"/>
      <c r="AX87" s="8"/>
      <c r="AY87" s="8">
        <f t="shared" si="13"/>
        <v>2608654</v>
      </c>
      <c r="AZ87" s="8"/>
      <c r="BA87" s="131">
        <f>550632-566895-4509+75000+100000+77531+631030+28360+222806+100867+13511+122668+38712+17617+124548+51452+209+335+152+1+5180-210</f>
        <v>1588997</v>
      </c>
      <c r="BB87" s="8"/>
      <c r="BC87" s="12">
        <f>IF(+O87-AY87+BA87&gt;0,O87-AY87+BA87,0)</f>
        <v>0</v>
      </c>
      <c r="BD87" s="8"/>
      <c r="BE87" s="264">
        <f t="shared" si="15"/>
        <v>2608654</v>
      </c>
      <c r="BF87" s="8"/>
      <c r="BG87" s="12">
        <f t="shared" si="11"/>
        <v>-2041759</v>
      </c>
      <c r="BI87" s="157" t="s">
        <v>499</v>
      </c>
    </row>
    <row r="88" spans="1:61" x14ac:dyDescent="0.25">
      <c r="A88" s="113"/>
      <c r="B88" s="31" t="s">
        <v>240</v>
      </c>
      <c r="C88" s="114"/>
      <c r="E88" s="7"/>
      <c r="G88" s="7" t="s">
        <v>254</v>
      </c>
      <c r="K88" s="5">
        <v>92834</v>
      </c>
      <c r="M88" s="5"/>
      <c r="O88" s="182">
        <f t="shared" si="12"/>
        <v>92834</v>
      </c>
      <c r="Q88" s="157"/>
      <c r="R88" s="228"/>
      <c r="S88" s="157"/>
      <c r="T88" s="228"/>
      <c r="U88" s="131"/>
      <c r="V88" s="131"/>
      <c r="W88" s="131"/>
      <c r="X88" s="131"/>
      <c r="Y88" s="131"/>
      <c r="Z88" s="131"/>
      <c r="AA88" s="131"/>
      <c r="AB88" s="8"/>
      <c r="AC88" s="131"/>
      <c r="AD88" s="8"/>
      <c r="AE88" s="131"/>
      <c r="AF88" s="131"/>
      <c r="AG88" s="131">
        <v>0</v>
      </c>
      <c r="AH88" s="131"/>
      <c r="AI88" s="131"/>
      <c r="AJ88" s="131"/>
      <c r="AK88" s="131"/>
      <c r="AL88" s="131"/>
      <c r="AM88" s="131"/>
      <c r="AN88" s="131"/>
      <c r="AO88" s="131"/>
      <c r="AP88" s="131"/>
      <c r="AQ88" s="131"/>
      <c r="AR88" s="8"/>
      <c r="AS88" s="131"/>
      <c r="AT88" s="8"/>
      <c r="AU88" s="131"/>
      <c r="AV88" s="8"/>
      <c r="AW88" s="131"/>
      <c r="AX88" s="8"/>
      <c r="AY88" s="8">
        <f t="shared" si="13"/>
        <v>0</v>
      </c>
      <c r="AZ88" s="8"/>
      <c r="BA88" s="131">
        <f>180000-92834-30000+26000-176000</f>
        <v>-92834</v>
      </c>
      <c r="BB88" s="8"/>
      <c r="BC88" s="8">
        <f t="shared" si="14"/>
        <v>0</v>
      </c>
      <c r="BD88" s="8"/>
      <c r="BE88" s="8">
        <f t="shared" si="15"/>
        <v>0</v>
      </c>
      <c r="BF88" s="8"/>
      <c r="BG88" s="12">
        <f t="shared" si="11"/>
        <v>92834</v>
      </c>
    </row>
    <row r="89" spans="1:61" x14ac:dyDescent="0.25">
      <c r="A89" s="113"/>
      <c r="B89" s="31" t="s">
        <v>241</v>
      </c>
      <c r="C89" s="114"/>
      <c r="E89" s="7"/>
      <c r="G89" s="7" t="s">
        <v>254</v>
      </c>
      <c r="K89" s="5">
        <v>557486</v>
      </c>
      <c r="M89" s="5"/>
      <c r="O89" s="182">
        <f t="shared" si="12"/>
        <v>557486</v>
      </c>
      <c r="Q89" s="157"/>
      <c r="R89" s="241"/>
      <c r="S89" s="157"/>
      <c r="T89" s="241"/>
      <c r="U89" s="131">
        <v>0</v>
      </c>
      <c r="V89" s="131"/>
      <c r="W89" s="131"/>
      <c r="X89" s="131"/>
      <c r="Y89" s="131">
        <v>1777</v>
      </c>
      <c r="Z89" s="131"/>
      <c r="AA89" s="131"/>
      <c r="AB89" s="8"/>
      <c r="AC89" s="131">
        <v>21772</v>
      </c>
      <c r="AD89" s="8"/>
      <c r="AE89" s="131">
        <v>129389</v>
      </c>
      <c r="AF89" s="131"/>
      <c r="AG89" s="131">
        <f>418839+292435</f>
        <v>711274</v>
      </c>
      <c r="AH89" s="131"/>
      <c r="AI89" s="131">
        <v>129804</v>
      </c>
      <c r="AJ89" s="131"/>
      <c r="AK89" s="131">
        <v>5251</v>
      </c>
      <c r="AL89" s="131"/>
      <c r="AM89" s="131"/>
      <c r="AN89" s="131"/>
      <c r="AO89" s="131"/>
      <c r="AP89" s="131"/>
      <c r="AQ89" s="131"/>
      <c r="AR89" s="8"/>
      <c r="AS89" s="131"/>
      <c r="AT89" s="8"/>
      <c r="AU89" s="131"/>
      <c r="AV89" s="8"/>
      <c r="AW89" s="131"/>
      <c r="AX89" s="8"/>
      <c r="AY89" s="8">
        <f t="shared" si="13"/>
        <v>999267</v>
      </c>
      <c r="AZ89" s="8"/>
      <c r="BA89" s="131">
        <f>18803+879767-239590+113794+327471-330993-327471</f>
        <v>441781</v>
      </c>
      <c r="BB89" s="8"/>
      <c r="BC89" s="8">
        <f t="shared" si="14"/>
        <v>0</v>
      </c>
      <c r="BD89" s="8"/>
      <c r="BE89" s="8">
        <f t="shared" si="15"/>
        <v>999267</v>
      </c>
      <c r="BF89" s="8"/>
      <c r="BG89" s="12">
        <f t="shared" si="11"/>
        <v>-441781</v>
      </c>
    </row>
    <row r="90" spans="1:61" x14ac:dyDescent="0.25">
      <c r="A90" s="113"/>
      <c r="B90" s="31" t="s">
        <v>43</v>
      </c>
      <c r="C90" s="114"/>
      <c r="E90" s="7"/>
      <c r="G90" s="7" t="s">
        <v>254</v>
      </c>
      <c r="K90" s="5">
        <v>233106</v>
      </c>
      <c r="M90" s="5"/>
      <c r="O90" s="182">
        <f t="shared" si="12"/>
        <v>233106</v>
      </c>
      <c r="Q90" s="157"/>
      <c r="R90" s="228"/>
      <c r="S90" s="157"/>
      <c r="T90" s="228"/>
      <c r="U90" s="131"/>
      <c r="V90" s="131"/>
      <c r="W90" s="131"/>
      <c r="X90" s="131"/>
      <c r="Y90" s="131"/>
      <c r="Z90" s="131"/>
      <c r="AA90" s="131"/>
      <c r="AB90" s="8"/>
      <c r="AC90" s="131">
        <v>4104</v>
      </c>
      <c r="AD90" s="8"/>
      <c r="AE90" s="131">
        <v>542</v>
      </c>
      <c r="AF90" s="131"/>
      <c r="AG90" s="131">
        <f>222951+47497-72876+35929</f>
        <v>233501</v>
      </c>
      <c r="AH90" s="131"/>
      <c r="AI90" s="131">
        <f>72876+28644</f>
        <v>101520</v>
      </c>
      <c r="AJ90" s="131"/>
      <c r="AK90" s="131">
        <v>99402</v>
      </c>
      <c r="AL90" s="131"/>
      <c r="AM90" s="131">
        <v>19680</v>
      </c>
      <c r="AN90" s="131"/>
      <c r="AO90" s="131">
        <v>5692</v>
      </c>
      <c r="AP90" s="131"/>
      <c r="AQ90" s="131"/>
      <c r="AR90" s="8"/>
      <c r="AS90" s="131"/>
      <c r="AT90" s="8"/>
      <c r="AU90" s="131"/>
      <c r="AV90" s="8"/>
      <c r="AW90" s="131"/>
      <c r="AX90" s="8"/>
      <c r="AY90" s="8">
        <f t="shared" si="13"/>
        <v>464441</v>
      </c>
      <c r="AZ90" s="8"/>
      <c r="BA90" s="131">
        <f>291034-321922+43561+47003+295776+6016-15000+15708-10-136523+5692</f>
        <v>231335</v>
      </c>
      <c r="BB90" s="8"/>
      <c r="BC90" s="8">
        <f t="shared" si="14"/>
        <v>0</v>
      </c>
      <c r="BD90" s="8"/>
      <c r="BE90" s="8">
        <f t="shared" si="15"/>
        <v>464441</v>
      </c>
      <c r="BF90" s="8"/>
      <c r="BG90" s="12">
        <f t="shared" si="11"/>
        <v>-231335</v>
      </c>
    </row>
    <row r="91" spans="1:61" x14ac:dyDescent="0.25">
      <c r="A91" s="113"/>
      <c r="B91" s="31" t="s">
        <v>245</v>
      </c>
      <c r="C91" s="114"/>
      <c r="E91" s="7"/>
      <c r="G91" s="7" t="s">
        <v>254</v>
      </c>
      <c r="K91" s="5">
        <v>315756</v>
      </c>
      <c r="M91" s="5"/>
      <c r="O91" s="182">
        <f t="shared" si="12"/>
        <v>315756</v>
      </c>
      <c r="Q91" s="157"/>
      <c r="R91" s="228"/>
      <c r="S91" s="157"/>
      <c r="T91" s="228"/>
      <c r="U91" s="131"/>
      <c r="V91" s="131"/>
      <c r="W91" s="131"/>
      <c r="X91" s="131"/>
      <c r="Y91" s="131"/>
      <c r="Z91" s="131"/>
      <c r="AA91" s="131"/>
      <c r="AB91" s="8"/>
      <c r="AC91" s="131"/>
      <c r="AD91" s="8"/>
      <c r="AE91" s="131"/>
      <c r="AF91" s="131"/>
      <c r="AG91" s="131"/>
      <c r="AH91" s="131"/>
      <c r="AI91" s="131">
        <v>161942</v>
      </c>
      <c r="AJ91" s="131"/>
      <c r="AK91" s="131">
        <v>-76357</v>
      </c>
      <c r="AL91" s="131"/>
      <c r="AM91" s="131"/>
      <c r="AN91" s="131"/>
      <c r="AO91" s="131">
        <v>13401</v>
      </c>
      <c r="AP91" s="131"/>
      <c r="AQ91" s="131"/>
      <c r="AR91" s="8"/>
      <c r="AS91" s="131"/>
      <c r="AT91" s="8"/>
      <c r="AU91" s="131"/>
      <c r="AV91" s="8"/>
      <c r="AW91" s="131"/>
      <c r="AX91" s="8"/>
      <c r="AY91" s="8">
        <f t="shared" si="13"/>
        <v>98986</v>
      </c>
      <c r="AZ91" s="8"/>
      <c r="BA91" s="131">
        <f>-185756-44415+13401</f>
        <v>-216770</v>
      </c>
      <c r="BB91" s="8"/>
      <c r="BC91" s="8">
        <f t="shared" si="14"/>
        <v>0</v>
      </c>
      <c r="BD91" s="8"/>
      <c r="BE91" s="12">
        <f t="shared" si="15"/>
        <v>98986</v>
      </c>
      <c r="BF91" s="8"/>
      <c r="BG91" s="12">
        <f t="shared" si="11"/>
        <v>216770</v>
      </c>
    </row>
    <row r="92" spans="1:61" x14ac:dyDescent="0.25">
      <c r="A92" s="113"/>
      <c r="B92" s="31" t="s">
        <v>243</v>
      </c>
      <c r="C92" s="114"/>
      <c r="E92" s="7"/>
      <c r="G92" s="7" t="s">
        <v>254</v>
      </c>
      <c r="K92" s="5">
        <v>121213</v>
      </c>
      <c r="M92" s="5"/>
      <c r="O92" s="182">
        <f t="shared" si="12"/>
        <v>121213</v>
      </c>
      <c r="Q92" s="157"/>
      <c r="R92" s="228"/>
      <c r="S92" s="157"/>
      <c r="T92" s="228"/>
      <c r="U92" s="131"/>
      <c r="V92" s="131"/>
      <c r="W92" s="131"/>
      <c r="X92" s="131"/>
      <c r="Y92" s="131"/>
      <c r="Z92" s="131"/>
      <c r="AA92" s="131"/>
      <c r="AB92" s="8"/>
      <c r="AC92" s="131"/>
      <c r="AD92" s="8"/>
      <c r="AE92" s="131"/>
      <c r="AF92" s="131"/>
      <c r="AG92" s="131"/>
      <c r="AH92" s="131"/>
      <c r="AI92" s="131">
        <v>272986</v>
      </c>
      <c r="AJ92" s="131"/>
      <c r="AK92" s="131">
        <v>135739</v>
      </c>
      <c r="AL92" s="131"/>
      <c r="AM92" s="131"/>
      <c r="AN92" s="131"/>
      <c r="AO92" s="131">
        <v>1500</v>
      </c>
      <c r="AP92" s="131"/>
      <c r="AQ92" s="131"/>
      <c r="AR92" s="8"/>
      <c r="AS92" s="131"/>
      <c r="AT92" s="8"/>
      <c r="AU92" s="131"/>
      <c r="AV92" s="8"/>
      <c r="AW92" s="131"/>
      <c r="AX92" s="8"/>
      <c r="AY92" s="8">
        <f t="shared" si="13"/>
        <v>410225</v>
      </c>
      <c r="AZ92" s="8"/>
      <c r="BA92" s="131">
        <f>276887+10625+1500</f>
        <v>289012</v>
      </c>
      <c r="BB92" s="8"/>
      <c r="BC92" s="8">
        <f t="shared" si="14"/>
        <v>0</v>
      </c>
      <c r="BD92" s="8"/>
      <c r="BE92" s="8">
        <f t="shared" si="15"/>
        <v>410225</v>
      </c>
      <c r="BF92" s="8"/>
      <c r="BG92" s="12">
        <f t="shared" si="11"/>
        <v>-289012</v>
      </c>
    </row>
    <row r="93" spans="1:61" x14ac:dyDescent="0.25">
      <c r="A93" s="113"/>
      <c r="B93" s="31" t="s">
        <v>244</v>
      </c>
      <c r="C93" s="114"/>
      <c r="E93" s="7"/>
      <c r="G93" s="7" t="s">
        <v>254</v>
      </c>
      <c r="K93" s="5">
        <v>0</v>
      </c>
      <c r="M93" s="5"/>
      <c r="O93" s="182">
        <f t="shared" si="12"/>
        <v>0</v>
      </c>
      <c r="Q93" s="157"/>
      <c r="R93" s="228"/>
      <c r="S93" s="157"/>
      <c r="T93" s="228"/>
      <c r="U93" s="131"/>
      <c r="V93" s="131"/>
      <c r="W93" s="131"/>
      <c r="X93" s="131"/>
      <c r="Y93" s="131"/>
      <c r="Z93" s="131"/>
      <c r="AA93" s="131"/>
      <c r="AB93" s="8"/>
      <c r="AC93" s="131"/>
      <c r="AD93" s="8"/>
      <c r="AE93" s="131"/>
      <c r="AF93" s="131"/>
      <c r="AG93" s="131"/>
      <c r="AH93" s="131"/>
      <c r="AI93" s="131"/>
      <c r="AJ93" s="131"/>
      <c r="AK93" s="131"/>
      <c r="AL93" s="131"/>
      <c r="AM93" s="131"/>
      <c r="AN93" s="131"/>
      <c r="AO93" s="131"/>
      <c r="AP93" s="131"/>
      <c r="AQ93" s="131"/>
      <c r="AR93" s="8"/>
      <c r="AS93" s="131"/>
      <c r="AT93" s="8"/>
      <c r="AU93" s="131"/>
      <c r="AV93" s="8"/>
      <c r="AW93" s="131"/>
      <c r="AX93" s="8"/>
      <c r="AY93" s="8">
        <f t="shared" si="13"/>
        <v>0</v>
      </c>
      <c r="AZ93" s="8"/>
      <c r="BA93" s="131"/>
      <c r="BB93" s="8"/>
      <c r="BC93" s="8">
        <f t="shared" si="14"/>
        <v>0</v>
      </c>
      <c r="BD93" s="8"/>
      <c r="BE93" s="8">
        <f t="shared" si="15"/>
        <v>0</v>
      </c>
      <c r="BF93" s="8"/>
      <c r="BG93" s="12">
        <f t="shared" si="11"/>
        <v>0</v>
      </c>
    </row>
    <row r="94" spans="1:61" x14ac:dyDescent="0.25">
      <c r="A94" s="113"/>
      <c r="B94" s="31" t="s">
        <v>246</v>
      </c>
      <c r="C94" s="114"/>
      <c r="E94" s="7"/>
      <c r="G94" s="7" t="s">
        <v>254</v>
      </c>
      <c r="K94" s="5">
        <v>2025626</v>
      </c>
      <c r="M94" s="5">
        <v>300000</v>
      </c>
      <c r="O94" s="182">
        <f t="shared" si="12"/>
        <v>2325626</v>
      </c>
      <c r="Q94" s="157"/>
      <c r="R94" s="241"/>
      <c r="S94" s="157"/>
      <c r="T94" s="241"/>
      <c r="U94" s="131">
        <v>0</v>
      </c>
      <c r="V94" s="131"/>
      <c r="W94" s="131"/>
      <c r="X94" s="131"/>
      <c r="Y94" s="131">
        <f>971+839-2214-355</f>
        <v>-759</v>
      </c>
      <c r="Z94" s="131"/>
      <c r="AA94" s="131"/>
      <c r="AB94" s="8"/>
      <c r="AC94" s="131">
        <v>176718</v>
      </c>
      <c r="AD94" s="8"/>
      <c r="AE94" s="131">
        <v>378305</v>
      </c>
      <c r="AF94" s="131"/>
      <c r="AG94" s="131">
        <f>933931+985411+39128</f>
        <v>1958470</v>
      </c>
      <c r="AH94" s="131"/>
      <c r="AI94" s="131">
        <v>547802</v>
      </c>
      <c r="AJ94" s="131"/>
      <c r="AK94" s="131">
        <v>129669</v>
      </c>
      <c r="AL94" s="131"/>
      <c r="AM94" s="131">
        <v>41433</v>
      </c>
      <c r="AN94" s="131"/>
      <c r="AO94" s="131">
        <v>127909</v>
      </c>
      <c r="AP94" s="131"/>
      <c r="AQ94" s="131"/>
      <c r="AR94" s="8"/>
      <c r="AS94" s="131"/>
      <c r="AT94" s="8"/>
      <c r="AU94" s="131"/>
      <c r="AV94" s="8"/>
      <c r="AW94" s="131"/>
      <c r="AX94" s="8"/>
      <c r="AY94" s="8">
        <f t="shared" si="13"/>
        <v>3359547</v>
      </c>
      <c r="AZ94" s="8"/>
      <c r="BA94" s="131">
        <f>103299+18412+1543616-484968+4036-520000+109846+83132+6285+94328+246082+50509+16001+52839+39128+20909+5319-218752+9446+9812-283267+127909</f>
        <v>1033921</v>
      </c>
      <c r="BB94" s="8"/>
      <c r="BC94" s="8">
        <f t="shared" si="14"/>
        <v>0</v>
      </c>
      <c r="BD94" s="8"/>
      <c r="BE94" s="8">
        <f t="shared" si="15"/>
        <v>3359547</v>
      </c>
      <c r="BF94" s="8"/>
      <c r="BG94" s="12">
        <f t="shared" si="11"/>
        <v>-1033921</v>
      </c>
    </row>
    <row r="95" spans="1:61" x14ac:dyDescent="0.25">
      <c r="A95" s="113"/>
      <c r="B95" s="31" t="s">
        <v>247</v>
      </c>
      <c r="C95" s="114"/>
      <c r="E95" s="7"/>
      <c r="G95" s="7" t="s">
        <v>254</v>
      </c>
      <c r="K95" s="20">
        <v>4497959</v>
      </c>
      <c r="L95" s="19"/>
      <c r="M95" s="20">
        <v>609703</v>
      </c>
      <c r="N95" s="19"/>
      <c r="O95" s="182">
        <f t="shared" si="12"/>
        <v>5107662</v>
      </c>
      <c r="Q95" s="137"/>
      <c r="R95" s="241"/>
      <c r="S95" s="137">
        <v>92014</v>
      </c>
      <c r="T95" s="241"/>
      <c r="U95" s="131">
        <f>10290.7+1200+322</f>
        <v>11812.7</v>
      </c>
      <c r="V95" s="131"/>
      <c r="W95" s="131">
        <f>8464.5+707</f>
        <v>9171.5</v>
      </c>
      <c r="X95" s="131"/>
      <c r="Y95" s="131">
        <f>909+390412</f>
        <v>391321</v>
      </c>
      <c r="Z95" s="131"/>
      <c r="AA95" s="131"/>
      <c r="AB95" s="8"/>
      <c r="AC95" s="131">
        <v>1446895</v>
      </c>
      <c r="AD95" s="8"/>
      <c r="AE95" s="131">
        <v>793920</v>
      </c>
      <c r="AF95" s="131"/>
      <c r="AG95" s="131">
        <f>1334112+206182</f>
        <v>1540294</v>
      </c>
      <c r="AH95" s="131"/>
      <c r="AI95" s="131">
        <v>609415</v>
      </c>
      <c r="AJ95" s="131"/>
      <c r="AK95" s="131">
        <v>-261044</v>
      </c>
      <c r="AL95" s="131"/>
      <c r="AM95" s="131">
        <v>19105</v>
      </c>
      <c r="AN95" s="131"/>
      <c r="AO95" s="131">
        <v>45956</v>
      </c>
      <c r="AP95" s="131"/>
      <c r="AQ95" s="131"/>
      <c r="AR95" s="8"/>
      <c r="AS95" s="131"/>
      <c r="AT95" s="8"/>
      <c r="AU95" s="131"/>
      <c r="AV95" s="8"/>
      <c r="AW95" s="131"/>
      <c r="AX95" s="8"/>
      <c r="AY95" s="8">
        <f t="shared" si="13"/>
        <v>4698860.2</v>
      </c>
      <c r="AZ95" s="8"/>
      <c r="BA95" s="131">
        <f>4821110-5107662-127464+86561+2667+47113-177083+45956</f>
        <v>-408802</v>
      </c>
      <c r="BB95" s="8"/>
      <c r="BC95" s="8">
        <f t="shared" si="14"/>
        <v>0</v>
      </c>
      <c r="BD95" s="8"/>
      <c r="BE95" s="12">
        <f t="shared" si="15"/>
        <v>4698860.2</v>
      </c>
      <c r="BF95" s="8"/>
      <c r="BG95" s="34">
        <f t="shared" si="11"/>
        <v>408801.79999999981</v>
      </c>
    </row>
    <row r="96" spans="1:61" x14ac:dyDescent="0.25">
      <c r="A96" s="113"/>
      <c r="B96" s="31" t="s">
        <v>426</v>
      </c>
      <c r="C96" s="114"/>
      <c r="E96" s="7"/>
      <c r="G96" s="7" t="s">
        <v>254</v>
      </c>
      <c r="K96" s="20">
        <v>0</v>
      </c>
      <c r="M96" s="20">
        <v>0</v>
      </c>
      <c r="O96" s="182">
        <f t="shared" si="12"/>
        <v>0</v>
      </c>
      <c r="Q96" s="137"/>
      <c r="R96" s="241"/>
      <c r="S96" s="137"/>
      <c r="T96" s="241"/>
      <c r="U96" s="131"/>
      <c r="V96" s="131"/>
      <c r="W96" s="131"/>
      <c r="X96" s="131"/>
      <c r="Y96" s="131"/>
      <c r="Z96" s="131"/>
      <c r="AA96" s="131"/>
      <c r="AB96" s="8"/>
      <c r="AC96" s="131"/>
      <c r="AD96" s="8"/>
      <c r="AE96" s="131"/>
      <c r="AF96" s="131"/>
      <c r="AG96" s="131"/>
      <c r="AH96" s="131"/>
      <c r="AI96" s="131"/>
      <c r="AJ96" s="131"/>
      <c r="AK96" s="131"/>
      <c r="AL96" s="131"/>
      <c r="AM96" s="131">
        <v>364</v>
      </c>
      <c r="AN96" s="131"/>
      <c r="AO96" s="131"/>
      <c r="AP96" s="131"/>
      <c r="AQ96" s="131"/>
      <c r="AR96" s="8"/>
      <c r="AS96" s="131"/>
      <c r="AT96" s="8"/>
      <c r="AU96" s="131"/>
      <c r="AV96" s="8"/>
      <c r="AW96" s="131"/>
      <c r="AX96" s="8"/>
      <c r="AY96" s="8">
        <f t="shared" si="13"/>
        <v>364</v>
      </c>
      <c r="AZ96" s="8"/>
      <c r="BA96" s="131">
        <f>29229+13142+14079+318-56404</f>
        <v>364</v>
      </c>
      <c r="BB96" s="8"/>
      <c r="BC96" s="8">
        <f t="shared" si="14"/>
        <v>0</v>
      </c>
      <c r="BD96" s="8"/>
      <c r="BE96" s="8">
        <f t="shared" si="15"/>
        <v>364</v>
      </c>
      <c r="BF96" s="8"/>
      <c r="BG96" s="34">
        <f t="shared" si="11"/>
        <v>-364</v>
      </c>
    </row>
    <row r="97" spans="1:61" x14ac:dyDescent="0.25">
      <c r="A97" s="113"/>
      <c r="B97" s="31" t="s">
        <v>534</v>
      </c>
      <c r="C97" s="114"/>
      <c r="E97" s="7"/>
      <c r="K97" s="20"/>
      <c r="M97" s="20"/>
      <c r="O97" s="182"/>
      <c r="Q97" s="137"/>
      <c r="R97" s="241"/>
      <c r="S97" s="137"/>
      <c r="T97" s="241"/>
      <c r="U97" s="131"/>
      <c r="V97" s="131"/>
      <c r="W97" s="131"/>
      <c r="X97" s="131"/>
      <c r="Y97" s="131"/>
      <c r="Z97" s="131"/>
      <c r="AA97" s="131"/>
      <c r="AB97" s="8"/>
      <c r="AC97" s="131"/>
      <c r="AD97" s="8"/>
      <c r="AE97" s="131"/>
      <c r="AF97" s="131"/>
      <c r="AG97" s="131"/>
      <c r="AH97" s="131"/>
      <c r="AI97" s="131"/>
      <c r="AJ97" s="131"/>
      <c r="AK97" s="131">
        <v>14609.7</v>
      </c>
      <c r="AL97" s="131"/>
      <c r="AM97" s="131">
        <f>175000+65.48</f>
        <v>175065.48</v>
      </c>
      <c r="AN97" s="131"/>
      <c r="AO97" s="131"/>
      <c r="AP97" s="131"/>
      <c r="AQ97" s="131"/>
      <c r="AR97" s="8"/>
      <c r="AS97" s="131"/>
      <c r="AT97" s="8"/>
      <c r="AU97" s="131"/>
      <c r="AV97" s="8"/>
      <c r="AW97" s="131"/>
      <c r="AX97" s="8"/>
      <c r="AY97" s="8">
        <f t="shared" si="13"/>
        <v>189675.18000000002</v>
      </c>
      <c r="AZ97" s="8"/>
      <c r="BA97" s="131">
        <v>0</v>
      </c>
      <c r="BB97" s="8"/>
      <c r="BC97" s="8">
        <f t="shared" si="14"/>
        <v>0</v>
      </c>
      <c r="BD97" s="8"/>
      <c r="BE97" s="8">
        <f t="shared" si="15"/>
        <v>189675.18000000002</v>
      </c>
      <c r="BF97" s="8"/>
      <c r="BG97" s="34">
        <f t="shared" si="11"/>
        <v>-189675.18000000002</v>
      </c>
    </row>
    <row r="98" spans="1:61" x14ac:dyDescent="0.25">
      <c r="A98" s="17"/>
      <c r="B98" s="119" t="s">
        <v>51</v>
      </c>
      <c r="C98" s="114"/>
      <c r="E98" s="7"/>
      <c r="G98" s="6"/>
      <c r="K98" s="107">
        <f>SUM(K73:K96)</f>
        <v>11841668</v>
      </c>
      <c r="M98" s="107">
        <f>SUM(M73:M96)</f>
        <v>909703</v>
      </c>
      <c r="O98" s="108">
        <f>SUM(O73:O97)</f>
        <v>12751371</v>
      </c>
      <c r="Q98" s="138">
        <f>SUM(Q73:Q97)</f>
        <v>0</v>
      </c>
      <c r="R98" s="138"/>
      <c r="S98" s="138">
        <f>SUM(S73:S97)</f>
        <v>92014</v>
      </c>
      <c r="T98" s="138"/>
      <c r="U98" s="138">
        <f>SUM(U73:U97)</f>
        <v>122182.7</v>
      </c>
      <c r="V98" s="138"/>
      <c r="W98" s="138">
        <f>SUM(W73:W97)</f>
        <v>307623.5</v>
      </c>
      <c r="X98" s="138"/>
      <c r="Y98" s="138">
        <f>SUM(Y73:Y97)</f>
        <v>1152720</v>
      </c>
      <c r="Z98" s="138"/>
      <c r="AA98" s="138">
        <f>SUM(AA73:AA97)</f>
        <v>0</v>
      </c>
      <c r="AB98" s="138"/>
      <c r="AC98" s="138">
        <f>SUM(AC73:AC97)</f>
        <v>2771933</v>
      </c>
      <c r="AD98" s="138"/>
      <c r="AE98" s="138">
        <f>SUM(AE73:AE97)</f>
        <v>1931796</v>
      </c>
      <c r="AF98" s="138"/>
      <c r="AG98" s="138">
        <f>SUM(AG73:AG97)</f>
        <v>6052695</v>
      </c>
      <c r="AH98" s="138"/>
      <c r="AI98" s="138">
        <f>SUM(AI73:AI97)</f>
        <v>3119977</v>
      </c>
      <c r="AJ98" s="138"/>
      <c r="AK98" s="138">
        <f>SUM(AK73:AK97)</f>
        <v>923802.7</v>
      </c>
      <c r="AL98" s="138"/>
      <c r="AM98" s="138">
        <f>SUM(AM73:AM97)</f>
        <v>438997.48</v>
      </c>
      <c r="AN98" s="138"/>
      <c r="AO98" s="138">
        <f>SUM(AO73:AO97)</f>
        <v>432769</v>
      </c>
      <c r="AP98" s="138"/>
      <c r="AQ98" s="138">
        <f>SUM(AQ73:AQ97)</f>
        <v>0</v>
      </c>
      <c r="AR98" s="138"/>
      <c r="AS98" s="138">
        <f>SUM(AS73:AS97)</f>
        <v>0</v>
      </c>
      <c r="AT98" s="138"/>
      <c r="AU98" s="138">
        <f>SUM(AU73:AU97)</f>
        <v>0</v>
      </c>
      <c r="AV98" s="138"/>
      <c r="AW98" s="138">
        <f>SUM(AW73:AW97)</f>
        <v>0</v>
      </c>
      <c r="AX98" s="138"/>
      <c r="AY98" s="138">
        <f>SUM(AY73:AY97)</f>
        <v>17346510.379999999</v>
      </c>
      <c r="BA98" s="138">
        <f>SUM(BA73:BA96)</f>
        <v>3952702</v>
      </c>
      <c r="BC98" s="107">
        <f>SUM(BC73:BC96)</f>
        <v>0</v>
      </c>
      <c r="BE98" s="107">
        <f t="shared" si="15"/>
        <v>17346510.379999999</v>
      </c>
      <c r="BG98" s="107">
        <f t="shared" si="11"/>
        <v>-4595139.379999999</v>
      </c>
    </row>
    <row r="99" spans="1:61" x14ac:dyDescent="0.25">
      <c r="A99" s="113"/>
      <c r="B99" s="31"/>
      <c r="C99" s="114"/>
      <c r="E99" s="7"/>
      <c r="O99" s="45"/>
      <c r="U99" s="131"/>
      <c r="BG99" s="12"/>
    </row>
    <row r="100" spans="1:61" x14ac:dyDescent="0.25">
      <c r="A100" s="121" t="s">
        <v>248</v>
      </c>
      <c r="B100" s="31"/>
      <c r="C100" s="114"/>
      <c r="E100" s="7"/>
      <c r="O100" s="45"/>
      <c r="U100" s="131"/>
      <c r="BG100" s="12"/>
    </row>
    <row r="101" spans="1:61" x14ac:dyDescent="0.25">
      <c r="A101" s="121"/>
      <c r="B101" s="31" t="s">
        <v>249</v>
      </c>
      <c r="C101" s="114" t="s">
        <v>36</v>
      </c>
      <c r="E101" s="7" t="s">
        <v>17</v>
      </c>
      <c r="G101" s="7" t="s">
        <v>254</v>
      </c>
      <c r="I101" s="7" t="s">
        <v>21</v>
      </c>
      <c r="K101" s="5">
        <v>502431</v>
      </c>
      <c r="M101" s="5"/>
      <c r="O101" s="182">
        <f>SUM(K101:N101)</f>
        <v>502431</v>
      </c>
      <c r="Q101" s="157"/>
      <c r="R101" s="241"/>
      <c r="S101" s="157"/>
      <c r="T101" s="241"/>
      <c r="U101" s="131">
        <v>74539</v>
      </c>
      <c r="V101" s="131"/>
      <c r="W101" s="131">
        <v>32391</v>
      </c>
      <c r="X101" s="131"/>
      <c r="Y101" s="131">
        <f>23668+5886</f>
        <v>29554</v>
      </c>
      <c r="Z101" s="131"/>
      <c r="AA101" s="131"/>
      <c r="AB101" s="8"/>
      <c r="AC101" s="131">
        <v>61016</v>
      </c>
      <c r="AD101" s="8"/>
      <c r="AE101" s="131">
        <v>45639</v>
      </c>
      <c r="AF101" s="131"/>
      <c r="AG101" s="131">
        <f>24992+9252</f>
        <v>34244</v>
      </c>
      <c r="AH101" s="131"/>
      <c r="AI101" s="131">
        <v>4861</v>
      </c>
      <c r="AJ101" s="131"/>
      <c r="AK101" s="131">
        <v>11293</v>
      </c>
      <c r="AL101" s="131"/>
      <c r="AM101" s="131">
        <v>29853</v>
      </c>
      <c r="AN101" s="131"/>
      <c r="AO101" s="131">
        <v>48884</v>
      </c>
      <c r="AP101" s="131"/>
      <c r="AQ101" s="131">
        <v>497162</v>
      </c>
      <c r="AR101" s="8"/>
      <c r="AS101" s="131"/>
      <c r="AT101" s="8"/>
      <c r="AU101" s="131"/>
      <c r="AV101" s="8"/>
      <c r="AW101" s="131"/>
      <c r="AX101" s="8"/>
      <c r="AY101" s="8">
        <f>SUM(P101:AX101)</f>
        <v>869436</v>
      </c>
      <c r="AZ101" s="8"/>
      <c r="BA101" s="131">
        <f>268179-502431+72539-22482-46870+2043+48884</f>
        <v>-180138</v>
      </c>
      <c r="BB101" s="8"/>
      <c r="BC101" s="12">
        <f>IF(+O101-AY101+BA101&gt;0,O101-AY101+BA101,0)</f>
        <v>0</v>
      </c>
      <c r="BD101" s="8"/>
      <c r="BE101" s="12">
        <f t="shared" si="15"/>
        <v>869436</v>
      </c>
      <c r="BF101" s="8"/>
      <c r="BG101" s="12">
        <f t="shared" ref="BG101:BG106" si="16">O101-AY101-BC101</f>
        <v>-367005</v>
      </c>
    </row>
    <row r="102" spans="1:61" x14ac:dyDescent="0.25">
      <c r="A102" s="121"/>
      <c r="B102" s="31" t="s">
        <v>250</v>
      </c>
      <c r="C102" s="114"/>
      <c r="E102" s="7"/>
      <c r="G102" s="7" t="s">
        <v>254</v>
      </c>
      <c r="K102" s="5">
        <v>72888</v>
      </c>
      <c r="M102" s="5"/>
      <c r="O102" s="182">
        <f>SUM(K102:N102)</f>
        <v>72888</v>
      </c>
      <c r="Q102" s="157"/>
      <c r="R102" s="241"/>
      <c r="S102" s="157"/>
      <c r="T102" s="241"/>
      <c r="U102" s="131">
        <v>2061</v>
      </c>
      <c r="V102" s="131"/>
      <c r="W102" s="131">
        <v>7110</v>
      </c>
      <c r="X102" s="131"/>
      <c r="Y102" s="131">
        <f>11526+8947</f>
        <v>20473</v>
      </c>
      <c r="Z102" s="131"/>
      <c r="AA102" s="131"/>
      <c r="AB102" s="8"/>
      <c r="AC102" s="131">
        <v>-19199</v>
      </c>
      <c r="AD102" s="8"/>
      <c r="AE102" s="131">
        <v>24070</v>
      </c>
      <c r="AF102" s="131"/>
      <c r="AG102" s="131">
        <f>110+9689</f>
        <v>9799</v>
      </c>
      <c r="AH102" s="131"/>
      <c r="AI102" s="131">
        <v>115</v>
      </c>
      <c r="AJ102" s="131"/>
      <c r="AK102" s="131">
        <v>699</v>
      </c>
      <c r="AL102" s="131"/>
      <c r="AM102" s="131">
        <v>1951</v>
      </c>
      <c r="AN102" s="131"/>
      <c r="AO102" s="131"/>
      <c r="AP102" s="131"/>
      <c r="AQ102" s="131"/>
      <c r="AR102" s="8"/>
      <c r="AS102" s="131"/>
      <c r="AT102" s="8"/>
      <c r="AU102" s="131"/>
      <c r="AV102" s="8"/>
      <c r="AW102" s="131"/>
      <c r="AX102" s="8"/>
      <c r="AY102" s="8">
        <f>SUM(P102:AX102)</f>
        <v>47079</v>
      </c>
      <c r="AZ102" s="8"/>
      <c r="BA102" s="131">
        <f>36569-72888+15268+11706+25-16489</f>
        <v>-25809</v>
      </c>
      <c r="BB102" s="8"/>
      <c r="BC102" s="8">
        <f>IF(+O102-AY102+BA102&gt;0,O102-AY102+BA102,0)</f>
        <v>0</v>
      </c>
      <c r="BD102" s="8"/>
      <c r="BE102" s="8">
        <f t="shared" si="15"/>
        <v>47079</v>
      </c>
      <c r="BF102" s="8"/>
      <c r="BG102" s="12">
        <f t="shared" si="16"/>
        <v>25809</v>
      </c>
    </row>
    <row r="103" spans="1:61" x14ac:dyDescent="0.25">
      <c r="A103" s="121"/>
      <c r="B103" s="31" t="s">
        <v>251</v>
      </c>
      <c r="C103" s="114"/>
      <c r="E103" s="7"/>
      <c r="G103" s="7" t="s">
        <v>254</v>
      </c>
      <c r="K103" s="5">
        <v>944679</v>
      </c>
      <c r="M103" s="5"/>
      <c r="O103" s="182">
        <f>SUM(K103:N103)</f>
        <v>944679</v>
      </c>
      <c r="Q103" s="157"/>
      <c r="R103" s="241"/>
      <c r="S103" s="157"/>
      <c r="T103" s="241"/>
      <c r="U103" s="131">
        <v>9204</v>
      </c>
      <c r="V103" s="131"/>
      <c r="W103" s="131">
        <v>29546</v>
      </c>
      <c r="X103" s="131"/>
      <c r="Y103" s="131">
        <f>453+78183</f>
        <v>78636</v>
      </c>
      <c r="Z103" s="131"/>
      <c r="AA103" s="131"/>
      <c r="AB103" s="8"/>
      <c r="AC103" s="131">
        <v>68411</v>
      </c>
      <c r="AD103" s="8"/>
      <c r="AE103" s="131">
        <v>138302</v>
      </c>
      <c r="AF103" s="131"/>
      <c r="AG103" s="131">
        <f>129085+109974</f>
        <v>239059</v>
      </c>
      <c r="AH103" s="131"/>
      <c r="AI103" s="131">
        <v>64533</v>
      </c>
      <c r="AJ103" s="131"/>
      <c r="AK103" s="131">
        <v>210126</v>
      </c>
      <c r="AL103" s="131"/>
      <c r="AM103" s="131">
        <v>79331</v>
      </c>
      <c r="AN103" s="131"/>
      <c r="AO103" s="131">
        <v>33955</v>
      </c>
      <c r="AP103" s="131"/>
      <c r="AQ103" s="131"/>
      <c r="AR103" s="8"/>
      <c r="AS103" s="131"/>
      <c r="AT103" s="8"/>
      <c r="AU103" s="131"/>
      <c r="AV103" s="8"/>
      <c r="AW103" s="131"/>
      <c r="AX103" s="8"/>
      <c r="AY103" s="8">
        <f>SUM(P103:AX103)</f>
        <v>951103</v>
      </c>
      <c r="AZ103" s="8"/>
      <c r="BA103" s="131">
        <f>843894-944679+25513+117814-25215+1390-46248+33955</f>
        <v>6424</v>
      </c>
      <c r="BB103" s="8"/>
      <c r="BC103" s="8">
        <f>IF(+O103-AY103+BA103&gt;0,O103-AY103+BA103,0)</f>
        <v>0</v>
      </c>
      <c r="BD103" s="8"/>
      <c r="BE103" s="8">
        <f t="shared" si="15"/>
        <v>951103</v>
      </c>
      <c r="BF103" s="8"/>
      <c r="BG103" s="12">
        <f t="shared" si="16"/>
        <v>-6424</v>
      </c>
    </row>
    <row r="104" spans="1:61" x14ac:dyDescent="0.25">
      <c r="A104" s="121"/>
      <c r="B104" s="31" t="s">
        <v>528</v>
      </c>
      <c r="C104" s="114"/>
      <c r="E104" s="7" t="s">
        <v>17</v>
      </c>
      <c r="G104" s="7" t="s">
        <v>254</v>
      </c>
      <c r="I104" s="7" t="s">
        <v>21</v>
      </c>
      <c r="K104" s="5">
        <f>4215187+1334392+1373350</f>
        <v>6922929</v>
      </c>
      <c r="M104" s="5"/>
      <c r="O104" s="182">
        <f>SUM(K104:N104)</f>
        <v>6922929</v>
      </c>
      <c r="Q104" s="157"/>
      <c r="R104" s="241"/>
      <c r="S104" s="157"/>
      <c r="T104" s="241"/>
      <c r="U104" s="131">
        <v>613553</v>
      </c>
      <c r="V104" s="131"/>
      <c r="W104" s="131">
        <v>239488</v>
      </c>
      <c r="X104" s="131"/>
      <c r="Y104" s="131">
        <f>188385+294094</f>
        <v>482479</v>
      </c>
      <c r="Z104" s="131"/>
      <c r="AA104" s="131"/>
      <c r="AB104" s="8"/>
      <c r="AC104" s="131">
        <v>385303</v>
      </c>
      <c r="AD104" s="8"/>
      <c r="AE104" s="131">
        <v>634602</v>
      </c>
      <c r="AF104" s="131"/>
      <c r="AG104" s="131">
        <f>989305+949276-158788</f>
        <v>1779793</v>
      </c>
      <c r="AH104" s="131"/>
      <c r="AI104" s="131">
        <f>158788+451091</f>
        <v>609879</v>
      </c>
      <c r="AJ104" s="131"/>
      <c r="AK104" s="131">
        <f>713507</f>
        <v>713507</v>
      </c>
      <c r="AL104" s="131"/>
      <c r="AM104" s="131">
        <v>575717</v>
      </c>
      <c r="AN104" s="131"/>
      <c r="AO104" s="131"/>
      <c r="AP104" s="131"/>
      <c r="AQ104" s="131"/>
      <c r="AR104" s="8"/>
      <c r="AS104" s="131"/>
      <c r="AT104" s="8"/>
      <c r="AU104" s="131"/>
      <c r="AV104" s="8"/>
      <c r="AW104" s="131"/>
      <c r="AX104" s="8"/>
      <c r="AY104" s="8">
        <f>SUM(P104:AX104)</f>
        <v>6034321</v>
      </c>
      <c r="AZ104" s="8"/>
      <c r="BA104" s="131">
        <f>3238604-4215187+169686+779497-55138+70426+118441-94958+49461+21963+67707-1039110</f>
        <v>-888608</v>
      </c>
      <c r="BB104" s="8"/>
      <c r="BC104" s="8">
        <f>IF(+O104-AY104+BA104&gt;0,O104-AY104+BA104,0)</f>
        <v>0</v>
      </c>
      <c r="BD104" s="8"/>
      <c r="BE104" s="8">
        <f>+BC104+AY104</f>
        <v>6034321</v>
      </c>
      <c r="BF104" s="8"/>
      <c r="BG104" s="12">
        <f t="shared" si="16"/>
        <v>888608</v>
      </c>
    </row>
    <row r="105" spans="1:61" x14ac:dyDescent="0.25">
      <c r="A105" s="121"/>
      <c r="B105" s="31" t="s">
        <v>527</v>
      </c>
      <c r="C105" s="114"/>
      <c r="E105" s="7"/>
      <c r="K105" s="13">
        <v>917579</v>
      </c>
      <c r="M105" s="13"/>
      <c r="O105" s="81">
        <f>SUM(K105:N105)</f>
        <v>917579</v>
      </c>
      <c r="Q105" s="158"/>
      <c r="R105" s="241"/>
      <c r="S105" s="158"/>
      <c r="T105" s="241"/>
      <c r="U105" s="131">
        <v>0</v>
      </c>
      <c r="V105" s="131"/>
      <c r="W105" s="131">
        <v>17113</v>
      </c>
      <c r="X105" s="131"/>
      <c r="Y105" s="131">
        <f>1320+26220+1845+5518</f>
        <v>34903</v>
      </c>
      <c r="Z105" s="131"/>
      <c r="AA105" s="131"/>
      <c r="AB105" s="8"/>
      <c r="AC105" s="131">
        <v>45418</v>
      </c>
      <c r="AD105" s="8"/>
      <c r="AE105" s="131">
        <v>105853</v>
      </c>
      <c r="AF105" s="131"/>
      <c r="AG105" s="131">
        <f>473335+962263-70682</f>
        <v>1364916</v>
      </c>
      <c r="AH105" s="131"/>
      <c r="AI105" s="131">
        <f>70682+729194</f>
        <v>799876</v>
      </c>
      <c r="AJ105" s="131"/>
      <c r="AK105" s="131">
        <v>416874</v>
      </c>
      <c r="AL105" s="131"/>
      <c r="AM105" s="131">
        <v>24589</v>
      </c>
      <c r="AN105" s="131"/>
      <c r="AO105" s="131">
        <v>428124</v>
      </c>
      <c r="AP105" s="131"/>
      <c r="AQ105" s="131"/>
      <c r="AR105" s="8"/>
      <c r="AS105" s="131"/>
      <c r="AT105" s="8"/>
      <c r="AU105" s="131"/>
      <c r="AV105" s="8"/>
      <c r="AW105" s="131"/>
      <c r="AX105" s="8"/>
      <c r="AY105" s="8">
        <f>SUM(P105:AX105)</f>
        <v>3237666</v>
      </c>
      <c r="AZ105" s="8"/>
      <c r="BA105" s="131">
        <f>844909-917579+230285+493009+48664+1525471+1583734+7916+115420-181730-1858136+428124-104000</f>
        <v>2216087</v>
      </c>
      <c r="BB105" s="8"/>
      <c r="BC105" s="8">
        <f>IF(+O105-AY105+BA105&gt;0,O105-AY105+BA105,0)</f>
        <v>0</v>
      </c>
      <c r="BD105" s="8"/>
      <c r="BE105" s="8">
        <f t="shared" si="15"/>
        <v>3237666</v>
      </c>
      <c r="BF105" s="8"/>
      <c r="BG105" s="35">
        <f t="shared" si="16"/>
        <v>-2320087</v>
      </c>
    </row>
    <row r="106" spans="1:61" x14ac:dyDescent="0.25">
      <c r="A106" s="17"/>
      <c r="B106" s="119" t="s">
        <v>55</v>
      </c>
      <c r="C106" s="114"/>
      <c r="E106" s="7"/>
      <c r="G106" s="28"/>
      <c r="K106" s="15">
        <f>SUM(K101:K105)</f>
        <v>9360506</v>
      </c>
      <c r="M106" s="15">
        <f>SUM(M101:M105)</f>
        <v>0</v>
      </c>
      <c r="O106" s="29">
        <f>SUM(O101:O105)</f>
        <v>9360506</v>
      </c>
      <c r="Q106" s="138">
        <f>SUM(Q101:Q105)</f>
        <v>0</v>
      </c>
      <c r="S106" s="138">
        <f>SUM(S101:S105)</f>
        <v>0</v>
      </c>
      <c r="U106" s="138">
        <f>SUM(U101:U105)</f>
        <v>699357</v>
      </c>
      <c r="W106" s="138">
        <f>SUM(W101:W105)</f>
        <v>325648</v>
      </c>
      <c r="Y106" s="138">
        <f>SUM(Y101:Y105)</f>
        <v>646045</v>
      </c>
      <c r="AA106" s="138">
        <f>SUM(AA101:AA105)</f>
        <v>0</v>
      </c>
      <c r="AC106" s="138">
        <f>SUM(AC101:AC105)</f>
        <v>540949</v>
      </c>
      <c r="AE106" s="138">
        <f>SUM(AE101:AE105)</f>
        <v>948466</v>
      </c>
      <c r="AF106" s="135"/>
      <c r="AG106" s="138">
        <f>SUM(AG101:AG105)</f>
        <v>3427811</v>
      </c>
      <c r="AH106" s="135"/>
      <c r="AI106" s="138">
        <f>SUM(AI101:AI105)</f>
        <v>1479264</v>
      </c>
      <c r="AJ106" s="135"/>
      <c r="AK106" s="138">
        <f>SUM(AK101:AK105)</f>
        <v>1352499</v>
      </c>
      <c r="AL106" s="138"/>
      <c r="AM106" s="138">
        <f>SUM(AM101:AM105)</f>
        <v>711441</v>
      </c>
      <c r="AN106" s="135"/>
      <c r="AO106" s="138">
        <f>SUM(AO101:AO105)</f>
        <v>510963</v>
      </c>
      <c r="AP106" s="135"/>
      <c r="AQ106" s="138">
        <f>SUM(AQ101:AQ105)</f>
        <v>497162</v>
      </c>
      <c r="AS106" s="138">
        <f>SUM(AS101:AS105)</f>
        <v>0</v>
      </c>
      <c r="AU106" s="138">
        <f>SUM(AU101:AU105)</f>
        <v>0</v>
      </c>
      <c r="AW106" s="138">
        <f>SUM(AW101:AW105)</f>
        <v>0</v>
      </c>
      <c r="AY106" s="107">
        <f>SUM(AY101:AY105)</f>
        <v>11139605</v>
      </c>
      <c r="BA106" s="138">
        <f>SUM(BA101:BA105)</f>
        <v>1127956</v>
      </c>
      <c r="BC106" s="107">
        <f>SUM(BC101:BC105)</f>
        <v>0</v>
      </c>
      <c r="BE106" s="107">
        <f t="shared" si="15"/>
        <v>11139605</v>
      </c>
      <c r="BG106" s="107">
        <f t="shared" si="16"/>
        <v>-1779099</v>
      </c>
    </row>
    <row r="107" spans="1:61" x14ac:dyDescent="0.25">
      <c r="A107" s="17"/>
      <c r="B107" s="119"/>
      <c r="C107" s="114"/>
      <c r="E107" s="7"/>
      <c r="G107" s="6"/>
      <c r="K107" s="15"/>
      <c r="M107" s="15"/>
      <c r="O107" s="29"/>
      <c r="Q107" s="134"/>
      <c r="S107" s="134"/>
      <c r="U107" s="131"/>
      <c r="BG107" s="12"/>
    </row>
    <row r="108" spans="1:61" x14ac:dyDescent="0.25">
      <c r="A108" s="121" t="s">
        <v>56</v>
      </c>
      <c r="B108" s="31"/>
      <c r="C108" s="114" t="s">
        <v>36</v>
      </c>
      <c r="E108" s="7" t="s">
        <v>17</v>
      </c>
      <c r="G108" s="7" t="s">
        <v>37</v>
      </c>
      <c r="I108" s="7" t="s">
        <v>21</v>
      </c>
      <c r="K108" s="15">
        <v>0</v>
      </c>
      <c r="M108" s="15"/>
      <c r="O108" s="15">
        <f>SUM(K108:N108)</f>
        <v>0</v>
      </c>
      <c r="Q108" s="134"/>
      <c r="R108" s="240"/>
      <c r="S108" s="134"/>
      <c r="T108" s="240"/>
      <c r="U108" s="134">
        <v>14581</v>
      </c>
      <c r="W108" s="134">
        <v>11246</v>
      </c>
      <c r="Y108" s="134">
        <f>1831142.77-1798765</f>
        <v>32377.770000000019</v>
      </c>
      <c r="AA108" s="134"/>
      <c r="AC108" s="134">
        <v>59632</v>
      </c>
      <c r="AE108" s="134">
        <v>51845</v>
      </c>
      <c r="AF108" s="134"/>
      <c r="AG108" s="134">
        <f>103320+80991</f>
        <v>184311</v>
      </c>
      <c r="AH108" s="134"/>
      <c r="AI108" s="134">
        <v>63648</v>
      </c>
      <c r="AJ108" s="134"/>
      <c r="AK108" s="134">
        <v>40710</v>
      </c>
      <c r="AL108" s="134"/>
      <c r="AM108" s="134">
        <v>17557</v>
      </c>
      <c r="AN108" s="134"/>
      <c r="AO108" s="134">
        <v>16987</v>
      </c>
      <c r="AP108" s="134"/>
      <c r="AQ108" s="134"/>
      <c r="AS108" s="134"/>
      <c r="AU108" s="134"/>
      <c r="AW108" s="134"/>
      <c r="AY108" s="8">
        <f>SUM(P108:AX108)</f>
        <v>492894.77</v>
      </c>
      <c r="BA108" s="134">
        <f>649600-173692+16987</f>
        <v>492895</v>
      </c>
      <c r="BC108" s="8">
        <f>IF(+O108-AY108+BA108&gt;0,O108-AY108+BA108,0)</f>
        <v>0.22999999998137355</v>
      </c>
      <c r="BE108" s="8">
        <f t="shared" si="15"/>
        <v>492895</v>
      </c>
      <c r="BG108" s="12">
        <f>O108-AY108-BC108</f>
        <v>-492895</v>
      </c>
    </row>
    <row r="109" spans="1:61" x14ac:dyDescent="0.25">
      <c r="A109" s="121"/>
      <c r="B109" s="31"/>
      <c r="C109" s="114"/>
      <c r="E109" s="7"/>
      <c r="K109" s="15"/>
      <c r="M109" s="15"/>
      <c r="O109" s="15"/>
      <c r="Q109" s="141"/>
      <c r="S109" s="141"/>
      <c r="U109" s="131"/>
      <c r="BG109" s="12"/>
    </row>
    <row r="110" spans="1:61" x14ac:dyDescent="0.25">
      <c r="A110" s="121"/>
      <c r="B110" s="31"/>
      <c r="C110" s="114"/>
      <c r="E110" s="7"/>
      <c r="K110" s="15"/>
      <c r="M110" s="15"/>
      <c r="O110" s="15"/>
      <c r="Q110" s="141"/>
      <c r="S110" s="141"/>
      <c r="U110" s="131"/>
      <c r="BG110" s="12"/>
    </row>
    <row r="111" spans="1:61" x14ac:dyDescent="0.25">
      <c r="A111" s="121"/>
      <c r="B111" s="31"/>
      <c r="C111" s="114"/>
      <c r="E111" s="7"/>
      <c r="K111" s="15">
        <v>0</v>
      </c>
      <c r="M111" s="15">
        <v>0</v>
      </c>
      <c r="O111" s="5">
        <v>0</v>
      </c>
      <c r="Q111" s="141">
        <v>0</v>
      </c>
      <c r="S111" s="141">
        <v>0</v>
      </c>
      <c r="U111" s="131"/>
      <c r="AY111" s="8"/>
      <c r="BC111" s="8">
        <f>IF(+O111-AY111+BA111&gt;0,O111-AY111+BA111,0)</f>
        <v>0</v>
      </c>
      <c r="BE111" s="8">
        <f t="shared" si="15"/>
        <v>0</v>
      </c>
      <c r="BG111" s="12">
        <f>O111-AY111-BC111</f>
        <v>0</v>
      </c>
      <c r="BI111" s="27"/>
    </row>
    <row r="112" spans="1:61" x14ac:dyDescent="0.25">
      <c r="A112" s="121" t="s">
        <v>544</v>
      </c>
      <c r="B112" s="31"/>
      <c r="C112" s="114"/>
      <c r="E112" s="7"/>
      <c r="K112" s="33">
        <v>0</v>
      </c>
      <c r="M112" s="33">
        <v>0</v>
      </c>
      <c r="O112" s="13">
        <v>0</v>
      </c>
      <c r="Q112" s="159">
        <v>0</v>
      </c>
      <c r="S112" s="159">
        <v>0</v>
      </c>
      <c r="U112" s="131"/>
      <c r="AQ112" s="131">
        <v>283000</v>
      </c>
      <c r="AS112" s="131"/>
      <c r="AU112" s="131"/>
      <c r="AW112" s="131"/>
      <c r="AY112" s="8">
        <f>SUM(P112:AX112)</f>
        <v>283000</v>
      </c>
      <c r="BA112" s="131">
        <v>283000</v>
      </c>
      <c r="BC112" s="8">
        <f>IF(+O112-AY112+BA112&gt;0,O112-AY112+BA112,0)</f>
        <v>0</v>
      </c>
      <c r="BE112" s="8">
        <f t="shared" si="15"/>
        <v>283000</v>
      </c>
      <c r="BG112" s="35">
        <f>O112-AY112-BC112</f>
        <v>-283000</v>
      </c>
      <c r="BI112" s="27"/>
    </row>
    <row r="113" spans="1:61" x14ac:dyDescent="0.25">
      <c r="A113" s="121"/>
      <c r="B113" s="31"/>
      <c r="C113" s="114"/>
      <c r="E113" s="7"/>
      <c r="K113" s="15">
        <f>SUM(K111:K112)</f>
        <v>0</v>
      </c>
      <c r="M113" s="15">
        <f>SUM(M111:M112)</f>
        <v>0</v>
      </c>
      <c r="O113" s="15">
        <f>SUM(O111:O112)</f>
        <v>0</v>
      </c>
      <c r="Q113" s="134">
        <f>SUM(Q111:Q112)</f>
        <v>0</v>
      </c>
      <c r="S113" s="134">
        <f>SUM(S111:S112)</f>
        <v>0</v>
      </c>
      <c r="U113" s="138">
        <f>SUM(U111:U112)</f>
        <v>0</v>
      </c>
      <c r="W113" s="138">
        <f>SUM(W111:W112)</f>
        <v>0</v>
      </c>
      <c r="Y113" s="138">
        <f>SUM(Y111:Y112)</f>
        <v>0</v>
      </c>
      <c r="AA113" s="138">
        <f>SUM(AA111:AA112)</f>
        <v>0</v>
      </c>
      <c r="AC113" s="138">
        <f>SUM(AC111:AC112)</f>
        <v>0</v>
      </c>
      <c r="AE113" s="138">
        <f>SUM(AE111:AE112)</f>
        <v>0</v>
      </c>
      <c r="AF113" s="135"/>
      <c r="AG113" s="138">
        <f>SUM(AG111:AG112)</f>
        <v>0</v>
      </c>
      <c r="AH113" s="135"/>
      <c r="AI113" s="138">
        <f>SUM(AI111:AI112)</f>
        <v>0</v>
      </c>
      <c r="AJ113" s="135"/>
      <c r="AK113" s="138">
        <f>SUM(AK111:AK112)</f>
        <v>0</v>
      </c>
      <c r="AL113" s="138"/>
      <c r="AM113" s="138">
        <f>SUM(AM111:AM112)</f>
        <v>0</v>
      </c>
      <c r="AN113" s="135"/>
      <c r="AO113" s="138">
        <f>SUM(AO111:AO112)</f>
        <v>0</v>
      </c>
      <c r="AP113" s="135"/>
      <c r="AQ113" s="138">
        <f>SUM(AQ111:AQ112)</f>
        <v>283000</v>
      </c>
      <c r="AS113" s="138">
        <f>SUM(AS111:AS112)</f>
        <v>0</v>
      </c>
      <c r="AU113" s="138">
        <f>SUM(AU111:AU112)</f>
        <v>0</v>
      </c>
      <c r="AW113" s="138">
        <f>SUM(AW111:AW112)</f>
        <v>0</v>
      </c>
      <c r="AY113" s="107">
        <f>SUM(AY111:AY112)</f>
        <v>283000</v>
      </c>
      <c r="BA113" s="138">
        <f>SUM(BA111:BA112)</f>
        <v>283000</v>
      </c>
      <c r="BC113" s="107">
        <f>SUM(BC111:BC112)</f>
        <v>0</v>
      </c>
      <c r="BE113" s="107">
        <f t="shared" si="15"/>
        <v>283000</v>
      </c>
      <c r="BG113" s="107">
        <f>O113-AY113-BC113</f>
        <v>-283000</v>
      </c>
      <c r="BI113" s="27"/>
    </row>
    <row r="114" spans="1:61" x14ac:dyDescent="0.25">
      <c r="A114" s="121"/>
      <c r="B114" s="31"/>
      <c r="C114" s="114"/>
      <c r="E114" s="7"/>
      <c r="G114" s="28"/>
      <c r="U114" s="131"/>
      <c r="BG114" s="12"/>
      <c r="BI114" s="27"/>
    </row>
    <row r="115" spans="1:61" x14ac:dyDescent="0.25">
      <c r="A115" s="112" t="s">
        <v>57</v>
      </c>
      <c r="C115" s="114" t="s">
        <v>36</v>
      </c>
      <c r="E115" s="7" t="s">
        <v>17</v>
      </c>
      <c r="G115" s="7" t="s">
        <v>37</v>
      </c>
      <c r="I115" s="7" t="s">
        <v>21</v>
      </c>
      <c r="K115" s="22">
        <v>0</v>
      </c>
      <c r="M115" s="22"/>
      <c r="O115" s="22">
        <f>SUM(K115:N115)</f>
        <v>0</v>
      </c>
      <c r="Q115" s="134">
        <v>0</v>
      </c>
      <c r="S115" s="134">
        <v>0</v>
      </c>
      <c r="U115" s="131"/>
      <c r="BC115" s="8">
        <f>IF(+O115-AY115+BA115&gt;0,O115-AY115+BA115,0)</f>
        <v>0</v>
      </c>
      <c r="BE115" s="8">
        <f t="shared" si="15"/>
        <v>0</v>
      </c>
      <c r="BG115" s="12">
        <f>O115-AY115-BC115</f>
        <v>0</v>
      </c>
      <c r="BI115" s="27"/>
    </row>
    <row r="116" spans="1:61" x14ac:dyDescent="0.25">
      <c r="A116" s="163"/>
      <c r="B116" s="31"/>
      <c r="C116" s="114"/>
      <c r="E116" s="7"/>
      <c r="K116" s="15"/>
      <c r="M116" s="15"/>
      <c r="O116" s="15"/>
      <c r="Q116" s="134"/>
      <c r="S116" s="134"/>
      <c r="U116" s="131"/>
      <c r="BG116" s="12"/>
    </row>
    <row r="117" spans="1:61" x14ac:dyDescent="0.25">
      <c r="A117" s="121" t="s">
        <v>253</v>
      </c>
      <c r="B117" s="31"/>
      <c r="C117" s="114"/>
      <c r="E117" s="7"/>
      <c r="K117" s="15">
        <f>K115+K113+K108+K106+K98+K70</f>
        <v>24414158</v>
      </c>
      <c r="M117" s="15">
        <f>M115+M113+M108+M106+M98+M70</f>
        <v>909703</v>
      </c>
      <c r="O117" s="15">
        <f>O115+O113+O108+O106+O98+O70</f>
        <v>25323861</v>
      </c>
      <c r="Q117" s="134">
        <f>Q115+Q113+Q108+Q106+Q98+Q70</f>
        <v>39128</v>
      </c>
      <c r="S117" s="134">
        <f>S115+S113+S108+S106+S98+S70</f>
        <v>127943.35</v>
      </c>
      <c r="U117" s="134">
        <f>U115+U113+U108+U106+U98+U70</f>
        <v>899776.32</v>
      </c>
      <c r="W117" s="134">
        <f>W115+W113+W108+W106+W98+W70</f>
        <v>810086.3</v>
      </c>
      <c r="Y117" s="134">
        <f>Y115+Y113+Y108+Y106+Y98+Y70</f>
        <v>1831142.77</v>
      </c>
      <c r="AA117" s="134">
        <f>AA115+AA113+AA108+AA106+AA98+AA70</f>
        <v>0</v>
      </c>
      <c r="AC117" s="134">
        <f>AC115+AC113+AC108+AC106+AC98+AC70</f>
        <v>3372514</v>
      </c>
      <c r="AE117" s="134">
        <f>AE115+AE113+AE108+AE106+AE98+AE70</f>
        <v>2932107</v>
      </c>
      <c r="AF117" s="134"/>
      <c r="AG117" s="134">
        <f>AG115+AG113+AG108+AG106+AG98+AG70</f>
        <v>9360536</v>
      </c>
      <c r="AH117" s="134"/>
      <c r="AI117" s="134">
        <f>AI115+AI113+AI108+AI106+AI98+AI70</f>
        <v>4662889</v>
      </c>
      <c r="AJ117" s="134"/>
      <c r="AK117" s="134">
        <f>AK115+AK113+AK108+AK106+AK98+AK70</f>
        <v>2317011.7000000002</v>
      </c>
      <c r="AL117" s="134"/>
      <c r="AM117" s="134">
        <f>AM115+AM113+AM108+AM106+AM98+AM70</f>
        <v>1167995.48</v>
      </c>
      <c r="AN117" s="134"/>
      <c r="AO117" s="134">
        <f>AO115+AO113+AO108+AO106+AO98+AO70</f>
        <v>960719</v>
      </c>
      <c r="AP117" s="134"/>
      <c r="AQ117" s="134">
        <f>AQ115+AQ113+AQ108+AQ106+AQ98+AQ70</f>
        <v>780162</v>
      </c>
      <c r="AS117" s="134">
        <f>AS115+AS113+AS108+AS106+AS98+AS70</f>
        <v>0</v>
      </c>
      <c r="AU117" s="134">
        <f>AU115+AU113+AU108+AU106+AU98+AU70</f>
        <v>0</v>
      </c>
      <c r="AW117" s="134">
        <f>AW115+AW113+AW108+AW106+AW98+AW70</f>
        <v>0</v>
      </c>
      <c r="AY117" s="15">
        <f>AY115+AY113+AY108+AY106+AY98+AY70</f>
        <v>29262010.919999998</v>
      </c>
      <c r="BA117" s="134">
        <f>BA115+BA113+BA108+BA106+BA98+BA70</f>
        <v>2644569</v>
      </c>
      <c r="BC117" s="15">
        <f>BC115+BC113+BC108+BC106+BC98+BC70</f>
        <v>0.22999999998137355</v>
      </c>
      <c r="BE117" s="15">
        <f t="shared" si="15"/>
        <v>29262011.149999999</v>
      </c>
      <c r="BG117" s="15">
        <f>O117-AY117-BC117</f>
        <v>-3938150.149999998</v>
      </c>
    </row>
    <row r="118" spans="1:61" x14ac:dyDescent="0.25">
      <c r="A118" s="17"/>
      <c r="B118" s="119"/>
      <c r="C118" s="114"/>
      <c r="E118" s="7"/>
      <c r="K118" s="15"/>
      <c r="M118" s="15"/>
      <c r="O118" s="15"/>
      <c r="Q118" s="134"/>
      <c r="S118" s="134"/>
      <c r="U118" s="131"/>
      <c r="BG118" s="12"/>
    </row>
    <row r="119" spans="1:61" s="27" customFormat="1" x14ac:dyDescent="0.25">
      <c r="A119" s="38"/>
      <c r="B119" s="122" t="s">
        <v>58</v>
      </c>
      <c r="C119" s="123"/>
      <c r="D119" s="23"/>
      <c r="E119" s="24"/>
      <c r="F119" s="23"/>
      <c r="G119" s="24"/>
      <c r="H119" s="23"/>
      <c r="I119" s="24"/>
      <c r="J119" s="23"/>
      <c r="K119" s="25">
        <f>K117+K44+K36</f>
        <v>134716363</v>
      </c>
      <c r="L119" s="23"/>
      <c r="M119" s="25">
        <f>M117+M44+M36</f>
        <v>726528</v>
      </c>
      <c r="N119" s="23"/>
      <c r="O119" s="25">
        <f>O117+O44+O36</f>
        <v>135442891</v>
      </c>
      <c r="P119" s="23"/>
      <c r="Q119" s="140">
        <f>Q117+Q44+Q36</f>
        <v>39314465.480000004</v>
      </c>
      <c r="R119" s="230"/>
      <c r="S119" s="140">
        <f>S117+S44+S36</f>
        <v>361737.4</v>
      </c>
      <c r="T119" s="230"/>
      <c r="U119" s="140">
        <f>U117+U44+U36</f>
        <v>11766303.940000001</v>
      </c>
      <c r="V119" s="160"/>
      <c r="W119" s="140">
        <f>W117+W44+W36</f>
        <v>7669305.9199999999</v>
      </c>
      <c r="X119" s="160"/>
      <c r="Y119" s="140">
        <f>Y117+Y44+Y36</f>
        <v>14772856.289999999</v>
      </c>
      <c r="Z119" s="160"/>
      <c r="AA119" s="140">
        <f>AA117+AA44+AA36</f>
        <v>14318260.059999999</v>
      </c>
      <c r="AB119" s="23"/>
      <c r="AC119" s="140">
        <f>AC117+AC44+AC36</f>
        <v>19407680.899999999</v>
      </c>
      <c r="AD119" s="23"/>
      <c r="AE119" s="140">
        <f>AE117+AE44+AE36</f>
        <v>3694592.53</v>
      </c>
      <c r="AF119" s="140"/>
      <c r="AG119" s="140">
        <f>AG117+AG44+AG36</f>
        <v>9504401.0299999993</v>
      </c>
      <c r="AH119" s="140"/>
      <c r="AI119" s="140">
        <f>AI117+AI44+AI36</f>
        <v>7984512.71</v>
      </c>
      <c r="AJ119" s="140"/>
      <c r="AK119" s="140">
        <f>AK117+AK44+AK36</f>
        <v>3417967.64</v>
      </c>
      <c r="AL119" s="140"/>
      <c r="AM119" s="140">
        <f>AM117+AM44+AM36</f>
        <v>1195414.56</v>
      </c>
      <c r="AN119" s="140"/>
      <c r="AO119" s="140">
        <f>AO117+AO44+AO36</f>
        <v>7324399.3499999996</v>
      </c>
      <c r="AP119" s="140"/>
      <c r="AQ119" s="140">
        <f>AQ117+AQ44+AQ36</f>
        <v>781586.38</v>
      </c>
      <c r="AR119" s="23"/>
      <c r="AS119" s="140">
        <f>AS117+AS44+AS36</f>
        <v>0</v>
      </c>
      <c r="AT119" s="23"/>
      <c r="AU119" s="140">
        <f>AU117+AU44+AU36</f>
        <v>0</v>
      </c>
      <c r="AV119" s="23"/>
      <c r="AW119" s="140">
        <f>AW117+AW44+AW36</f>
        <v>0</v>
      </c>
      <c r="AX119" s="23"/>
      <c r="AY119" s="25">
        <f>AY117+AY44+AY36</f>
        <v>141513484.19</v>
      </c>
      <c r="AZ119" s="23"/>
      <c r="BA119" s="140">
        <f>BA117+BA44+BA36</f>
        <v>4341623</v>
      </c>
      <c r="BB119" s="23"/>
      <c r="BC119" s="25">
        <f>BC117+BC44</f>
        <v>10129.690000000068</v>
      </c>
      <c r="BD119" s="23"/>
      <c r="BE119" s="25">
        <f t="shared" si="15"/>
        <v>141523613.88</v>
      </c>
      <c r="BF119" s="23"/>
      <c r="BG119" s="25">
        <f>O119-AY119-BC119</f>
        <v>-6080722.879999998</v>
      </c>
      <c r="BH119" s="23"/>
      <c r="BI119" s="80"/>
    </row>
    <row r="120" spans="1:61" x14ac:dyDescent="0.25">
      <c r="A120" s="113"/>
      <c r="B120" s="31"/>
      <c r="C120" s="114"/>
      <c r="E120" s="7"/>
      <c r="U120" s="131"/>
    </row>
    <row r="121" spans="1:61" x14ac:dyDescent="0.25">
      <c r="A121" s="112" t="s">
        <v>59</v>
      </c>
      <c r="B121" s="31"/>
      <c r="C121" s="111" t="s">
        <v>60</v>
      </c>
      <c r="E121" s="28" t="s">
        <v>144</v>
      </c>
      <c r="G121" s="7" t="s">
        <v>62</v>
      </c>
      <c r="K121" s="15">
        <v>600000</v>
      </c>
      <c r="M121" s="15">
        <v>59539</v>
      </c>
      <c r="O121" s="15">
        <f t="shared" ref="O121:O138" si="17">SUM(K121:N121)</f>
        <v>659539</v>
      </c>
      <c r="U121" s="131"/>
      <c r="AA121" s="131">
        <v>72162</v>
      </c>
      <c r="AC121" s="131">
        <v>162075</v>
      </c>
      <c r="AE121" s="267">
        <v>232976.55</v>
      </c>
      <c r="AF121" s="267"/>
      <c r="AG121" s="267">
        <v>64037.38</v>
      </c>
      <c r="AH121" s="267"/>
      <c r="AI121" s="267">
        <v>17167.900000000001</v>
      </c>
      <c r="AJ121" s="267"/>
      <c r="AK121" s="267">
        <v>19695.759999999998</v>
      </c>
      <c r="AL121" s="267"/>
      <c r="AM121" s="267">
        <v>463.85</v>
      </c>
      <c r="AN121" s="267"/>
      <c r="AO121" s="267">
        <v>0</v>
      </c>
      <c r="AP121" s="267"/>
      <c r="AQ121" s="267">
        <v>0</v>
      </c>
      <c r="AS121" s="267">
        <v>0</v>
      </c>
      <c r="AU121" s="267">
        <v>0</v>
      </c>
      <c r="AW121" s="267">
        <v>0</v>
      </c>
      <c r="AY121" s="8">
        <f>SUM(P121:AX121)</f>
        <v>568578.43999999994</v>
      </c>
      <c r="BA121" s="131">
        <f>706219-659539+83333.33-218863-1-2110</f>
        <v>-90960.67</v>
      </c>
      <c r="BC121" s="8">
        <f>IF(+O121-AY121+BA121&gt;0,O121-AY121+BA121,0)</f>
        <v>0</v>
      </c>
      <c r="BE121" s="8">
        <f t="shared" si="15"/>
        <v>568578.43999999994</v>
      </c>
      <c r="BG121" s="12">
        <f>O121-AY121-BC121</f>
        <v>90960.560000000056</v>
      </c>
      <c r="BI121" s="27"/>
    </row>
    <row r="122" spans="1:61" x14ac:dyDescent="0.25">
      <c r="A122" s="112"/>
      <c r="B122" s="115" t="s">
        <v>63</v>
      </c>
      <c r="C122" s="111"/>
      <c r="E122" s="28" t="s">
        <v>144</v>
      </c>
      <c r="G122" s="7" t="s">
        <v>62</v>
      </c>
      <c r="K122" s="15">
        <v>25000</v>
      </c>
      <c r="M122" s="15"/>
      <c r="O122" s="15">
        <f t="shared" si="17"/>
        <v>25000</v>
      </c>
      <c r="Q122" s="131">
        <v>6111</v>
      </c>
      <c r="U122" s="131"/>
      <c r="AY122" s="8">
        <f>SUM(P122:AX122)</f>
        <v>6111</v>
      </c>
      <c r="BA122" s="131">
        <f>-25000-6111</f>
        <v>-31111</v>
      </c>
      <c r="BC122" s="8">
        <f>IF(+O122-AY122+BA122&gt;0,O122-AY122+BA122,0)-6110</f>
        <v>-6110</v>
      </c>
      <c r="BE122" s="8">
        <f t="shared" si="15"/>
        <v>1</v>
      </c>
      <c r="BG122" s="12">
        <f>O122-AY122-BC122</f>
        <v>24999</v>
      </c>
    </row>
    <row r="123" spans="1:61" x14ac:dyDescent="0.25">
      <c r="A123" s="112"/>
      <c r="B123" s="115"/>
      <c r="C123" s="111"/>
      <c r="E123" s="28"/>
      <c r="K123" s="107">
        <f>SUM(K121:K122)</f>
        <v>625000</v>
      </c>
      <c r="M123" s="107">
        <f>SUM(M121:M122)</f>
        <v>59539</v>
      </c>
      <c r="O123" s="107">
        <f>SUM(O121:O122)</f>
        <v>684539</v>
      </c>
      <c r="Q123" s="107">
        <f>SUM(Q121:Q122)</f>
        <v>6111</v>
      </c>
      <c r="S123" s="107">
        <f>SUM(S121:S122)</f>
        <v>0</v>
      </c>
      <c r="U123" s="107">
        <f>SUM(U121:U122)</f>
        <v>0</v>
      </c>
      <c r="W123" s="107">
        <f>SUM(W121:W122)</f>
        <v>0</v>
      </c>
      <c r="Y123" s="107">
        <f>SUM(Y121:Y122)</f>
        <v>0</v>
      </c>
      <c r="AA123" s="107">
        <f>SUM(AA121:AA122)</f>
        <v>72162</v>
      </c>
      <c r="AC123" s="107">
        <f>SUM(AC121:AC122)</f>
        <v>162075</v>
      </c>
      <c r="AE123" s="107">
        <f>SUM(AE121:AE122)</f>
        <v>232976.55</v>
      </c>
      <c r="AF123" s="16"/>
      <c r="AG123" s="107">
        <f>SUM(AG121:AG122)</f>
        <v>64037.38</v>
      </c>
      <c r="AH123" s="16"/>
      <c r="AI123" s="107">
        <f>SUM(AI121:AI122)</f>
        <v>17167.900000000001</v>
      </c>
      <c r="AJ123" s="16"/>
      <c r="AK123" s="107">
        <f>SUM(AK121:AK122)</f>
        <v>19695.759999999998</v>
      </c>
      <c r="AL123" s="107"/>
      <c r="AM123" s="107">
        <f>SUM(AM121:AM122)</f>
        <v>463.85</v>
      </c>
      <c r="AN123" s="16"/>
      <c r="AO123" s="107">
        <f>SUM(AO121:AO122)</f>
        <v>0</v>
      </c>
      <c r="AP123" s="16"/>
      <c r="AQ123" s="107">
        <f>SUM(AQ121:AQ122)</f>
        <v>0</v>
      </c>
      <c r="AS123" s="107">
        <f>SUM(AS121:AS122)</f>
        <v>0</v>
      </c>
      <c r="AU123" s="107">
        <f>SUM(AU121:AU122)</f>
        <v>0</v>
      </c>
      <c r="AW123" s="107">
        <f>SUM(AW121:AW122)</f>
        <v>0</v>
      </c>
      <c r="AY123" s="107">
        <f>SUM(AY121:AY122)</f>
        <v>574689.43999999994</v>
      </c>
      <c r="BA123" s="107">
        <f>SUM(BA121:BA122)</f>
        <v>-122071.67</v>
      </c>
      <c r="BC123" s="107">
        <f>SUM(BC121:BC122)</f>
        <v>-6110</v>
      </c>
      <c r="BE123" s="107">
        <f>SUM(BE121:BE122)</f>
        <v>568579.43999999994</v>
      </c>
      <c r="BG123" s="107">
        <f>O123-AY123-BC123</f>
        <v>115959.56000000006</v>
      </c>
    </row>
    <row r="124" spans="1:61" x14ac:dyDescent="0.25">
      <c r="A124" s="113"/>
      <c r="B124" s="31"/>
      <c r="C124" s="114"/>
      <c r="E124" s="7"/>
      <c r="U124" s="131"/>
      <c r="AY124" s="8"/>
      <c r="BC124" s="8"/>
      <c r="BE124" s="8"/>
    </row>
    <row r="125" spans="1:61" x14ac:dyDescent="0.25">
      <c r="A125" s="112" t="s">
        <v>64</v>
      </c>
      <c r="B125" s="31"/>
      <c r="C125" s="114" t="s">
        <v>0</v>
      </c>
      <c r="E125" s="7" t="s">
        <v>145</v>
      </c>
      <c r="G125" s="7" t="s">
        <v>66</v>
      </c>
      <c r="K125" s="32">
        <v>2000000</v>
      </c>
      <c r="M125" s="16">
        <v>-1212200</v>
      </c>
      <c r="O125" s="32">
        <f t="shared" si="17"/>
        <v>787800</v>
      </c>
      <c r="U125" s="131"/>
      <c r="AI125" s="131">
        <f>95634.82+7768.5+2603.1+1702.9+753.48+548.8+404.8+71.5+47.3+28.33+37139.95+10764</f>
        <v>157467.48000000001</v>
      </c>
      <c r="AJ125" s="131"/>
      <c r="AK125" s="131">
        <v>525705.88</v>
      </c>
      <c r="AL125" s="131"/>
      <c r="AM125" s="131">
        <v>11613.5</v>
      </c>
      <c r="AN125" s="131"/>
      <c r="AO125" s="131">
        <v>1988</v>
      </c>
      <c r="AP125" s="131"/>
      <c r="AQ125" s="131">
        <v>0</v>
      </c>
      <c r="AS125" s="131">
        <v>0</v>
      </c>
      <c r="AU125" s="131">
        <v>0</v>
      </c>
      <c r="AW125" s="131">
        <v>0</v>
      </c>
      <c r="AY125" s="8">
        <f t="shared" ref="AY125:AY135" si="18">SUM(P125:AX125)</f>
        <v>696774.86</v>
      </c>
      <c r="BC125" s="8">
        <f>IF(+O125-AY125+BA125&gt;0,O125-AY125+BA125,0)</f>
        <v>91025.140000000014</v>
      </c>
      <c r="BE125" s="15">
        <f t="shared" si="15"/>
        <v>787800</v>
      </c>
      <c r="BG125" s="12">
        <f>O125-AY125-BC125</f>
        <v>0</v>
      </c>
    </row>
    <row r="126" spans="1:61" x14ac:dyDescent="0.25">
      <c r="A126" s="113"/>
      <c r="B126" s="31"/>
      <c r="C126" s="114"/>
      <c r="E126" s="7"/>
      <c r="U126" s="131"/>
    </row>
    <row r="127" spans="1:61" x14ac:dyDescent="0.25">
      <c r="A127" s="112" t="s">
        <v>67</v>
      </c>
      <c r="B127" s="19"/>
      <c r="C127" s="114" t="s">
        <v>0</v>
      </c>
      <c r="E127" s="7" t="s">
        <v>68</v>
      </c>
      <c r="G127" s="7" t="s">
        <v>146</v>
      </c>
      <c r="I127" s="6"/>
      <c r="K127" s="15">
        <f>531298</f>
        <v>531298</v>
      </c>
      <c r="M127" s="15"/>
      <c r="O127" s="15">
        <f t="shared" si="17"/>
        <v>531298</v>
      </c>
      <c r="Q127" s="134">
        <f>525298+6012</f>
        <v>531310</v>
      </c>
      <c r="S127" s="134"/>
      <c r="U127" s="131"/>
      <c r="AC127" s="131">
        <v>3333.33</v>
      </c>
      <c r="AY127" s="8">
        <f t="shared" si="18"/>
        <v>534643.32999999996</v>
      </c>
      <c r="BC127" s="8">
        <f t="shared" ref="BC127:BC135" si="19">IF(+O127-AY127+BA127&gt;0,O127-AY127+BA127,0)</f>
        <v>0</v>
      </c>
      <c r="BE127" s="8">
        <f t="shared" si="15"/>
        <v>534643.32999999996</v>
      </c>
      <c r="BG127" s="12">
        <f t="shared" ref="BG127:BG136" si="20">O127-AY127-BC127</f>
        <v>-3345.3299999999581</v>
      </c>
    </row>
    <row r="128" spans="1:61" s="43" customFormat="1" x14ac:dyDescent="0.25">
      <c r="A128" s="124"/>
      <c r="B128" s="272" t="s">
        <v>147</v>
      </c>
      <c r="C128" s="164"/>
      <c r="E128" s="44"/>
      <c r="G128" s="7"/>
      <c r="I128" s="44"/>
      <c r="K128" s="30">
        <v>5000</v>
      </c>
      <c r="M128" s="30"/>
      <c r="O128" s="30">
        <f t="shared" si="17"/>
        <v>5000</v>
      </c>
      <c r="Q128" s="134"/>
      <c r="R128" s="229"/>
      <c r="S128" s="134"/>
      <c r="T128" s="229"/>
      <c r="U128" s="131"/>
      <c r="V128" s="157"/>
      <c r="W128" s="157"/>
      <c r="X128" s="157"/>
      <c r="Y128" s="157"/>
      <c r="Z128" s="157"/>
      <c r="AA128" s="157"/>
      <c r="AC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S128" s="157"/>
      <c r="AU128" s="157"/>
      <c r="AW128" s="157"/>
      <c r="AY128" s="8">
        <f t="shared" si="18"/>
        <v>0</v>
      </c>
      <c r="BA128" s="131">
        <v>-5000</v>
      </c>
      <c r="BC128" s="8">
        <f t="shared" si="19"/>
        <v>0</v>
      </c>
      <c r="BE128" s="8">
        <f t="shared" si="15"/>
        <v>0</v>
      </c>
      <c r="BG128" s="12">
        <f t="shared" si="20"/>
        <v>5000</v>
      </c>
      <c r="BI128" s="6"/>
    </row>
    <row r="129" spans="1:61" s="43" customFormat="1" x14ac:dyDescent="0.25">
      <c r="A129" s="124"/>
      <c r="B129" s="272" t="s">
        <v>148</v>
      </c>
      <c r="C129" s="164"/>
      <c r="E129" s="44"/>
      <c r="G129" s="7"/>
      <c r="I129" s="44"/>
      <c r="K129" s="30">
        <f>85800-5000</f>
        <v>80800</v>
      </c>
      <c r="M129" s="30"/>
      <c r="O129" s="30">
        <f t="shared" si="17"/>
        <v>80800</v>
      </c>
      <c r="Q129" s="134"/>
      <c r="R129" s="229"/>
      <c r="S129" s="134"/>
      <c r="T129" s="229"/>
      <c r="U129" s="131"/>
      <c r="V129" s="157"/>
      <c r="W129" s="157"/>
      <c r="X129" s="157"/>
      <c r="Y129" s="157"/>
      <c r="Z129" s="157"/>
      <c r="AA129" s="157"/>
      <c r="AC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S129" s="157"/>
      <c r="AU129" s="157"/>
      <c r="AW129" s="157"/>
      <c r="AY129" s="8">
        <f t="shared" si="18"/>
        <v>0</v>
      </c>
      <c r="BA129" s="131">
        <v>-80800</v>
      </c>
      <c r="BC129" s="8">
        <f t="shared" si="19"/>
        <v>0</v>
      </c>
      <c r="BE129" s="8">
        <f t="shared" si="15"/>
        <v>0</v>
      </c>
      <c r="BG129" s="12">
        <f t="shared" si="20"/>
        <v>80800</v>
      </c>
      <c r="BI129" s="6"/>
    </row>
    <row r="130" spans="1:61" s="43" customFormat="1" x14ac:dyDescent="0.25">
      <c r="A130" s="124"/>
      <c r="B130" s="272" t="s">
        <v>70</v>
      </c>
      <c r="C130" s="164"/>
      <c r="E130" s="44"/>
      <c r="G130" s="7"/>
      <c r="I130" s="44"/>
      <c r="K130" s="30">
        <v>5000</v>
      </c>
      <c r="M130" s="30"/>
      <c r="O130" s="30">
        <f t="shared" si="17"/>
        <v>5000</v>
      </c>
      <c r="Q130" s="134"/>
      <c r="R130" s="229"/>
      <c r="S130" s="134"/>
      <c r="T130" s="229"/>
      <c r="U130" s="131"/>
      <c r="V130" s="157"/>
      <c r="W130" s="157"/>
      <c r="X130" s="157"/>
      <c r="Y130" s="157"/>
      <c r="Z130" s="157"/>
      <c r="AA130" s="157"/>
      <c r="AC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S130" s="157"/>
      <c r="AU130" s="157"/>
      <c r="AW130" s="157"/>
      <c r="AY130" s="8">
        <f t="shared" si="18"/>
        <v>0</v>
      </c>
      <c r="BA130" s="131">
        <v>-5000</v>
      </c>
      <c r="BC130" s="8">
        <f t="shared" si="19"/>
        <v>0</v>
      </c>
      <c r="BE130" s="8">
        <f t="shared" si="15"/>
        <v>0</v>
      </c>
      <c r="BG130" s="12">
        <f t="shared" si="20"/>
        <v>5000</v>
      </c>
      <c r="BI130" s="6"/>
    </row>
    <row r="131" spans="1:61" s="43" customFormat="1" x14ac:dyDescent="0.25">
      <c r="A131" s="124"/>
      <c r="B131" s="272" t="s">
        <v>149</v>
      </c>
      <c r="C131" s="164"/>
      <c r="E131" s="44"/>
      <c r="G131" s="7"/>
      <c r="I131" s="44"/>
      <c r="K131" s="30">
        <v>0</v>
      </c>
      <c r="M131" s="30"/>
      <c r="O131" s="30">
        <f t="shared" si="17"/>
        <v>0</v>
      </c>
      <c r="Q131" s="134"/>
      <c r="R131" s="229"/>
      <c r="S131" s="134"/>
      <c r="T131" s="229"/>
      <c r="U131" s="131"/>
      <c r="V131" s="157"/>
      <c r="W131" s="157"/>
      <c r="X131" s="157"/>
      <c r="Y131" s="157"/>
      <c r="Z131" s="157"/>
      <c r="AA131" s="157"/>
      <c r="AC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S131" s="157"/>
      <c r="AU131" s="157"/>
      <c r="AW131" s="157"/>
      <c r="AY131" s="8">
        <f t="shared" si="18"/>
        <v>0</v>
      </c>
      <c r="BA131" s="131"/>
      <c r="BC131" s="8">
        <f t="shared" si="19"/>
        <v>0</v>
      </c>
      <c r="BE131" s="8">
        <f t="shared" si="15"/>
        <v>0</v>
      </c>
      <c r="BG131" s="12">
        <f t="shared" si="20"/>
        <v>0</v>
      </c>
      <c r="BI131" s="6"/>
    </row>
    <row r="132" spans="1:61" s="43" customFormat="1" x14ac:dyDescent="0.25">
      <c r="A132" s="124"/>
      <c r="B132" s="272" t="s">
        <v>150</v>
      </c>
      <c r="C132" s="164"/>
      <c r="E132" s="44"/>
      <c r="G132" s="7"/>
      <c r="I132" s="44"/>
      <c r="K132" s="30">
        <v>0</v>
      </c>
      <c r="M132" s="30"/>
      <c r="O132" s="30">
        <f t="shared" si="17"/>
        <v>0</v>
      </c>
      <c r="Q132" s="134"/>
      <c r="R132" s="229"/>
      <c r="S132" s="134"/>
      <c r="T132" s="229"/>
      <c r="U132" s="131"/>
      <c r="V132" s="157"/>
      <c r="W132" s="157"/>
      <c r="X132" s="157"/>
      <c r="Y132" s="157"/>
      <c r="Z132" s="157"/>
      <c r="AA132" s="157"/>
      <c r="AC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S132" s="157"/>
      <c r="AU132" s="157"/>
      <c r="AW132" s="157"/>
      <c r="AY132" s="8">
        <f t="shared" si="18"/>
        <v>0</v>
      </c>
      <c r="BA132" s="131"/>
      <c r="BC132" s="8">
        <f t="shared" si="19"/>
        <v>0</v>
      </c>
      <c r="BE132" s="8">
        <f t="shared" si="15"/>
        <v>0</v>
      </c>
      <c r="BG132" s="12">
        <f t="shared" si="20"/>
        <v>0</v>
      </c>
      <c r="BI132" s="6"/>
    </row>
    <row r="133" spans="1:61" s="43" customFormat="1" x14ac:dyDescent="0.25">
      <c r="A133" s="124"/>
      <c r="B133" s="272" t="s">
        <v>151</v>
      </c>
      <c r="C133" s="164"/>
      <c r="E133" s="44"/>
      <c r="G133" s="7"/>
      <c r="I133" s="44"/>
      <c r="K133" s="30">
        <v>1000</v>
      </c>
      <c r="M133" s="30"/>
      <c r="O133" s="30">
        <f t="shared" si="17"/>
        <v>1000</v>
      </c>
      <c r="Q133" s="134">
        <v>1000</v>
      </c>
      <c r="R133" s="229"/>
      <c r="S133" s="134"/>
      <c r="T133" s="229"/>
      <c r="U133" s="131"/>
      <c r="V133" s="157"/>
      <c r="W133" s="157"/>
      <c r="X133" s="157"/>
      <c r="Y133" s="157"/>
      <c r="Z133" s="157"/>
      <c r="AA133" s="157"/>
      <c r="AC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S133" s="157"/>
      <c r="AU133" s="157"/>
      <c r="AW133" s="157"/>
      <c r="AY133" s="8">
        <f t="shared" si="18"/>
        <v>1000</v>
      </c>
      <c r="BA133" s="131"/>
      <c r="BC133" s="8">
        <f t="shared" si="19"/>
        <v>0</v>
      </c>
      <c r="BE133" s="8">
        <f t="shared" si="15"/>
        <v>1000</v>
      </c>
      <c r="BG133" s="12">
        <f t="shared" si="20"/>
        <v>0</v>
      </c>
      <c r="BI133" s="6"/>
    </row>
    <row r="134" spans="1:61" s="43" customFormat="1" x14ac:dyDescent="0.25">
      <c r="A134" s="124"/>
      <c r="B134" s="272" t="s">
        <v>152</v>
      </c>
      <c r="C134" s="164"/>
      <c r="E134" s="44"/>
      <c r="G134" s="7"/>
      <c r="I134" s="44"/>
      <c r="K134" s="30">
        <f>20000-1000</f>
        <v>19000</v>
      </c>
      <c r="M134" s="30"/>
      <c r="O134" s="30">
        <f t="shared" si="17"/>
        <v>19000</v>
      </c>
      <c r="Q134" s="134"/>
      <c r="R134" s="229"/>
      <c r="S134" s="134"/>
      <c r="T134" s="229"/>
      <c r="U134" s="131"/>
      <c r="V134" s="157"/>
      <c r="W134" s="157"/>
      <c r="X134" s="157"/>
      <c r="Y134" s="131">
        <v>19000</v>
      </c>
      <c r="Z134" s="157"/>
      <c r="AA134" s="157"/>
      <c r="AC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S134" s="157"/>
      <c r="AU134" s="157"/>
      <c r="AW134" s="157"/>
      <c r="AY134" s="8">
        <f t="shared" si="18"/>
        <v>19000</v>
      </c>
      <c r="BA134" s="131"/>
      <c r="BC134" s="8">
        <f t="shared" si="19"/>
        <v>0</v>
      </c>
      <c r="BE134" s="8">
        <f t="shared" si="15"/>
        <v>19000</v>
      </c>
      <c r="BG134" s="12">
        <f t="shared" si="20"/>
        <v>0</v>
      </c>
      <c r="BI134" s="6"/>
    </row>
    <row r="135" spans="1:61" s="43" customFormat="1" x14ac:dyDescent="0.25">
      <c r="A135" s="124"/>
      <c r="B135" s="272" t="s">
        <v>70</v>
      </c>
      <c r="C135" s="164"/>
      <c r="E135" s="44"/>
      <c r="G135" s="7"/>
      <c r="I135" s="44"/>
      <c r="K135" s="30">
        <v>5000</v>
      </c>
      <c r="M135" s="30"/>
      <c r="O135" s="30">
        <f t="shared" si="17"/>
        <v>5000</v>
      </c>
      <c r="Q135" s="134"/>
      <c r="R135" s="229"/>
      <c r="S135" s="134"/>
      <c r="T135" s="229"/>
      <c r="U135" s="131"/>
      <c r="V135" s="157"/>
      <c r="W135" s="157"/>
      <c r="X135" s="157"/>
      <c r="Y135" s="131">
        <v>3050</v>
      </c>
      <c r="Z135" s="157"/>
      <c r="AA135" s="157"/>
      <c r="AC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S135" s="157"/>
      <c r="AU135" s="157"/>
      <c r="AW135" s="157"/>
      <c r="AY135" s="8">
        <f t="shared" si="18"/>
        <v>3050</v>
      </c>
      <c r="BA135" s="131">
        <v>-1950</v>
      </c>
      <c r="BC135" s="8">
        <f t="shared" si="19"/>
        <v>0</v>
      </c>
      <c r="BE135" s="8">
        <f t="shared" si="15"/>
        <v>3050</v>
      </c>
      <c r="BG135" s="12">
        <f t="shared" si="20"/>
        <v>1950</v>
      </c>
      <c r="BI135" s="6"/>
    </row>
    <row r="136" spans="1:61" s="43" customFormat="1" x14ac:dyDescent="0.25">
      <c r="A136" s="124"/>
      <c r="B136" s="42"/>
      <c r="C136" s="164"/>
      <c r="E136" s="44"/>
      <c r="G136" s="7"/>
      <c r="I136" s="44"/>
      <c r="K136" s="107">
        <f>SUM(K127:K135)</f>
        <v>647098</v>
      </c>
      <c r="M136" s="107">
        <f>SUM(M127:M135)</f>
        <v>0</v>
      </c>
      <c r="O136" s="107">
        <f>SUM(O127:O135)</f>
        <v>647098</v>
      </c>
      <c r="Q136" s="107">
        <f>SUM(Q127:Q135)</f>
        <v>532310</v>
      </c>
      <c r="R136" s="229"/>
      <c r="S136" s="107">
        <f>SUM(S127:S135)</f>
        <v>0</v>
      </c>
      <c r="T136" s="229"/>
      <c r="U136" s="107">
        <f>SUM(U127:U135)</f>
        <v>0</v>
      </c>
      <c r="V136" s="157"/>
      <c r="W136" s="107">
        <f>SUM(W127:W135)</f>
        <v>0</v>
      </c>
      <c r="X136" s="157"/>
      <c r="Y136" s="107">
        <f>SUM(Y127:Y135)</f>
        <v>22050</v>
      </c>
      <c r="Z136" s="157"/>
      <c r="AA136" s="107">
        <f>SUM(AA127:AA135)</f>
        <v>0</v>
      </c>
      <c r="AC136" s="107">
        <f>SUM(AC127:AC135)</f>
        <v>3333.33</v>
      </c>
      <c r="AE136" s="107">
        <f>SUM(AE127:AE135)</f>
        <v>0</v>
      </c>
      <c r="AF136" s="16"/>
      <c r="AG136" s="107">
        <f>SUM(AG127:AG135)</f>
        <v>0</v>
      </c>
      <c r="AH136" s="16"/>
      <c r="AI136" s="107">
        <f>SUM(AI127:AI135)</f>
        <v>0</v>
      </c>
      <c r="AJ136" s="16"/>
      <c r="AK136" s="107">
        <f>SUM(AK127:AK135)</f>
        <v>0</v>
      </c>
      <c r="AL136" s="107"/>
      <c r="AM136" s="107">
        <f>SUM(AM127:AM135)</f>
        <v>0</v>
      </c>
      <c r="AN136" s="16"/>
      <c r="AO136" s="107">
        <f>SUM(AO127:AO135)</f>
        <v>0</v>
      </c>
      <c r="AP136" s="16"/>
      <c r="AQ136" s="107">
        <f>SUM(AQ127:AQ135)</f>
        <v>0</v>
      </c>
      <c r="AS136" s="107">
        <f>SUM(AS127:AS135)</f>
        <v>0</v>
      </c>
      <c r="AU136" s="107">
        <f>SUM(AU127:AU135)</f>
        <v>0</v>
      </c>
      <c r="AW136" s="107">
        <f>SUM(AW127:AW135)</f>
        <v>0</v>
      </c>
      <c r="AY136" s="107">
        <f>SUM(AY127:AY135)</f>
        <v>557693.32999999996</v>
      </c>
      <c r="BA136" s="107">
        <f>SUM(BA127:BA135)</f>
        <v>-92750</v>
      </c>
      <c r="BC136" s="107">
        <f>SUM(BC127:BC135)</f>
        <v>0</v>
      </c>
      <c r="BE136" s="107">
        <f>SUM(BE127:BE135)</f>
        <v>557693.32999999996</v>
      </c>
      <c r="BG136" s="107">
        <f t="shared" si="20"/>
        <v>89404.670000000042</v>
      </c>
      <c r="BI136" s="6"/>
    </row>
    <row r="137" spans="1:61" x14ac:dyDescent="0.25">
      <c r="A137" s="113"/>
      <c r="B137" s="31"/>
      <c r="C137" s="114"/>
      <c r="E137" s="7"/>
      <c r="K137" s="15"/>
      <c r="M137" s="15"/>
      <c r="O137" s="15"/>
      <c r="Q137" s="134"/>
      <c r="S137" s="134"/>
      <c r="U137" s="131"/>
      <c r="BE137" s="41"/>
      <c r="BG137" s="15"/>
    </row>
    <row r="138" spans="1:61" x14ac:dyDescent="0.25">
      <c r="A138" s="112" t="s">
        <v>71</v>
      </c>
      <c r="B138" s="19"/>
      <c r="C138" s="114" t="s">
        <v>0</v>
      </c>
      <c r="E138" s="7" t="s">
        <v>8</v>
      </c>
      <c r="G138" s="7" t="s">
        <v>72</v>
      </c>
      <c r="I138" s="6"/>
      <c r="K138" s="32">
        <v>500000</v>
      </c>
      <c r="M138" s="15">
        <v>-300000</v>
      </c>
      <c r="O138" s="32">
        <f t="shared" si="17"/>
        <v>200000</v>
      </c>
      <c r="Q138" s="131">
        <v>156576</v>
      </c>
      <c r="S138" s="131">
        <f>207085-156576</f>
        <v>50509</v>
      </c>
      <c r="U138" s="131"/>
      <c r="AC138" s="131">
        <v>29790.65</v>
      </c>
      <c r="AI138" s="157">
        <v>227</v>
      </c>
      <c r="AM138" s="157">
        <v>250</v>
      </c>
      <c r="AY138" s="8">
        <f>SUM(P138:AX138)</f>
        <v>237352.65</v>
      </c>
      <c r="BC138" s="8">
        <f>IF(+O138-AY138+BA138&gt;0,O138-AY138+BA138,0)</f>
        <v>0</v>
      </c>
      <c r="BE138" s="15">
        <f t="shared" si="15"/>
        <v>237352.65</v>
      </c>
      <c r="BG138" s="12">
        <f>O138-AY138-BC138</f>
        <v>-37352.649999999994</v>
      </c>
    </row>
    <row r="139" spans="1:61" x14ac:dyDescent="0.25">
      <c r="A139" s="112"/>
      <c r="B139" s="19" t="s">
        <v>73</v>
      </c>
      <c r="C139" s="114"/>
      <c r="E139" s="7"/>
      <c r="G139" s="6"/>
      <c r="K139" s="32"/>
      <c r="M139" s="32"/>
      <c r="O139" s="32"/>
      <c r="U139" s="131"/>
      <c r="AC139" s="131"/>
      <c r="AI139" s="268"/>
      <c r="AJ139" s="268"/>
      <c r="AK139" s="268"/>
      <c r="AL139" s="268"/>
      <c r="AM139" s="268"/>
      <c r="AN139" s="268"/>
      <c r="AO139" s="268"/>
      <c r="AP139" s="268"/>
      <c r="AQ139" s="268"/>
      <c r="AS139" s="268"/>
      <c r="AU139" s="268"/>
      <c r="AW139" s="268"/>
      <c r="AY139" s="8">
        <f>SUM(P139:AX139)</f>
        <v>0</v>
      </c>
      <c r="BG139" s="12"/>
    </row>
    <row r="140" spans="1:61" x14ac:dyDescent="0.25">
      <c r="A140" s="113"/>
      <c r="B140" s="31"/>
      <c r="C140" s="114"/>
      <c r="E140" s="7"/>
      <c r="K140" s="15"/>
      <c r="M140" s="15"/>
      <c r="O140" s="15"/>
      <c r="Q140" s="134"/>
      <c r="S140" s="134"/>
      <c r="U140" s="131"/>
      <c r="BG140" s="15"/>
    </row>
    <row r="141" spans="1:61" x14ac:dyDescent="0.25">
      <c r="A141" s="112" t="s">
        <v>74</v>
      </c>
      <c r="B141" s="19"/>
      <c r="C141" s="114" t="s">
        <v>0</v>
      </c>
      <c r="E141" s="7" t="s">
        <v>68</v>
      </c>
      <c r="G141" s="7" t="s">
        <v>75</v>
      </c>
      <c r="I141" s="6"/>
      <c r="K141" s="30">
        <v>981000</v>
      </c>
      <c r="M141" s="30"/>
      <c r="O141" s="30">
        <f>SUM(K141:N141)</f>
        <v>981000</v>
      </c>
      <c r="Q141" s="134">
        <v>738500</v>
      </c>
      <c r="S141" s="134"/>
      <c r="U141" s="131"/>
      <c r="W141" s="131">
        <v>242359</v>
      </c>
      <c r="AY141" s="8">
        <f>SUM(P141:AX141)</f>
        <v>980859</v>
      </c>
      <c r="BC141" s="8">
        <f>IF(+O141-AY141+BA141&gt;0,O141-AY141+BA141,0)</f>
        <v>141</v>
      </c>
      <c r="BE141" s="15">
        <f t="shared" si="15"/>
        <v>981000</v>
      </c>
      <c r="BG141" s="12">
        <f>O141-AY141-BC141</f>
        <v>0</v>
      </c>
      <c r="BI141" s="6" t="s">
        <v>153</v>
      </c>
    </row>
    <row r="142" spans="1:61" x14ac:dyDescent="0.25">
      <c r="A142" s="113"/>
      <c r="B142" s="31"/>
      <c r="C142" s="114"/>
      <c r="E142" s="7"/>
      <c r="K142" s="15"/>
      <c r="M142" s="15"/>
      <c r="O142" s="15"/>
      <c r="Q142" s="134"/>
      <c r="S142" s="134"/>
      <c r="U142" s="131"/>
      <c r="BG142" s="15"/>
    </row>
    <row r="143" spans="1:61" x14ac:dyDescent="0.25">
      <c r="A143" s="112" t="s">
        <v>76</v>
      </c>
      <c r="B143" s="19"/>
      <c r="C143" s="114" t="s">
        <v>0</v>
      </c>
      <c r="E143" s="7" t="s">
        <v>68</v>
      </c>
      <c r="G143" s="7" t="s">
        <v>125</v>
      </c>
      <c r="I143" s="6"/>
      <c r="K143" s="15"/>
      <c r="M143" s="15"/>
      <c r="O143" s="15"/>
      <c r="Q143" s="134"/>
      <c r="S143" s="134"/>
      <c r="U143" s="131"/>
      <c r="BG143" s="15"/>
      <c r="BI143" s="6" t="s">
        <v>78</v>
      </c>
    </row>
    <row r="144" spans="1:61" x14ac:dyDescent="0.25">
      <c r="A144" s="112"/>
      <c r="B144" s="19" t="s">
        <v>77</v>
      </c>
      <c r="C144" s="114"/>
      <c r="E144" s="7"/>
      <c r="K144" s="15">
        <v>2732526</v>
      </c>
      <c r="M144" s="15"/>
      <c r="O144" s="15">
        <f>SUM(K144:N144)</f>
        <v>2732526</v>
      </c>
      <c r="Q144" s="134"/>
      <c r="S144" s="134"/>
      <c r="U144" s="131">
        <v>110523.33</v>
      </c>
      <c r="AA144" s="131">
        <f>439769.85+866353.31+333535.21</f>
        <v>1639658.37</v>
      </c>
      <c r="AG144" s="131">
        <v>230833.55</v>
      </c>
      <c r="AH144" s="131"/>
      <c r="AI144" s="131">
        <f>863085.98+1820.2</f>
        <v>864906.17999999993</v>
      </c>
      <c r="AJ144" s="131"/>
      <c r="AK144" s="131"/>
      <c r="AL144" s="131"/>
      <c r="AM144" s="131"/>
      <c r="AN144" s="131"/>
      <c r="AO144" s="131"/>
      <c r="AP144" s="131"/>
      <c r="AQ144" s="131"/>
      <c r="AS144" s="131"/>
      <c r="AU144" s="131"/>
      <c r="AW144" s="131"/>
      <c r="AY144" s="8">
        <f>SUM(P144:AX144)</f>
        <v>2845921.43</v>
      </c>
      <c r="BC144" s="8">
        <f>IF(+O144-AY144+BA144&gt;0,O144-AY144+BA144,0)</f>
        <v>0</v>
      </c>
      <c r="BE144" s="8">
        <f t="shared" si="15"/>
        <v>2845921.43</v>
      </c>
      <c r="BG144" s="12">
        <f>O144-AY144-BC144</f>
        <v>-113395.43000000017</v>
      </c>
    </row>
    <row r="145" spans="1:61" x14ac:dyDescent="0.25">
      <c r="A145" s="112"/>
      <c r="B145" s="19" t="s">
        <v>79</v>
      </c>
      <c r="C145" s="114"/>
      <c r="E145" s="7"/>
      <c r="K145" s="15">
        <f>K144*0.216</f>
        <v>590225.61600000004</v>
      </c>
      <c r="M145" s="15"/>
      <c r="O145" s="15">
        <f>SUM(K145:N145)</f>
        <v>590225.61600000004</v>
      </c>
      <c r="Q145" s="134"/>
      <c r="S145" s="134"/>
      <c r="U145" s="131"/>
      <c r="AK145" s="131">
        <f>81237.74+65064.42</f>
        <v>146302.16</v>
      </c>
      <c r="AL145" s="131"/>
      <c r="AM145" s="131"/>
      <c r="AN145" s="131"/>
      <c r="AO145" s="131">
        <v>3217.84</v>
      </c>
      <c r="AP145" s="131"/>
      <c r="AQ145" s="131">
        <v>25992.82</v>
      </c>
      <c r="AS145" s="131"/>
      <c r="AU145" s="131"/>
      <c r="AW145" s="131"/>
      <c r="AY145" s="8">
        <f>SUM(P145:AX145)</f>
        <v>175512.82</v>
      </c>
      <c r="BC145" s="8">
        <f>IF(+O145-AY145+BA145&gt;0,O145-AY145+BA145,0)</f>
        <v>414712.79600000003</v>
      </c>
      <c r="BE145" s="8">
        <f t="shared" si="15"/>
        <v>590225.61600000004</v>
      </c>
      <c r="BG145" s="12">
        <f>O145-AY145-BC145</f>
        <v>0</v>
      </c>
    </row>
    <row r="146" spans="1:61" x14ac:dyDescent="0.25">
      <c r="A146" s="112"/>
      <c r="B146" s="19" t="s">
        <v>271</v>
      </c>
      <c r="C146" s="114"/>
      <c r="E146" s="7"/>
      <c r="K146" s="15">
        <v>0</v>
      </c>
      <c r="M146" s="15">
        <v>11826</v>
      </c>
      <c r="O146" s="15">
        <f>SUM(K146:N146)</f>
        <v>11826</v>
      </c>
      <c r="Q146" s="134"/>
      <c r="S146" s="134"/>
      <c r="U146" s="131"/>
      <c r="AA146" s="131">
        <v>11826</v>
      </c>
      <c r="AY146" s="8">
        <f>SUM(P146:AX146)</f>
        <v>11826</v>
      </c>
      <c r="BC146" s="8">
        <f>IF(+O146-AY146+BA146&gt;0,O146-AY146+BA146,0)</f>
        <v>0</v>
      </c>
      <c r="BE146" s="8">
        <f t="shared" si="15"/>
        <v>11826</v>
      </c>
      <c r="BG146" s="12">
        <f>O146-AY146-BC146</f>
        <v>0</v>
      </c>
    </row>
    <row r="147" spans="1:61" x14ac:dyDescent="0.25">
      <c r="A147" s="112"/>
      <c r="B147" s="19" t="s">
        <v>273</v>
      </c>
      <c r="C147" s="114"/>
      <c r="E147" s="7"/>
      <c r="K147" s="15">
        <v>0</v>
      </c>
      <c r="M147" s="15">
        <f>59956-11826</f>
        <v>48130</v>
      </c>
      <c r="O147" s="15">
        <f>SUM(K147:N147)</f>
        <v>48130</v>
      </c>
      <c r="Q147" s="134"/>
      <c r="S147" s="134"/>
      <c r="U147" s="131"/>
      <c r="AE147" s="131">
        <v>59846.83</v>
      </c>
      <c r="AF147" s="131"/>
      <c r="AG147" s="131"/>
      <c r="AH147" s="131"/>
      <c r="AI147" s="131"/>
      <c r="AJ147" s="131"/>
      <c r="AK147" s="131"/>
      <c r="AL147" s="131"/>
      <c r="AM147" s="131"/>
      <c r="AN147" s="131"/>
      <c r="AO147" s="131"/>
      <c r="AP147" s="131"/>
      <c r="AQ147" s="131"/>
      <c r="AS147" s="131"/>
      <c r="AU147" s="131"/>
      <c r="AW147" s="131"/>
      <c r="AY147" s="8">
        <f>SUM(P147:AX147)</f>
        <v>59846.83</v>
      </c>
      <c r="BC147" s="8">
        <f>IF(+O147-AY147+BA147&gt;0,O147-AY147+BA147,0)</f>
        <v>0</v>
      </c>
      <c r="BE147" s="8">
        <f t="shared" si="15"/>
        <v>59846.83</v>
      </c>
      <c r="BG147" s="12">
        <f>O147-AY147-BC147</f>
        <v>-11716.830000000002</v>
      </c>
    </row>
    <row r="148" spans="1:61" x14ac:dyDescent="0.25">
      <c r="A148" s="112"/>
      <c r="B148" s="19"/>
      <c r="C148" s="114"/>
      <c r="E148" s="7"/>
      <c r="K148" s="107">
        <f>SUM(K144:K147)</f>
        <v>3322751.6159999999</v>
      </c>
      <c r="M148" s="107">
        <f>SUM(M144:M147)</f>
        <v>59956</v>
      </c>
      <c r="O148" s="107">
        <f>SUM(O144:O147)</f>
        <v>3382707.6159999999</v>
      </c>
      <c r="Q148" s="107">
        <f>SUM(Q144:Q147)</f>
        <v>0</v>
      </c>
      <c r="S148" s="107">
        <f>SUM(S144:S147)</f>
        <v>0</v>
      </c>
      <c r="U148" s="107">
        <f>SUM(U144:U147)</f>
        <v>110523.33</v>
      </c>
      <c r="W148" s="107">
        <f>SUM(W144:W147)</f>
        <v>0</v>
      </c>
      <c r="Y148" s="107">
        <f>SUM(Y144:Y147)</f>
        <v>0</v>
      </c>
      <c r="AA148" s="107">
        <f>SUM(AA144:AA147)</f>
        <v>1651484.37</v>
      </c>
      <c r="AC148" s="107">
        <f>SUM(AC144:AC147)</f>
        <v>0</v>
      </c>
      <c r="AE148" s="107">
        <f>SUM(AE144:AE147)</f>
        <v>59846.83</v>
      </c>
      <c r="AF148" s="16"/>
      <c r="AG148" s="107">
        <f>SUM(AG144:AG147)</f>
        <v>230833.55</v>
      </c>
      <c r="AH148" s="16"/>
      <c r="AI148" s="107">
        <f>SUM(AI144:AI147)</f>
        <v>864906.17999999993</v>
      </c>
      <c r="AJ148" s="16"/>
      <c r="AK148" s="107">
        <f>SUM(AK144:AK147)</f>
        <v>146302.16</v>
      </c>
      <c r="AL148" s="107"/>
      <c r="AM148" s="107">
        <f>SUM(AM144:AM147)</f>
        <v>0</v>
      </c>
      <c r="AN148" s="16"/>
      <c r="AO148" s="107">
        <f>SUM(AO144:AO147)</f>
        <v>3217.84</v>
      </c>
      <c r="AP148" s="16"/>
      <c r="AQ148" s="107">
        <f>SUM(AQ144:AQ147)</f>
        <v>25992.82</v>
      </c>
      <c r="AS148" s="107">
        <f>SUM(AS144:AS147)</f>
        <v>0</v>
      </c>
      <c r="AU148" s="107">
        <f>SUM(AU144:AU147)</f>
        <v>0</v>
      </c>
      <c r="AW148" s="107">
        <f>SUM(AW144:AW147)</f>
        <v>0</v>
      </c>
      <c r="AY148" s="107">
        <f>SUM(AY144:AY147)</f>
        <v>3093107.08</v>
      </c>
      <c r="BA148" s="107">
        <f>SUM(BA144:BA147)</f>
        <v>0</v>
      </c>
      <c r="BC148" s="107">
        <f>SUM(BC144:BC147)</f>
        <v>414712.79600000003</v>
      </c>
      <c r="BE148" s="107">
        <f>SUM(BE144:BE147)</f>
        <v>3507819.8760000002</v>
      </c>
      <c r="BG148" s="107">
        <f>O148-AY148-BC148</f>
        <v>-125112.26000000018</v>
      </c>
    </row>
    <row r="149" spans="1:61" x14ac:dyDescent="0.25">
      <c r="A149" s="113"/>
      <c r="B149" s="31"/>
      <c r="C149" s="114"/>
      <c r="E149" s="7"/>
      <c r="K149" s="15"/>
      <c r="M149" s="15"/>
      <c r="O149" s="15"/>
      <c r="Q149" s="134"/>
      <c r="S149" s="134"/>
      <c r="U149" s="131"/>
      <c r="BG149" s="15"/>
    </row>
    <row r="150" spans="1:61" x14ac:dyDescent="0.25">
      <c r="A150" s="112" t="s">
        <v>80</v>
      </c>
      <c r="B150" s="19"/>
      <c r="C150" s="114" t="s">
        <v>0</v>
      </c>
      <c r="E150" s="7" t="s">
        <v>81</v>
      </c>
      <c r="G150" s="7" t="s">
        <v>82</v>
      </c>
      <c r="K150" s="30">
        <v>905317</v>
      </c>
      <c r="M150" s="30"/>
      <c r="O150" s="30">
        <f>SUM(K150:N150)</f>
        <v>905317</v>
      </c>
      <c r="Q150" s="134"/>
      <c r="S150" s="134">
        <v>280627</v>
      </c>
      <c r="U150" s="131">
        <f>6432.91-50</f>
        <v>6382.91</v>
      </c>
      <c r="AG150" s="131">
        <f>78467.61+7500</f>
        <v>85967.61</v>
      </c>
      <c r="AH150" s="131"/>
      <c r="AI150" s="131"/>
      <c r="AJ150" s="131"/>
      <c r="AK150" s="131"/>
      <c r="AL150" s="131"/>
      <c r="AM150" s="131"/>
      <c r="AN150" s="131"/>
      <c r="AO150" s="131"/>
      <c r="AP150" s="131"/>
      <c r="AQ150" s="131"/>
      <c r="AS150" s="131"/>
      <c r="AU150" s="131"/>
      <c r="AW150" s="131"/>
      <c r="AY150" s="8">
        <f t="shared" ref="AY150:AY159" si="21">SUM(P150:AX150)</f>
        <v>372977.51999999996</v>
      </c>
      <c r="BA150" s="131">
        <f>-618307+100000</f>
        <v>-518307</v>
      </c>
      <c r="BC150" s="12">
        <f>IF(+O150-AY150+BA150&gt;0,O150-AY150+BA150,0)-287010</f>
        <v>-272977.52</v>
      </c>
      <c r="BE150" s="264">
        <f t="shared" ref="BE150:BE197" si="22">+BC150+AY150</f>
        <v>99999.999999999942</v>
      </c>
      <c r="BG150" s="12">
        <f>O150-AY150-BC150</f>
        <v>805317</v>
      </c>
    </row>
    <row r="151" spans="1:61" x14ac:dyDescent="0.25">
      <c r="A151" s="113"/>
      <c r="B151" s="31"/>
      <c r="C151" s="114"/>
      <c r="E151" s="7"/>
      <c r="K151" s="15"/>
      <c r="M151" s="15"/>
      <c r="O151" s="15"/>
      <c r="Q151" s="134"/>
      <c r="S151" s="134"/>
      <c r="U151" s="131"/>
      <c r="AG151" s="131"/>
      <c r="AH151" s="131"/>
      <c r="AI151" s="131"/>
      <c r="AJ151" s="131"/>
      <c r="AK151" s="131"/>
      <c r="AL151" s="131"/>
      <c r="AM151" s="131"/>
      <c r="AN151" s="131"/>
      <c r="AO151" s="131"/>
      <c r="AP151" s="131"/>
      <c r="AQ151" s="131"/>
      <c r="AS151" s="131"/>
      <c r="AU151" s="131"/>
      <c r="AW151" s="131"/>
      <c r="BG151" s="15"/>
    </row>
    <row r="152" spans="1:61" x14ac:dyDescent="0.25">
      <c r="A152" s="112" t="s">
        <v>83</v>
      </c>
      <c r="B152" s="19"/>
      <c r="C152" s="114" t="s">
        <v>0</v>
      </c>
      <c r="E152" s="7" t="s">
        <v>68</v>
      </c>
      <c r="G152" s="7" t="s">
        <v>85</v>
      </c>
      <c r="K152" s="15">
        <v>128340</v>
      </c>
      <c r="M152" s="15">
        <v>38633</v>
      </c>
      <c r="O152" s="15">
        <f>SUM(K152:N152)</f>
        <v>166973</v>
      </c>
      <c r="Q152" s="134"/>
      <c r="S152" s="134"/>
      <c r="U152" s="131">
        <f>145042</f>
        <v>145042</v>
      </c>
      <c r="W152" s="131"/>
      <c r="AG152" s="131">
        <v>38633</v>
      </c>
      <c r="AH152" s="131"/>
      <c r="AI152" s="131"/>
      <c r="AJ152" s="131"/>
      <c r="AK152" s="131">
        <v>38633</v>
      </c>
      <c r="AL152" s="131"/>
      <c r="AM152" s="131"/>
      <c r="AN152" s="131"/>
      <c r="AO152" s="131"/>
      <c r="AP152" s="131"/>
      <c r="AQ152" s="131"/>
      <c r="AS152" s="131"/>
      <c r="AU152" s="131"/>
      <c r="AW152" s="131"/>
      <c r="AY152" s="8">
        <f t="shared" si="21"/>
        <v>222308</v>
      </c>
      <c r="BA152" s="131">
        <v>57950</v>
      </c>
      <c r="BC152" s="8">
        <f>IF(+O152-AY152+BA152&gt;0,O152-AY152+BA152,0)</f>
        <v>2615</v>
      </c>
      <c r="BE152" s="8">
        <f t="shared" si="22"/>
        <v>224923</v>
      </c>
      <c r="BG152" s="12">
        <f>O152-AY152-BC152</f>
        <v>-57950</v>
      </c>
    </row>
    <row r="153" spans="1:61" x14ac:dyDescent="0.25">
      <c r="A153" s="120"/>
      <c r="B153" s="19"/>
      <c r="C153" s="114"/>
      <c r="E153" s="7"/>
      <c r="K153" s="15"/>
      <c r="M153" s="15"/>
      <c r="O153" s="15"/>
      <c r="Q153" s="134"/>
      <c r="S153" s="134"/>
      <c r="U153" s="131"/>
      <c r="BG153" s="15"/>
      <c r="BI153" s="15"/>
    </row>
    <row r="154" spans="1:61" x14ac:dyDescent="0.25">
      <c r="A154" s="112" t="s">
        <v>86</v>
      </c>
      <c r="B154" s="19"/>
      <c r="C154" s="114" t="s">
        <v>0</v>
      </c>
      <c r="E154" s="7" t="s">
        <v>87</v>
      </c>
      <c r="G154" s="7" t="s">
        <v>88</v>
      </c>
      <c r="K154" s="15">
        <v>113333</v>
      </c>
      <c r="M154" s="15"/>
      <c r="O154" s="15">
        <f>SUM(K154:N154)</f>
        <v>113333</v>
      </c>
      <c r="Q154" s="134"/>
      <c r="S154" s="134"/>
      <c r="U154" s="131"/>
      <c r="W154" s="131">
        <f>8735.19</f>
        <v>8735.19</v>
      </c>
      <c r="AA154" s="131">
        <v>5962.81</v>
      </c>
      <c r="AC154" s="131">
        <f>5519.04+1974.53+1094.54+812.57+6765.14+4370.6+1074.93+2084.27</f>
        <v>23695.62</v>
      </c>
      <c r="AE154" s="131">
        <f>5207.72+1162.33+2331.23+1018.02</f>
        <v>9719.3000000000011</v>
      </c>
      <c r="AF154" s="131"/>
      <c r="AG154" s="131">
        <v>5090.66</v>
      </c>
      <c r="AH154" s="131"/>
      <c r="AI154" s="131"/>
      <c r="AJ154" s="131"/>
      <c r="AK154" s="131"/>
      <c r="AL154" s="131"/>
      <c r="AM154" s="131"/>
      <c r="AN154" s="131"/>
      <c r="AO154" s="131"/>
      <c r="AP154" s="131"/>
      <c r="AQ154" s="131"/>
      <c r="AS154" s="131"/>
      <c r="AU154" s="131"/>
      <c r="AW154" s="131"/>
      <c r="AY154" s="8">
        <f t="shared" si="21"/>
        <v>53203.58</v>
      </c>
      <c r="BA154" s="131">
        <v>-25000</v>
      </c>
      <c r="BC154" s="8">
        <v>0</v>
      </c>
      <c r="BE154" s="8">
        <f t="shared" si="22"/>
        <v>53203.58</v>
      </c>
      <c r="BG154" s="12">
        <f>O154-AY154-BC154</f>
        <v>60129.42</v>
      </c>
      <c r="BI154" s="15"/>
    </row>
    <row r="155" spans="1:61" x14ac:dyDescent="0.25">
      <c r="A155" s="120"/>
      <c r="B155" s="19"/>
      <c r="C155" s="114"/>
      <c r="E155" s="7"/>
      <c r="K155" s="15"/>
      <c r="M155" s="15"/>
      <c r="O155" s="15"/>
      <c r="Q155" s="134"/>
      <c r="S155" s="134"/>
      <c r="U155" s="131"/>
      <c r="BG155" s="15"/>
      <c r="BI155" s="15"/>
    </row>
    <row r="156" spans="1:61" x14ac:dyDescent="0.25">
      <c r="A156" s="112" t="s">
        <v>89</v>
      </c>
      <c r="B156" s="19"/>
      <c r="C156" s="114" t="s">
        <v>0</v>
      </c>
      <c r="E156" s="7" t="s">
        <v>87</v>
      </c>
      <c r="G156" s="7" t="s">
        <v>88</v>
      </c>
      <c r="K156" s="16">
        <v>6794524</v>
      </c>
      <c r="L156" s="6">
        <v>0</v>
      </c>
      <c r="M156" s="16">
        <f>4902263-6794524+4497-4997+215+6105+26-6761+977-26+7511-3805+305723-188481+2126-496840+148019-428224+452-452+13397-2+1-8486-94155+7381+81-2508+1076059+610-365-146416-847085-1462+161-67-1761-60520+322+778234-970-19591-1874-17127-1423378-326769</f>
        <v>-3622486</v>
      </c>
      <c r="O156" s="16">
        <f>SUM(K156:N156)</f>
        <v>3172038</v>
      </c>
      <c r="Q156" s="135">
        <f>229515+890324+444356+520463</f>
        <v>2084658</v>
      </c>
      <c r="S156" s="135">
        <f>-1075020+3412</f>
        <v>-1071608</v>
      </c>
      <c r="U156" s="137">
        <f>27457.01+315366.64</f>
        <v>342823.65</v>
      </c>
      <c r="W156" s="137">
        <f>321299.92</f>
        <v>321299.92</v>
      </c>
      <c r="Y156" s="131">
        <f>443917.85</f>
        <v>443917.85</v>
      </c>
      <c r="AA156" s="131">
        <v>528055.68999999994</v>
      </c>
      <c r="AC156" s="131">
        <f>404338.17+144842-337837-325686+238860</f>
        <v>124517.16999999993</v>
      </c>
      <c r="AE156" s="131">
        <f>85747+639396</f>
        <v>725143</v>
      </c>
      <c r="AG156" s="131">
        <v>684126</v>
      </c>
      <c r="AI156" s="131">
        <v>-684126</v>
      </c>
      <c r="AK156" s="131">
        <v>-326769</v>
      </c>
      <c r="AY156" s="8">
        <f t="shared" si="21"/>
        <v>3172038.28</v>
      </c>
      <c r="BA156" s="131">
        <v>0</v>
      </c>
      <c r="BC156" s="8">
        <f>IF(+O156-AY156+BA156&gt;0,O156-AY156+BA156,0)</f>
        <v>0</v>
      </c>
      <c r="BE156" s="8">
        <f t="shared" si="22"/>
        <v>3172038.28</v>
      </c>
      <c r="BG156" s="34">
        <f>O156-AY156-BC156</f>
        <v>-0.27999999979510903</v>
      </c>
      <c r="BH156" s="19"/>
      <c r="BI156" s="15"/>
    </row>
    <row r="157" spans="1:61" x14ac:dyDescent="0.25">
      <c r="A157" s="112"/>
      <c r="B157" s="19" t="s">
        <v>486</v>
      </c>
      <c r="C157" s="114"/>
      <c r="E157" s="7"/>
      <c r="K157" s="16"/>
      <c r="M157" s="16">
        <v>-309104</v>
      </c>
      <c r="O157" s="16">
        <f>SUM(K157:N157)</f>
        <v>-309104</v>
      </c>
      <c r="Q157" s="135"/>
      <c r="S157" s="135"/>
      <c r="U157" s="137"/>
      <c r="W157" s="137"/>
      <c r="Y157" s="131">
        <v>-309104</v>
      </c>
      <c r="AA157" s="131">
        <f>49104+237690-404678</f>
        <v>-117884</v>
      </c>
      <c r="AY157" s="8">
        <f t="shared" si="21"/>
        <v>-426988</v>
      </c>
      <c r="BA157" s="131"/>
      <c r="BC157" s="8">
        <v>0</v>
      </c>
      <c r="BE157" s="8">
        <f t="shared" si="22"/>
        <v>-426988</v>
      </c>
      <c r="BG157" s="34">
        <f>O157-AY157-BC157</f>
        <v>117884</v>
      </c>
      <c r="BH157" s="19"/>
      <c r="BI157" s="15"/>
    </row>
    <row r="158" spans="1:61" x14ac:dyDescent="0.25">
      <c r="A158" s="112" t="s">
        <v>484</v>
      </c>
      <c r="B158" s="19"/>
      <c r="C158" s="114"/>
      <c r="E158" s="7"/>
      <c r="K158" s="16"/>
      <c r="M158" s="16">
        <f>50562-113+126-6-154-1+171-25+1-193+98-248+1565-50-11475</f>
        <v>40258</v>
      </c>
      <c r="O158" s="16">
        <f>SUM(K158:N158)</f>
        <v>40258</v>
      </c>
      <c r="Q158" s="135"/>
      <c r="S158" s="135"/>
      <c r="U158" s="131">
        <v>11785.19</v>
      </c>
      <c r="W158" s="131">
        <v>10279.42</v>
      </c>
      <c r="Y158" s="131">
        <v>6207.4</v>
      </c>
      <c r="AA158" s="131">
        <v>6088.63</v>
      </c>
      <c r="AC158" s="131">
        <v>5896.87</v>
      </c>
      <c r="AY158" s="8">
        <f t="shared" si="21"/>
        <v>40257.51</v>
      </c>
      <c r="BA158" s="131"/>
      <c r="BC158" s="8">
        <f>IF(+O158-AY158+BA158&gt;0,O158-AY158+BA158,0)</f>
        <v>0.48999999999796273</v>
      </c>
      <c r="BE158" s="8">
        <f t="shared" si="22"/>
        <v>40258</v>
      </c>
      <c r="BG158" s="34">
        <f>O158-AY158-BC158</f>
        <v>0</v>
      </c>
      <c r="BH158" s="19"/>
      <c r="BI158" s="15"/>
    </row>
    <row r="159" spans="1:61" x14ac:dyDescent="0.25">
      <c r="A159" s="112" t="s">
        <v>485</v>
      </c>
      <c r="B159" s="19"/>
      <c r="C159" s="114"/>
      <c r="E159" s="7"/>
      <c r="K159" s="16"/>
      <c r="M159" s="16">
        <f>5266+1+1+2666-5268-13066</f>
        <v>-10400</v>
      </c>
      <c r="O159" s="16">
        <f>SUM(K159:N159)</f>
        <v>-10400</v>
      </c>
      <c r="Q159" s="135"/>
      <c r="S159" s="135"/>
      <c r="U159" s="131"/>
      <c r="W159" s="131"/>
      <c r="Y159" s="131">
        <f>-5266.51+1</f>
        <v>-5265.51</v>
      </c>
      <c r="AA159" s="131">
        <f>10532.98+1+2666</f>
        <v>13199.98</v>
      </c>
      <c r="AC159" s="131">
        <v>-18333.939999999999</v>
      </c>
      <c r="AY159" s="8">
        <f t="shared" si="21"/>
        <v>-10399.469999999999</v>
      </c>
      <c r="BA159" s="131"/>
      <c r="BC159" s="8">
        <f>IF(+O159-AY159+BA159&gt;0,O159-AY159+BA159,0)</f>
        <v>0</v>
      </c>
      <c r="BE159" s="8">
        <f>+BC159+AY159</f>
        <v>-10399.469999999999</v>
      </c>
      <c r="BG159" s="34">
        <f>O159-AY159-BC159</f>
        <v>-0.53000000000065484</v>
      </c>
      <c r="BH159" s="19"/>
      <c r="BI159" s="15"/>
    </row>
    <row r="160" spans="1:61" x14ac:dyDescent="0.25">
      <c r="A160" s="112"/>
      <c r="B160" s="19"/>
      <c r="C160" s="114"/>
      <c r="E160" s="7"/>
      <c r="K160" s="16"/>
      <c r="M160" s="16"/>
      <c r="O160" s="16"/>
      <c r="Q160" s="135"/>
      <c r="S160" s="135"/>
      <c r="U160" s="131"/>
      <c r="W160" s="131"/>
      <c r="Y160" s="131"/>
      <c r="AY160" s="8"/>
      <c r="BA160" s="131"/>
      <c r="BC160" s="8"/>
      <c r="BE160" s="8"/>
      <c r="BG160" s="34"/>
      <c r="BH160" s="19"/>
      <c r="BI160" s="15"/>
    </row>
    <row r="161" spans="1:61" x14ac:dyDescent="0.25">
      <c r="A161" s="113"/>
      <c r="B161" s="122" t="s">
        <v>90</v>
      </c>
      <c r="C161" s="114"/>
      <c r="E161" s="7"/>
      <c r="K161" s="107">
        <f>SUM(K121:K156)+K119-K148-K136-K123</f>
        <v>150733726.616</v>
      </c>
      <c r="M161" s="107">
        <f>SUM(M121:M159)+M119-M148-M136-M123</f>
        <v>-4529276</v>
      </c>
      <c r="O161" s="107">
        <f>SUM(O121:O159)+O119-O148-O136-O123</f>
        <v>146204450.616</v>
      </c>
      <c r="Q161" s="107">
        <f>SUM(Q121:Q159)+Q119-Q148-Q136-Q123</f>
        <v>42832620.480000004</v>
      </c>
      <c r="S161" s="107">
        <f>SUM(S121:S159)+S119-S148-S136-S123</f>
        <v>-378734.6</v>
      </c>
      <c r="U161" s="107">
        <f>SUM(U121:U159)+U119-U148-U136-U123</f>
        <v>12382861.020000001</v>
      </c>
      <c r="W161" s="107">
        <f>SUM(W121:W159)+W119-W148-W136-W123</f>
        <v>8251979.4500000002</v>
      </c>
      <c r="Y161" s="107">
        <f>SUM(Y121:Y159)+Y119-Y148-Y136-Y123</f>
        <v>14930662.029999999</v>
      </c>
      <c r="AA161" s="107">
        <f>SUM(AA121:AA159)+AA119-AA148-AA136-AA123</f>
        <v>16477329.539999999</v>
      </c>
      <c r="AC161" s="107">
        <f>SUM(AC121:AC159)+AC119-AC148-AC136-AC123</f>
        <v>19738655.600000001</v>
      </c>
      <c r="AD161" s="107">
        <f>SUM(AD121:AD159)+AD119-AD148-AD136-AD123</f>
        <v>0</v>
      </c>
      <c r="AE161" s="107">
        <f>SUM(AE121:AE159)+AE119-AE148-AE136-AE123</f>
        <v>4722278.21</v>
      </c>
      <c r="AF161" s="16"/>
      <c r="AG161" s="107">
        <f>SUM(AG121:AG159)+AG119-AG148-AG136-AG123</f>
        <v>10613089.229999999</v>
      </c>
      <c r="AH161" s="16"/>
      <c r="AI161" s="107">
        <f>SUM(AI121:AI159)+AI119-AI148-AI136-AI123</f>
        <v>8340155.2699999996</v>
      </c>
      <c r="AJ161" s="16"/>
      <c r="AK161" s="107">
        <f>SUM(AK121:AK159)+AK119-AK148-AK136-AK123</f>
        <v>3821535.4400000004</v>
      </c>
      <c r="AL161" s="107"/>
      <c r="AM161" s="107">
        <f>SUM(AM121:AM159)+AM119-AM148-AM136-AM123</f>
        <v>1207741.9099999999</v>
      </c>
      <c r="AN161" s="16"/>
      <c r="AO161" s="107">
        <f>SUM(AO121:AO159)+AO119-AO148-AO136-AO123</f>
        <v>7329605.1899999995</v>
      </c>
      <c r="AP161" s="16"/>
      <c r="AQ161" s="107">
        <f>SUM(AQ121:AQ159)+AQ119-AQ148-AQ136-AQ123</f>
        <v>807579.20000000007</v>
      </c>
      <c r="AS161" s="107">
        <f>SUM(AS121:AS159)+AS119-AS148-AS136-AS123</f>
        <v>0</v>
      </c>
      <c r="AU161" s="107">
        <f>SUM(AU121:AU159)+AU119-AU148-AU136-AU123</f>
        <v>0</v>
      </c>
      <c r="AW161" s="107">
        <f>SUM(AW121:AW159)+AW119-AW148-AW136-AW123</f>
        <v>0</v>
      </c>
      <c r="AY161" s="107">
        <f>SUM(AY121:AY159)+AY119-AY148-AY136-AY123</f>
        <v>151077357.96999997</v>
      </c>
      <c r="BA161" s="107">
        <f>SUM(BA121:BA159)+BA119-BA148-BA136-BA123</f>
        <v>3641444.33</v>
      </c>
      <c r="BC161" s="107">
        <f>SUM(BC121:BC159)+BC119-BC148-BC136-BC123</f>
        <v>239536.59600000008</v>
      </c>
      <c r="BE161" s="107">
        <f>SUM(BE121:BE159)+BE119-BE148-BE136-BE123</f>
        <v>151316894.56599998</v>
      </c>
      <c r="BG161" s="107">
        <f>SUM(BG121:BG159)+BG119-BG148-BG136-BG123</f>
        <v>-5112443.9499999974</v>
      </c>
      <c r="BH161" s="19"/>
      <c r="BI161" s="15"/>
    </row>
    <row r="162" spans="1:61" x14ac:dyDescent="0.25">
      <c r="A162" s="113"/>
      <c r="B162" s="115"/>
      <c r="C162" s="114"/>
      <c r="E162" s="7"/>
      <c r="K162" s="15"/>
      <c r="M162" s="15"/>
      <c r="O162" s="15"/>
      <c r="Q162" s="134"/>
      <c r="S162" s="134"/>
      <c r="U162" s="131"/>
      <c r="BG162" s="16"/>
      <c r="BH162" s="19"/>
    </row>
    <row r="163" spans="1:61" x14ac:dyDescent="0.25">
      <c r="A163" s="112" t="s">
        <v>91</v>
      </c>
      <c r="B163" s="115"/>
      <c r="C163" s="114" t="s">
        <v>0</v>
      </c>
      <c r="E163" s="7" t="s">
        <v>92</v>
      </c>
      <c r="G163" s="7" t="s">
        <v>154</v>
      </c>
      <c r="K163" s="15">
        <v>1500000</v>
      </c>
      <c r="M163" s="15">
        <v>-500000</v>
      </c>
      <c r="O163" s="15">
        <f>SUM(K163:M163)</f>
        <v>1000000</v>
      </c>
      <c r="Q163" s="134"/>
      <c r="S163" s="134">
        <v>0</v>
      </c>
      <c r="U163" s="131">
        <v>937500</v>
      </c>
      <c r="W163" s="131"/>
      <c r="AC163" s="131">
        <f>2741.26+80592.07</f>
        <v>83333.33</v>
      </c>
      <c r="AQ163" s="131">
        <v>-41667</v>
      </c>
      <c r="AS163" s="131"/>
      <c r="AU163" s="131"/>
      <c r="AW163" s="131"/>
      <c r="AY163" s="8">
        <f t="shared" ref="AY163:AY168" si="23">SUM(P163:AX163)</f>
        <v>979166.33</v>
      </c>
      <c r="BA163" s="131">
        <v>-62500</v>
      </c>
      <c r="BC163" s="8">
        <f>IF(+O163-AY163+BA163&gt;0,O163-AY163+BA163,0)</f>
        <v>0</v>
      </c>
      <c r="BE163" s="8">
        <f t="shared" si="22"/>
        <v>979166.33</v>
      </c>
      <c r="BG163" s="12">
        <f t="shared" ref="BG163:BG168" si="24">O163-AY163-BC163</f>
        <v>20833.670000000042</v>
      </c>
    </row>
    <row r="164" spans="1:61" x14ac:dyDescent="0.25">
      <c r="A164" s="112"/>
      <c r="B164" s="19" t="s">
        <v>332</v>
      </c>
      <c r="C164" s="114"/>
      <c r="E164" s="7"/>
      <c r="K164" s="15"/>
      <c r="M164" s="15"/>
      <c r="O164" s="15"/>
      <c r="Q164" s="137"/>
      <c r="R164" s="231"/>
      <c r="S164" s="137">
        <f>167937.5/3</f>
        <v>55979.166666666664</v>
      </c>
      <c r="T164" s="231"/>
      <c r="U164" s="134"/>
      <c r="V164" s="134"/>
      <c r="W164" s="134"/>
      <c r="X164" s="134"/>
      <c r="Y164" s="134"/>
      <c r="Z164" s="134"/>
      <c r="AA164" s="134"/>
      <c r="AB164" s="15"/>
      <c r="AC164" s="134"/>
      <c r="AD164" s="15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5"/>
      <c r="AS164" s="134"/>
      <c r="AT164" s="15"/>
      <c r="AU164" s="134"/>
      <c r="AV164" s="15"/>
      <c r="AW164" s="134"/>
      <c r="AX164" s="15"/>
      <c r="AY164" s="8">
        <f t="shared" si="23"/>
        <v>55979.166666666664</v>
      </c>
      <c r="AZ164" s="15"/>
      <c r="BA164" s="134">
        <v>0</v>
      </c>
      <c r="BB164" s="15"/>
      <c r="BC164" s="8">
        <f>IF(+O164-AY164+BA164&gt;0,O164-AY164+BA164,0)</f>
        <v>0</v>
      </c>
      <c r="BD164" s="12"/>
      <c r="BE164" s="8">
        <f t="shared" si="22"/>
        <v>55979.166666666664</v>
      </c>
      <c r="BF164" s="12"/>
      <c r="BG164" s="12">
        <f t="shared" si="24"/>
        <v>-55979.166666666664</v>
      </c>
      <c r="BH164" s="15"/>
      <c r="BI164" s="8"/>
    </row>
    <row r="165" spans="1:61" x14ac:dyDescent="0.25">
      <c r="A165" s="112"/>
      <c r="B165" s="19" t="s">
        <v>333</v>
      </c>
      <c r="C165" s="114"/>
      <c r="E165" s="7"/>
      <c r="K165" s="15"/>
      <c r="M165" s="15"/>
      <c r="O165" s="15"/>
      <c r="Q165" s="137"/>
      <c r="R165" s="231"/>
      <c r="S165" s="137">
        <f>7600/3</f>
        <v>2533.3333333333335</v>
      </c>
      <c r="T165" s="231"/>
      <c r="U165" s="134"/>
      <c r="V165" s="134"/>
      <c r="W165" s="134"/>
      <c r="X165" s="134"/>
      <c r="Y165" s="134"/>
      <c r="Z165" s="134"/>
      <c r="AA165" s="134"/>
      <c r="AB165" s="15"/>
      <c r="AC165" s="134"/>
      <c r="AD165" s="15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>
        <v>83333.33</v>
      </c>
      <c r="AP165" s="134"/>
      <c r="AQ165" s="134"/>
      <c r="AR165" s="15"/>
      <c r="AS165" s="134"/>
      <c r="AT165" s="15"/>
      <c r="AU165" s="134"/>
      <c r="AV165" s="15"/>
      <c r="AW165" s="134"/>
      <c r="AX165" s="15"/>
      <c r="AY165" s="8">
        <f t="shared" si="23"/>
        <v>85866.66333333333</v>
      </c>
      <c r="AZ165" s="15"/>
      <c r="BA165" s="131">
        <v>352817</v>
      </c>
      <c r="BB165" s="15"/>
      <c r="BC165" s="8">
        <v>0</v>
      </c>
      <c r="BD165" s="12"/>
      <c r="BE165" s="8">
        <f t="shared" si="22"/>
        <v>85866.66333333333</v>
      </c>
      <c r="BF165" s="12"/>
      <c r="BG165" s="12">
        <f t="shared" si="24"/>
        <v>-85866.66333333333</v>
      </c>
      <c r="BH165" s="15"/>
    </row>
    <row r="166" spans="1:61" x14ac:dyDescent="0.25">
      <c r="A166" s="112"/>
      <c r="B166" s="19" t="s">
        <v>334</v>
      </c>
      <c r="C166" s="114"/>
      <c r="E166" s="7"/>
      <c r="K166" s="15"/>
      <c r="M166" s="15"/>
      <c r="O166" s="15"/>
      <c r="Q166" s="137"/>
      <c r="R166" s="231"/>
      <c r="S166" s="137">
        <f>10000/3</f>
        <v>3333.3333333333335</v>
      </c>
      <c r="T166" s="231"/>
      <c r="U166" s="134"/>
      <c r="V166" s="134"/>
      <c r="W166" s="134"/>
      <c r="X166" s="134"/>
      <c r="Y166" s="134"/>
      <c r="Z166" s="134"/>
      <c r="AA166" s="134"/>
      <c r="AB166" s="15"/>
      <c r="AC166" s="134"/>
      <c r="AD166" s="15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5"/>
      <c r="AS166" s="134"/>
      <c r="AT166" s="15"/>
      <c r="AU166" s="134"/>
      <c r="AV166" s="15"/>
      <c r="AW166" s="134"/>
      <c r="AX166" s="15"/>
      <c r="AY166" s="8">
        <f t="shared" si="23"/>
        <v>3333.3333333333335</v>
      </c>
      <c r="AZ166" s="15"/>
      <c r="BA166" s="131"/>
      <c r="BB166" s="15"/>
      <c r="BC166" s="8">
        <f>IF(+O166-AY166+BA166&gt;0,O166-AY166+BA166,0)</f>
        <v>0</v>
      </c>
      <c r="BD166" s="12"/>
      <c r="BE166" s="8">
        <f t="shared" si="22"/>
        <v>3333.3333333333335</v>
      </c>
      <c r="BF166" s="12"/>
      <c r="BG166" s="12">
        <f t="shared" si="24"/>
        <v>-3333.3333333333335</v>
      </c>
      <c r="BH166" s="15"/>
    </row>
    <row r="167" spans="1:61" x14ac:dyDescent="0.25">
      <c r="A167" s="112"/>
      <c r="B167" s="19" t="s">
        <v>519</v>
      </c>
      <c r="C167" s="114"/>
      <c r="E167" s="7"/>
      <c r="K167" s="15"/>
      <c r="M167" s="15"/>
      <c r="O167" s="15"/>
      <c r="Q167" s="137"/>
      <c r="R167" s="231"/>
      <c r="S167" s="137">
        <v>0</v>
      </c>
      <c r="T167" s="231"/>
      <c r="U167" s="134"/>
      <c r="V167" s="134"/>
      <c r="W167" s="134"/>
      <c r="X167" s="134"/>
      <c r="Y167" s="134"/>
      <c r="Z167" s="134"/>
      <c r="AA167" s="134"/>
      <c r="AB167" s="15"/>
      <c r="AC167" s="134"/>
      <c r="AD167" s="15"/>
      <c r="AE167" s="134"/>
      <c r="AF167" s="134"/>
      <c r="AG167" s="131"/>
      <c r="AH167" s="131"/>
      <c r="AI167" s="131"/>
      <c r="AJ167" s="131"/>
      <c r="AK167" s="131"/>
      <c r="AL167" s="131"/>
      <c r="AM167" s="131"/>
      <c r="AN167" s="131"/>
      <c r="AO167" s="131"/>
      <c r="AP167" s="131"/>
      <c r="AQ167" s="131"/>
      <c r="AR167" s="15"/>
      <c r="AS167" s="131"/>
      <c r="AT167" s="15"/>
      <c r="AU167" s="131"/>
      <c r="AV167" s="15"/>
      <c r="AW167" s="131"/>
      <c r="AX167" s="15"/>
      <c r="AY167" s="8">
        <f t="shared" si="23"/>
        <v>0</v>
      </c>
      <c r="AZ167" s="15"/>
      <c r="BA167" s="131"/>
      <c r="BB167" s="15"/>
      <c r="BC167" s="8">
        <f>IF(+O167-AY167+BA167&gt;0,O167-AY167+BA167,0)</f>
        <v>0</v>
      </c>
      <c r="BD167" s="12"/>
      <c r="BE167" s="8">
        <f t="shared" si="22"/>
        <v>0</v>
      </c>
      <c r="BF167" s="12"/>
      <c r="BG167" s="12">
        <f t="shared" si="24"/>
        <v>0</v>
      </c>
      <c r="BH167" s="15"/>
    </row>
    <row r="168" spans="1:61" x14ac:dyDescent="0.25">
      <c r="A168" s="112"/>
      <c r="B168" s="19" t="s">
        <v>549</v>
      </c>
      <c r="C168" s="114"/>
      <c r="E168" s="7"/>
      <c r="K168" s="15"/>
      <c r="M168" s="15"/>
      <c r="O168" s="15"/>
      <c r="Q168" s="133"/>
      <c r="R168" s="231"/>
      <c r="S168" s="133">
        <f>(12620.33+7000)/3</f>
        <v>6540.1100000000006</v>
      </c>
      <c r="T168" s="231"/>
      <c r="U168" s="134">
        <v>4787.55</v>
      </c>
      <c r="V168" s="134"/>
      <c r="W168" s="134"/>
      <c r="X168" s="134"/>
      <c r="Y168" s="134"/>
      <c r="Z168" s="134"/>
      <c r="AA168" s="134"/>
      <c r="AB168" s="15"/>
      <c r="AC168" s="134"/>
      <c r="AD168" s="15"/>
      <c r="AE168" s="134"/>
      <c r="AF168" s="134"/>
      <c r="AG168" s="131"/>
      <c r="AH168" s="131"/>
      <c r="AI168" s="131"/>
      <c r="AJ168" s="131"/>
      <c r="AK168" s="131"/>
      <c r="AL168" s="131"/>
      <c r="AM168" s="131"/>
      <c r="AN168" s="131"/>
      <c r="AO168" s="131"/>
      <c r="AP168" s="131"/>
      <c r="AQ168" s="131">
        <f>82333.33+25346.23</f>
        <v>107679.56</v>
      </c>
      <c r="AR168" s="15"/>
      <c r="AS168" s="131"/>
      <c r="AT168" s="15"/>
      <c r="AU168" s="131"/>
      <c r="AV168" s="15"/>
      <c r="AW168" s="131"/>
      <c r="AX168" s="15"/>
      <c r="AY168" s="8">
        <f t="shared" si="23"/>
        <v>119007.22</v>
      </c>
      <c r="AZ168" s="15"/>
      <c r="BA168" s="131">
        <f>25000+4207+4787</f>
        <v>33994</v>
      </c>
      <c r="BB168" s="15"/>
      <c r="BC168" s="8">
        <v>0</v>
      </c>
      <c r="BD168" s="12"/>
      <c r="BE168" s="8">
        <f t="shared" si="22"/>
        <v>119007.22</v>
      </c>
      <c r="BF168" s="12"/>
      <c r="BG168" s="35">
        <f t="shared" si="24"/>
        <v>-119007.22</v>
      </c>
      <c r="BI168" s="8" t="s">
        <v>336</v>
      </c>
    </row>
    <row r="169" spans="1:61" x14ac:dyDescent="0.25">
      <c r="A169" s="112"/>
      <c r="B169" s="115"/>
      <c r="C169" s="114"/>
      <c r="E169" s="7"/>
      <c r="K169" s="142">
        <f>SUBTOTAL(9,K163:K168)</f>
        <v>1500000</v>
      </c>
      <c r="M169" s="142">
        <f>SUBTOTAL(9,M163:M168)</f>
        <v>-500000</v>
      </c>
      <c r="O169" s="142">
        <f>SUBTOTAL(9,O163:O168)</f>
        <v>1000000</v>
      </c>
      <c r="Q169" s="137">
        <f>SUBTOTAL(9,Q163:Q168)</f>
        <v>0</v>
      </c>
      <c r="R169" s="231"/>
      <c r="S169" s="137">
        <f>SUBTOTAL(9,S163:S168)</f>
        <v>68385.943333333329</v>
      </c>
      <c r="T169" s="231"/>
      <c r="U169" s="142">
        <f>SUBTOTAL(9,U163:U168)</f>
        <v>942287.55</v>
      </c>
      <c r="V169" s="134"/>
      <c r="W169" s="142">
        <f>SUBTOTAL(9,W163:W168)</f>
        <v>0</v>
      </c>
      <c r="X169" s="134"/>
      <c r="Y169" s="142">
        <f>SUBTOTAL(9,Y163:Y168)</f>
        <v>0</v>
      </c>
      <c r="Z169" s="134"/>
      <c r="AA169" s="142">
        <f>SUBTOTAL(9,AA163:AA168)</f>
        <v>0</v>
      </c>
      <c r="AB169" s="15"/>
      <c r="AC169" s="142">
        <f>SUBTOTAL(9,AC163:AC168)</f>
        <v>83333.33</v>
      </c>
      <c r="AD169" s="15"/>
      <c r="AE169" s="142">
        <f>SUBTOTAL(9,AE163:AE168)</f>
        <v>0</v>
      </c>
      <c r="AF169" s="137"/>
      <c r="AG169" s="138">
        <f>SUBTOTAL(9,AG163:AG168)</f>
        <v>0</v>
      </c>
      <c r="AH169" s="135"/>
      <c r="AI169" s="138">
        <f>SUBTOTAL(9,AI163:AI168)</f>
        <v>0</v>
      </c>
      <c r="AJ169" s="135"/>
      <c r="AK169" s="138">
        <f>SUBTOTAL(9,AK163:AK168)</f>
        <v>0</v>
      </c>
      <c r="AL169" s="138"/>
      <c r="AM169" s="138">
        <f>SUBTOTAL(9,AM163:AM168)</f>
        <v>0</v>
      </c>
      <c r="AN169" s="135"/>
      <c r="AO169" s="138">
        <f>SUBTOTAL(9,AO163:AO168)</f>
        <v>83333.33</v>
      </c>
      <c r="AP169" s="135"/>
      <c r="AQ169" s="138">
        <f>SUBTOTAL(9,AQ163:AQ168)</f>
        <v>66012.56</v>
      </c>
      <c r="AR169" s="15"/>
      <c r="AS169" s="138">
        <f>SUBTOTAL(9,AS163:AS168)</f>
        <v>0</v>
      </c>
      <c r="AT169" s="15"/>
      <c r="AU169" s="138">
        <f>SUBTOTAL(9,AU163:AU168)</f>
        <v>0</v>
      </c>
      <c r="AV169" s="15"/>
      <c r="AW169" s="138">
        <f>SUBTOTAL(9,AW163:AW168)</f>
        <v>0</v>
      </c>
      <c r="AX169" s="15"/>
      <c r="AY169" s="128">
        <f>SUBTOTAL(9,AY163:AY168)</f>
        <v>1243352.7133333331</v>
      </c>
      <c r="AZ169" s="15"/>
      <c r="BA169" s="142">
        <f>SUBTOTAL(9,BA163:BA168)</f>
        <v>324311</v>
      </c>
      <c r="BB169" s="15"/>
      <c r="BC169" s="128">
        <f>SUBTOTAL(9,BC163:BC168)</f>
        <v>0</v>
      </c>
      <c r="BD169" s="12"/>
      <c r="BE169" s="128">
        <f t="shared" si="22"/>
        <v>1243352.7133333331</v>
      </c>
      <c r="BF169" s="12"/>
      <c r="BG169" s="128">
        <f>SUBTOTAL(9,BG163:BG168)</f>
        <v>-243352.71333333326</v>
      </c>
      <c r="BH169" s="15"/>
    </row>
    <row r="170" spans="1:61" x14ac:dyDescent="0.25">
      <c r="A170" s="113"/>
      <c r="B170" s="31"/>
      <c r="C170" s="114"/>
      <c r="U170" s="131"/>
    </row>
    <row r="171" spans="1:61" x14ac:dyDescent="0.25">
      <c r="A171" s="112" t="s">
        <v>328</v>
      </c>
      <c r="B171" s="115"/>
      <c r="C171" s="114" t="s">
        <v>0</v>
      </c>
      <c r="E171" s="7"/>
      <c r="G171" s="7" t="s">
        <v>82</v>
      </c>
      <c r="K171" s="15"/>
      <c r="M171" s="15"/>
      <c r="O171" s="15">
        <v>93542</v>
      </c>
      <c r="Q171" s="134">
        <v>93542</v>
      </c>
      <c r="S171" s="134">
        <f>94021-93542</f>
        <v>479</v>
      </c>
      <c r="U171" s="131"/>
      <c r="AY171" s="8">
        <f>SUM(P171:AX171)</f>
        <v>94021</v>
      </c>
      <c r="BC171" s="8">
        <f>IF(+O171-AY171+BA171&gt;0,O171-AY171+BA171,0)</f>
        <v>0</v>
      </c>
      <c r="BE171" s="8">
        <f t="shared" si="22"/>
        <v>94021</v>
      </c>
      <c r="BG171" s="12">
        <f>O171-AY171-BC171</f>
        <v>-479</v>
      </c>
    </row>
    <row r="172" spans="1:61" x14ac:dyDescent="0.25">
      <c r="A172" s="121"/>
      <c r="B172" s="31"/>
      <c r="C172" s="114"/>
      <c r="E172" s="7"/>
      <c r="Q172" s="157"/>
      <c r="R172" s="228"/>
      <c r="S172" s="157"/>
      <c r="T172" s="228"/>
      <c r="U172" s="131"/>
      <c r="V172" s="131"/>
      <c r="W172" s="131"/>
      <c r="X172" s="131"/>
      <c r="Y172" s="131"/>
      <c r="Z172" s="131"/>
      <c r="AA172" s="131"/>
      <c r="AB172" s="8"/>
      <c r="AC172" s="131"/>
      <c r="AD172" s="8"/>
      <c r="AE172" s="131"/>
      <c r="AF172" s="131"/>
      <c r="AG172" s="131"/>
      <c r="AH172" s="131"/>
      <c r="AI172" s="131"/>
      <c r="AJ172" s="131"/>
      <c r="AK172" s="131"/>
      <c r="AL172" s="131"/>
      <c r="AM172" s="131"/>
      <c r="AN172" s="131"/>
      <c r="AO172" s="131"/>
      <c r="AP172" s="131"/>
      <c r="AQ172" s="131"/>
      <c r="AR172" s="8"/>
      <c r="AS172" s="131"/>
      <c r="AT172" s="8"/>
      <c r="AU172" s="131"/>
      <c r="AV172" s="8"/>
      <c r="AW172" s="131"/>
      <c r="AX172" s="8"/>
      <c r="AY172" s="8"/>
      <c r="AZ172" s="8"/>
      <c r="BA172" s="131"/>
      <c r="BB172" s="8"/>
      <c r="BC172" s="8"/>
      <c r="BD172" s="8"/>
      <c r="BE172" s="8"/>
      <c r="BF172" s="8"/>
      <c r="BH172" s="8"/>
    </row>
    <row r="173" spans="1:61" x14ac:dyDescent="0.25">
      <c r="A173" s="112" t="s">
        <v>94</v>
      </c>
      <c r="B173" s="19"/>
      <c r="G173" s="6"/>
      <c r="K173" s="6"/>
      <c r="M173" s="6"/>
      <c r="O173" s="6"/>
      <c r="Q173" s="157"/>
      <c r="S173" s="157"/>
      <c r="U173" s="131"/>
      <c r="BE173" s="6">
        <f t="shared" si="22"/>
        <v>0</v>
      </c>
      <c r="BG173" s="12"/>
    </row>
    <row r="174" spans="1:61" x14ac:dyDescent="0.25">
      <c r="A174" s="112"/>
      <c r="B174" s="19" t="s">
        <v>95</v>
      </c>
      <c r="C174" s="114"/>
      <c r="K174" s="6"/>
      <c r="M174" s="6"/>
      <c r="O174" s="6"/>
      <c r="P174" s="41"/>
      <c r="Q174" s="131">
        <v>6644</v>
      </c>
      <c r="R174" s="232"/>
      <c r="S174" s="131">
        <v>1584</v>
      </c>
      <c r="T174" s="232"/>
      <c r="U174" s="134">
        <f>7.03+104.09+453.75</f>
        <v>564.87</v>
      </c>
      <c r="V174" s="161"/>
      <c r="W174" s="246">
        <f>368.17</f>
        <v>368.17</v>
      </c>
      <c r="X174" s="161"/>
      <c r="Y174" s="161">
        <v>227</v>
      </c>
      <c r="Z174" s="161"/>
      <c r="AA174" s="134">
        <f>756.88+62.38+693.45+116.34+558.75</f>
        <v>2187.8000000000002</v>
      </c>
      <c r="AB174" s="41"/>
      <c r="AC174" s="131">
        <v>20384.38</v>
      </c>
      <c r="AD174" s="41"/>
      <c r="AE174" s="131">
        <f>72.3+3671.14+431.91</f>
        <v>4175.3500000000004</v>
      </c>
      <c r="AF174" s="131"/>
      <c r="AG174" s="131">
        <f>245.53+254.81+276.5</f>
        <v>776.84</v>
      </c>
      <c r="AH174" s="131"/>
      <c r="AI174" s="131">
        <v>617.79999999999995</v>
      </c>
      <c r="AJ174" s="131"/>
      <c r="AK174" s="131">
        <v>344.65</v>
      </c>
      <c r="AL174" s="131"/>
      <c r="AM174" s="131"/>
      <c r="AN174" s="131"/>
      <c r="AO174" s="131"/>
      <c r="AP174" s="131"/>
      <c r="AQ174" s="131"/>
      <c r="AR174" s="41"/>
      <c r="AS174" s="131"/>
      <c r="AT174" s="41"/>
      <c r="AU174" s="131"/>
      <c r="AV174" s="41"/>
      <c r="AW174" s="131"/>
      <c r="AX174" s="41"/>
      <c r="AY174" s="8">
        <f t="shared" ref="AY174:AY183" si="25">SUM(P174:AX174)</f>
        <v>37874.86</v>
      </c>
      <c r="AZ174" s="41"/>
      <c r="BA174" s="161"/>
      <c r="BB174" s="41"/>
      <c r="BC174" s="8"/>
      <c r="BD174" s="41"/>
      <c r="BE174" s="8">
        <f t="shared" si="22"/>
        <v>37874.86</v>
      </c>
      <c r="BF174" s="41"/>
      <c r="BG174" s="12"/>
      <c r="BH174" s="41"/>
    </row>
    <row r="175" spans="1:61" x14ac:dyDescent="0.25">
      <c r="A175" s="112"/>
      <c r="B175" s="19" t="s">
        <v>155</v>
      </c>
      <c r="C175" s="114"/>
      <c r="K175" s="6"/>
      <c r="M175" s="6"/>
      <c r="O175" s="6"/>
      <c r="P175" s="41"/>
      <c r="Q175" s="131">
        <v>5024</v>
      </c>
      <c r="R175" s="232"/>
      <c r="T175" s="232"/>
      <c r="U175" s="134"/>
      <c r="V175" s="161"/>
      <c r="W175" s="246"/>
      <c r="X175" s="161"/>
      <c r="Y175" s="161"/>
      <c r="Z175" s="161"/>
      <c r="AA175" s="161"/>
      <c r="AB175" s="41"/>
      <c r="AC175" s="161"/>
      <c r="AD175" s="4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41"/>
      <c r="AS175" s="161"/>
      <c r="AT175" s="41"/>
      <c r="AU175" s="161"/>
      <c r="AV175" s="41"/>
      <c r="AW175" s="161"/>
      <c r="AX175" s="41"/>
      <c r="AY175" s="8">
        <f t="shared" si="25"/>
        <v>5024</v>
      </c>
      <c r="AZ175" s="41"/>
      <c r="BA175" s="161"/>
      <c r="BB175" s="41"/>
      <c r="BC175" s="8"/>
      <c r="BD175" s="41"/>
      <c r="BE175" s="8">
        <f t="shared" si="22"/>
        <v>5024</v>
      </c>
      <c r="BF175" s="41"/>
      <c r="BG175" s="12"/>
      <c r="BH175" s="41"/>
    </row>
    <row r="176" spans="1:61" x14ac:dyDescent="0.25">
      <c r="A176" s="112"/>
      <c r="B176" s="19" t="s">
        <v>201</v>
      </c>
      <c r="C176" s="114"/>
      <c r="K176" s="6"/>
      <c r="M176" s="6"/>
      <c r="O176" s="6"/>
      <c r="P176" s="41"/>
      <c r="Q176" s="131">
        <f>1250+416.67+3333.34+3333.34</f>
        <v>8333.35</v>
      </c>
      <c r="R176" s="232"/>
      <c r="T176" s="232"/>
      <c r="U176" s="134">
        <v>3333.33</v>
      </c>
      <c r="V176" s="161"/>
      <c r="W176" s="134">
        <v>3333.33</v>
      </c>
      <c r="X176" s="161"/>
      <c r="Y176" s="161"/>
      <c r="Z176" s="161"/>
      <c r="AA176" s="161"/>
      <c r="AB176" s="41"/>
      <c r="AC176" s="131">
        <f>3710.96+3343.35+3481.92+3538.03</f>
        <v>14074.26</v>
      </c>
      <c r="AD176" s="41"/>
      <c r="AE176" s="131">
        <v>3359.47</v>
      </c>
      <c r="AF176" s="131"/>
      <c r="AG176" s="131"/>
      <c r="AH176" s="131"/>
      <c r="AI176" s="131">
        <v>3385.34</v>
      </c>
      <c r="AJ176" s="131"/>
      <c r="AK176" s="131">
        <f>3358.98+3370.6</f>
        <v>6729.58</v>
      </c>
      <c r="AL176" s="131"/>
      <c r="AM176" s="131"/>
      <c r="AN176" s="131"/>
      <c r="AO176" s="131">
        <v>3362.57</v>
      </c>
      <c r="AP176" s="131"/>
      <c r="AQ176" s="131"/>
      <c r="AR176" s="41"/>
      <c r="AS176" s="131"/>
      <c r="AT176" s="41"/>
      <c r="AU176" s="131"/>
      <c r="AV176" s="41"/>
      <c r="AW176" s="131"/>
      <c r="AX176" s="41"/>
      <c r="AY176" s="8">
        <f t="shared" si="25"/>
        <v>45911.23</v>
      </c>
      <c r="AZ176" s="41"/>
      <c r="BA176" s="161"/>
      <c r="BB176" s="41"/>
      <c r="BC176" s="8"/>
      <c r="BD176" s="41"/>
      <c r="BE176" s="8">
        <f t="shared" si="22"/>
        <v>45911.23</v>
      </c>
      <c r="BF176" s="41"/>
      <c r="BG176" s="12"/>
      <c r="BH176" s="41"/>
    </row>
    <row r="177" spans="1:60" x14ac:dyDescent="0.25">
      <c r="A177" s="112"/>
      <c r="B177" s="19" t="s">
        <v>505</v>
      </c>
      <c r="C177" s="114"/>
      <c r="K177" s="6"/>
      <c r="M177" s="6"/>
      <c r="O177" s="6"/>
      <c r="P177" s="41"/>
      <c r="R177" s="232"/>
      <c r="T177" s="232"/>
      <c r="U177" s="131">
        <f>21971.39+1954.84</f>
        <v>23926.23</v>
      </c>
      <c r="V177" s="161"/>
      <c r="W177" s="134"/>
      <c r="X177" s="161"/>
      <c r="Y177" s="161"/>
      <c r="Z177" s="161"/>
      <c r="AA177" s="161"/>
      <c r="AB177" s="41"/>
      <c r="AC177" s="131">
        <f>682.55+17595.36+25577.31+20305.04+26842+22771.35</f>
        <v>113773.61000000002</v>
      </c>
      <c r="AD177" s="41"/>
      <c r="AE177" s="131">
        <v>61756.65</v>
      </c>
      <c r="AF177" s="131"/>
      <c r="AG177" s="131">
        <f>74534.84+24708.43</f>
        <v>99243.26999999999</v>
      </c>
      <c r="AH177" s="131"/>
      <c r="AI177" s="131"/>
      <c r="AJ177" s="131"/>
      <c r="AK177" s="131">
        <v>5603</v>
      </c>
      <c r="AL177" s="131"/>
      <c r="AM177" s="131"/>
      <c r="AN177" s="131"/>
      <c r="AO177" s="131"/>
      <c r="AP177" s="131"/>
      <c r="AQ177" s="131"/>
      <c r="AR177" s="41"/>
      <c r="AS177" s="131"/>
      <c r="AT177" s="41"/>
      <c r="AU177" s="131"/>
      <c r="AV177" s="41"/>
      <c r="AW177" s="131"/>
      <c r="AX177" s="41"/>
      <c r="AY177" s="8">
        <f t="shared" si="25"/>
        <v>304302.76</v>
      </c>
      <c r="AZ177" s="41"/>
      <c r="BA177" s="161"/>
      <c r="BB177" s="41"/>
      <c r="BC177" s="8"/>
      <c r="BD177" s="41"/>
      <c r="BE177" s="8">
        <f t="shared" si="22"/>
        <v>304302.76</v>
      </c>
      <c r="BF177" s="41"/>
      <c r="BG177" s="12"/>
      <c r="BH177" s="41"/>
    </row>
    <row r="178" spans="1:60" x14ac:dyDescent="0.25">
      <c r="A178" s="112"/>
      <c r="B178" s="19" t="s">
        <v>97</v>
      </c>
      <c r="C178" s="114"/>
      <c r="K178" s="6"/>
      <c r="M178" s="6"/>
      <c r="O178" s="6"/>
      <c r="P178" s="41"/>
      <c r="Q178" s="131">
        <v>21649</v>
      </c>
      <c r="R178" s="232"/>
      <c r="S178" s="131">
        <v>833</v>
      </c>
      <c r="T178" s="232"/>
      <c r="U178" s="134"/>
      <c r="V178" s="161"/>
      <c r="W178" s="246"/>
      <c r="X178" s="161"/>
      <c r="Y178" s="134">
        <v>-22066.15</v>
      </c>
      <c r="Z178" s="161"/>
      <c r="AA178" s="161"/>
      <c r="AB178" s="41"/>
      <c r="AC178" s="161"/>
      <c r="AD178" s="4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41"/>
      <c r="AS178" s="161"/>
      <c r="AT178" s="41"/>
      <c r="AU178" s="161"/>
      <c r="AV178" s="41"/>
      <c r="AW178" s="161"/>
      <c r="AX178" s="41"/>
      <c r="AY178" s="8">
        <f t="shared" si="25"/>
        <v>415.84999999999854</v>
      </c>
      <c r="AZ178" s="41"/>
      <c r="BA178" s="134"/>
      <c r="BB178" s="41"/>
      <c r="BC178" s="8"/>
      <c r="BD178" s="41"/>
      <c r="BE178" s="8">
        <f t="shared" si="22"/>
        <v>415.84999999999854</v>
      </c>
      <c r="BF178" s="41"/>
      <c r="BG178" s="12"/>
      <c r="BH178" s="41"/>
    </row>
    <row r="179" spans="1:60" x14ac:dyDescent="0.25">
      <c r="A179" s="112"/>
      <c r="B179" s="19" t="s">
        <v>98</v>
      </c>
      <c r="C179" s="114"/>
      <c r="K179" s="6"/>
      <c r="M179" s="6"/>
      <c r="O179" s="6"/>
      <c r="P179" s="41"/>
      <c r="Q179" s="131">
        <v>0</v>
      </c>
      <c r="R179" s="232"/>
      <c r="S179" s="131">
        <v>0</v>
      </c>
      <c r="T179" s="232"/>
      <c r="U179" s="134"/>
      <c r="V179" s="161"/>
      <c r="W179" s="161"/>
      <c r="X179" s="161"/>
      <c r="Y179" s="161"/>
      <c r="Z179" s="161"/>
      <c r="AA179" s="161"/>
      <c r="AB179" s="41"/>
      <c r="AC179" s="161"/>
      <c r="AD179" s="4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41"/>
      <c r="AS179" s="161"/>
      <c r="AT179" s="41"/>
      <c r="AU179" s="161"/>
      <c r="AV179" s="41"/>
      <c r="AW179" s="161"/>
      <c r="AX179" s="41"/>
      <c r="AY179" s="8">
        <f t="shared" si="25"/>
        <v>0</v>
      </c>
      <c r="AZ179" s="41"/>
      <c r="BA179" s="161"/>
      <c r="BB179" s="41"/>
      <c r="BC179" s="8"/>
      <c r="BD179" s="41"/>
      <c r="BE179" s="8">
        <f t="shared" si="22"/>
        <v>0</v>
      </c>
      <c r="BF179" s="41"/>
      <c r="BG179" s="12"/>
      <c r="BH179" s="41"/>
    </row>
    <row r="180" spans="1:60" x14ac:dyDescent="0.25">
      <c r="A180" s="112"/>
      <c r="B180" s="19" t="s">
        <v>100</v>
      </c>
      <c r="C180" s="114"/>
      <c r="K180" s="6"/>
      <c r="M180" s="6"/>
      <c r="O180" s="6"/>
      <c r="P180" s="41"/>
      <c r="Q180" s="131">
        <v>16218</v>
      </c>
      <c r="R180" s="232"/>
      <c r="T180" s="232"/>
      <c r="U180" s="134"/>
      <c r="V180" s="161"/>
      <c r="W180" s="161"/>
      <c r="X180" s="161"/>
      <c r="Y180" s="161"/>
      <c r="Z180" s="161"/>
      <c r="AA180" s="161"/>
      <c r="AB180" s="41"/>
      <c r="AC180" s="131">
        <v>1785.83</v>
      </c>
      <c r="AD180" s="4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41"/>
      <c r="AS180" s="161"/>
      <c r="AT180" s="41"/>
      <c r="AU180" s="161"/>
      <c r="AV180" s="41"/>
      <c r="AW180" s="161"/>
      <c r="AX180" s="41"/>
      <c r="AY180" s="8">
        <f t="shared" si="25"/>
        <v>18003.830000000002</v>
      </c>
      <c r="AZ180" s="41"/>
      <c r="BA180" s="161"/>
      <c r="BB180" s="41"/>
      <c r="BC180" s="8"/>
      <c r="BD180" s="41"/>
      <c r="BE180" s="8">
        <f t="shared" si="22"/>
        <v>18003.830000000002</v>
      </c>
      <c r="BF180" s="41"/>
      <c r="BG180" s="12"/>
      <c r="BH180" s="41"/>
    </row>
    <row r="181" spans="1:60" x14ac:dyDescent="0.25">
      <c r="A181" s="112"/>
      <c r="B181" s="19" t="s">
        <v>99</v>
      </c>
      <c r="C181" s="114"/>
      <c r="K181" s="15"/>
      <c r="M181" s="15"/>
      <c r="O181" s="15"/>
      <c r="P181" s="41"/>
      <c r="Q181" s="131">
        <f>230+77</f>
        <v>307</v>
      </c>
      <c r="R181" s="232"/>
      <c r="T181" s="232"/>
      <c r="U181" s="134"/>
      <c r="V181" s="161"/>
      <c r="W181" s="161"/>
      <c r="X181" s="161"/>
      <c r="Y181" s="161"/>
      <c r="Z181" s="161"/>
      <c r="AA181" s="161"/>
      <c r="AB181" s="41"/>
      <c r="AC181" s="161"/>
      <c r="AD181" s="4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41"/>
      <c r="AS181" s="161"/>
      <c r="AT181" s="41"/>
      <c r="AU181" s="161"/>
      <c r="AV181" s="41"/>
      <c r="AW181" s="161"/>
      <c r="AX181" s="41"/>
      <c r="AY181" s="8">
        <f t="shared" si="25"/>
        <v>307</v>
      </c>
      <c r="AZ181" s="41"/>
      <c r="BA181" s="161"/>
      <c r="BB181" s="41"/>
      <c r="BC181" s="8"/>
      <c r="BD181" s="41"/>
      <c r="BE181" s="8">
        <f t="shared" si="22"/>
        <v>307</v>
      </c>
      <c r="BF181" s="41"/>
      <c r="BG181" s="12"/>
      <c r="BH181" s="41"/>
    </row>
    <row r="182" spans="1:60" x14ac:dyDescent="0.25">
      <c r="A182" s="112"/>
      <c r="B182" s="19" t="s">
        <v>335</v>
      </c>
      <c r="C182" s="114"/>
      <c r="K182" s="15"/>
      <c r="M182" s="15"/>
      <c r="O182" s="15"/>
      <c r="P182" s="41"/>
      <c r="R182" s="232"/>
      <c r="T182" s="232"/>
      <c r="U182" s="134"/>
      <c r="V182" s="161"/>
      <c r="W182" s="161"/>
      <c r="X182" s="161"/>
      <c r="Y182" s="161"/>
      <c r="Z182" s="161"/>
      <c r="AA182" s="161"/>
      <c r="AB182" s="41"/>
      <c r="AC182" s="131">
        <f>53011.08+33.02+2590.23-2</f>
        <v>55632.33</v>
      </c>
      <c r="AD182" s="41"/>
      <c r="AE182" s="268">
        <f>420.18</f>
        <v>420.18</v>
      </c>
      <c r="AF182" s="268"/>
      <c r="AG182" s="131">
        <f>2218.42+324.46+3202.54+3067.15+1136.9</f>
        <v>9949.4699999999993</v>
      </c>
      <c r="AH182" s="131"/>
      <c r="AI182" s="131">
        <f>4228.9+39960.66</f>
        <v>44189.560000000005</v>
      </c>
      <c r="AJ182" s="131"/>
      <c r="AK182" s="131">
        <v>1589.29</v>
      </c>
      <c r="AL182" s="131"/>
      <c r="AM182" s="131"/>
      <c r="AN182" s="131"/>
      <c r="AO182" s="131">
        <f>626.32+160000</f>
        <v>160626.32</v>
      </c>
      <c r="AP182" s="131"/>
      <c r="AQ182" s="131"/>
      <c r="AR182" s="41"/>
      <c r="AS182" s="131"/>
      <c r="AT182" s="41"/>
      <c r="AU182" s="131"/>
      <c r="AV182" s="41"/>
      <c r="AW182" s="131"/>
      <c r="AX182" s="41"/>
      <c r="AY182" s="8">
        <f t="shared" si="25"/>
        <v>272407.15000000002</v>
      </c>
      <c r="AZ182" s="41"/>
      <c r="BA182" s="161"/>
      <c r="BB182" s="41"/>
      <c r="BC182" s="8"/>
      <c r="BD182" s="41"/>
      <c r="BE182" s="8">
        <f t="shared" si="22"/>
        <v>272407.15000000002</v>
      </c>
      <c r="BF182" s="41"/>
      <c r="BG182" s="12"/>
      <c r="BH182" s="41"/>
    </row>
    <row r="183" spans="1:60" x14ac:dyDescent="0.25">
      <c r="A183" s="112"/>
      <c r="B183" s="19" t="s">
        <v>101</v>
      </c>
      <c r="C183" s="114"/>
      <c r="K183" s="33"/>
      <c r="M183" s="33"/>
      <c r="O183" s="33"/>
      <c r="P183" s="41"/>
      <c r="Q183" s="133">
        <f>9935+3312+1688.33</f>
        <v>14935.33</v>
      </c>
      <c r="R183" s="232"/>
      <c r="S183" s="133"/>
      <c r="T183" s="232"/>
      <c r="U183" s="134"/>
      <c r="V183" s="161"/>
      <c r="W183" s="161"/>
      <c r="X183" s="161"/>
      <c r="Y183" s="161"/>
      <c r="Z183" s="161"/>
      <c r="AA183" s="161"/>
      <c r="AB183" s="41"/>
      <c r="AC183" s="161"/>
      <c r="AD183" s="41"/>
      <c r="AE183" s="268">
        <v>4449.95</v>
      </c>
      <c r="AF183" s="268"/>
      <c r="AG183" s="268"/>
      <c r="AH183" s="268"/>
      <c r="AI183" s="131">
        <v>19502.66</v>
      </c>
      <c r="AJ183" s="268"/>
      <c r="AK183" s="131">
        <f>4260.58+3078.33+7891.4</f>
        <v>15230.31</v>
      </c>
      <c r="AL183" s="131"/>
      <c r="AM183" s="131">
        <v>3271.03</v>
      </c>
      <c r="AN183" s="131"/>
      <c r="AO183" s="131"/>
      <c r="AP183" s="131"/>
      <c r="AQ183" s="131"/>
      <c r="AR183" s="41"/>
      <c r="AS183" s="131"/>
      <c r="AT183" s="41"/>
      <c r="AU183" s="131"/>
      <c r="AV183" s="41"/>
      <c r="AW183" s="131"/>
      <c r="AX183" s="41"/>
      <c r="AY183" s="8">
        <f t="shared" si="25"/>
        <v>57389.279999999999</v>
      </c>
      <c r="AZ183" s="41"/>
      <c r="BA183" s="161"/>
      <c r="BB183" s="41"/>
      <c r="BC183" s="8"/>
      <c r="BD183" s="41"/>
      <c r="BE183" s="8">
        <f t="shared" si="22"/>
        <v>57389.279999999999</v>
      </c>
      <c r="BF183" s="41"/>
      <c r="BG183" s="35"/>
      <c r="BH183" s="41"/>
    </row>
    <row r="184" spans="1:60" x14ac:dyDescent="0.25">
      <c r="A184" s="112"/>
      <c r="B184" s="165" t="s">
        <v>156</v>
      </c>
      <c r="C184" s="114" t="s">
        <v>0</v>
      </c>
      <c r="E184" s="6" t="s">
        <v>157</v>
      </c>
      <c r="G184" s="7" t="s">
        <v>158</v>
      </c>
      <c r="K184" s="15">
        <v>500000</v>
      </c>
      <c r="M184" s="15">
        <v>-200000</v>
      </c>
      <c r="O184" s="15">
        <f>SUM(K184:N184)</f>
        <v>300000</v>
      </c>
      <c r="P184" s="41"/>
      <c r="Q184" s="134">
        <f>SUM(Q174:Q183)</f>
        <v>73110.679999999993</v>
      </c>
      <c r="R184" s="232"/>
      <c r="S184" s="134">
        <f>SUM(S174:S183)</f>
        <v>2417</v>
      </c>
      <c r="T184" s="232"/>
      <c r="U184" s="138">
        <f>SUM(U174:U183)</f>
        <v>27824.43</v>
      </c>
      <c r="V184" s="161"/>
      <c r="W184" s="138">
        <f>SUM(W174:W183)</f>
        <v>3701.5</v>
      </c>
      <c r="X184" s="161"/>
      <c r="Y184" s="138">
        <f>SUM(Y174:Y183)</f>
        <v>-21839.15</v>
      </c>
      <c r="Z184" s="161"/>
      <c r="AA184" s="138">
        <f>SUM(AA174:AA183)</f>
        <v>2187.8000000000002</v>
      </c>
      <c r="AB184" s="41"/>
      <c r="AC184" s="138">
        <f>SUM(AC174:AC183)</f>
        <v>205650.40999999997</v>
      </c>
      <c r="AD184" s="41"/>
      <c r="AE184" s="138">
        <f>SUM(AE174:AE183)</f>
        <v>74161.599999999991</v>
      </c>
      <c r="AF184" s="135"/>
      <c r="AG184" s="138">
        <f>SUM(AG174:AG183)</f>
        <v>109969.57999999999</v>
      </c>
      <c r="AH184" s="135"/>
      <c r="AI184" s="138">
        <f>SUM(AI174:AI183)</f>
        <v>67695.360000000001</v>
      </c>
      <c r="AJ184" s="135"/>
      <c r="AK184" s="138">
        <f>SUM(AK174:AK183)</f>
        <v>29496.83</v>
      </c>
      <c r="AL184" s="138"/>
      <c r="AM184" s="138">
        <f>SUM(AM174:AM183)</f>
        <v>3271.03</v>
      </c>
      <c r="AN184" s="135"/>
      <c r="AO184" s="138">
        <f>SUM(AO174:AO183)</f>
        <v>163988.89000000001</v>
      </c>
      <c r="AP184" s="135"/>
      <c r="AQ184" s="138">
        <f>SUM(AQ174:AQ183)</f>
        <v>0</v>
      </c>
      <c r="AR184" s="41"/>
      <c r="AS184" s="138">
        <f>SUM(AS174:AS183)</f>
        <v>0</v>
      </c>
      <c r="AT184" s="41"/>
      <c r="AU184" s="138">
        <f>SUM(AU174:AU183)</f>
        <v>0</v>
      </c>
      <c r="AV184" s="41"/>
      <c r="AW184" s="138">
        <f>SUM(AW174:AW183)</f>
        <v>0</v>
      </c>
      <c r="AX184" s="41"/>
      <c r="AY184" s="107">
        <f>SUM(AY174:AY183)</f>
        <v>741635.96</v>
      </c>
      <c r="AZ184" s="41"/>
      <c r="BA184" s="138">
        <f>SUM(BA174:BA183)</f>
        <v>0</v>
      </c>
      <c r="BB184" s="41"/>
      <c r="BC184" s="107">
        <f>IF(+O184-AY184+BA184&gt;0,O184-AY184+BA184,0)</f>
        <v>0</v>
      </c>
      <c r="BD184" s="41"/>
      <c r="BE184" s="107">
        <f t="shared" si="22"/>
        <v>741635.96</v>
      </c>
      <c r="BF184" s="41"/>
      <c r="BG184" s="12">
        <f>O184-AY184-BC184</f>
        <v>-441635.95999999996</v>
      </c>
      <c r="BH184" s="41"/>
    </row>
    <row r="185" spans="1:60" x14ac:dyDescent="0.25">
      <c r="A185" s="113"/>
      <c r="B185" s="165"/>
      <c r="C185" s="114"/>
      <c r="K185" s="15"/>
      <c r="M185" s="15"/>
      <c r="O185" s="15"/>
      <c r="P185" s="41"/>
      <c r="Q185" s="134"/>
      <c r="R185" s="232"/>
      <c r="S185" s="134"/>
      <c r="T185" s="232"/>
      <c r="U185" s="134"/>
      <c r="V185" s="161"/>
      <c r="W185" s="161"/>
      <c r="X185" s="161"/>
      <c r="Y185" s="161"/>
      <c r="Z185" s="161"/>
      <c r="AA185" s="161"/>
      <c r="AB185" s="41"/>
      <c r="AC185" s="161"/>
      <c r="AD185" s="4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41"/>
      <c r="AS185" s="161"/>
      <c r="AT185" s="41"/>
      <c r="AU185" s="161"/>
      <c r="AV185" s="41"/>
      <c r="AW185" s="161"/>
      <c r="AX185" s="41"/>
      <c r="AY185" s="41"/>
      <c r="AZ185" s="41"/>
      <c r="BA185" s="161"/>
      <c r="BB185" s="41"/>
      <c r="BC185" s="41"/>
      <c r="BD185" s="41"/>
      <c r="BE185" s="41"/>
      <c r="BF185" s="41"/>
      <c r="BG185" s="15"/>
      <c r="BH185" s="41"/>
    </row>
    <row r="186" spans="1:60" x14ac:dyDescent="0.25">
      <c r="A186" s="112" t="s">
        <v>159</v>
      </c>
      <c r="B186" s="162"/>
      <c r="C186" s="114" t="s">
        <v>0</v>
      </c>
      <c r="E186" s="6" t="s">
        <v>103</v>
      </c>
      <c r="G186" s="7" t="s">
        <v>104</v>
      </c>
      <c r="K186" s="6"/>
      <c r="M186" s="16"/>
      <c r="O186" s="16"/>
      <c r="P186" s="41"/>
      <c r="Q186" s="135"/>
      <c r="R186" s="232"/>
      <c r="S186" s="135"/>
      <c r="T186" s="232"/>
      <c r="U186" s="134"/>
      <c r="V186" s="161"/>
      <c r="W186" s="161"/>
      <c r="X186" s="161"/>
      <c r="Y186" s="161"/>
      <c r="Z186" s="161"/>
      <c r="AA186" s="161"/>
      <c r="AB186" s="41"/>
      <c r="AC186" s="161"/>
      <c r="AD186" s="41"/>
      <c r="AE186" s="161"/>
      <c r="AF186" s="161"/>
      <c r="AG186" s="161"/>
      <c r="AH186" s="161"/>
      <c r="AI186" s="161"/>
      <c r="AJ186" s="161"/>
      <c r="AK186" s="161"/>
      <c r="AL186" s="161"/>
      <c r="AM186" s="161"/>
      <c r="AN186" s="161"/>
      <c r="AO186" s="161"/>
      <c r="AP186" s="161"/>
      <c r="AQ186" s="161"/>
      <c r="AR186" s="41"/>
      <c r="AS186" s="161"/>
      <c r="AT186" s="41"/>
      <c r="AU186" s="161"/>
      <c r="AV186" s="41"/>
      <c r="AW186" s="161"/>
      <c r="AX186" s="41"/>
      <c r="AY186" s="41"/>
      <c r="AZ186" s="41"/>
      <c r="BA186" s="161"/>
      <c r="BB186" s="41"/>
      <c r="BC186" s="41"/>
      <c r="BD186" s="41"/>
      <c r="BE186" s="41"/>
      <c r="BF186" s="41"/>
      <c r="BG186" s="16"/>
      <c r="BH186" s="41"/>
    </row>
    <row r="187" spans="1:60" x14ac:dyDescent="0.25">
      <c r="A187" s="112"/>
      <c r="B187" s="64" t="s">
        <v>105</v>
      </c>
      <c r="C187" s="114"/>
      <c r="K187" s="16"/>
      <c r="M187" s="16"/>
      <c r="O187" s="16"/>
      <c r="P187" s="41"/>
      <c r="Q187" s="131">
        <f>2323.44+9144.13+323+135+774.48+482.07+3048.04+3280+30905.86+1575.38+1238.97+75+19149.04</f>
        <v>72454.41</v>
      </c>
      <c r="R187" s="232"/>
      <c r="T187" s="232"/>
      <c r="U187" s="134">
        <v>2085.5</v>
      </c>
      <c r="V187" s="161"/>
      <c r="W187" s="161"/>
      <c r="X187" s="161"/>
      <c r="Y187" s="161"/>
      <c r="Z187" s="161"/>
      <c r="AA187" s="161"/>
      <c r="AB187" s="41"/>
      <c r="AC187" s="131">
        <f>26337+7532.22+1400.88+1911+3289.99+10052.4</f>
        <v>50523.49</v>
      </c>
      <c r="AD187" s="41"/>
      <c r="AE187" s="161"/>
      <c r="AF187" s="161"/>
      <c r="AG187" s="131">
        <f>8514.87+168.5+672.39+5514.19+7477.9+9018.07</f>
        <v>31365.919999999998</v>
      </c>
      <c r="AH187" s="131"/>
      <c r="AI187" s="131"/>
      <c r="AJ187" s="131"/>
      <c r="AK187" s="131">
        <f>2031.75+23047.12</f>
        <v>25078.87</v>
      </c>
      <c r="AL187" s="131"/>
      <c r="AM187" s="131"/>
      <c r="AN187" s="131"/>
      <c r="AO187" s="131"/>
      <c r="AP187" s="131"/>
      <c r="AQ187" s="131"/>
      <c r="AR187" s="41"/>
      <c r="AS187" s="131"/>
      <c r="AT187" s="41"/>
      <c r="AU187" s="131"/>
      <c r="AV187" s="41"/>
      <c r="AW187" s="131"/>
      <c r="AX187" s="41"/>
      <c r="AY187" s="8">
        <f t="shared" ref="AY187:AY192" si="26">SUM(P187:AX187)</f>
        <v>181508.19</v>
      </c>
      <c r="AZ187" s="41"/>
      <c r="BA187" s="161"/>
      <c r="BB187" s="41"/>
      <c r="BC187" s="8"/>
      <c r="BD187" s="41"/>
      <c r="BE187" s="8">
        <f t="shared" si="22"/>
        <v>181508.19</v>
      </c>
      <c r="BF187" s="41"/>
      <c r="BG187" s="12"/>
      <c r="BH187" s="41"/>
    </row>
    <row r="188" spans="1:60" x14ac:dyDescent="0.25">
      <c r="A188" s="112"/>
      <c r="B188" s="64" t="s">
        <v>197</v>
      </c>
      <c r="C188" s="114"/>
      <c r="K188" s="16"/>
      <c r="M188" s="16"/>
      <c r="O188" s="16"/>
      <c r="P188" s="41"/>
      <c r="R188" s="232"/>
      <c r="T188" s="232"/>
      <c r="U188" s="134"/>
      <c r="V188" s="161"/>
      <c r="W188" s="161"/>
      <c r="X188" s="161"/>
      <c r="Y188" s="161"/>
      <c r="Z188" s="161"/>
      <c r="AA188" s="161"/>
      <c r="AB188" s="41"/>
      <c r="AC188" s="161"/>
      <c r="AD188" s="41"/>
      <c r="AE188" s="161"/>
      <c r="AF188" s="161"/>
      <c r="AG188" s="161"/>
      <c r="AH188" s="161"/>
      <c r="AI188" s="161"/>
      <c r="AJ188" s="161"/>
      <c r="AK188" s="161"/>
      <c r="AL188" s="161"/>
      <c r="AM188" s="161"/>
      <c r="AN188" s="161"/>
      <c r="AO188" s="161"/>
      <c r="AP188" s="161"/>
      <c r="AQ188" s="161"/>
      <c r="AR188" s="41"/>
      <c r="AS188" s="161"/>
      <c r="AT188" s="41"/>
      <c r="AU188" s="161"/>
      <c r="AV188" s="41"/>
      <c r="AW188" s="161"/>
      <c r="AX188" s="41"/>
      <c r="AY188" s="8">
        <f t="shared" si="26"/>
        <v>0</v>
      </c>
      <c r="AZ188" s="41"/>
      <c r="BA188" s="161"/>
      <c r="BB188" s="41"/>
      <c r="BC188" s="8"/>
      <c r="BD188" s="41"/>
      <c r="BE188" s="8">
        <f t="shared" si="22"/>
        <v>0</v>
      </c>
      <c r="BF188" s="41"/>
      <c r="BG188" s="12"/>
      <c r="BH188" s="41"/>
    </row>
    <row r="189" spans="1:60" x14ac:dyDescent="0.25">
      <c r="A189" s="112"/>
      <c r="B189" s="64" t="s">
        <v>106</v>
      </c>
      <c r="C189" s="114"/>
      <c r="K189" s="16"/>
      <c r="M189" s="16"/>
      <c r="O189" s="16"/>
      <c r="P189" s="41"/>
      <c r="Q189" s="131">
        <f>4678.29+447.92</f>
        <v>5126.21</v>
      </c>
      <c r="R189" s="232"/>
      <c r="T189" s="232"/>
      <c r="U189" s="134"/>
      <c r="V189" s="161"/>
      <c r="W189" s="161"/>
      <c r="X189" s="161"/>
      <c r="Y189" s="161"/>
      <c r="Z189" s="161"/>
      <c r="AA189" s="161"/>
      <c r="AB189" s="41"/>
      <c r="AC189" s="161"/>
      <c r="AD189" s="41"/>
      <c r="AE189" s="161"/>
      <c r="AF189" s="161"/>
      <c r="AG189" s="161"/>
      <c r="AH189" s="161"/>
      <c r="AI189" s="161"/>
      <c r="AJ189" s="161"/>
      <c r="AK189" s="161"/>
      <c r="AL189" s="161"/>
      <c r="AM189" s="161"/>
      <c r="AN189" s="161"/>
      <c r="AO189" s="161"/>
      <c r="AP189" s="161"/>
      <c r="AQ189" s="161"/>
      <c r="AR189" s="41"/>
      <c r="AS189" s="161"/>
      <c r="AT189" s="41"/>
      <c r="AU189" s="161"/>
      <c r="AV189" s="41"/>
      <c r="AW189" s="161"/>
      <c r="AX189" s="41"/>
      <c r="AY189" s="8">
        <f t="shared" si="26"/>
        <v>5126.21</v>
      </c>
      <c r="AZ189" s="41"/>
      <c r="BA189" s="161"/>
      <c r="BB189" s="41"/>
      <c r="BC189" s="8"/>
      <c r="BD189" s="41"/>
      <c r="BE189" s="8">
        <f t="shared" si="22"/>
        <v>5126.21</v>
      </c>
      <c r="BF189" s="41"/>
      <c r="BG189" s="12"/>
      <c r="BH189" s="41"/>
    </row>
    <row r="190" spans="1:60" x14ac:dyDescent="0.25">
      <c r="A190" s="112"/>
      <c r="B190" s="19" t="s">
        <v>107</v>
      </c>
      <c r="C190" s="114"/>
      <c r="K190" s="16"/>
      <c r="L190" s="19"/>
      <c r="M190" s="16"/>
      <c r="N190" s="19"/>
      <c r="O190" s="16"/>
      <c r="P190" s="67"/>
      <c r="Q190" s="137">
        <f>240.51+2089.51+6687.44+696.51+4421.02+2229.14+80.17+3737.58+7511.73</f>
        <v>27693.609999999997</v>
      </c>
      <c r="R190" s="265"/>
      <c r="S190" s="137"/>
      <c r="T190" s="265"/>
      <c r="U190" s="134">
        <v>4398.29</v>
      </c>
      <c r="V190" s="161"/>
      <c r="W190" s="161"/>
      <c r="X190" s="161"/>
      <c r="Y190" s="161"/>
      <c r="Z190" s="161"/>
      <c r="AA190" s="161"/>
      <c r="AB190" s="41"/>
      <c r="AC190" s="131">
        <f>1811.07+11710.7+18584.13+7993.51+3575.03+634.15</f>
        <v>44308.590000000004</v>
      </c>
      <c r="AD190" s="41"/>
      <c r="AE190" s="161"/>
      <c r="AF190" s="161"/>
      <c r="AG190" s="161"/>
      <c r="AH190" s="161"/>
      <c r="AI190" s="161"/>
      <c r="AJ190" s="161"/>
      <c r="AK190" s="131">
        <f>3574.31+2014.19</f>
        <v>5588.5</v>
      </c>
      <c r="AL190" s="131"/>
      <c r="AM190" s="131"/>
      <c r="AN190" s="131"/>
      <c r="AO190" s="131">
        <v>3946.29</v>
      </c>
      <c r="AP190" s="131"/>
      <c r="AQ190" s="131"/>
      <c r="AR190" s="41"/>
      <c r="AS190" s="131"/>
      <c r="AT190" s="41"/>
      <c r="AU190" s="131"/>
      <c r="AV190" s="41"/>
      <c r="AW190" s="131"/>
      <c r="AX190" s="41"/>
      <c r="AY190" s="8">
        <f t="shared" si="26"/>
        <v>85935.28</v>
      </c>
      <c r="AZ190" s="41"/>
      <c r="BA190" s="161"/>
      <c r="BB190" s="41"/>
      <c r="BC190" s="8"/>
      <c r="BD190" s="41"/>
      <c r="BE190" s="8">
        <f t="shared" si="22"/>
        <v>85935.28</v>
      </c>
      <c r="BF190" s="41"/>
      <c r="BG190" s="34"/>
      <c r="BH190" s="41"/>
    </row>
    <row r="191" spans="1:60" x14ac:dyDescent="0.25">
      <c r="A191" s="112"/>
      <c r="B191" s="322" t="s">
        <v>552</v>
      </c>
      <c r="C191" s="31"/>
      <c r="D191" s="294"/>
      <c r="E191" s="294"/>
      <c r="F191" s="294"/>
      <c r="G191" s="294"/>
      <c r="H191" s="294"/>
      <c r="I191" s="294"/>
      <c r="J191" s="294"/>
      <c r="K191" s="332"/>
      <c r="L191" s="322"/>
      <c r="M191" s="332"/>
      <c r="N191" s="322"/>
      <c r="O191" s="332"/>
      <c r="P191" s="322"/>
      <c r="Q191" s="308"/>
      <c r="R191" s="297"/>
      <c r="S191" s="308"/>
      <c r="T191" s="297"/>
      <c r="U191" s="308"/>
      <c r="V191" s="295"/>
      <c r="W191" s="308"/>
      <c r="X191" s="298"/>
      <c r="Y191" s="308"/>
      <c r="Z191" s="298"/>
      <c r="AA191" s="308"/>
      <c r="AB191" s="298"/>
      <c r="AC191" s="308"/>
      <c r="AD191" s="298"/>
      <c r="AE191" s="308"/>
      <c r="AF191" s="308"/>
      <c r="AG191" s="308"/>
      <c r="AH191" s="308"/>
      <c r="AI191" s="308"/>
      <c r="AJ191" s="308"/>
      <c r="AK191" s="308"/>
      <c r="AL191" s="308"/>
      <c r="AM191" s="308"/>
      <c r="AN191" s="308"/>
      <c r="AO191" s="308"/>
      <c r="AP191" s="308"/>
      <c r="AQ191" s="308">
        <v>252208</v>
      </c>
      <c r="AR191" s="308"/>
      <c r="AS191" s="308"/>
      <c r="AT191" s="308"/>
      <c r="AU191" s="308"/>
      <c r="AV191" s="308"/>
      <c r="AW191" s="308"/>
      <c r="AX191" s="308"/>
      <c r="AY191" s="8">
        <f t="shared" si="26"/>
        <v>252208</v>
      </c>
      <c r="AZ191" s="294"/>
      <c r="BA191" s="308"/>
      <c r="BB191" s="294"/>
      <c r="BC191" s="295"/>
      <c r="BD191" s="294"/>
      <c r="BE191" s="295">
        <f t="shared" si="22"/>
        <v>252208</v>
      </c>
      <c r="BF191" s="294"/>
      <c r="BG191" s="295"/>
    </row>
    <row r="192" spans="1:60" x14ac:dyDescent="0.25">
      <c r="A192" s="112"/>
      <c r="B192" s="19" t="s">
        <v>335</v>
      </c>
      <c r="C192" s="114"/>
      <c r="K192" s="33"/>
      <c r="M192" s="33"/>
      <c r="O192" s="33"/>
      <c r="P192" s="41"/>
      <c r="Q192" s="133"/>
      <c r="R192" s="232"/>
      <c r="S192" s="133"/>
      <c r="T192" s="232"/>
      <c r="U192" s="134"/>
      <c r="V192" s="161"/>
      <c r="W192" s="131">
        <v>150775</v>
      </c>
      <c r="X192" s="161"/>
      <c r="Y192" s="161"/>
      <c r="Z192" s="161"/>
      <c r="AA192" s="161"/>
      <c r="AB192" s="41"/>
      <c r="AC192" s="131">
        <f>7285.45+70.62+119286.95+1</f>
        <v>126644.01999999999</v>
      </c>
      <c r="AD192" s="41"/>
      <c r="AE192" s="161"/>
      <c r="AF192" s="161"/>
      <c r="AG192" s="131">
        <f>3681.01+4433.71+12507.56</f>
        <v>20622.28</v>
      </c>
      <c r="AH192" s="131"/>
      <c r="AI192" s="131"/>
      <c r="AJ192" s="131"/>
      <c r="AK192" s="131">
        <f>2747.71+316.3</f>
        <v>3064.01</v>
      </c>
      <c r="AL192" s="131"/>
      <c r="AM192" s="131">
        <f>500+532.88+299.22+2141.83</f>
        <v>3473.9300000000003</v>
      </c>
      <c r="AN192" s="131"/>
      <c r="AO192" s="131">
        <f>2233.33+2000</f>
        <v>4233.33</v>
      </c>
      <c r="AP192" s="131"/>
      <c r="AQ192" s="131"/>
      <c r="AR192" s="41"/>
      <c r="AS192" s="131"/>
      <c r="AT192" s="41"/>
      <c r="AU192" s="131"/>
      <c r="AV192" s="41"/>
      <c r="AW192" s="131"/>
      <c r="AX192" s="41"/>
      <c r="AY192" s="8">
        <f t="shared" si="26"/>
        <v>308812.57000000007</v>
      </c>
      <c r="AZ192" s="41"/>
      <c r="BA192" s="161"/>
      <c r="BB192" s="41"/>
      <c r="BC192" s="8"/>
      <c r="BD192" s="41"/>
      <c r="BE192" s="8">
        <f t="shared" si="22"/>
        <v>308812.57000000007</v>
      </c>
      <c r="BF192" s="41"/>
      <c r="BG192" s="35"/>
      <c r="BH192" s="41"/>
    </row>
    <row r="193" spans="1:61" x14ac:dyDescent="0.25">
      <c r="A193" s="112"/>
      <c r="B193" s="19" t="s">
        <v>128</v>
      </c>
      <c r="C193" s="114"/>
      <c r="K193" s="16">
        <v>850000</v>
      </c>
      <c r="M193" s="16">
        <v>-550000</v>
      </c>
      <c r="O193" s="16">
        <f>SUM(K193:N193)</f>
        <v>300000</v>
      </c>
      <c r="P193" s="41"/>
      <c r="Q193" s="134">
        <f>SUM(Q187:Q190)</f>
        <v>105274.23000000001</v>
      </c>
      <c r="R193" s="232"/>
      <c r="S193" s="134">
        <f>SUM(S187:S190)</f>
        <v>0</v>
      </c>
      <c r="T193" s="232"/>
      <c r="U193" s="138">
        <f t="shared" ref="U193:AB193" si="27">SUM(U187:U192)</f>
        <v>6483.79</v>
      </c>
      <c r="V193" s="138">
        <f t="shared" si="27"/>
        <v>0</v>
      </c>
      <c r="W193" s="138">
        <f t="shared" si="27"/>
        <v>150775</v>
      </c>
      <c r="X193" s="138">
        <f t="shared" si="27"/>
        <v>0</v>
      </c>
      <c r="Y193" s="138">
        <f t="shared" si="27"/>
        <v>0</v>
      </c>
      <c r="Z193" s="138">
        <f t="shared" si="27"/>
        <v>0</v>
      </c>
      <c r="AA193" s="138">
        <f t="shared" si="27"/>
        <v>0</v>
      </c>
      <c r="AB193" s="138">
        <f t="shared" si="27"/>
        <v>0</v>
      </c>
      <c r="AC193" s="138">
        <f>SUM(AC187:AC192)</f>
        <v>221476.09999999998</v>
      </c>
      <c r="AD193" s="138">
        <f>SUM(AD187:AD192)</f>
        <v>0</v>
      </c>
      <c r="AE193" s="138">
        <f>SUM(AE187:AE192)</f>
        <v>0</v>
      </c>
      <c r="AF193" s="138"/>
      <c r="AG193" s="138">
        <f>SUM(AG187:AG192)</f>
        <v>51988.2</v>
      </c>
      <c r="AH193" s="138"/>
      <c r="AI193" s="138">
        <f>SUM(AI187:AI192)</f>
        <v>0</v>
      </c>
      <c r="AJ193" s="138"/>
      <c r="AK193" s="138">
        <f>SUM(AK187:AK192)</f>
        <v>33731.379999999997</v>
      </c>
      <c r="AL193" s="138"/>
      <c r="AM193" s="138">
        <f>SUM(AM187:AM192)</f>
        <v>3473.9300000000003</v>
      </c>
      <c r="AN193" s="138"/>
      <c r="AO193" s="138">
        <f>SUM(AO187:AO192)</f>
        <v>8179.62</v>
      </c>
      <c r="AP193" s="138"/>
      <c r="AQ193" s="138">
        <f t="shared" ref="AQ193:AY193" si="28">SUM(AQ187:AQ192)</f>
        <v>252208</v>
      </c>
      <c r="AR193" s="138">
        <f t="shared" si="28"/>
        <v>0</v>
      </c>
      <c r="AS193" s="138">
        <f t="shared" si="28"/>
        <v>0</v>
      </c>
      <c r="AT193" s="138">
        <f t="shared" si="28"/>
        <v>0</v>
      </c>
      <c r="AU193" s="138">
        <f t="shared" si="28"/>
        <v>0</v>
      </c>
      <c r="AV193" s="138">
        <f t="shared" si="28"/>
        <v>0</v>
      </c>
      <c r="AW193" s="138">
        <f t="shared" si="28"/>
        <v>0</v>
      </c>
      <c r="AX193" s="138">
        <f t="shared" si="28"/>
        <v>0</v>
      </c>
      <c r="AY193" s="138">
        <f t="shared" si="28"/>
        <v>833590.25</v>
      </c>
      <c r="AZ193" s="41"/>
      <c r="BA193" s="138">
        <f>SUM(BA187:BA190)</f>
        <v>0</v>
      </c>
      <c r="BB193" s="41"/>
      <c r="BC193" s="107">
        <f>IF(+O193-AY193+BA193&gt;0,O193-AY193+BA193,0)</f>
        <v>0</v>
      </c>
      <c r="BD193" s="41"/>
      <c r="BE193" s="107">
        <f t="shared" si="22"/>
        <v>833590.25</v>
      </c>
      <c r="BF193" s="41"/>
      <c r="BG193" s="12">
        <f>O193-AY193-BC193</f>
        <v>-533590.25</v>
      </c>
      <c r="BH193" s="41"/>
    </row>
    <row r="194" spans="1:61" x14ac:dyDescent="0.25">
      <c r="A194" s="112"/>
      <c r="B194" s="19"/>
      <c r="C194" s="114"/>
      <c r="K194" s="16"/>
      <c r="M194" s="16"/>
      <c r="O194" s="16"/>
      <c r="P194" s="41"/>
      <c r="Q194" s="135"/>
      <c r="R194" s="232"/>
      <c r="S194" s="135"/>
      <c r="T194" s="232"/>
      <c r="U194" s="134"/>
      <c r="V194" s="161"/>
      <c r="W194" s="161"/>
      <c r="X194" s="161"/>
      <c r="Y194" s="161"/>
      <c r="Z194" s="161"/>
      <c r="AA194" s="161"/>
      <c r="AB194" s="41"/>
      <c r="AC194" s="161"/>
      <c r="AD194" s="41"/>
      <c r="AE194" s="161"/>
      <c r="AF194" s="161"/>
      <c r="AG194" s="161"/>
      <c r="AH194" s="161"/>
      <c r="AI194" s="161"/>
      <c r="AJ194" s="161"/>
      <c r="AK194" s="161"/>
      <c r="AL194" s="161"/>
      <c r="AM194" s="161"/>
      <c r="AN194" s="161"/>
      <c r="AO194" s="161"/>
      <c r="AP194" s="161"/>
      <c r="AQ194" s="161"/>
      <c r="AR194" s="41"/>
      <c r="AS194" s="161"/>
      <c r="AT194" s="41"/>
      <c r="AU194" s="161"/>
      <c r="AV194" s="41"/>
      <c r="AW194" s="161"/>
      <c r="AX194" s="41"/>
      <c r="AY194" s="41"/>
      <c r="AZ194" s="41"/>
      <c r="BA194" s="161"/>
      <c r="BB194" s="41"/>
      <c r="BC194" s="41"/>
      <c r="BD194" s="41"/>
      <c r="BE194" s="41"/>
      <c r="BF194" s="41"/>
      <c r="BG194" s="16"/>
      <c r="BH194" s="41"/>
    </row>
    <row r="195" spans="1:61" x14ac:dyDescent="0.25">
      <c r="A195" s="112" t="s">
        <v>365</v>
      </c>
      <c r="B195" s="19"/>
      <c r="C195" s="114" t="s">
        <v>0</v>
      </c>
      <c r="E195" s="7"/>
      <c r="G195" s="7" t="s">
        <v>366</v>
      </c>
      <c r="K195" s="15">
        <v>0</v>
      </c>
      <c r="M195" s="15">
        <v>1000000</v>
      </c>
      <c r="O195" s="15">
        <f>SUM(K195:N195)</f>
        <v>1000000</v>
      </c>
      <c r="Q195" s="134">
        <v>0</v>
      </c>
      <c r="R195" s="224"/>
      <c r="S195" s="134">
        <v>0</v>
      </c>
      <c r="T195" s="224"/>
      <c r="U195" s="134">
        <v>0</v>
      </c>
      <c r="V195" s="8"/>
      <c r="W195" s="134"/>
      <c r="X195" s="131"/>
      <c r="Y195" s="134"/>
      <c r="Z195" s="131"/>
      <c r="AA195" s="134">
        <v>10000</v>
      </c>
      <c r="AB195" s="131"/>
      <c r="AC195" s="134">
        <v>53741.07</v>
      </c>
      <c r="AD195" s="131"/>
      <c r="AE195" s="134">
        <f>71014-10000</f>
        <v>61014</v>
      </c>
      <c r="AF195" s="134"/>
      <c r="AG195" s="134">
        <v>11281</v>
      </c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8">
        <f>SUM(P195:AX195)</f>
        <v>136036.07</v>
      </c>
      <c r="BA195" s="134">
        <f>-650000-213964</f>
        <v>-863964</v>
      </c>
      <c r="BC195" s="8">
        <f>IF(+O195-AY195+BA195&gt;0,O195-AY195+BA195,0)</f>
        <v>0</v>
      </c>
      <c r="BE195" s="8">
        <f t="shared" si="22"/>
        <v>136036.07</v>
      </c>
      <c r="BG195" s="12">
        <f>O195-AY195-BC195</f>
        <v>863963.92999999993</v>
      </c>
    </row>
    <row r="196" spans="1:61" x14ac:dyDescent="0.25">
      <c r="A196" s="112"/>
      <c r="B196" s="19"/>
      <c r="C196" s="114"/>
      <c r="K196" s="16"/>
      <c r="M196" s="16"/>
      <c r="O196" s="16"/>
      <c r="P196" s="41"/>
      <c r="Q196" s="135"/>
      <c r="R196" s="232"/>
      <c r="S196" s="135"/>
      <c r="T196" s="232"/>
      <c r="U196" s="134"/>
      <c r="V196" s="161"/>
      <c r="W196" s="161"/>
      <c r="X196" s="161"/>
      <c r="Y196" s="161"/>
      <c r="Z196" s="161"/>
      <c r="AA196" s="161"/>
      <c r="AB196" s="41"/>
      <c r="AC196" s="161"/>
      <c r="AD196" s="41"/>
      <c r="AE196" s="161"/>
      <c r="AF196" s="161"/>
      <c r="AG196" s="161"/>
      <c r="AH196" s="161"/>
      <c r="AI196" s="161"/>
      <c r="AJ196" s="161"/>
      <c r="AK196" s="161"/>
      <c r="AL196" s="161"/>
      <c r="AM196" s="161"/>
      <c r="AN196" s="161"/>
      <c r="AO196" s="161"/>
      <c r="AP196" s="161"/>
      <c r="AQ196" s="161"/>
      <c r="AR196" s="41"/>
      <c r="AS196" s="161"/>
      <c r="AT196" s="41"/>
      <c r="AU196" s="161"/>
      <c r="AV196" s="41"/>
      <c r="AW196" s="161"/>
      <c r="AX196" s="41"/>
      <c r="AY196" s="41"/>
      <c r="AZ196" s="41"/>
      <c r="BA196" s="161"/>
      <c r="BB196" s="41"/>
      <c r="BC196" s="41"/>
      <c r="BD196" s="41"/>
      <c r="BE196" s="41"/>
      <c r="BF196" s="41"/>
      <c r="BG196" s="16"/>
      <c r="BH196" s="41"/>
    </row>
    <row r="197" spans="1:61" x14ac:dyDescent="0.25">
      <c r="A197" s="113"/>
      <c r="B197" s="166" t="s">
        <v>108</v>
      </c>
      <c r="C197" s="114"/>
      <c r="K197" s="15">
        <f>K169+K171+K184+K193+K195</f>
        <v>2850000</v>
      </c>
      <c r="M197" s="15">
        <f>M169+M171+M184+M193+M195</f>
        <v>-250000</v>
      </c>
      <c r="O197" s="15">
        <f>O169+O171+O184+O193+O195</f>
        <v>2693542</v>
      </c>
      <c r="Q197" s="134">
        <f>Q169+Q171+Q184+Q193+Q195</f>
        <v>271926.91000000003</v>
      </c>
      <c r="S197" s="134">
        <f>S169+S171+S184+S193+S195</f>
        <v>71281.943333333329</v>
      </c>
      <c r="U197" s="134">
        <f>U169+U171+U184+U193+U195</f>
        <v>976595.77000000014</v>
      </c>
      <c r="W197" s="134">
        <f>W169+W171+W184+W193+W195</f>
        <v>154476.5</v>
      </c>
      <c r="Y197" s="134">
        <f>Y169+Y171+Y184+Y193+Y195</f>
        <v>-21839.15</v>
      </c>
      <c r="AA197" s="134">
        <f>AA169+AA171+AA184+AA193+AA195</f>
        <v>12187.8</v>
      </c>
      <c r="AC197" s="134">
        <f>AC169+AC171+AC184+AC193+AC195</f>
        <v>564200.90999999992</v>
      </c>
      <c r="AE197" s="134">
        <f>AE169+AE171+AE184+AE193+AE195</f>
        <v>135175.59999999998</v>
      </c>
      <c r="AF197" s="134"/>
      <c r="AG197" s="134">
        <f>AG169+AG171+AG184+AG193+AG195</f>
        <v>173238.77999999997</v>
      </c>
      <c r="AH197" s="134"/>
      <c r="AI197" s="134">
        <f>AI169+AI171+AI184+AI193+AI195</f>
        <v>67695.360000000001</v>
      </c>
      <c r="AJ197" s="134"/>
      <c r="AK197" s="134">
        <f>AK169+AK171+AK184+AK193+AK195</f>
        <v>63228.21</v>
      </c>
      <c r="AL197" s="134"/>
      <c r="AM197" s="134">
        <f>AM169+AM171+AM184+AM193+AM195</f>
        <v>6744.9600000000009</v>
      </c>
      <c r="AN197" s="134"/>
      <c r="AO197" s="134">
        <f>AO169+AO171+AO184+AO193+AO195</f>
        <v>255501.84000000003</v>
      </c>
      <c r="AP197" s="134"/>
      <c r="AQ197" s="134">
        <f>AQ169+AQ171+AQ184+AQ193+AQ195</f>
        <v>318220.56</v>
      </c>
      <c r="AS197" s="134">
        <f>AS169+AS171+AS184+AS193+AS195</f>
        <v>0</v>
      </c>
      <c r="AU197" s="134">
        <f>AU169+AU171+AU184+AU193+AU195</f>
        <v>0</v>
      </c>
      <c r="AW197" s="134">
        <f>AW169+AW171+AW184+AW193+AW195</f>
        <v>0</v>
      </c>
      <c r="AY197" s="15">
        <f>AY169+AY171+AY184+AY193+AY195</f>
        <v>3048635.9933333327</v>
      </c>
      <c r="BA197" s="134">
        <f>BA169+BA171+BA184+BA193+BA195</f>
        <v>-539653</v>
      </c>
      <c r="BC197" s="15">
        <f>BC169+BC171+BC184+BC193+BC195</f>
        <v>0</v>
      </c>
      <c r="BE197" s="15">
        <f t="shared" si="22"/>
        <v>3048635.9933333327</v>
      </c>
      <c r="BG197" s="15">
        <f>O197-AY197-BC197</f>
        <v>-355093.99333333271</v>
      </c>
    </row>
    <row r="198" spans="1:61" x14ac:dyDescent="0.25">
      <c r="A198" s="113"/>
      <c r="B198" s="162"/>
      <c r="C198" s="114"/>
      <c r="K198" s="15"/>
      <c r="M198" s="15"/>
      <c r="O198" s="15"/>
      <c r="Q198" s="134"/>
      <c r="S198" s="134"/>
      <c r="U198" s="131"/>
      <c r="BG198" s="15"/>
    </row>
    <row r="199" spans="1:61" ht="13.8" thickBot="1" x14ac:dyDescent="0.3">
      <c r="A199" s="126" t="s">
        <v>160</v>
      </c>
      <c r="B199" s="109"/>
      <c r="C199" s="23"/>
      <c r="K199" s="18">
        <f>K197+K161</f>
        <v>153583726.616</v>
      </c>
      <c r="M199" s="18">
        <f>M197+M161</f>
        <v>-4779276</v>
      </c>
      <c r="O199" s="18">
        <f>O197+O161</f>
        <v>148897992.616</v>
      </c>
      <c r="Q199" s="136">
        <f>Q197+Q161</f>
        <v>43104547.390000001</v>
      </c>
      <c r="S199" s="136">
        <f>S197+S161</f>
        <v>-307452.65666666662</v>
      </c>
      <c r="U199" s="136">
        <f>U197+U161</f>
        <v>13359456.790000001</v>
      </c>
      <c r="W199" s="136">
        <f>W197+W161</f>
        <v>8406455.9499999993</v>
      </c>
      <c r="Y199" s="136">
        <f>Y197+Y161</f>
        <v>14908822.879999999</v>
      </c>
      <c r="AA199" s="136">
        <f>AA197+AA161</f>
        <v>16489517.34</v>
      </c>
      <c r="AC199" s="136">
        <f>AC197+AC161</f>
        <v>20302856.510000002</v>
      </c>
      <c r="AE199" s="136">
        <f>AE197+AE161</f>
        <v>4857453.8099999996</v>
      </c>
      <c r="AF199" s="135"/>
      <c r="AG199" s="136">
        <f>AG197+AG161</f>
        <v>10786328.009999998</v>
      </c>
      <c r="AH199" s="135"/>
      <c r="AI199" s="136">
        <f>AI197+AI161</f>
        <v>8407850.629999999</v>
      </c>
      <c r="AJ199" s="135"/>
      <c r="AK199" s="136">
        <f>AK197+AK161</f>
        <v>3884763.6500000004</v>
      </c>
      <c r="AL199" s="136"/>
      <c r="AM199" s="136">
        <f>AM197+AM161</f>
        <v>1214486.8699999999</v>
      </c>
      <c r="AN199" s="135"/>
      <c r="AO199" s="136">
        <f>AO197+AO161</f>
        <v>7585107.0299999993</v>
      </c>
      <c r="AP199" s="135"/>
      <c r="AQ199" s="136">
        <f>AQ197+AQ161</f>
        <v>1125799.76</v>
      </c>
      <c r="AS199" s="136">
        <f>AS197+AS161</f>
        <v>0</v>
      </c>
      <c r="AU199" s="136">
        <f>AU197+AU161</f>
        <v>0</v>
      </c>
      <c r="AW199" s="136">
        <f>AW197+AW161</f>
        <v>0</v>
      </c>
      <c r="AY199" s="18">
        <f>AY197+AY161</f>
        <v>154125993.96333331</v>
      </c>
      <c r="BA199" s="136">
        <f>BA197+BA161</f>
        <v>3101791.33</v>
      </c>
      <c r="BC199" s="18">
        <f>BC197+BC161+BC36</f>
        <v>679716.99600000004</v>
      </c>
      <c r="BE199" s="18">
        <f>+BC199+AY199</f>
        <v>154805710.9593333</v>
      </c>
      <c r="BG199" s="18">
        <f>O199-AY199-BC199</f>
        <v>-5907718.3433333123</v>
      </c>
      <c r="BI199" s="8"/>
    </row>
    <row r="200" spans="1:61" ht="7.5" customHeight="1" thickTop="1" x14ac:dyDescent="0.25">
      <c r="A200" s="38"/>
      <c r="B200" s="23"/>
      <c r="C200" s="23"/>
      <c r="U200" s="131"/>
    </row>
    <row r="201" spans="1:61" ht="13.8" thickBot="1" x14ac:dyDescent="0.3">
      <c r="A201" s="126" t="s">
        <v>194</v>
      </c>
      <c r="B201" s="23"/>
      <c r="C201" s="23"/>
      <c r="K201" s="167">
        <f>K199/450</f>
        <v>341297.17025777779</v>
      </c>
      <c r="O201" s="167">
        <f>O199/450</f>
        <v>330884.42803555552</v>
      </c>
      <c r="U201" s="131"/>
      <c r="AC201" s="131"/>
      <c r="AE201" s="267"/>
      <c r="AF201" s="267"/>
      <c r="AG201" s="267"/>
      <c r="AH201" s="267"/>
      <c r="AI201" s="267"/>
      <c r="AJ201" s="267"/>
      <c r="AK201" s="267"/>
      <c r="AL201" s="267"/>
      <c r="AM201" s="267"/>
      <c r="AN201" s="267"/>
      <c r="AO201" s="267"/>
      <c r="AP201" s="267"/>
      <c r="AQ201" s="267"/>
      <c r="AS201" s="267"/>
      <c r="AU201" s="267"/>
      <c r="AW201" s="267"/>
      <c r="BE201" s="167">
        <f>BE199/450</f>
        <v>344012.69102074066</v>
      </c>
    </row>
    <row r="202" spans="1:61" customFormat="1" x14ac:dyDescent="0.25">
      <c r="R202" s="225"/>
      <c r="T202" s="225"/>
      <c r="AC202" s="89"/>
      <c r="AE202" s="89"/>
      <c r="BG202" s="8"/>
    </row>
    <row r="203" spans="1:61" customFormat="1" x14ac:dyDescent="0.25">
      <c r="A203" s="41"/>
      <c r="R203" s="225"/>
      <c r="T203" s="225"/>
      <c r="AA203" s="89"/>
      <c r="AC203" s="89"/>
      <c r="AE203" s="89"/>
      <c r="BG203" s="8"/>
    </row>
    <row r="204" spans="1:61" customFormat="1" x14ac:dyDescent="0.25">
      <c r="A204" s="41"/>
      <c r="Q204" s="89"/>
      <c r="R204" s="225"/>
      <c r="S204" s="89"/>
      <c r="T204" s="225"/>
      <c r="U204" s="89"/>
      <c r="W204" s="89"/>
      <c r="Y204" s="89"/>
      <c r="AA204" s="89"/>
      <c r="AC204" s="89"/>
      <c r="AE204" s="89"/>
      <c r="BG204" s="8"/>
    </row>
    <row r="205" spans="1:61" x14ac:dyDescent="0.25">
      <c r="I205" s="6"/>
      <c r="R205" s="224"/>
      <c r="T205" s="224"/>
      <c r="U205" s="131"/>
      <c r="V205" s="8"/>
      <c r="W205" s="131"/>
      <c r="X205" s="131"/>
      <c r="Y205" s="131"/>
      <c r="Z205" s="131"/>
      <c r="AA205" s="131"/>
      <c r="AB205" s="131"/>
      <c r="AC205" s="131"/>
      <c r="AD205" s="131"/>
      <c r="AE205" s="131"/>
      <c r="AF205" s="131"/>
      <c r="AG205" s="131"/>
      <c r="AH205" s="131"/>
      <c r="AI205" s="131"/>
      <c r="AJ205" s="131"/>
      <c r="AK205" s="131"/>
      <c r="AL205" s="131"/>
      <c r="AM205" s="131"/>
      <c r="AN205" s="131"/>
      <c r="AO205" s="131"/>
      <c r="AP205" s="131"/>
      <c r="AQ205" s="131"/>
      <c r="AR205" s="131"/>
      <c r="AS205" s="131"/>
      <c r="AT205" s="131"/>
      <c r="AU205" s="131"/>
      <c r="AV205" s="131"/>
      <c r="AW205" s="131"/>
      <c r="AX205" s="131"/>
      <c r="AY205" s="8"/>
      <c r="BA205" s="131"/>
      <c r="BC205" s="8"/>
      <c r="BE205" s="8"/>
    </row>
    <row r="206" spans="1:61" s="41" customFormat="1" x14ac:dyDescent="0.25">
      <c r="A206" s="41" t="s">
        <v>422</v>
      </c>
      <c r="G206" s="11"/>
      <c r="K206" s="15">
        <v>0</v>
      </c>
      <c r="M206" s="15"/>
      <c r="O206" s="15">
        <f>SUM(K206:N206)</f>
        <v>0</v>
      </c>
      <c r="Q206" s="134">
        <v>0</v>
      </c>
      <c r="R206" s="244"/>
      <c r="S206" s="134">
        <v>0</v>
      </c>
      <c r="T206" s="244"/>
      <c r="U206" s="134">
        <v>0</v>
      </c>
      <c r="V206" s="15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5">
        <f>SUM(P206:AR206)</f>
        <v>0</v>
      </c>
      <c r="BA206" s="134">
        <v>0</v>
      </c>
      <c r="BC206" s="15">
        <f>IF(+O206-AY206+BA206&gt;0,O206-AY206+BA206,0)</f>
        <v>0</v>
      </c>
      <c r="BE206" s="15">
        <f>+BC206+AY206</f>
        <v>0</v>
      </c>
      <c r="BG206" s="15">
        <f>+O206-BE206</f>
        <v>0</v>
      </c>
    </row>
    <row r="207" spans="1:61" x14ac:dyDescent="0.25">
      <c r="A207" s="41" t="s">
        <v>536</v>
      </c>
      <c r="I207" s="6"/>
      <c r="R207" s="224"/>
      <c r="T207" s="224"/>
      <c r="U207" s="131"/>
      <c r="V207" s="8"/>
      <c r="W207" s="131"/>
      <c r="X207" s="131"/>
      <c r="Y207" s="131"/>
      <c r="Z207" s="131"/>
      <c r="AA207" s="131"/>
      <c r="AB207" s="131"/>
      <c r="AC207" s="131"/>
      <c r="AD207" s="131"/>
      <c r="AE207" s="131"/>
      <c r="AF207" s="131"/>
      <c r="AG207" s="131"/>
      <c r="AH207" s="131"/>
      <c r="AI207" s="131"/>
      <c r="AJ207" s="131"/>
      <c r="AK207" s="131"/>
      <c r="AL207" s="131"/>
      <c r="AM207" s="131"/>
      <c r="AN207" s="131"/>
      <c r="AO207" s="131"/>
      <c r="AP207" s="131"/>
      <c r="AQ207" s="131"/>
      <c r="AR207" s="131"/>
      <c r="AS207" s="131"/>
      <c r="AT207" s="131"/>
      <c r="AU207" s="131"/>
      <c r="AV207" s="131"/>
      <c r="AW207" s="131"/>
      <c r="AX207" s="131"/>
      <c r="AY207" s="33">
        <f>+[1]Deprec!$F$29</f>
        <v>-2099365.1001033327</v>
      </c>
      <c r="BA207" s="131"/>
      <c r="BC207" s="8"/>
      <c r="BE207" s="15">
        <f>+AY207</f>
        <v>-2099365.1001033327</v>
      </c>
    </row>
    <row r="208" spans="1:61" ht="13.8" thickBot="1" x14ac:dyDescent="0.3">
      <c r="A208" s="126" t="s">
        <v>424</v>
      </c>
      <c r="B208" s="109"/>
      <c r="I208" s="6"/>
      <c r="K208" s="245">
        <f>+K199+K206</f>
        <v>153583726.616</v>
      </c>
      <c r="M208" s="245">
        <f>+M199+M206</f>
        <v>-4779276</v>
      </c>
      <c r="O208" s="245">
        <f>+O199+O206</f>
        <v>148897992.616</v>
      </c>
      <c r="R208" s="224"/>
      <c r="T208" s="224"/>
      <c r="U208" s="131"/>
      <c r="V208" s="8"/>
      <c r="W208" s="131"/>
      <c r="X208" s="131"/>
      <c r="Y208" s="131"/>
      <c r="Z208" s="131"/>
      <c r="AA208" s="131"/>
      <c r="AB208" s="131"/>
      <c r="AC208" s="131"/>
      <c r="AD208" s="131"/>
      <c r="AE208" s="131"/>
      <c r="AF208" s="131"/>
      <c r="AG208" s="131"/>
      <c r="AH208" s="131"/>
      <c r="AI208" s="131"/>
      <c r="AJ208" s="131"/>
      <c r="AK208" s="131"/>
      <c r="AL208" s="131"/>
      <c r="AM208" s="131"/>
      <c r="AN208" s="131"/>
      <c r="AO208" s="131"/>
      <c r="AP208" s="131"/>
      <c r="AQ208" s="131"/>
      <c r="AR208" s="131"/>
      <c r="AS208" s="131"/>
      <c r="AT208" s="131"/>
      <c r="AU208" s="131"/>
      <c r="AV208" s="131"/>
      <c r="AW208" s="131"/>
      <c r="AX208" s="131"/>
      <c r="AY208" s="245">
        <f>+AY199+AY206+AY207</f>
        <v>152026628.86322999</v>
      </c>
      <c r="BA208" s="131"/>
      <c r="BC208" s="245">
        <f>+BC199+BC206</f>
        <v>679716.99600000004</v>
      </c>
      <c r="BE208" s="245">
        <f>+BE199+BE206+BE207</f>
        <v>152706345.85922998</v>
      </c>
      <c r="BG208" s="245">
        <f>+BG199+BG206</f>
        <v>-5907718.3433333123</v>
      </c>
    </row>
    <row r="209" spans="1:59" ht="4.5" customHeight="1" thickTop="1" x14ac:dyDescent="0.25">
      <c r="A209" s="38"/>
      <c r="B209" s="23"/>
      <c r="I209" s="6"/>
      <c r="R209" s="224"/>
      <c r="T209" s="224"/>
      <c r="U209" s="131"/>
      <c r="V209" s="8"/>
      <c r="W209" s="131"/>
      <c r="X209" s="131"/>
      <c r="Y209" s="131"/>
      <c r="Z209" s="131"/>
      <c r="AA209" s="131"/>
      <c r="AB209" s="131"/>
      <c r="AC209" s="131"/>
      <c r="AD209" s="131"/>
      <c r="AE209" s="131"/>
      <c r="AF209" s="131"/>
      <c r="AG209" s="131"/>
      <c r="AH209" s="131"/>
      <c r="AI209" s="131"/>
      <c r="AJ209" s="131"/>
      <c r="AK209" s="131"/>
      <c r="AL209" s="131"/>
      <c r="AM209" s="131"/>
      <c r="AN209" s="131"/>
      <c r="AO209" s="131"/>
      <c r="AP209" s="131"/>
      <c r="AQ209" s="131"/>
      <c r="AR209" s="131"/>
      <c r="AS209" s="131"/>
      <c r="AT209" s="131"/>
      <c r="AU209" s="131"/>
      <c r="AV209" s="131"/>
      <c r="AW209" s="131"/>
      <c r="AX209" s="131"/>
      <c r="AY209" s="8"/>
      <c r="BA209" s="131"/>
      <c r="BC209" s="8"/>
      <c r="BE209" s="8"/>
    </row>
    <row r="210" spans="1:59" ht="13.8" thickBot="1" x14ac:dyDescent="0.3">
      <c r="A210" s="126" t="s">
        <v>421</v>
      </c>
      <c r="B210" s="23"/>
      <c r="I210" s="6"/>
      <c r="K210" s="127">
        <f>K208/$K$3</f>
        <v>347474.49460633483</v>
      </c>
      <c r="O210" s="127">
        <f>O208/$K$3</f>
        <v>336873.28646153846</v>
      </c>
      <c r="R210" s="224"/>
      <c r="T210" s="224"/>
      <c r="U210" s="131"/>
      <c r="V210" s="8"/>
      <c r="W210" s="131"/>
      <c r="X210" s="131"/>
      <c r="Y210" s="131"/>
      <c r="Z210" s="131"/>
      <c r="AA210" s="131"/>
      <c r="AB210" s="131"/>
      <c r="AC210" s="131"/>
      <c r="AD210" s="131"/>
      <c r="AE210" s="131"/>
      <c r="AF210" s="131"/>
      <c r="AG210" s="131"/>
      <c r="AH210" s="131"/>
      <c r="AI210" s="131"/>
      <c r="AJ210" s="131"/>
      <c r="AK210" s="131"/>
      <c r="AL210" s="131"/>
      <c r="AM210" s="131"/>
      <c r="AN210" s="131"/>
      <c r="AO210" s="131"/>
      <c r="AP210" s="131"/>
      <c r="AQ210" s="131"/>
      <c r="AR210" s="131"/>
      <c r="AS210" s="131"/>
      <c r="AT210" s="131"/>
      <c r="AU210" s="131"/>
      <c r="AV210" s="131"/>
      <c r="AW210" s="131"/>
      <c r="AX210" s="131"/>
      <c r="AY210" s="8"/>
      <c r="BA210" s="131"/>
      <c r="BC210" s="8"/>
      <c r="BE210" s="127">
        <f>BE208/$K$3</f>
        <v>345489.47026975109</v>
      </c>
    </row>
    <row r="211" spans="1:59" x14ac:dyDescent="0.25">
      <c r="I211" s="6"/>
      <c r="R211" s="224"/>
      <c r="T211" s="224"/>
      <c r="U211" s="131"/>
      <c r="V211" s="8"/>
      <c r="W211" s="131"/>
      <c r="X211" s="131"/>
      <c r="Y211" s="131"/>
      <c r="Z211" s="131"/>
      <c r="AA211" s="131"/>
      <c r="AB211" s="131"/>
      <c r="AC211" s="131"/>
      <c r="AD211" s="131"/>
      <c r="AE211" s="131"/>
      <c r="AF211" s="131"/>
      <c r="AG211" s="131"/>
      <c r="AH211" s="131"/>
      <c r="AI211" s="131"/>
      <c r="AJ211" s="131"/>
      <c r="AK211" s="131"/>
      <c r="AL211" s="131"/>
      <c r="AM211" s="131"/>
      <c r="AN211" s="131"/>
      <c r="AO211" s="131"/>
      <c r="AP211" s="131"/>
      <c r="AQ211" s="131"/>
      <c r="AR211" s="131"/>
      <c r="AS211" s="131"/>
      <c r="AT211" s="131"/>
      <c r="AU211" s="131"/>
      <c r="AV211" s="131"/>
      <c r="AW211" s="131"/>
      <c r="AX211" s="131"/>
      <c r="AY211" s="8"/>
      <c r="BA211" s="131"/>
      <c r="BC211" s="8"/>
      <c r="BE211" s="8"/>
    </row>
    <row r="212" spans="1:59" x14ac:dyDescent="0.25">
      <c r="I212" s="6"/>
      <c r="R212" s="224"/>
      <c r="T212" s="224"/>
      <c r="U212" s="131"/>
      <c r="V212" s="8"/>
      <c r="W212" s="131"/>
      <c r="X212" s="131"/>
      <c r="Y212" s="131"/>
      <c r="Z212" s="131"/>
      <c r="AA212" s="131"/>
      <c r="AB212" s="131"/>
      <c r="AC212" s="131"/>
      <c r="AD212" s="131"/>
      <c r="AE212" s="131"/>
      <c r="AF212" s="131"/>
      <c r="AG212" s="131"/>
      <c r="AH212" s="131"/>
      <c r="AI212" s="131"/>
      <c r="AJ212" s="131"/>
      <c r="AK212" s="131"/>
      <c r="AL212" s="131"/>
      <c r="AM212" s="131"/>
      <c r="AN212" s="131"/>
      <c r="AO212" s="131"/>
      <c r="AP212" s="131"/>
      <c r="AQ212" s="131"/>
      <c r="AR212" s="131"/>
      <c r="AS212" s="131"/>
      <c r="AT212" s="131"/>
      <c r="AU212" s="131"/>
      <c r="AV212" s="131"/>
      <c r="AW212" s="131"/>
      <c r="AX212" s="131"/>
      <c r="AY212" s="8"/>
      <c r="BA212" s="131"/>
      <c r="BC212" s="8"/>
      <c r="BE212" s="8"/>
      <c r="BG212" s="187" t="str">
        <f ca="1">CELL("filename")</f>
        <v>O:\Fin_Ops\Engysvc\PowerPlants\TVA Plants\TVA Draw Schedules\[TVADraw011100.xls]New Albany</v>
      </c>
    </row>
    <row r="213" spans="1:59" x14ac:dyDescent="0.25">
      <c r="I213" s="6"/>
      <c r="R213" s="224"/>
      <c r="T213" s="224"/>
      <c r="U213" s="131"/>
      <c r="V213" s="8"/>
      <c r="W213" s="131"/>
      <c r="X213" s="131"/>
      <c r="Y213" s="131"/>
      <c r="Z213" s="131"/>
      <c r="AA213" s="131"/>
      <c r="AB213" s="131"/>
      <c r="AC213" s="131"/>
      <c r="AD213" s="131"/>
      <c r="AE213" s="131"/>
      <c r="AF213" s="131"/>
      <c r="AG213" s="131"/>
      <c r="AH213" s="131"/>
      <c r="AI213" s="131"/>
      <c r="AJ213" s="131"/>
      <c r="AK213" s="131"/>
      <c r="AL213" s="131"/>
      <c r="AM213" s="131"/>
      <c r="AN213" s="131"/>
      <c r="AO213" s="131"/>
      <c r="AP213" s="131"/>
      <c r="AQ213" s="131"/>
      <c r="AR213" s="131"/>
      <c r="AS213" s="131"/>
      <c r="AT213" s="131"/>
      <c r="AU213" s="131"/>
      <c r="AV213" s="131"/>
      <c r="AW213" s="131"/>
      <c r="AX213" s="131"/>
      <c r="AY213" s="8"/>
      <c r="BA213" s="131"/>
      <c r="BC213" s="8"/>
      <c r="BE213" s="8"/>
    </row>
    <row r="215" spans="1:59" x14ac:dyDescent="0.25">
      <c r="B215" s="41" t="s">
        <v>474</v>
      </c>
      <c r="I215" s="6"/>
      <c r="R215" s="224"/>
      <c r="T215" s="224"/>
      <c r="U215" s="131"/>
      <c r="V215" s="8"/>
      <c r="W215" s="131"/>
      <c r="X215" s="131"/>
      <c r="Y215" s="131"/>
      <c r="Z215" s="131"/>
      <c r="AA215" s="131"/>
      <c r="AB215" s="131"/>
      <c r="AC215" s="131"/>
      <c r="AD215" s="131"/>
      <c r="AE215" s="131"/>
      <c r="AF215" s="131"/>
      <c r="AG215" s="131"/>
      <c r="AH215" s="131"/>
      <c r="AI215" s="131"/>
      <c r="AJ215" s="131"/>
      <c r="AK215" s="131"/>
      <c r="AL215" s="131"/>
      <c r="AM215" s="131"/>
      <c r="AN215" s="131"/>
      <c r="AO215" s="131"/>
      <c r="AP215" s="131"/>
      <c r="AQ215" s="131"/>
      <c r="AR215" s="131"/>
      <c r="AS215" s="131"/>
      <c r="AT215" s="131"/>
      <c r="AU215" s="131"/>
      <c r="AV215" s="131"/>
      <c r="AW215" s="131"/>
      <c r="AX215" s="131"/>
      <c r="AY215" s="8"/>
      <c r="BA215" s="131"/>
      <c r="BC215" s="8"/>
      <c r="BE215" s="8"/>
    </row>
    <row r="216" spans="1:59" x14ac:dyDescent="0.25">
      <c r="I216" s="6"/>
      <c r="R216" s="224"/>
      <c r="T216" s="224"/>
      <c r="U216" s="131"/>
      <c r="V216" s="8"/>
      <c r="W216" s="131"/>
      <c r="X216" s="131"/>
      <c r="Y216" s="131"/>
      <c r="Z216" s="131"/>
      <c r="AA216" s="131"/>
      <c r="AB216" s="131"/>
      <c r="AC216" s="131"/>
      <c r="AD216" s="131"/>
      <c r="AE216" s="131"/>
      <c r="AF216" s="131"/>
      <c r="AG216" s="131"/>
      <c r="AH216" s="131"/>
      <c r="AI216" s="131"/>
      <c r="AJ216" s="131"/>
      <c r="AK216" s="131"/>
      <c r="AL216" s="131"/>
      <c r="AM216" s="131"/>
      <c r="AN216" s="131"/>
      <c r="AO216" s="131"/>
      <c r="AP216" s="131"/>
      <c r="AQ216" s="131"/>
      <c r="AR216" s="131"/>
      <c r="AS216" s="131"/>
      <c r="AT216" s="131"/>
      <c r="AU216" s="131"/>
      <c r="AV216" s="131"/>
      <c r="AW216" s="131"/>
      <c r="AX216" s="131"/>
      <c r="AY216" s="8"/>
      <c r="BA216" s="131"/>
      <c r="BC216" s="8"/>
      <c r="BE216" s="8"/>
    </row>
    <row r="217" spans="1:59" x14ac:dyDescent="0.25">
      <c r="B217" s="6" t="s">
        <v>475</v>
      </c>
      <c r="I217" s="6"/>
      <c r="O217" s="8">
        <f>8735.19+10772844.84+6382.91+-10779227.75+6859219.62+24454869.33+49086841.63</f>
        <v>80409665.769999996</v>
      </c>
      <c r="R217" s="224"/>
      <c r="T217" s="224"/>
      <c r="U217" s="131"/>
      <c r="V217" s="8"/>
      <c r="W217" s="131"/>
      <c r="X217" s="131"/>
      <c r="Y217" s="131"/>
      <c r="Z217" s="131"/>
      <c r="AA217" s="131"/>
      <c r="AB217" s="131"/>
      <c r="AC217" s="131"/>
      <c r="AD217" s="131"/>
      <c r="AE217" s="131"/>
      <c r="AF217" s="131"/>
      <c r="AG217" s="131"/>
      <c r="AH217" s="131"/>
      <c r="AI217" s="131"/>
      <c r="AJ217" s="131"/>
      <c r="AK217" s="131"/>
      <c r="AL217" s="131"/>
      <c r="AM217" s="131"/>
      <c r="AN217" s="131"/>
      <c r="AO217" s="131"/>
      <c r="AP217" s="131"/>
      <c r="AQ217" s="131"/>
      <c r="AR217" s="131"/>
      <c r="AS217" s="131"/>
      <c r="AT217" s="131"/>
      <c r="AU217" s="131"/>
      <c r="AV217" s="131"/>
      <c r="AW217" s="131"/>
      <c r="AX217" s="131"/>
      <c r="AY217" s="8"/>
      <c r="BA217" s="131"/>
      <c r="BC217" s="8"/>
      <c r="BE217" s="8">
        <f>9909898.51+142949312</f>
        <v>152859210.50999999</v>
      </c>
    </row>
    <row r="218" spans="1:59" x14ac:dyDescent="0.25">
      <c r="I218" s="6"/>
      <c r="R218" s="224"/>
      <c r="T218" s="224"/>
      <c r="U218" s="131"/>
      <c r="V218" s="8"/>
      <c r="W218" s="131"/>
      <c r="X218" s="131"/>
      <c r="Y218" s="131"/>
      <c r="Z218" s="131"/>
      <c r="AA218" s="131"/>
      <c r="AB218" s="131"/>
      <c r="AC218" s="131"/>
      <c r="AD218" s="131"/>
      <c r="AE218" s="131"/>
      <c r="AF218" s="131"/>
      <c r="AG218" s="131"/>
      <c r="AH218" s="131"/>
      <c r="AI218" s="131"/>
      <c r="AJ218" s="131"/>
      <c r="AK218" s="131"/>
      <c r="AL218" s="131"/>
      <c r="AM218" s="131"/>
      <c r="AN218" s="131"/>
      <c r="AO218" s="131"/>
      <c r="AP218" s="131"/>
      <c r="AQ218" s="131"/>
      <c r="AR218" s="131"/>
      <c r="AS218" s="131"/>
      <c r="AT218" s="131"/>
      <c r="AU218" s="131"/>
      <c r="AV218" s="131"/>
      <c r="AW218" s="131"/>
      <c r="AX218" s="131"/>
      <c r="AY218" s="8"/>
      <c r="BA218" s="131"/>
      <c r="BC218" s="8"/>
      <c r="BE218" s="8"/>
    </row>
    <row r="219" spans="1:59" x14ac:dyDescent="0.25">
      <c r="I219" s="6"/>
      <c r="R219" s="224"/>
      <c r="T219" s="224"/>
      <c r="U219" s="131"/>
      <c r="V219" s="8"/>
      <c r="W219" s="131"/>
      <c r="X219" s="131"/>
      <c r="Y219" s="131"/>
      <c r="Z219" s="131"/>
      <c r="AA219" s="131"/>
      <c r="AB219" s="131"/>
      <c r="AC219" s="131"/>
      <c r="AD219" s="131"/>
      <c r="AE219" s="131"/>
      <c r="AF219" s="131"/>
      <c r="AG219" s="131"/>
      <c r="AH219" s="131"/>
      <c r="AI219" s="131"/>
      <c r="AJ219" s="131"/>
      <c r="AK219" s="131"/>
      <c r="AL219" s="131"/>
      <c r="AM219" s="131"/>
      <c r="AN219" s="131"/>
      <c r="AO219" s="131"/>
      <c r="AP219" s="131"/>
      <c r="AQ219" s="131"/>
      <c r="AR219" s="131"/>
      <c r="AS219" s="131"/>
      <c r="AT219" s="131"/>
      <c r="AU219" s="131"/>
      <c r="AV219" s="131"/>
      <c r="AW219" s="131"/>
      <c r="AX219" s="131"/>
      <c r="AY219" s="8"/>
      <c r="BA219" s="131"/>
      <c r="BC219" s="8"/>
      <c r="BE219" s="8"/>
    </row>
    <row r="220" spans="1:59" x14ac:dyDescent="0.25">
      <c r="I220" s="6"/>
      <c r="R220" s="224"/>
      <c r="T220" s="224"/>
      <c r="U220" s="131"/>
      <c r="V220" s="8"/>
      <c r="W220" s="131"/>
      <c r="X220" s="131"/>
      <c r="Y220" s="131"/>
      <c r="Z220" s="131"/>
      <c r="AA220" s="131"/>
      <c r="AB220" s="131"/>
      <c r="AC220" s="131"/>
      <c r="AD220" s="131"/>
      <c r="AE220" s="131"/>
      <c r="AF220" s="131"/>
      <c r="AG220" s="131"/>
      <c r="AH220" s="131"/>
      <c r="AI220" s="131"/>
      <c r="AJ220" s="131"/>
      <c r="AK220" s="131"/>
      <c r="AL220" s="131"/>
      <c r="AM220" s="131"/>
      <c r="AN220" s="131"/>
      <c r="AO220" s="131"/>
      <c r="AP220" s="131"/>
      <c r="AQ220" s="131"/>
      <c r="AR220" s="131"/>
      <c r="AS220" s="131"/>
      <c r="AT220" s="131"/>
      <c r="AU220" s="131"/>
      <c r="AV220" s="131"/>
      <c r="AW220" s="131"/>
      <c r="AX220" s="131"/>
      <c r="AY220" s="8"/>
      <c r="BA220" s="131"/>
      <c r="BC220" s="8"/>
      <c r="BE220" s="8"/>
    </row>
    <row r="221" spans="1:59" x14ac:dyDescent="0.25">
      <c r="B221" s="6" t="s">
        <v>476</v>
      </c>
      <c r="I221" s="6"/>
      <c r="O221" s="8">
        <f>SUM(O217:O220)</f>
        <v>80409665.769999996</v>
      </c>
      <c r="Q221" s="131">
        <f>AY199</f>
        <v>154125993.96333331</v>
      </c>
      <c r="R221" s="224"/>
      <c r="S221" s="131">
        <f>BA199</f>
        <v>3101791.33</v>
      </c>
      <c r="T221" s="224"/>
      <c r="U221" s="131"/>
      <c r="V221" s="8"/>
      <c r="W221" s="131"/>
      <c r="X221" s="131"/>
      <c r="Y221" s="131"/>
      <c r="Z221" s="131"/>
      <c r="AA221" s="131"/>
      <c r="AB221" s="131"/>
      <c r="AC221" s="131"/>
      <c r="AD221" s="131"/>
      <c r="AE221" s="131"/>
      <c r="AF221" s="131"/>
      <c r="AG221" s="131"/>
      <c r="AH221" s="131"/>
      <c r="AI221" s="131"/>
      <c r="AJ221" s="131"/>
      <c r="AK221" s="131"/>
      <c r="AL221" s="131"/>
      <c r="AM221" s="131"/>
      <c r="AN221" s="131"/>
      <c r="AO221" s="131"/>
      <c r="AP221" s="131"/>
      <c r="AQ221" s="131"/>
      <c r="AR221" s="131"/>
      <c r="AS221" s="131"/>
      <c r="AT221" s="131"/>
      <c r="AU221" s="131"/>
      <c r="AV221" s="131"/>
      <c r="AW221" s="131"/>
      <c r="AX221" s="131"/>
      <c r="AY221" s="8"/>
      <c r="BA221" s="131"/>
      <c r="BC221" s="8"/>
      <c r="BE221" s="8">
        <f>+AY208-AI121-AG121-AE121-AC121-AA121-AY125-AK121-1430-AY207-AM121</f>
        <v>152859210.6633333</v>
      </c>
    </row>
    <row r="222" spans="1:59" x14ac:dyDescent="0.25">
      <c r="I222" s="6"/>
      <c r="R222" s="224"/>
      <c r="T222" s="224"/>
      <c r="U222" s="131"/>
      <c r="V222" s="8"/>
      <c r="W222" s="131"/>
      <c r="X222" s="131"/>
      <c r="Y222" s="131"/>
      <c r="Z222" s="131"/>
      <c r="AA222" s="131"/>
      <c r="AB222" s="131"/>
      <c r="AC222" s="131"/>
      <c r="AD222" s="131"/>
      <c r="AE222" s="131"/>
      <c r="AF222" s="131"/>
      <c r="AG222" s="131"/>
      <c r="AH222" s="131"/>
      <c r="AI222" s="131"/>
      <c r="AJ222" s="131"/>
      <c r="AK222" s="131"/>
      <c r="AL222" s="131"/>
      <c r="AM222" s="131"/>
      <c r="AN222" s="131"/>
      <c r="AO222" s="131"/>
      <c r="AP222" s="131"/>
      <c r="AQ222" s="131"/>
      <c r="AR222" s="131"/>
      <c r="AS222" s="131"/>
      <c r="AT222" s="131"/>
      <c r="AU222" s="131"/>
      <c r="AV222" s="131"/>
      <c r="AW222" s="131"/>
      <c r="AX222" s="131"/>
      <c r="AY222" s="8"/>
      <c r="BA222" s="131"/>
      <c r="BC222" s="8"/>
      <c r="BE222" s="8"/>
    </row>
    <row r="223" spans="1:59" x14ac:dyDescent="0.25">
      <c r="I223" s="6"/>
      <c r="R223" s="224"/>
      <c r="T223" s="224"/>
      <c r="U223" s="131"/>
      <c r="V223" s="8"/>
      <c r="W223" s="131"/>
      <c r="X223" s="131"/>
      <c r="Y223" s="131"/>
      <c r="Z223" s="131"/>
      <c r="AA223" s="131"/>
      <c r="AB223" s="131"/>
      <c r="AC223" s="131"/>
      <c r="AD223" s="131"/>
      <c r="AE223" s="131"/>
      <c r="AF223" s="131"/>
      <c r="AG223" s="131"/>
      <c r="AH223" s="131"/>
      <c r="AI223" s="131"/>
      <c r="AJ223" s="131"/>
      <c r="AK223" s="131"/>
      <c r="AL223" s="131"/>
      <c r="AM223" s="131"/>
      <c r="AN223" s="131"/>
      <c r="AO223" s="131"/>
      <c r="AP223" s="131"/>
      <c r="AQ223" s="131"/>
      <c r="AR223" s="131"/>
      <c r="AS223" s="131"/>
      <c r="AT223" s="131"/>
      <c r="AU223" s="131"/>
      <c r="AV223" s="131"/>
      <c r="AW223" s="131"/>
      <c r="AX223" s="131"/>
      <c r="AY223" s="8"/>
      <c r="BA223" s="131"/>
      <c r="BC223" s="8"/>
      <c r="BE223" s="8"/>
    </row>
    <row r="224" spans="1:59" x14ac:dyDescent="0.25">
      <c r="B224" s="6" t="s">
        <v>477</v>
      </c>
      <c r="I224" s="6"/>
      <c r="O224" s="8" t="e">
        <f>O221-#REF!</f>
        <v>#REF!</v>
      </c>
      <c r="R224" s="224"/>
      <c r="T224" s="224"/>
      <c r="U224" s="131"/>
      <c r="V224" s="8"/>
      <c r="W224" s="131"/>
      <c r="X224" s="131"/>
      <c r="Y224" s="131"/>
      <c r="Z224" s="131"/>
      <c r="AA224" s="131"/>
      <c r="AB224" s="131"/>
      <c r="AC224" s="131"/>
      <c r="AD224" s="131"/>
      <c r="AE224" s="131"/>
      <c r="AF224" s="131"/>
      <c r="AG224" s="131"/>
      <c r="AH224" s="131"/>
      <c r="AI224" s="131"/>
      <c r="AJ224" s="131"/>
      <c r="AK224" s="131"/>
      <c r="AL224" s="131"/>
      <c r="AM224" s="131"/>
      <c r="AN224" s="131"/>
      <c r="AO224" s="131"/>
      <c r="AP224" s="131"/>
      <c r="AQ224" s="131"/>
      <c r="AR224" s="131"/>
      <c r="AS224" s="131"/>
      <c r="AT224" s="131"/>
      <c r="AU224" s="131"/>
      <c r="AV224" s="131"/>
      <c r="AW224" s="131"/>
      <c r="AX224" s="131"/>
      <c r="AY224" s="8"/>
      <c r="BA224" s="131"/>
      <c r="BC224" s="8"/>
      <c r="BE224" s="8">
        <f>+BE217-BE221</f>
        <v>-0.15333330631256104</v>
      </c>
    </row>
  </sheetData>
  <printOptions horizontalCentered="1"/>
  <pageMargins left="0.25" right="0.25" top="0.25" bottom="0.25" header="0.5" footer="0.5"/>
  <pageSetup scale="39" fitToHeight="2" orientation="landscape" horizontalDpi="300" verticalDpi="300" r:id="rId1"/>
  <headerFooter alignWithMargins="0"/>
  <rowBreaks count="1" manualBreakCount="1">
    <brk id="119" max="58" man="1"/>
  </rowBreaks>
  <colBreaks count="1" manualBreakCount="1">
    <brk id="59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K293"/>
  <sheetViews>
    <sheetView view="pageBreakPreview" zoomScale="60" zoomScaleNormal="75" workbookViewId="0">
      <pane xSplit="9" ySplit="6" topLeftCell="J181" activePane="bottomRight" state="frozen"/>
      <selection activeCell="A16" sqref="A16"/>
      <selection pane="topRight" activeCell="A16" sqref="A16"/>
      <selection pane="bottomLeft" activeCell="A16" sqref="A16"/>
      <selection pane="bottomRight" activeCell="AY228" sqref="AY228"/>
    </sheetView>
  </sheetViews>
  <sheetFormatPr defaultColWidth="9.109375" defaultRowHeight="13.2" x14ac:dyDescent="0.25"/>
  <cols>
    <col min="1" max="1" width="4.6640625" style="6" customWidth="1"/>
    <col min="2" max="2" width="54" style="6" bestFit="1" customWidth="1"/>
    <col min="3" max="3" width="17.109375" style="6" hidden="1" customWidth="1"/>
    <col min="4" max="4" width="0.88671875" style="6" hidden="1" customWidth="1"/>
    <col min="5" max="5" width="16.88671875" style="7" hidden="1" customWidth="1"/>
    <col min="6" max="6" width="0.88671875" style="6" hidden="1" customWidth="1"/>
    <col min="7" max="7" width="17.109375" style="7" hidden="1" customWidth="1"/>
    <col min="8" max="8" width="2" style="6" hidden="1" customWidth="1"/>
    <col min="9" max="9" width="0.109375" style="7" hidden="1" customWidth="1"/>
    <col min="10" max="10" width="0.88671875" style="6" hidden="1" customWidth="1"/>
    <col min="11" max="11" width="24.5546875" style="8" hidden="1" customWidth="1"/>
    <col min="12" max="12" width="0.88671875" style="6" hidden="1" customWidth="1"/>
    <col min="13" max="13" width="23" style="8" hidden="1" customWidth="1"/>
    <col min="14" max="14" width="0.88671875" style="6" hidden="1" customWidth="1"/>
    <col min="15" max="15" width="2.44140625" style="8" hidden="1" customWidth="1"/>
    <col min="16" max="16" width="2.33203125" style="6" hidden="1" customWidth="1"/>
    <col min="17" max="17" width="19.109375" style="143" hidden="1" customWidth="1"/>
    <col min="18" max="18" width="0.88671875" style="228" hidden="1" customWidth="1"/>
    <col min="19" max="19" width="19.109375" style="143" hidden="1" customWidth="1"/>
    <col min="20" max="20" width="0.88671875" style="228" hidden="1" customWidth="1"/>
    <col min="21" max="21" width="19.109375" style="143" hidden="1" customWidth="1"/>
    <col min="22" max="22" width="1" style="8" hidden="1" customWidth="1"/>
    <col min="23" max="23" width="19.109375" style="143" hidden="1" customWidth="1"/>
    <col min="24" max="24" width="0.88671875" style="8" hidden="1" customWidth="1"/>
    <col min="25" max="25" width="19.109375" style="143" hidden="1" customWidth="1"/>
    <col min="26" max="26" width="0.88671875" style="8" hidden="1" customWidth="1"/>
    <col min="27" max="27" width="19.109375" style="143" hidden="1" customWidth="1"/>
    <col min="28" max="28" width="0.88671875" style="8" hidden="1" customWidth="1"/>
    <col min="29" max="29" width="19.109375" style="143" hidden="1" customWidth="1"/>
    <col min="30" max="30" width="0.88671875" style="8" hidden="1" customWidth="1"/>
    <col min="31" max="31" width="19.109375" style="143" hidden="1" customWidth="1"/>
    <col min="32" max="32" width="1.5546875" style="143" hidden="1" customWidth="1"/>
    <col min="33" max="33" width="19.109375" style="143" hidden="1" customWidth="1"/>
    <col min="34" max="34" width="1.5546875" style="143" hidden="1" customWidth="1"/>
    <col min="35" max="35" width="19.109375" style="143" hidden="1" customWidth="1"/>
    <col min="36" max="36" width="1.33203125" style="143" hidden="1" customWidth="1"/>
    <col min="37" max="37" width="19.109375" style="143" hidden="1" customWidth="1"/>
    <col min="38" max="38" width="2" style="143" hidden="1" customWidth="1"/>
    <col min="39" max="39" width="18" style="143" hidden="1" customWidth="1"/>
    <col min="40" max="40" width="2" style="143" hidden="1" customWidth="1"/>
    <col min="41" max="41" width="21.109375" style="143" hidden="1" customWidth="1"/>
    <col min="42" max="42" width="2.33203125" style="143" hidden="1" customWidth="1"/>
    <col min="43" max="43" width="21.109375" style="143" hidden="1" customWidth="1"/>
    <col min="44" max="44" width="2.109375" style="6" hidden="1" customWidth="1"/>
    <col min="45" max="45" width="21.109375" style="143" hidden="1" customWidth="1"/>
    <col min="46" max="46" width="2.109375" style="6" hidden="1" customWidth="1"/>
    <col min="47" max="47" width="21.109375" style="143" hidden="1" customWidth="1"/>
    <col min="48" max="48" width="2.109375" style="6" hidden="1" customWidth="1"/>
    <col min="49" max="49" width="21.109375" style="143" hidden="1" customWidth="1"/>
    <col min="50" max="50" width="2.109375" style="6" customWidth="1"/>
    <col min="51" max="51" width="24.6640625" style="8" customWidth="1"/>
    <col min="52" max="52" width="0.88671875" style="6" customWidth="1"/>
    <col min="53" max="53" width="23.109375" style="143" customWidth="1"/>
    <col min="54" max="54" width="0.88671875" style="6" customWidth="1"/>
    <col min="55" max="55" width="26.109375" style="8" customWidth="1"/>
    <col min="56" max="56" width="1.6640625" style="8" customWidth="1"/>
    <col min="57" max="57" width="20.88671875" style="8" customWidth="1"/>
    <col min="58" max="58" width="1.6640625" style="8" customWidth="1"/>
    <col min="59" max="59" width="21.6640625" style="8" customWidth="1"/>
    <col min="60" max="60" width="0.88671875" style="6" customWidth="1"/>
    <col min="61" max="61" width="63.44140625" style="6" hidden="1" customWidth="1"/>
    <col min="62" max="62" width="15.109375" style="8" hidden="1" customWidth="1"/>
    <col min="63" max="63" width="13.33203125" style="6" hidden="1" customWidth="1"/>
    <col min="64" max="64" width="0" style="6" hidden="1" customWidth="1"/>
    <col min="65" max="16384" width="9.109375" style="6"/>
  </cols>
  <sheetData>
    <row r="1" spans="1:63" s="36" customFormat="1" ht="15.6" x14ac:dyDescent="0.3">
      <c r="A1" s="145" t="str">
        <f>+Summary!A1</f>
        <v>ENRON CAPITAL &amp; TRADE RESOURCES</v>
      </c>
      <c r="B1" s="3"/>
      <c r="C1" s="4"/>
      <c r="E1" s="146"/>
      <c r="G1" s="146"/>
      <c r="I1" s="146"/>
      <c r="J1" s="3"/>
      <c r="K1" s="3"/>
      <c r="L1" s="3"/>
      <c r="M1" s="3"/>
      <c r="O1" s="147"/>
      <c r="Q1" s="174"/>
      <c r="R1" s="227"/>
      <c r="S1" s="174"/>
      <c r="T1" s="227"/>
      <c r="U1" s="174"/>
      <c r="V1" s="147"/>
      <c r="W1" s="174"/>
      <c r="X1" s="147"/>
      <c r="Y1" s="174"/>
      <c r="Z1" s="147"/>
      <c r="AA1" s="174"/>
      <c r="AB1" s="147"/>
      <c r="AC1" s="174"/>
      <c r="AD1" s="147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S1" s="174"/>
      <c r="AU1" s="174"/>
      <c r="AW1" s="174"/>
      <c r="AY1" s="169"/>
      <c r="BA1" s="174"/>
      <c r="BC1" s="169"/>
      <c r="BD1" s="169"/>
      <c r="BE1" s="169"/>
      <c r="BF1" s="169"/>
      <c r="BG1" s="147"/>
      <c r="BJ1" s="147"/>
    </row>
    <row r="2" spans="1:63" s="36" customFormat="1" ht="15.6" x14ac:dyDescent="0.3">
      <c r="A2" s="145" t="str">
        <f>+Summary!A2</f>
        <v>1999 TVA PEAKING PLANTS</v>
      </c>
      <c r="B2" s="3"/>
      <c r="C2" s="4"/>
      <c r="E2" s="146"/>
      <c r="G2" s="146"/>
      <c r="I2" s="146"/>
      <c r="J2" s="3"/>
      <c r="K2" s="3"/>
      <c r="L2" s="3"/>
      <c r="M2" s="3"/>
      <c r="O2" s="147"/>
      <c r="Q2" s="174"/>
      <c r="R2" s="227"/>
      <c r="S2" s="174"/>
      <c r="T2" s="227"/>
      <c r="U2" s="174"/>
      <c r="V2" s="147"/>
      <c r="W2" s="174"/>
      <c r="X2" s="147"/>
      <c r="Y2" s="174"/>
      <c r="Z2" s="147"/>
      <c r="AA2" s="174"/>
      <c r="AB2" s="147"/>
      <c r="AC2" s="174"/>
      <c r="AD2" s="147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S2" s="174"/>
      <c r="AU2" s="174"/>
      <c r="AW2" s="174"/>
      <c r="AY2" s="147"/>
      <c r="BA2" s="174"/>
      <c r="BC2" s="147"/>
      <c r="BD2" s="147"/>
      <c r="BE2" s="147"/>
      <c r="BF2" s="147"/>
      <c r="BG2" s="147"/>
      <c r="BJ2" s="147"/>
    </row>
    <row r="3" spans="1:63" s="36" customFormat="1" ht="15.6" x14ac:dyDescent="0.3">
      <c r="A3" s="219" t="s">
        <v>553</v>
      </c>
      <c r="B3" s="3"/>
      <c r="C3" s="4"/>
      <c r="E3" s="146"/>
      <c r="G3" s="146"/>
      <c r="I3" s="146"/>
      <c r="J3" s="3"/>
      <c r="K3" s="3">
        <v>387</v>
      </c>
      <c r="L3" s="3" t="s">
        <v>193</v>
      </c>
      <c r="M3" s="3"/>
      <c r="O3" s="147"/>
      <c r="Q3" s="174"/>
      <c r="R3" s="227"/>
      <c r="S3" s="174"/>
      <c r="T3" s="227"/>
      <c r="U3" s="174"/>
      <c r="V3" s="147"/>
      <c r="W3" s="174"/>
      <c r="X3" s="147"/>
      <c r="Y3" s="174"/>
      <c r="Z3" s="147"/>
      <c r="AA3" s="174"/>
      <c r="AB3" s="147"/>
      <c r="AC3" s="174"/>
      <c r="AD3" s="147"/>
      <c r="AE3" s="174"/>
      <c r="AF3" s="174"/>
      <c r="AG3" s="174"/>
      <c r="AH3" s="174"/>
      <c r="AI3" s="174"/>
      <c r="AJ3" s="174"/>
      <c r="AK3" s="174"/>
      <c r="AL3" s="174"/>
      <c r="AM3" s="174"/>
      <c r="AN3" s="174"/>
      <c r="AO3" s="174"/>
      <c r="AP3" s="174"/>
      <c r="AQ3" s="174"/>
      <c r="AS3" s="174"/>
      <c r="AU3" s="174"/>
      <c r="AW3" s="174"/>
      <c r="AY3" s="46"/>
      <c r="BA3" s="174"/>
      <c r="BC3" s="46">
        <f ca="1">NOW()</f>
        <v>36536.561047569441</v>
      </c>
      <c r="BE3" s="46"/>
      <c r="BG3" s="169" t="str">
        <f>Summary!A4</f>
        <v>Revision # 60</v>
      </c>
      <c r="BJ3" s="147"/>
    </row>
    <row r="4" spans="1:63" s="36" customFormat="1" ht="15.6" x14ac:dyDescent="0.3">
      <c r="A4" s="220"/>
      <c r="B4" s="37"/>
      <c r="C4" s="2"/>
      <c r="G4" s="146"/>
      <c r="K4" s="147"/>
      <c r="M4" s="147"/>
      <c r="O4" s="147"/>
      <c r="Q4" s="174"/>
      <c r="R4" s="227"/>
      <c r="S4" s="174"/>
      <c r="T4" s="227"/>
      <c r="U4" s="175" t="s">
        <v>339</v>
      </c>
      <c r="V4" s="148"/>
      <c r="W4" s="175" t="s">
        <v>339</v>
      </c>
      <c r="X4" s="148"/>
      <c r="Y4" s="175" t="s">
        <v>339</v>
      </c>
      <c r="Z4" s="148"/>
      <c r="AA4" s="175" t="s">
        <v>339</v>
      </c>
      <c r="AB4" s="148"/>
      <c r="AC4" s="175" t="s">
        <v>339</v>
      </c>
      <c r="AD4" s="148"/>
      <c r="AE4" s="175" t="s">
        <v>339</v>
      </c>
      <c r="AF4" s="175"/>
      <c r="AG4" s="175" t="s">
        <v>339</v>
      </c>
      <c r="AH4" s="175"/>
      <c r="AI4" s="175" t="s">
        <v>339</v>
      </c>
      <c r="AJ4" s="175"/>
      <c r="AK4" s="175" t="s">
        <v>339</v>
      </c>
      <c r="AL4" s="175"/>
      <c r="AM4" s="175" t="s">
        <v>339</v>
      </c>
      <c r="AN4" s="175"/>
      <c r="AO4" s="175" t="s">
        <v>339</v>
      </c>
      <c r="AP4" s="175"/>
      <c r="AQ4" s="175" t="s">
        <v>339</v>
      </c>
      <c r="AS4" s="175" t="s">
        <v>277</v>
      </c>
      <c r="AU4" s="175" t="s">
        <v>277</v>
      </c>
      <c r="AW4" s="175" t="s">
        <v>277</v>
      </c>
      <c r="AY4" s="150"/>
      <c r="BA4" s="149" t="s">
        <v>346</v>
      </c>
      <c r="BC4" s="150"/>
      <c r="BE4" s="150"/>
      <c r="BG4" s="150"/>
      <c r="BJ4" s="147"/>
    </row>
    <row r="5" spans="1:63" s="36" customFormat="1" ht="15.6" x14ac:dyDescent="0.3">
      <c r="A5" s="215"/>
      <c r="G5" s="146"/>
      <c r="K5" s="150" t="s">
        <v>0</v>
      </c>
      <c r="M5" s="150"/>
      <c r="O5" s="150" t="s">
        <v>0</v>
      </c>
      <c r="Q5" s="175" t="s">
        <v>190</v>
      </c>
      <c r="R5" s="227"/>
      <c r="S5" s="175" t="s">
        <v>190</v>
      </c>
      <c r="T5" s="227"/>
      <c r="U5" s="175" t="s">
        <v>340</v>
      </c>
      <c r="V5" s="148"/>
      <c r="W5" s="175" t="s">
        <v>340</v>
      </c>
      <c r="X5" s="148"/>
      <c r="Y5" s="175" t="s">
        <v>340</v>
      </c>
      <c r="Z5" s="148"/>
      <c r="AA5" s="175" t="s">
        <v>340</v>
      </c>
      <c r="AB5" s="148"/>
      <c r="AC5" s="175" t="s">
        <v>340</v>
      </c>
      <c r="AD5" s="148"/>
      <c r="AE5" s="175" t="s">
        <v>340</v>
      </c>
      <c r="AF5" s="175"/>
      <c r="AG5" s="175" t="s">
        <v>340</v>
      </c>
      <c r="AH5" s="175"/>
      <c r="AI5" s="175" t="s">
        <v>340</v>
      </c>
      <c r="AJ5" s="175"/>
      <c r="AK5" s="175" t="s">
        <v>340</v>
      </c>
      <c r="AL5" s="175"/>
      <c r="AM5" s="175" t="s">
        <v>340</v>
      </c>
      <c r="AN5" s="175"/>
      <c r="AO5" s="175" t="s">
        <v>340</v>
      </c>
      <c r="AP5" s="175"/>
      <c r="AQ5" s="175" t="s">
        <v>340</v>
      </c>
      <c r="AS5" s="175" t="s">
        <v>340</v>
      </c>
      <c r="AU5" s="175" t="s">
        <v>340</v>
      </c>
      <c r="AW5" s="175" t="s">
        <v>340</v>
      </c>
      <c r="AY5" s="150" t="s">
        <v>190</v>
      </c>
      <c r="BA5" s="149" t="s">
        <v>347</v>
      </c>
      <c r="BC5" s="150" t="s">
        <v>161</v>
      </c>
      <c r="BE5" s="150" t="s">
        <v>367</v>
      </c>
      <c r="BG5" s="150"/>
      <c r="BJ5" s="147"/>
    </row>
    <row r="6" spans="1:63" s="36" customFormat="1" ht="15.6" x14ac:dyDescent="0.3">
      <c r="A6" s="215"/>
      <c r="E6" s="151" t="s">
        <v>1</v>
      </c>
      <c r="G6" s="156" t="s">
        <v>2</v>
      </c>
      <c r="I6" s="151"/>
      <c r="K6" s="152" t="s">
        <v>4</v>
      </c>
      <c r="M6" s="152" t="s">
        <v>162</v>
      </c>
      <c r="O6" s="152" t="s">
        <v>109</v>
      </c>
      <c r="Q6" s="176">
        <v>36150</v>
      </c>
      <c r="R6" s="227"/>
      <c r="S6" s="176" t="s">
        <v>540</v>
      </c>
      <c r="T6" s="227"/>
      <c r="U6" s="176">
        <v>36191</v>
      </c>
      <c r="V6" s="154"/>
      <c r="W6" s="176">
        <v>36219</v>
      </c>
      <c r="X6" s="154"/>
      <c r="Y6" s="176">
        <v>36250</v>
      </c>
      <c r="Z6" s="154"/>
      <c r="AA6" s="176">
        <v>36280</v>
      </c>
      <c r="AB6" s="154"/>
      <c r="AC6" s="176">
        <v>36311</v>
      </c>
      <c r="AD6" s="154"/>
      <c r="AE6" s="176">
        <v>36341</v>
      </c>
      <c r="AF6" s="270"/>
      <c r="AG6" s="176">
        <v>36372</v>
      </c>
      <c r="AH6" s="270"/>
      <c r="AI6" s="176">
        <v>36403</v>
      </c>
      <c r="AJ6" s="270"/>
      <c r="AK6" s="176">
        <v>36433</v>
      </c>
      <c r="AL6" s="176"/>
      <c r="AM6" s="176">
        <v>36464</v>
      </c>
      <c r="AN6" s="270"/>
      <c r="AO6" s="176">
        <v>36494</v>
      </c>
      <c r="AP6" s="270"/>
      <c r="AQ6" s="176">
        <v>36525</v>
      </c>
      <c r="AS6" s="176">
        <v>36556</v>
      </c>
      <c r="AU6" s="176">
        <v>36585</v>
      </c>
      <c r="AW6" s="176">
        <v>36616</v>
      </c>
      <c r="AY6" s="155" t="s">
        <v>343</v>
      </c>
      <c r="BA6" s="153" t="s">
        <v>348</v>
      </c>
      <c r="BC6" s="155" t="s">
        <v>110</v>
      </c>
      <c r="BE6" s="155" t="s">
        <v>368</v>
      </c>
      <c r="BG6" s="155" t="s">
        <v>111</v>
      </c>
      <c r="BI6" s="150" t="s">
        <v>5</v>
      </c>
      <c r="BJ6" s="147"/>
      <c r="BK6" s="36" t="s">
        <v>408</v>
      </c>
    </row>
    <row r="7" spans="1:63" s="36" customFormat="1" ht="15.6" x14ac:dyDescent="0.3">
      <c r="A7" s="215"/>
      <c r="B7" s="1"/>
      <c r="C7" s="2"/>
      <c r="G7" s="146"/>
      <c r="K7" s="147"/>
      <c r="M7" s="147"/>
      <c r="O7" s="147"/>
      <c r="Q7" s="175" t="s">
        <v>541</v>
      </c>
      <c r="R7" s="227"/>
      <c r="S7" s="175" t="s">
        <v>541</v>
      </c>
      <c r="T7" s="227"/>
      <c r="U7" s="175" t="str">
        <f>+Summary!$O$3</f>
        <v>as of 01/07/00</v>
      </c>
      <c r="V7" s="148"/>
      <c r="W7" s="175" t="str">
        <f>+Summary!$O$3</f>
        <v>as of 01/07/00</v>
      </c>
      <c r="X7" s="148"/>
      <c r="Y7" s="175" t="str">
        <f>+Summary!$O$3</f>
        <v>as of 01/07/00</v>
      </c>
      <c r="Z7" s="148"/>
      <c r="AA7" s="175" t="str">
        <f>+Summary!$O$3</f>
        <v>as of 01/07/00</v>
      </c>
      <c r="AB7" s="148"/>
      <c r="AC7" s="175" t="str">
        <f>+Summary!$O$3</f>
        <v>as of 01/07/00</v>
      </c>
      <c r="AD7" s="148"/>
      <c r="AE7" s="175" t="str">
        <f>+Summary!$O$3</f>
        <v>as of 01/07/00</v>
      </c>
      <c r="AF7" s="175"/>
      <c r="AG7" s="175" t="str">
        <f>+Summary!$O$3</f>
        <v>as of 01/07/00</v>
      </c>
      <c r="AH7" s="175"/>
      <c r="AI7" s="175" t="str">
        <f>+Summary!$O$3</f>
        <v>as of 01/07/00</v>
      </c>
      <c r="AJ7" s="175"/>
      <c r="AK7" s="175" t="str">
        <f>+Summary!$O$3</f>
        <v>as of 01/07/00</v>
      </c>
      <c r="AL7" s="175"/>
      <c r="AM7" s="175" t="str">
        <f>+Summary!$O$3</f>
        <v>as of 01/07/00</v>
      </c>
      <c r="AN7" s="175"/>
      <c r="AO7" s="175" t="str">
        <f>+Summary!$O$3</f>
        <v>as of 01/07/00</v>
      </c>
      <c r="AP7" s="175"/>
      <c r="AQ7" s="175" t="str">
        <f>+Summary!$O$3</f>
        <v>as of 01/07/00</v>
      </c>
      <c r="AS7" s="175" t="str">
        <f>+Summary!$O$3</f>
        <v>as of 01/07/00</v>
      </c>
      <c r="AU7" s="175" t="str">
        <f>+Summary!$O$3</f>
        <v>as of 01/07/00</v>
      </c>
      <c r="AW7" s="175" t="str">
        <f>+Summary!$O$3</f>
        <v>as of 01/07/00</v>
      </c>
      <c r="AY7" s="150" t="str">
        <f>+Summary!$O$3</f>
        <v>as of 01/07/00</v>
      </c>
      <c r="BA7" s="132" t="str">
        <f>+Summary!$O$3</f>
        <v>as of 01/07/00</v>
      </c>
      <c r="BC7" s="150"/>
      <c r="BE7" s="150"/>
      <c r="BG7" s="150"/>
      <c r="BJ7" s="147"/>
    </row>
    <row r="8" spans="1:63" x14ac:dyDescent="0.25">
      <c r="A8" s="217" t="s">
        <v>6</v>
      </c>
      <c r="B8" s="31"/>
      <c r="C8" s="111"/>
      <c r="E8" s="6"/>
      <c r="G8" s="6"/>
      <c r="I8" s="6"/>
      <c r="K8" s="5"/>
      <c r="L8" s="5"/>
      <c r="M8" s="5"/>
      <c r="N8" s="5"/>
      <c r="O8" s="5"/>
      <c r="Q8" s="177"/>
      <c r="R8" s="229"/>
      <c r="S8" s="177"/>
      <c r="T8" s="229"/>
      <c r="U8" s="177"/>
      <c r="V8" s="6"/>
      <c r="W8" s="177"/>
      <c r="X8" s="6"/>
      <c r="Y8" s="177"/>
      <c r="Z8" s="6"/>
      <c r="AA8" s="177"/>
      <c r="AB8" s="6"/>
      <c r="AC8" s="177"/>
      <c r="AD8" s="6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S8" s="177"/>
      <c r="AU8" s="177"/>
      <c r="AW8" s="177"/>
      <c r="AY8" s="6"/>
      <c r="BA8" s="177"/>
      <c r="BC8" s="6"/>
      <c r="BD8" s="6"/>
      <c r="BE8" s="6"/>
      <c r="BF8" s="6"/>
      <c r="BG8" s="6"/>
    </row>
    <row r="9" spans="1:63" x14ac:dyDescent="0.25">
      <c r="A9" s="218"/>
      <c r="B9" s="31" t="s">
        <v>112</v>
      </c>
      <c r="C9" s="114" t="s">
        <v>113</v>
      </c>
      <c r="E9" s="7" t="s">
        <v>8</v>
      </c>
      <c r="G9" s="7" t="s">
        <v>9</v>
      </c>
      <c r="I9" s="7" t="s">
        <v>114</v>
      </c>
      <c r="K9" s="5">
        <v>1347000</v>
      </c>
      <c r="L9" s="5"/>
      <c r="M9" s="5">
        <v>0</v>
      </c>
      <c r="N9" s="5"/>
      <c r="O9" s="5">
        <f t="shared" ref="O9:O17" si="0">SUM(K9:N9)</f>
        <v>1347000</v>
      </c>
      <c r="Q9" s="143">
        <f>1200000+147000</f>
        <v>1347000</v>
      </c>
      <c r="V9" s="12"/>
      <c r="X9" s="12"/>
      <c r="Z9" s="12"/>
      <c r="AB9" s="12"/>
      <c r="AD9" s="12"/>
      <c r="AY9" s="45">
        <f>SUM(P9:AX9)</f>
        <v>1347000</v>
      </c>
      <c r="BC9" s="8">
        <f>IF(+O9-AY9+BA9&gt;0,O9-AY9+BA9,0)</f>
        <v>0</v>
      </c>
      <c r="BD9" s="6"/>
      <c r="BE9" s="8">
        <f>+BC9+AY9</f>
        <v>1347000</v>
      </c>
      <c r="BF9" s="6"/>
      <c r="BG9" s="8">
        <f t="shared" ref="BG9:BG24" si="1">O9-AY9-BC9</f>
        <v>0</v>
      </c>
      <c r="BH9" s="12"/>
      <c r="BI9" s="47" t="s">
        <v>406</v>
      </c>
      <c r="BJ9" s="8">
        <v>-1347000</v>
      </c>
      <c r="BK9" s="39">
        <f>+BE9+BJ9</f>
        <v>0</v>
      </c>
    </row>
    <row r="10" spans="1:63" x14ac:dyDescent="0.25">
      <c r="A10" s="218"/>
      <c r="B10" s="31" t="s">
        <v>263</v>
      </c>
      <c r="C10" s="114" t="s">
        <v>113</v>
      </c>
      <c r="G10" s="7" t="s">
        <v>9</v>
      </c>
      <c r="K10" s="5">
        <v>500000</v>
      </c>
      <c r="L10" s="5"/>
      <c r="M10" s="5">
        <v>0</v>
      </c>
      <c r="N10" s="5"/>
      <c r="O10" s="5">
        <f t="shared" si="0"/>
        <v>500000</v>
      </c>
      <c r="Q10" s="143">
        <f>356331+254805</f>
        <v>611136</v>
      </c>
      <c r="S10" s="143">
        <v>-251403.37</v>
      </c>
      <c r="V10" s="12"/>
      <c r="X10" s="12"/>
      <c r="Z10" s="12"/>
      <c r="AB10" s="12"/>
      <c r="AD10" s="12"/>
      <c r="AY10" s="45">
        <f t="shared" ref="AY10:AY24" si="2">SUM(P10:AX10)</f>
        <v>359732.63</v>
      </c>
      <c r="BA10" s="143">
        <v>0</v>
      </c>
      <c r="BC10" s="8">
        <f>395900-356310</f>
        <v>39590</v>
      </c>
      <c r="BD10" s="6"/>
      <c r="BE10" s="8">
        <f t="shared" ref="BE10:BE120" si="3">+BC10+AY10</f>
        <v>399322.63</v>
      </c>
      <c r="BF10" s="6"/>
      <c r="BG10" s="8">
        <f t="shared" si="1"/>
        <v>100677.37</v>
      </c>
      <c r="BH10" s="12"/>
      <c r="BI10" s="47" t="s">
        <v>430</v>
      </c>
      <c r="BJ10" s="8">
        <v>-611136</v>
      </c>
      <c r="BK10" s="39">
        <f t="shared" ref="BK10:BK24" si="4">+BE10+BJ10</f>
        <v>-211813.37</v>
      </c>
    </row>
    <row r="11" spans="1:63" x14ac:dyDescent="0.25">
      <c r="A11" s="218"/>
      <c r="B11" s="31" t="s">
        <v>10</v>
      </c>
      <c r="C11" s="114" t="s">
        <v>113</v>
      </c>
      <c r="E11" s="7" t="s">
        <v>8</v>
      </c>
      <c r="G11" s="7" t="s">
        <v>9</v>
      </c>
      <c r="K11" s="5">
        <f>K9*0.1</f>
        <v>134700</v>
      </c>
      <c r="L11" s="5"/>
      <c r="M11" s="5">
        <v>0</v>
      </c>
      <c r="N11" s="5"/>
      <c r="O11" s="5">
        <f t="shared" si="0"/>
        <v>134700</v>
      </c>
      <c r="Q11" s="143">
        <f>120000+14700</f>
        <v>134700</v>
      </c>
      <c r="V11" s="12"/>
      <c r="X11" s="12"/>
      <c r="Z11" s="12"/>
      <c r="AB11" s="12"/>
      <c r="AD11" s="12"/>
      <c r="AY11" s="45">
        <f t="shared" si="2"/>
        <v>134700</v>
      </c>
      <c r="BC11" s="8">
        <f>IF(+O11-AY11+BA11&gt;0,O11-AY11+BA11,0)</f>
        <v>0</v>
      </c>
      <c r="BD11" s="6"/>
      <c r="BE11" s="8">
        <f t="shared" si="3"/>
        <v>134700</v>
      </c>
      <c r="BF11" s="6"/>
      <c r="BG11" s="8">
        <f t="shared" si="1"/>
        <v>0</v>
      </c>
      <c r="BH11" s="12"/>
      <c r="BI11" s="47"/>
      <c r="BK11" s="39">
        <f t="shared" si="4"/>
        <v>134700</v>
      </c>
    </row>
    <row r="12" spans="1:63" x14ac:dyDescent="0.25">
      <c r="A12" s="218"/>
      <c r="B12" s="31" t="s">
        <v>371</v>
      </c>
      <c r="C12" s="114" t="s">
        <v>7</v>
      </c>
      <c r="E12" s="7" t="s">
        <v>8</v>
      </c>
      <c r="G12" s="7" t="s">
        <v>115</v>
      </c>
      <c r="I12" s="7" t="s">
        <v>21</v>
      </c>
      <c r="K12" s="5">
        <v>27503000</v>
      </c>
      <c r="L12" s="5"/>
      <c r="M12" s="5"/>
      <c r="N12" s="5"/>
      <c r="O12" s="5">
        <f t="shared" si="0"/>
        <v>27503000</v>
      </c>
      <c r="Q12" s="234">
        <f>3025305+3025305+3025305+8250832+5500555+3025305+1650166+1</f>
        <v>27502774</v>
      </c>
      <c r="S12" s="234"/>
      <c r="V12" s="12"/>
      <c r="AY12" s="45">
        <f t="shared" si="2"/>
        <v>27502774</v>
      </c>
      <c r="BC12" s="8">
        <v>0</v>
      </c>
      <c r="BD12" s="6"/>
      <c r="BE12" s="8">
        <f t="shared" si="3"/>
        <v>27502774</v>
      </c>
      <c r="BF12" s="6"/>
      <c r="BG12" s="8">
        <f t="shared" si="1"/>
        <v>226</v>
      </c>
      <c r="BH12" s="12"/>
      <c r="BI12" s="47" t="s">
        <v>116</v>
      </c>
      <c r="BK12" s="39">
        <f t="shared" si="4"/>
        <v>27502774</v>
      </c>
    </row>
    <row r="13" spans="1:63" x14ac:dyDescent="0.25">
      <c r="A13" s="218"/>
      <c r="B13" s="31" t="s">
        <v>313</v>
      </c>
      <c r="C13" s="114"/>
      <c r="K13" s="5">
        <v>0</v>
      </c>
      <c r="L13" s="5"/>
      <c r="M13" s="5">
        <v>-700000</v>
      </c>
      <c r="N13" s="5"/>
      <c r="O13" s="5">
        <f t="shared" si="0"/>
        <v>-700000</v>
      </c>
      <c r="Q13" s="143">
        <v>0</v>
      </c>
      <c r="V13" s="12"/>
      <c r="W13" s="143">
        <v>-700000</v>
      </c>
      <c r="AY13" s="45">
        <f t="shared" si="2"/>
        <v>-700000</v>
      </c>
      <c r="BC13" s="8">
        <f>O13-AY13+BA13</f>
        <v>0</v>
      </c>
      <c r="BD13" s="6"/>
      <c r="BE13" s="131">
        <f t="shared" si="3"/>
        <v>-700000</v>
      </c>
      <c r="BF13" s="6"/>
      <c r="BG13" s="8">
        <f t="shared" si="1"/>
        <v>0</v>
      </c>
      <c r="BH13" s="12"/>
      <c r="BI13" s="47"/>
      <c r="BK13" s="39">
        <f t="shared" si="4"/>
        <v>-700000</v>
      </c>
    </row>
    <row r="14" spans="1:63" x14ac:dyDescent="0.25">
      <c r="A14" s="218"/>
      <c r="B14" s="31" t="s">
        <v>498</v>
      </c>
      <c r="C14" s="114" t="s">
        <v>7</v>
      </c>
      <c r="E14" s="7" t="s">
        <v>8</v>
      </c>
      <c r="G14" s="7" t="s">
        <v>115</v>
      </c>
      <c r="K14" s="5">
        <v>3600000</v>
      </c>
      <c r="L14" s="5"/>
      <c r="M14" s="5">
        <v>0</v>
      </c>
      <c r="N14" s="5"/>
      <c r="O14" s="5">
        <f t="shared" si="0"/>
        <v>3600000</v>
      </c>
      <c r="Q14" s="143">
        <v>0</v>
      </c>
      <c r="U14" s="143">
        <v>2750277.4</v>
      </c>
      <c r="V14" s="12"/>
      <c r="X14" s="12"/>
      <c r="Z14" s="12"/>
      <c r="AB14" s="12"/>
      <c r="AD14" s="12"/>
      <c r="AY14" s="45">
        <f t="shared" si="2"/>
        <v>2750277.4</v>
      </c>
      <c r="BC14" s="8">
        <f>IF(+O14-AY14+BA14&gt;0,O14-AY14+BA14,0)</f>
        <v>849722.60000000009</v>
      </c>
      <c r="BD14" s="6"/>
      <c r="BE14" s="8">
        <f t="shared" si="3"/>
        <v>3600000</v>
      </c>
      <c r="BF14" s="6"/>
      <c r="BG14" s="8">
        <f t="shared" si="1"/>
        <v>0</v>
      </c>
      <c r="BH14" s="12"/>
      <c r="BI14" s="47"/>
      <c r="BK14" s="39">
        <f t="shared" si="4"/>
        <v>3600000</v>
      </c>
    </row>
    <row r="15" spans="1:63" x14ac:dyDescent="0.25">
      <c r="A15" s="218"/>
      <c r="B15" s="31" t="s">
        <v>12</v>
      </c>
      <c r="C15" s="114" t="s">
        <v>7</v>
      </c>
      <c r="E15" s="7" t="s">
        <v>8</v>
      </c>
      <c r="G15" s="7" t="s">
        <v>117</v>
      </c>
      <c r="K15" s="5">
        <v>1500000</v>
      </c>
      <c r="L15" s="5"/>
      <c r="M15" s="5">
        <v>-192340</v>
      </c>
      <c r="N15" s="5"/>
      <c r="O15" s="5">
        <f t="shared" si="0"/>
        <v>1307660</v>
      </c>
      <c r="Q15" s="143">
        <f>371290+1251900+4756+272641+272641+509610</f>
        <v>2682838</v>
      </c>
      <c r="S15" s="143">
        <v>-1059648</v>
      </c>
      <c r="U15" s="143">
        <v>189260</v>
      </c>
      <c r="V15" s="12"/>
      <c r="Y15"/>
      <c r="AA15"/>
      <c r="AY15" s="45">
        <f t="shared" si="2"/>
        <v>1812450</v>
      </c>
      <c r="BA15" s="143">
        <v>0</v>
      </c>
      <c r="BC15" s="8">
        <f>IF(+O15-AY15+BA15&gt;0,O15-AY15+BA15,0)</f>
        <v>0</v>
      </c>
      <c r="BD15" s="6"/>
      <c r="BE15" s="8">
        <f t="shared" si="3"/>
        <v>1812450</v>
      </c>
      <c r="BF15" s="6"/>
      <c r="BG15" s="8">
        <f t="shared" si="1"/>
        <v>-504790</v>
      </c>
      <c r="BH15" s="12"/>
      <c r="BI15" s="47"/>
      <c r="BJ15" s="8">
        <v>-1375178</v>
      </c>
      <c r="BK15" s="39">
        <f t="shared" si="4"/>
        <v>437272</v>
      </c>
    </row>
    <row r="16" spans="1:63" x14ac:dyDescent="0.25">
      <c r="A16" s="113"/>
      <c r="B16" s="31" t="s">
        <v>38</v>
      </c>
      <c r="C16" s="114"/>
      <c r="G16" s="7" t="s">
        <v>115</v>
      </c>
      <c r="K16" s="5">
        <v>0</v>
      </c>
      <c r="L16" s="5"/>
      <c r="M16" s="5">
        <v>1274025</v>
      </c>
      <c r="N16" s="5"/>
      <c r="O16" s="5">
        <f>SUM(K16:N16)</f>
        <v>1274025</v>
      </c>
      <c r="Q16" s="143">
        <v>0</v>
      </c>
      <c r="S16" s="143">
        <v>1312564.44</v>
      </c>
      <c r="U16" s="143">
        <f>158283.73</f>
        <v>158283.73000000001</v>
      </c>
      <c r="V16" s="12"/>
      <c r="X16" s="12"/>
      <c r="Y16" s="143">
        <f>7343.7+3822.08+89100+9900+1130+2093.1+1690+6664.88+2539.94+2400+1130+1130+1690+1130+3061.3+1130+1130+1130+1130</f>
        <v>139345</v>
      </c>
      <c r="Z16" s="12"/>
      <c r="AA16" s="143">
        <f>7971.26+281410+595.08+595.08+595.08+2539.94+595.08+1800+18450+3238.71+162884.91+658</f>
        <v>481333.14000000013</v>
      </c>
      <c r="AB16" s="12"/>
      <c r="AC16" s="143">
        <f>87000+457425+245667.64+96072.44+18337.5+107000+107000+107000+11983+1150</f>
        <v>1238635.58</v>
      </c>
      <c r="AD16" s="12"/>
      <c r="AE16" s="143">
        <f>14000+121915.98+82497.2</f>
        <v>218413.18</v>
      </c>
      <c r="AG16" s="143">
        <f>24971+155500</f>
        <v>180471</v>
      </c>
      <c r="AY16" s="45">
        <f t="shared" si="2"/>
        <v>3729046.0700000003</v>
      </c>
      <c r="BA16" s="143">
        <f>2254002</f>
        <v>2254002</v>
      </c>
      <c r="BC16" s="8">
        <f>IF(+O16-AY16+BA16&gt;0,O16-AY16+BA16,0)</f>
        <v>0</v>
      </c>
      <c r="BD16" s="6"/>
      <c r="BE16" s="264">
        <f>+BC16+AY16</f>
        <v>3729046.0700000003</v>
      </c>
      <c r="BF16" s="6"/>
      <c r="BG16" s="8">
        <f t="shared" si="1"/>
        <v>-2455021.0700000003</v>
      </c>
      <c r="BH16" s="12"/>
      <c r="BI16" s="47" t="s">
        <v>407</v>
      </c>
      <c r="BJ16" s="8">
        <f>1000000-1274025</f>
        <v>-274025</v>
      </c>
      <c r="BK16" s="39">
        <f>+BE16+BJ16</f>
        <v>3455021.0700000003</v>
      </c>
    </row>
    <row r="17" spans="1:63" x14ac:dyDescent="0.25">
      <c r="A17" s="218"/>
      <c r="B17" s="31" t="s">
        <v>313</v>
      </c>
      <c r="C17" s="114"/>
      <c r="K17" s="5">
        <v>0</v>
      </c>
      <c r="L17" s="5"/>
      <c r="M17" s="5">
        <v>-200500</v>
      </c>
      <c r="N17" s="5"/>
      <c r="O17" s="5">
        <f t="shared" si="0"/>
        <v>-200500</v>
      </c>
      <c r="Q17" s="143">
        <v>0</v>
      </c>
      <c r="V17" s="12"/>
      <c r="W17" s="143">
        <v>-200500</v>
      </c>
      <c r="AY17" s="45">
        <f t="shared" si="2"/>
        <v>-200500</v>
      </c>
      <c r="BC17" s="8">
        <f>O17-AY17+BA17</f>
        <v>0</v>
      </c>
      <c r="BD17" s="6"/>
      <c r="BE17" s="131">
        <f t="shared" si="3"/>
        <v>-200500</v>
      </c>
      <c r="BF17" s="6"/>
      <c r="BG17" s="8">
        <f t="shared" si="1"/>
        <v>0</v>
      </c>
      <c r="BH17" s="12"/>
      <c r="BI17" s="47"/>
      <c r="BK17" s="39">
        <f t="shared" si="4"/>
        <v>-200500</v>
      </c>
    </row>
    <row r="18" spans="1:63" x14ac:dyDescent="0.25">
      <c r="A18" s="218"/>
      <c r="B18" s="31" t="s">
        <v>313</v>
      </c>
      <c r="C18" s="114"/>
      <c r="K18" s="5">
        <v>0</v>
      </c>
      <c r="L18" s="5"/>
      <c r="M18" s="5">
        <v>-100000</v>
      </c>
      <c r="N18" s="5"/>
      <c r="O18" s="5">
        <f t="shared" ref="O18:O40" si="5">SUM(K18:N18)</f>
        <v>-100000</v>
      </c>
      <c r="Q18" s="143">
        <v>0</v>
      </c>
      <c r="V18" s="12"/>
      <c r="W18" s="143">
        <v>-100000</v>
      </c>
      <c r="X18" s="12"/>
      <c r="Z18" s="12"/>
      <c r="AB18" s="12"/>
      <c r="AD18" s="12"/>
      <c r="AY18" s="45">
        <f t="shared" si="2"/>
        <v>-100000</v>
      </c>
      <c r="BC18" s="8">
        <f>O18-AY18+BA18</f>
        <v>0</v>
      </c>
      <c r="BD18" s="6"/>
      <c r="BE18" s="131">
        <f t="shared" si="3"/>
        <v>-100000</v>
      </c>
      <c r="BF18" s="6"/>
      <c r="BG18" s="8">
        <f t="shared" si="1"/>
        <v>0</v>
      </c>
      <c r="BH18" s="12"/>
      <c r="BI18" s="47"/>
      <c r="BK18" s="39">
        <f t="shared" si="4"/>
        <v>-100000</v>
      </c>
    </row>
    <row r="19" spans="1:63" x14ac:dyDescent="0.25">
      <c r="A19" s="218"/>
      <c r="B19" s="31" t="s">
        <v>314</v>
      </c>
      <c r="C19" s="114"/>
      <c r="K19" s="5">
        <v>0</v>
      </c>
      <c r="L19" s="5"/>
      <c r="M19" s="5">
        <v>89182</v>
      </c>
      <c r="N19" s="5"/>
      <c r="O19" s="5">
        <f t="shared" si="5"/>
        <v>89182</v>
      </c>
      <c r="Q19" s="143">
        <v>14347</v>
      </c>
      <c r="V19" s="12"/>
      <c r="X19" s="12"/>
      <c r="Z19" s="12"/>
      <c r="AB19" s="12"/>
      <c r="AD19" s="12"/>
      <c r="AY19" s="45">
        <f t="shared" si="2"/>
        <v>14347</v>
      </c>
      <c r="BC19" s="8">
        <f>IF(+O19-AY19+BA19&gt;0,O19-AY19+BA19,0)</f>
        <v>74835</v>
      </c>
      <c r="BD19" s="6"/>
      <c r="BE19" s="8">
        <f t="shared" si="3"/>
        <v>89182</v>
      </c>
      <c r="BF19" s="6"/>
      <c r="BG19" s="8">
        <f t="shared" si="1"/>
        <v>0</v>
      </c>
      <c r="BH19" s="12"/>
      <c r="BI19" s="47"/>
      <c r="BK19" s="39">
        <f t="shared" si="4"/>
        <v>89182</v>
      </c>
    </row>
    <row r="20" spans="1:63" x14ac:dyDescent="0.25">
      <c r="A20" s="216"/>
      <c r="B20" s="31" t="s">
        <v>210</v>
      </c>
      <c r="K20" s="5">
        <v>0</v>
      </c>
      <c r="L20" s="5"/>
      <c r="M20" s="5">
        <v>0</v>
      </c>
      <c r="N20" s="5"/>
      <c r="O20" s="5">
        <f>SUM(K20:N20)</f>
        <v>0</v>
      </c>
      <c r="Q20" s="143">
        <f>9167.59+504+504+504</f>
        <v>10679.59</v>
      </c>
      <c r="S20" s="143">
        <v>-1512</v>
      </c>
      <c r="V20" s="12"/>
      <c r="X20" s="12"/>
      <c r="Z20" s="12"/>
      <c r="AB20" s="12"/>
      <c r="AD20" s="12"/>
      <c r="AY20" s="45">
        <f t="shared" si="2"/>
        <v>9167.59</v>
      </c>
      <c r="BC20" s="8">
        <f>IF(+O20-AY20+BA20&gt;0,O20-AY20+BA20,0)</f>
        <v>0</v>
      </c>
      <c r="BD20" s="6"/>
      <c r="BE20" s="8">
        <f t="shared" si="3"/>
        <v>9167.59</v>
      </c>
      <c r="BF20" s="6"/>
      <c r="BG20" s="8">
        <f t="shared" si="1"/>
        <v>-9167.59</v>
      </c>
      <c r="BH20" s="12"/>
      <c r="BI20" s="8"/>
      <c r="BJ20" s="8">
        <v>-10680</v>
      </c>
      <c r="BK20" s="39">
        <f t="shared" si="4"/>
        <v>-1512.4099999999999</v>
      </c>
    </row>
    <row r="21" spans="1:63" x14ac:dyDescent="0.25">
      <c r="A21" s="113"/>
      <c r="B21" s="31" t="s">
        <v>372</v>
      </c>
      <c r="C21" s="114" t="s">
        <v>7</v>
      </c>
      <c r="G21" s="7" t="s">
        <v>117</v>
      </c>
      <c r="K21" s="5"/>
      <c r="L21" s="5"/>
      <c r="M21" s="5">
        <v>0</v>
      </c>
      <c r="N21" s="5"/>
      <c r="O21" s="5">
        <f>SUM(K21:N21)</f>
        <v>0</v>
      </c>
      <c r="Q21" s="143">
        <v>0</v>
      </c>
      <c r="V21" s="12"/>
      <c r="AY21" s="45">
        <f t="shared" si="2"/>
        <v>0</v>
      </c>
      <c r="BC21" s="8">
        <f>IF(+O21-AY21+BA21&gt;0,O21-AY21+BA21,0)</f>
        <v>0</v>
      </c>
      <c r="BD21" s="6"/>
      <c r="BE21" s="8">
        <f>+BC21+AY21</f>
        <v>0</v>
      </c>
      <c r="BF21" s="6"/>
      <c r="BG21" s="8">
        <f t="shared" si="1"/>
        <v>0</v>
      </c>
      <c r="BH21" s="12"/>
      <c r="BI21" s="47"/>
      <c r="BK21" s="39">
        <f t="shared" si="4"/>
        <v>0</v>
      </c>
    </row>
    <row r="22" spans="1:63" x14ac:dyDescent="0.25">
      <c r="A22" s="113"/>
      <c r="B22" s="31" t="s">
        <v>316</v>
      </c>
      <c r="C22" s="114" t="s">
        <v>7</v>
      </c>
      <c r="G22" s="7" t="s">
        <v>117</v>
      </c>
      <c r="K22" s="5">
        <v>10500000</v>
      </c>
      <c r="L22" s="5"/>
      <c r="M22" s="5">
        <v>-3125000</v>
      </c>
      <c r="N22" s="5"/>
      <c r="O22" s="5">
        <f>SUM(K22:N22)</f>
        <v>7375000</v>
      </c>
      <c r="Q22" s="143">
        <v>7050000</v>
      </c>
      <c r="U22" s="143">
        <f>(1329068.4+2756140.24-996801.3-2067105.18)</f>
        <v>1021302.1599999999</v>
      </c>
      <c r="V22" s="12"/>
      <c r="Y22" s="143">
        <f>536220.8</f>
        <v>536220.80000000005</v>
      </c>
      <c r="AY22" s="45">
        <f t="shared" si="2"/>
        <v>8607522.9600000009</v>
      </c>
      <c r="BC22" s="12">
        <v>-268110</v>
      </c>
      <c r="BD22" s="6"/>
      <c r="BE22" s="264">
        <f>+BC22+AY22</f>
        <v>8339412.9600000009</v>
      </c>
      <c r="BF22" s="6"/>
      <c r="BG22" s="8">
        <f t="shared" si="1"/>
        <v>-964412.96000000089</v>
      </c>
      <c r="BH22" s="12"/>
      <c r="BI22" s="47" t="s">
        <v>518</v>
      </c>
      <c r="BJ22" s="8">
        <f>6725000-185651</f>
        <v>6539349</v>
      </c>
      <c r="BK22" s="39">
        <f t="shared" si="4"/>
        <v>14878761.960000001</v>
      </c>
    </row>
    <row r="23" spans="1:63" x14ac:dyDescent="0.25">
      <c r="A23" s="165"/>
      <c r="B23" s="31" t="s">
        <v>547</v>
      </c>
      <c r="C23" s="114"/>
      <c r="K23" s="5"/>
      <c r="L23" s="5"/>
      <c r="M23" s="5"/>
      <c r="N23" s="5"/>
      <c r="O23" s="5"/>
      <c r="V23" s="12"/>
      <c r="AO23" s="143">
        <v>1500000</v>
      </c>
      <c r="AY23" s="45">
        <f t="shared" si="2"/>
        <v>1500000</v>
      </c>
      <c r="BA23" s="143">
        <v>1500000</v>
      </c>
      <c r="BC23" s="8">
        <f>O23-AY23+BA23</f>
        <v>0</v>
      </c>
      <c r="BD23" s="6"/>
      <c r="BE23" s="264">
        <f>+BC23+AY23</f>
        <v>1500000</v>
      </c>
      <c r="BF23" s="6"/>
      <c r="BG23" s="8">
        <f t="shared" si="1"/>
        <v>-1500000</v>
      </c>
      <c r="BH23" s="12"/>
      <c r="BI23" s="47"/>
      <c r="BK23" s="39"/>
    </row>
    <row r="24" spans="1:63" x14ac:dyDescent="0.25">
      <c r="A24" s="218"/>
      <c r="B24" s="31" t="s">
        <v>315</v>
      </c>
      <c r="C24" s="114" t="s">
        <v>317</v>
      </c>
      <c r="E24" s="7" t="s">
        <v>8</v>
      </c>
      <c r="G24" s="7" t="s">
        <v>115</v>
      </c>
      <c r="K24" s="5">
        <f>4064610+9315020+1500000</f>
        <v>14879630</v>
      </c>
      <c r="L24" s="5"/>
      <c r="M24" s="5">
        <v>11905766</v>
      </c>
      <c r="N24" s="5"/>
      <c r="O24" s="5">
        <f>SUM(K24:N24)</f>
        <v>26785396</v>
      </c>
      <c r="Q24" s="234">
        <f>13392698+943800+1126671</f>
        <v>15463169</v>
      </c>
      <c r="S24" s="143">
        <v>-2065238</v>
      </c>
      <c r="U24" s="143">
        <f>9374889+10246.5+123281.75</f>
        <v>9508417.25</v>
      </c>
      <c r="V24" s="12"/>
      <c r="W24" s="144"/>
      <c r="X24" s="12"/>
      <c r="Y24" s="144">
        <f>-113215.4+652369.63</f>
        <v>539154.23</v>
      </c>
      <c r="Z24" s="12"/>
      <c r="AA24" s="144">
        <f>2700000+60000+442000+2259598</f>
        <v>5461598</v>
      </c>
      <c r="AB24" s="12"/>
      <c r="AC24" s="143">
        <f>-396000-1291080+6233.29+50404.95+126037.25+47164.53+13431.12+56577.48+268566.61+77785.14+536002.1+49578.57+14147.3+680938.26+1339270+2678540+14561.54+81471.53+8313.94+35380.36+3470.23</f>
        <v>4400794.2000000011</v>
      </c>
      <c r="AD24" s="12"/>
      <c r="AE24" s="143">
        <f>147470+100000+8985+71322.02+215453.92+24949.6-268110.4</f>
        <v>300070.14</v>
      </c>
      <c r="AG24" s="143">
        <f>7416.6+2687+9937+24767.55+135431.96+183010.45+78641.11+28671.86+26120.07+62060.03+22604.87</f>
        <v>581348.5</v>
      </c>
      <c r="AI24" s="143">
        <f>(56203.06+56203.07)+114627.55+8878.19+147750+200000-16761.95-676010.24+450000+75600+29054+29946+16761.95+102200.73+186783.89+26483.91</f>
        <v>807720.16000000015</v>
      </c>
      <c r="AK24" s="143">
        <v>295000</v>
      </c>
      <c r="AM24" s="143">
        <f>31666+31666+52404.53</f>
        <v>115736.53</v>
      </c>
      <c r="AO24" s="143">
        <f>31666+25153</f>
        <v>56819</v>
      </c>
      <c r="AY24" s="45">
        <f t="shared" si="2"/>
        <v>35464589.010000005</v>
      </c>
      <c r="BC24" s="8">
        <f>+'Parts_Refurb $s'!D43-NewAlbany!AY24+7533720+295000</f>
        <v>-172555.53000000492</v>
      </c>
      <c r="BD24" s="6"/>
      <c r="BE24" s="264">
        <f t="shared" si="3"/>
        <v>35292033.480000004</v>
      </c>
      <c r="BF24" s="6"/>
      <c r="BG24" s="8">
        <f t="shared" si="1"/>
        <v>-8506637.4800000004</v>
      </c>
      <c r="BH24" s="12"/>
      <c r="BI24" s="143">
        <f>-396000-1291080+126037.25+47164.53+13431.12+56577.48+268566.61+77785.14+536002.1+49578.57+14147.3+680938.26+1339270+2678540+14561.54+81471.53+8313.94+35380.36+3470.23</f>
        <v>4344155.9600000018</v>
      </c>
      <c r="BJ24" s="8">
        <v>-1164043</v>
      </c>
      <c r="BK24" s="39">
        <f t="shared" si="4"/>
        <v>34127990.480000004</v>
      </c>
    </row>
    <row r="25" spans="1:63" x14ac:dyDescent="0.25">
      <c r="A25" s="218"/>
      <c r="B25" s="31" t="s">
        <v>405</v>
      </c>
      <c r="C25" s="114"/>
      <c r="K25" s="128">
        <f>SUBTOTAL(9,K9:K24)</f>
        <v>59964330</v>
      </c>
      <c r="L25" s="8"/>
      <c r="M25" s="128">
        <f>SUBTOTAL(9,M9:M24)</f>
        <v>8951133</v>
      </c>
      <c r="N25" s="8"/>
      <c r="O25" s="128">
        <f>SUBTOTAL(9,O9:O24)</f>
        <v>68915463</v>
      </c>
      <c r="Q25" s="181">
        <f>SUBTOTAL(9,Q9:Q24)</f>
        <v>54816643.590000004</v>
      </c>
      <c r="S25" s="181">
        <f>SUBTOTAL(9,S9:S24)</f>
        <v>-2065236.9300000002</v>
      </c>
      <c r="U25" s="181">
        <f>SUBTOTAL(9,U9:U24)</f>
        <v>13627540.539999999</v>
      </c>
      <c r="V25" s="12"/>
      <c r="W25" s="181">
        <f>SUBTOTAL(9,W9:W24)</f>
        <v>-1000500</v>
      </c>
      <c r="Y25" s="181">
        <f>SUBTOTAL(9,Y9:Y24)</f>
        <v>1214720.03</v>
      </c>
      <c r="AA25" s="181">
        <f>SUBTOTAL(9,AA9:AA24)</f>
        <v>5942931.1400000006</v>
      </c>
      <c r="AC25" s="181">
        <f>SUBTOTAL(9,AC9:AC24)</f>
        <v>5639429.7800000012</v>
      </c>
      <c r="AE25" s="181">
        <f>SUBTOTAL(9,AE9:AE24)</f>
        <v>518483.32</v>
      </c>
      <c r="AF25" s="172"/>
      <c r="AG25" s="181">
        <f>SUBTOTAL(9,AG9:AG24)</f>
        <v>761819.5</v>
      </c>
      <c r="AH25" s="172"/>
      <c r="AI25" s="181">
        <f>SUBTOTAL(9,AI9:AI24)</f>
        <v>807720.16000000015</v>
      </c>
      <c r="AJ25" s="172"/>
      <c r="AK25" s="181">
        <f>SUBTOTAL(9,AK9:AK24)</f>
        <v>295000</v>
      </c>
      <c r="AL25" s="181"/>
      <c r="AM25" s="181">
        <f>SUBTOTAL(9,AM9:AM24)</f>
        <v>115736.53</v>
      </c>
      <c r="AN25" s="172"/>
      <c r="AO25" s="181">
        <f>SUBTOTAL(9,AO9:AO24)</f>
        <v>1556819</v>
      </c>
      <c r="AP25" s="172"/>
      <c r="AQ25" s="181">
        <f>SUBTOTAL(9,AQ9:AQ24)</f>
        <v>0</v>
      </c>
      <c r="AS25" s="181">
        <f>SUBTOTAL(9,AS9:AS24)</f>
        <v>0</v>
      </c>
      <c r="AU25" s="181">
        <f>SUBTOTAL(9,AU9:AU24)</f>
        <v>0</v>
      </c>
      <c r="AW25" s="181">
        <f>SUBTOTAL(9,AW9:AW24)</f>
        <v>0</v>
      </c>
      <c r="AY25" s="181">
        <f>SUBTOTAL(9,AY9:AY24)</f>
        <v>82231106.659999996</v>
      </c>
      <c r="BA25" s="181">
        <f>SUBTOTAL(9,BA9:BA24)</f>
        <v>3754002</v>
      </c>
      <c r="BC25" s="181">
        <f>SUM(BC9:BC24)</f>
        <v>523482.06999999518</v>
      </c>
      <c r="BD25" s="6"/>
      <c r="BE25" s="181">
        <f>SUM(BE9:BE24)</f>
        <v>82754588.730000004</v>
      </c>
      <c r="BF25" s="6"/>
      <c r="BG25" s="181">
        <f>SUM(BG9:BG24)</f>
        <v>-13839125.73</v>
      </c>
      <c r="BH25" s="8"/>
      <c r="BI25" s="8"/>
      <c r="BJ25" s="8">
        <f>SUM(BJ9:BJ24)</f>
        <v>1757287</v>
      </c>
      <c r="BK25" s="39">
        <f>+BE25+BJ25</f>
        <v>84511875.730000004</v>
      </c>
    </row>
    <row r="26" spans="1:63" x14ac:dyDescent="0.25">
      <c r="A26" s="218"/>
      <c r="B26" s="31"/>
      <c r="C26" s="114"/>
      <c r="K26" s="5"/>
      <c r="L26" s="5"/>
      <c r="M26" s="5"/>
      <c r="N26" s="5"/>
      <c r="O26" s="5"/>
      <c r="V26" s="12"/>
      <c r="X26" s="12"/>
      <c r="Z26" s="12"/>
      <c r="AB26" s="12"/>
      <c r="AD26" s="12"/>
      <c r="AY26" s="45"/>
      <c r="BD26" s="6"/>
      <c r="BE26" s="131"/>
      <c r="BF26" s="6"/>
      <c r="BH26" s="12"/>
      <c r="BI26" s="47"/>
    </row>
    <row r="27" spans="1:63" x14ac:dyDescent="0.25">
      <c r="A27" s="218"/>
      <c r="B27" s="31" t="s">
        <v>64</v>
      </c>
      <c r="C27" s="114"/>
      <c r="G27" s="7" t="s">
        <v>115</v>
      </c>
      <c r="K27" s="5">
        <v>0</v>
      </c>
      <c r="L27" s="5"/>
      <c r="M27" s="5">
        <v>5365100</v>
      </c>
      <c r="N27" s="5"/>
      <c r="O27" s="5">
        <f>SUM(K27:N27)</f>
        <v>5365100</v>
      </c>
      <c r="Q27" s="143">
        <f>5000000+359700+5400-167</f>
        <v>5364933</v>
      </c>
      <c r="S27" s="143">
        <v>2065238.15</v>
      </c>
      <c r="U27" s="143">
        <f>3111381.03</f>
        <v>3111381.03</v>
      </c>
      <c r="V27" s="12"/>
      <c r="X27" s="12"/>
      <c r="Y27" s="143">
        <f>+'Parts_Refurb $s'!B21+10000</f>
        <v>-5415745.5699999994</v>
      </c>
      <c r="Z27" s="12"/>
      <c r="AA27" s="143">
        <f>1054144.25+198000-1013887.05+10000</f>
        <v>248257.19999999995</v>
      </c>
      <c r="AB27" s="12"/>
      <c r="AC27" s="143">
        <f>290540+299460+117000+117000+10000+394049.03+20915.68+85985</f>
        <v>1334949.71</v>
      </c>
      <c r="AD27" s="12"/>
      <c r="AE27" s="143">
        <f>85985+6018.95</f>
        <v>92003.95</v>
      </c>
      <c r="AG27" s="143">
        <v>13613.06</v>
      </c>
      <c r="AI27" s="143">
        <f>10000+10000</f>
        <v>20000</v>
      </c>
      <c r="AK27" s="143">
        <f>1026626+10000</f>
        <v>1036626</v>
      </c>
      <c r="AM27" s="143">
        <f>10000+10000</f>
        <v>20000</v>
      </c>
      <c r="AY27" s="45">
        <f t="shared" ref="AY27:AY40" si="6">SUM(P27:AX27)</f>
        <v>7891256.5300000003</v>
      </c>
      <c r="BC27" s="8">
        <v>0</v>
      </c>
      <c r="BD27" s="6"/>
      <c r="BE27" s="131">
        <f t="shared" si="3"/>
        <v>7891256.5300000003</v>
      </c>
      <c r="BF27" s="6"/>
      <c r="BG27" s="8">
        <f>O27-AY27-BC27</f>
        <v>-2526156.5300000003</v>
      </c>
      <c r="BH27" s="12"/>
      <c r="BI27" s="47"/>
      <c r="BJ27" s="8">
        <v>-5488215</v>
      </c>
      <c r="BK27" s="39">
        <f>+BE27+BJ27</f>
        <v>2403041.5300000003</v>
      </c>
    </row>
    <row r="28" spans="1:63" ht="14.25" customHeight="1" x14ac:dyDescent="0.25">
      <c r="A28" s="113"/>
      <c r="B28" s="31" t="s">
        <v>118</v>
      </c>
      <c r="C28" s="114" t="s">
        <v>11</v>
      </c>
      <c r="G28" s="7" t="s">
        <v>9</v>
      </c>
      <c r="K28" s="12">
        <v>0</v>
      </c>
      <c r="M28" s="12">
        <v>0</v>
      </c>
      <c r="O28" s="12">
        <f t="shared" si="5"/>
        <v>0</v>
      </c>
      <c r="Q28" s="143">
        <v>0</v>
      </c>
      <c r="S28" s="143">
        <v>0</v>
      </c>
      <c r="V28" s="12"/>
      <c r="X28" s="12"/>
      <c r="Z28" s="12"/>
      <c r="AB28" s="12"/>
      <c r="AD28" s="12"/>
      <c r="AY28" s="45">
        <f t="shared" si="6"/>
        <v>0</v>
      </c>
      <c r="BC28" s="8">
        <f>IF(+O28-AY28+BA28&gt;0,O28-AY28+BA28,0)</f>
        <v>0</v>
      </c>
      <c r="BD28" s="6"/>
      <c r="BE28" s="8">
        <f t="shared" si="3"/>
        <v>0</v>
      </c>
      <c r="BF28" s="6"/>
      <c r="BG28" s="8">
        <f>O28-AY28-BC28</f>
        <v>0</v>
      </c>
      <c r="BH28" s="12"/>
      <c r="BI28" s="47"/>
    </row>
    <row r="29" spans="1:63" ht="14.25" customHeight="1" x14ac:dyDescent="0.25">
      <c r="A29" s="113"/>
      <c r="B29" s="31"/>
      <c r="C29" s="114"/>
      <c r="K29" s="12"/>
      <c r="M29" s="12"/>
      <c r="O29" s="12"/>
      <c r="V29" s="12"/>
      <c r="X29" s="12"/>
      <c r="Z29" s="12"/>
      <c r="AB29" s="12"/>
      <c r="AD29" s="12"/>
      <c r="AY29" s="45"/>
      <c r="BD29" s="6"/>
      <c r="BF29" s="6"/>
      <c r="BH29" s="12"/>
      <c r="BI29" s="47"/>
    </row>
    <row r="30" spans="1:63" x14ac:dyDescent="0.25">
      <c r="A30" s="113"/>
      <c r="B30" s="31" t="s">
        <v>13</v>
      </c>
      <c r="C30" s="114" t="s">
        <v>14</v>
      </c>
      <c r="E30" s="7" t="s">
        <v>17</v>
      </c>
      <c r="G30" s="7" t="s">
        <v>9</v>
      </c>
      <c r="I30" s="7" t="s">
        <v>119</v>
      </c>
      <c r="K30" s="5">
        <v>6150000</v>
      </c>
      <c r="M30" s="5">
        <v>0</v>
      </c>
      <c r="O30" s="5">
        <f t="shared" si="5"/>
        <v>6150000</v>
      </c>
      <c r="Q30" s="143">
        <f>220127+238258.67+922500</f>
        <v>1380885.67</v>
      </c>
      <c r="V30" s="12"/>
      <c r="X30" s="12"/>
      <c r="Y30" s="234">
        <f>615000+615000</f>
        <v>1230000</v>
      </c>
      <c r="Z30" s="12"/>
      <c r="AA30" s="234">
        <v>615000</v>
      </c>
      <c r="AB30" s="12"/>
      <c r="AC30" s="143">
        <f>410000+205000+1230000+615000</f>
        <v>2460000</v>
      </c>
      <c r="AD30" s="12"/>
      <c r="AE30" s="143">
        <f>238258.65+615000</f>
        <v>853258.65</v>
      </c>
      <c r="AI30" s="143">
        <v>0</v>
      </c>
      <c r="AK30" s="143">
        <f>-150886-238258.65+24844+9511.28+18096</f>
        <v>-336693.37</v>
      </c>
      <c r="AY30" s="45">
        <f t="shared" si="6"/>
        <v>6202450.9500000002</v>
      </c>
      <c r="BC30" s="8">
        <v>0</v>
      </c>
      <c r="BD30" s="6"/>
      <c r="BE30" s="264">
        <f t="shared" si="3"/>
        <v>6202450.9500000002</v>
      </c>
      <c r="BF30" s="6"/>
      <c r="BG30" s="8">
        <f t="shared" ref="BG30:BG40" si="7">O30-AY30-BC30</f>
        <v>-52450.950000000186</v>
      </c>
      <c r="BH30" s="12"/>
      <c r="BI30" s="8"/>
      <c r="BK30" s="39">
        <f t="shared" ref="BK30:BK43" si="8">+BE30+BJ30</f>
        <v>6202450.9500000002</v>
      </c>
    </row>
    <row r="31" spans="1:63" x14ac:dyDescent="0.25">
      <c r="A31" s="113"/>
      <c r="B31" s="31" t="s">
        <v>16</v>
      </c>
      <c r="C31" s="114" t="s">
        <v>14</v>
      </c>
      <c r="E31" s="7" t="s">
        <v>17</v>
      </c>
      <c r="G31" s="7" t="s">
        <v>9</v>
      </c>
      <c r="I31" s="7" t="s">
        <v>119</v>
      </c>
      <c r="K31" s="5">
        <v>162480</v>
      </c>
      <c r="M31" s="5">
        <f>165430-162480</f>
        <v>2950</v>
      </c>
      <c r="O31" s="5">
        <f t="shared" si="5"/>
        <v>165430</v>
      </c>
      <c r="Q31" s="143">
        <v>24814.5</v>
      </c>
      <c r="V31" s="12"/>
      <c r="AA31" s="234">
        <v>115801</v>
      </c>
      <c r="AK31" s="143">
        <f>16543+8271.5</f>
        <v>24814.5</v>
      </c>
      <c r="AY31" s="45">
        <f t="shared" si="6"/>
        <v>165430</v>
      </c>
      <c r="BC31" s="8">
        <f>165430-AY31</f>
        <v>0</v>
      </c>
      <c r="BD31" s="6"/>
      <c r="BE31" s="8">
        <f t="shared" si="3"/>
        <v>165430</v>
      </c>
      <c r="BF31" s="6"/>
      <c r="BG31" s="8">
        <f t="shared" si="7"/>
        <v>0</v>
      </c>
      <c r="BH31" s="12"/>
      <c r="BI31" s="8"/>
      <c r="BK31" s="39">
        <f t="shared" si="8"/>
        <v>165430</v>
      </c>
    </row>
    <row r="32" spans="1:63" x14ac:dyDescent="0.25">
      <c r="A32" s="113"/>
      <c r="B32" s="31" t="s">
        <v>18</v>
      </c>
      <c r="C32" s="114" t="s">
        <v>14</v>
      </c>
      <c r="E32" s="7" t="s">
        <v>17</v>
      </c>
      <c r="G32" s="7" t="s">
        <v>9</v>
      </c>
      <c r="I32" s="7" t="s">
        <v>119</v>
      </c>
      <c r="K32" s="5">
        <v>59780</v>
      </c>
      <c r="M32" s="5">
        <f>75356-59780</f>
        <v>15576</v>
      </c>
      <c r="O32" s="5">
        <f t="shared" si="5"/>
        <v>75356</v>
      </c>
      <c r="Q32" s="143">
        <v>11303.4</v>
      </c>
      <c r="V32" s="12"/>
      <c r="AA32" s="234">
        <v>52749.2</v>
      </c>
      <c r="AK32" s="143">
        <f>7535.6+3767.8</f>
        <v>11303.400000000001</v>
      </c>
      <c r="AY32" s="45">
        <f t="shared" si="6"/>
        <v>75356</v>
      </c>
      <c r="BC32" s="8">
        <f>75356-AY32</f>
        <v>0</v>
      </c>
      <c r="BD32" s="6"/>
      <c r="BE32" s="8">
        <f t="shared" si="3"/>
        <v>75356</v>
      </c>
      <c r="BF32" s="6"/>
      <c r="BG32" s="8">
        <f t="shared" si="7"/>
        <v>0</v>
      </c>
      <c r="BH32" s="12"/>
      <c r="BI32" s="8"/>
      <c r="BK32" s="39">
        <f t="shared" si="8"/>
        <v>75356</v>
      </c>
    </row>
    <row r="33" spans="1:63" x14ac:dyDescent="0.25">
      <c r="A33" s="113"/>
      <c r="B33" s="31" t="s">
        <v>19</v>
      </c>
      <c r="C33" s="114" t="s">
        <v>14</v>
      </c>
      <c r="E33" s="7" t="s">
        <v>17</v>
      </c>
      <c r="G33" s="7" t="s">
        <v>9</v>
      </c>
      <c r="I33" s="7" t="s">
        <v>119</v>
      </c>
      <c r="K33" s="5">
        <v>4160160</v>
      </c>
      <c r="M33" s="5">
        <v>0</v>
      </c>
      <c r="O33" s="5">
        <f t="shared" si="5"/>
        <v>4160160</v>
      </c>
      <c r="Q33" s="143">
        <f>377761.5+246263</f>
        <v>624024.5</v>
      </c>
      <c r="U33" s="234">
        <f>492525+492525</f>
        <v>985050</v>
      </c>
      <c r="V33" s="12"/>
      <c r="W33" s="234">
        <f>293814.5</f>
        <v>293814.5</v>
      </c>
      <c r="Y33" s="234">
        <f>293814.5+293814.5</f>
        <v>587629</v>
      </c>
      <c r="AC33" s="143">
        <f>82087.5+293814.5+293814.5+293814.5</f>
        <v>963531</v>
      </c>
      <c r="AI33" s="143">
        <v>0</v>
      </c>
      <c r="AK33" s="143">
        <f>251841+164175+125920.5+82087.5+17178.46+82087.5</f>
        <v>723289.96</v>
      </c>
      <c r="AY33" s="45">
        <f t="shared" si="6"/>
        <v>4177338.96</v>
      </c>
      <c r="BA33" s="143">
        <v>0</v>
      </c>
      <c r="BC33" s="8">
        <v>0</v>
      </c>
      <c r="BD33" s="6"/>
      <c r="BE33" s="8">
        <f t="shared" si="3"/>
        <v>4177338.96</v>
      </c>
      <c r="BF33" s="6"/>
      <c r="BG33" s="8">
        <f t="shared" si="7"/>
        <v>-17178.959999999963</v>
      </c>
      <c r="BH33" s="12"/>
      <c r="BI33" s="8"/>
      <c r="BK33" s="39">
        <f t="shared" si="8"/>
        <v>4177338.96</v>
      </c>
    </row>
    <row r="34" spans="1:63" x14ac:dyDescent="0.25">
      <c r="A34" s="113"/>
      <c r="B34" s="31" t="s">
        <v>512</v>
      </c>
      <c r="C34" s="114"/>
      <c r="K34" s="5"/>
      <c r="M34" s="5"/>
      <c r="O34" s="5">
        <f t="shared" si="5"/>
        <v>0</v>
      </c>
      <c r="U34" s="234"/>
      <c r="V34" s="12"/>
      <c r="W34" s="234"/>
      <c r="Y34" s="234"/>
      <c r="AY34" s="45">
        <f t="shared" si="6"/>
        <v>0</v>
      </c>
      <c r="BA34" s="143">
        <v>0</v>
      </c>
      <c r="BC34" s="8">
        <f>IF(+O34-AY34+BA34&gt;0,O34-AY34+BA34,0)</f>
        <v>0</v>
      </c>
      <c r="BD34" s="6"/>
      <c r="BE34" s="8">
        <f t="shared" si="3"/>
        <v>0</v>
      </c>
      <c r="BF34" s="6"/>
      <c r="BG34" s="8">
        <f t="shared" si="7"/>
        <v>0</v>
      </c>
      <c r="BH34" s="12"/>
      <c r="BI34" s="8"/>
      <c r="BK34" s="39"/>
    </row>
    <row r="35" spans="1:63" x14ac:dyDescent="0.25">
      <c r="A35" s="113"/>
      <c r="B35" s="31" t="s">
        <v>515</v>
      </c>
      <c r="C35" s="114"/>
      <c r="K35" s="5"/>
      <c r="M35" s="5"/>
      <c r="O35" s="5">
        <f t="shared" si="5"/>
        <v>0</v>
      </c>
      <c r="U35" s="234"/>
      <c r="V35" s="12"/>
      <c r="W35" s="234"/>
      <c r="Y35" s="234"/>
      <c r="AG35" s="143">
        <v>300000</v>
      </c>
      <c r="AK35" s="143">
        <v>301800</v>
      </c>
      <c r="AY35" s="45">
        <f t="shared" si="6"/>
        <v>601800</v>
      </c>
      <c r="BA35" s="143">
        <v>0</v>
      </c>
      <c r="BC35" s="8">
        <f>601800-AY35</f>
        <v>0</v>
      </c>
      <c r="BD35" s="6"/>
      <c r="BE35" s="8">
        <f t="shared" si="3"/>
        <v>601800</v>
      </c>
      <c r="BF35" s="6"/>
      <c r="BG35" s="8">
        <f t="shared" si="7"/>
        <v>-601800</v>
      </c>
      <c r="BH35" s="12"/>
      <c r="BI35" s="8"/>
      <c r="BK35" s="39"/>
    </row>
    <row r="36" spans="1:63" x14ac:dyDescent="0.25">
      <c r="A36" s="113"/>
      <c r="B36" s="31" t="s">
        <v>20</v>
      </c>
      <c r="C36" s="114" t="s">
        <v>14</v>
      </c>
      <c r="E36" s="7" t="s">
        <v>17</v>
      </c>
      <c r="G36" s="7" t="s">
        <v>9</v>
      </c>
      <c r="I36" s="7" t="s">
        <v>21</v>
      </c>
      <c r="K36" s="5">
        <v>15000</v>
      </c>
      <c r="M36" s="5">
        <v>10000</v>
      </c>
      <c r="O36" s="5">
        <f t="shared" si="5"/>
        <v>25000</v>
      </c>
      <c r="Q36" s="143">
        <v>0</v>
      </c>
      <c r="S36" s="143">
        <v>0</v>
      </c>
      <c r="V36" s="12"/>
      <c r="AY36" s="45">
        <f t="shared" si="6"/>
        <v>0</v>
      </c>
      <c r="BC36" s="8">
        <v>0</v>
      </c>
      <c r="BD36" s="6"/>
      <c r="BE36" s="8">
        <f t="shared" si="3"/>
        <v>0</v>
      </c>
      <c r="BF36" s="6"/>
      <c r="BG36" s="8">
        <f t="shared" si="7"/>
        <v>25000</v>
      </c>
      <c r="BH36" s="12"/>
      <c r="BI36" s="8"/>
      <c r="BK36" s="39">
        <f t="shared" si="8"/>
        <v>0</v>
      </c>
    </row>
    <row r="37" spans="1:63" x14ac:dyDescent="0.25">
      <c r="A37" s="113"/>
      <c r="B37" s="31" t="s">
        <v>22</v>
      </c>
      <c r="C37" s="114" t="s">
        <v>14</v>
      </c>
      <c r="E37" s="7" t="s">
        <v>17</v>
      </c>
      <c r="G37" s="7" t="s">
        <v>9</v>
      </c>
      <c r="I37" s="7" t="s">
        <v>119</v>
      </c>
      <c r="K37" s="5">
        <v>146850</v>
      </c>
      <c r="M37" s="5">
        <v>0</v>
      </c>
      <c r="O37" s="5">
        <f t="shared" si="5"/>
        <v>146850</v>
      </c>
      <c r="Q37" s="143">
        <v>0</v>
      </c>
      <c r="S37" s="143">
        <v>0</v>
      </c>
      <c r="V37" s="12"/>
      <c r="AY37" s="45">
        <f t="shared" si="6"/>
        <v>0</v>
      </c>
      <c r="BC37" s="8">
        <v>0</v>
      </c>
      <c r="BD37" s="6"/>
      <c r="BE37" s="8">
        <f t="shared" si="3"/>
        <v>0</v>
      </c>
      <c r="BF37" s="6"/>
      <c r="BG37" s="8">
        <f t="shared" si="7"/>
        <v>146850</v>
      </c>
      <c r="BH37" s="12"/>
      <c r="BI37" s="8"/>
      <c r="BK37" s="39">
        <f t="shared" si="8"/>
        <v>0</v>
      </c>
    </row>
    <row r="38" spans="1:63" x14ac:dyDescent="0.25">
      <c r="A38" s="116"/>
      <c r="B38" s="31" t="s">
        <v>23</v>
      </c>
      <c r="C38" s="118" t="s">
        <v>14</v>
      </c>
      <c r="E38" s="7" t="s">
        <v>17</v>
      </c>
      <c r="G38" s="7" t="s">
        <v>9</v>
      </c>
      <c r="I38" s="7" t="s">
        <v>119</v>
      </c>
      <c r="K38" s="5">
        <v>154950</v>
      </c>
      <c r="M38" s="5">
        <v>0</v>
      </c>
      <c r="O38" s="5">
        <f t="shared" si="5"/>
        <v>154950</v>
      </c>
      <c r="Q38" s="143">
        <v>0</v>
      </c>
      <c r="S38" s="143">
        <v>0</v>
      </c>
      <c r="V38" s="12"/>
      <c r="AC38" s="143">
        <v>0</v>
      </c>
      <c r="AY38" s="45">
        <f t="shared" si="6"/>
        <v>0</v>
      </c>
      <c r="BC38" s="8">
        <v>0</v>
      </c>
      <c r="BD38" s="6"/>
      <c r="BE38" s="8">
        <f t="shared" si="3"/>
        <v>0</v>
      </c>
      <c r="BF38" s="6"/>
      <c r="BG38" s="8">
        <f t="shared" si="7"/>
        <v>154950</v>
      </c>
      <c r="BH38" s="12"/>
      <c r="BI38" s="8"/>
      <c r="BK38" s="39">
        <f t="shared" si="8"/>
        <v>0</v>
      </c>
    </row>
    <row r="39" spans="1:63" x14ac:dyDescent="0.25">
      <c r="A39" s="116"/>
      <c r="B39" s="31" t="s">
        <v>24</v>
      </c>
      <c r="C39" s="118" t="s">
        <v>14</v>
      </c>
      <c r="E39" s="7" t="s">
        <v>17</v>
      </c>
      <c r="G39" s="7" t="s">
        <v>9</v>
      </c>
      <c r="I39" s="7" t="s">
        <v>21</v>
      </c>
      <c r="K39" s="5">
        <v>10000</v>
      </c>
      <c r="M39" s="5">
        <v>0</v>
      </c>
      <c r="O39" s="5">
        <f t="shared" si="5"/>
        <v>10000</v>
      </c>
      <c r="Q39" s="143">
        <v>0</v>
      </c>
      <c r="S39" s="143">
        <v>0</v>
      </c>
      <c r="V39" s="12"/>
      <c r="AY39" s="45">
        <f t="shared" si="6"/>
        <v>0</v>
      </c>
      <c r="BC39" s="8">
        <v>0</v>
      </c>
      <c r="BD39" s="6"/>
      <c r="BE39" s="8">
        <f t="shared" si="3"/>
        <v>0</v>
      </c>
      <c r="BF39" s="6"/>
      <c r="BG39" s="8">
        <f t="shared" si="7"/>
        <v>10000</v>
      </c>
      <c r="BH39" s="12"/>
      <c r="BI39" s="8"/>
      <c r="BK39" s="39">
        <f t="shared" si="8"/>
        <v>0</v>
      </c>
    </row>
    <row r="40" spans="1:63" x14ac:dyDescent="0.25">
      <c r="A40" s="113"/>
      <c r="B40" s="31" t="s">
        <v>25</v>
      </c>
      <c r="C40" s="114" t="s">
        <v>14</v>
      </c>
      <c r="E40" s="7" t="s">
        <v>17</v>
      </c>
      <c r="G40" s="7" t="s">
        <v>9</v>
      </c>
      <c r="I40" s="7" t="s">
        <v>21</v>
      </c>
      <c r="K40" s="13">
        <v>10000</v>
      </c>
      <c r="M40" s="13">
        <v>-10000</v>
      </c>
      <c r="O40" s="13">
        <f t="shared" si="5"/>
        <v>0</v>
      </c>
      <c r="Q40" s="144">
        <v>0</v>
      </c>
      <c r="R40" s="235"/>
      <c r="S40" s="144">
        <v>0</v>
      </c>
      <c r="T40" s="235"/>
      <c r="U40" s="144"/>
      <c r="V40" s="12"/>
      <c r="W40" s="144"/>
      <c r="X40" s="21"/>
      <c r="Y40" s="144"/>
      <c r="Z40" s="21"/>
      <c r="AA40" s="144"/>
      <c r="AB40" s="21"/>
      <c r="AC40" s="144">
        <f>54600+53300</f>
        <v>107900</v>
      </c>
      <c r="AD40" s="21"/>
      <c r="AE40" s="144"/>
      <c r="AF40" s="173"/>
      <c r="AG40" s="144"/>
      <c r="AH40" s="173"/>
      <c r="AI40" s="144">
        <v>6600</v>
      </c>
      <c r="AJ40" s="173"/>
      <c r="AK40" s="144"/>
      <c r="AL40" s="144"/>
      <c r="AM40" s="144"/>
      <c r="AN40" s="173"/>
      <c r="AO40" s="144"/>
      <c r="AP40" s="173"/>
      <c r="AQ40" s="144"/>
      <c r="AS40" s="144"/>
      <c r="AU40" s="144"/>
      <c r="AW40" s="144"/>
      <c r="AY40" s="129">
        <f t="shared" si="6"/>
        <v>114500</v>
      </c>
      <c r="BA40" s="144"/>
      <c r="BC40" s="14">
        <v>0</v>
      </c>
      <c r="BD40" s="6"/>
      <c r="BE40" s="35">
        <f t="shared" si="3"/>
        <v>114500</v>
      </c>
      <c r="BF40" s="6"/>
      <c r="BG40" s="14">
        <f t="shared" si="7"/>
        <v>-114500</v>
      </c>
      <c r="BH40" s="34"/>
      <c r="BI40" s="21"/>
      <c r="BK40" s="39">
        <f t="shared" si="8"/>
        <v>114500</v>
      </c>
    </row>
    <row r="41" spans="1:63" x14ac:dyDescent="0.25">
      <c r="A41" s="113"/>
      <c r="B41" s="31" t="s">
        <v>470</v>
      </c>
      <c r="C41" s="114"/>
      <c r="K41" s="20">
        <f>SUM(K27:K40)</f>
        <v>10869220</v>
      </c>
      <c r="M41" s="20">
        <f>SUM(M27:M40)</f>
        <v>5383626</v>
      </c>
      <c r="O41" s="20">
        <f>SUBTOTAL(9,O30:O40)</f>
        <v>10887746</v>
      </c>
      <c r="Q41" s="20">
        <f>SUBTOTAL(9,Q30:Q40)</f>
        <v>2041028.0699999998</v>
      </c>
      <c r="R41" s="235"/>
      <c r="S41" s="20">
        <f>SUBTOTAL(9,S30:S40)</f>
        <v>0</v>
      </c>
      <c r="T41" s="235"/>
      <c r="U41" s="20">
        <f>SUBTOTAL(9,U30:U40)</f>
        <v>985050</v>
      </c>
      <c r="V41" s="12"/>
      <c r="W41" s="20">
        <f>SUBTOTAL(9,W30:W40)</f>
        <v>293814.5</v>
      </c>
      <c r="X41" s="21"/>
      <c r="Y41" s="20">
        <f>SUBTOTAL(9,Y30:Y40)</f>
        <v>1817629</v>
      </c>
      <c r="Z41" s="21"/>
      <c r="AA41" s="20">
        <f>SUBTOTAL(9,AA30:AA40)</f>
        <v>783550.2</v>
      </c>
      <c r="AB41" s="21"/>
      <c r="AC41" s="20">
        <f>SUBTOTAL(9,AC30:AC40)</f>
        <v>3531431</v>
      </c>
      <c r="AD41" s="21"/>
      <c r="AE41" s="20">
        <f>SUBTOTAL(9,AE30:AE40)</f>
        <v>853258.65</v>
      </c>
      <c r="AF41" s="20"/>
      <c r="AG41" s="20">
        <f>SUBTOTAL(9,AG30:AG40)</f>
        <v>300000</v>
      </c>
      <c r="AH41" s="20"/>
      <c r="AI41" s="20">
        <f>SUBTOTAL(9,AI30:AI40)</f>
        <v>6600</v>
      </c>
      <c r="AJ41" s="20"/>
      <c r="AK41" s="20">
        <f>SUBTOTAL(9,AK30:AK40)</f>
        <v>724514.49</v>
      </c>
      <c r="AL41" s="20"/>
      <c r="AM41" s="20">
        <f>SUBTOTAL(9,AM30:AM40)</f>
        <v>0</v>
      </c>
      <c r="AN41" s="20"/>
      <c r="AO41" s="20">
        <f>SUBTOTAL(9,AO30:AO40)</f>
        <v>0</v>
      </c>
      <c r="AP41" s="20"/>
      <c r="AQ41" s="20">
        <f>SUBTOTAL(9,AQ30:AQ40)</f>
        <v>0</v>
      </c>
      <c r="AS41" s="20">
        <f>SUBTOTAL(9,AS30:AS40)</f>
        <v>0</v>
      </c>
      <c r="AU41" s="20">
        <f>SUBTOTAL(9,AU30:AU40)</f>
        <v>0</v>
      </c>
      <c r="AW41" s="20">
        <f>SUBTOTAL(9,AW30:AW40)</f>
        <v>0</v>
      </c>
      <c r="AY41" s="20">
        <f>SUBTOTAL(9,AY30:AY40)</f>
        <v>11336875.91</v>
      </c>
      <c r="BA41" s="20">
        <f>SUM(BA27:BA40)</f>
        <v>0</v>
      </c>
      <c r="BC41" s="20">
        <f>SUM(BC30:BC40)</f>
        <v>0</v>
      </c>
      <c r="BD41" s="6"/>
      <c r="BE41" s="20">
        <f>SUM(BE30:BE40)</f>
        <v>11336875.91</v>
      </c>
      <c r="BF41" s="6"/>
      <c r="BG41" s="20">
        <f>SUM(BG30:BG40)</f>
        <v>-449129.91000000015</v>
      </c>
      <c r="BH41" s="34"/>
      <c r="BI41" s="21"/>
      <c r="BK41" s="39"/>
    </row>
    <row r="42" spans="1:63" x14ac:dyDescent="0.25">
      <c r="A42" s="113"/>
      <c r="B42" s="31"/>
      <c r="C42" s="114"/>
      <c r="K42" s="13"/>
      <c r="M42" s="13"/>
      <c r="O42" s="13"/>
      <c r="Q42" s="13"/>
      <c r="R42" s="235"/>
      <c r="S42" s="13"/>
      <c r="T42" s="235"/>
      <c r="U42" s="13"/>
      <c r="V42" s="12"/>
      <c r="W42" s="13"/>
      <c r="X42" s="21"/>
      <c r="Y42" s="13"/>
      <c r="Z42" s="21"/>
      <c r="AA42" s="13"/>
      <c r="AB42" s="21"/>
      <c r="AC42" s="13"/>
      <c r="AD42" s="21"/>
      <c r="AE42" s="13"/>
      <c r="AF42" s="20"/>
      <c r="AG42" s="13"/>
      <c r="AH42" s="20"/>
      <c r="AI42" s="13"/>
      <c r="AJ42" s="20"/>
      <c r="AK42" s="13"/>
      <c r="AL42" s="13"/>
      <c r="AM42" s="13"/>
      <c r="AN42" s="20"/>
      <c r="AO42" s="13"/>
      <c r="AP42" s="20"/>
      <c r="AQ42" s="13"/>
      <c r="AS42" s="13"/>
      <c r="AU42" s="13"/>
      <c r="AW42" s="13"/>
      <c r="AY42" s="13"/>
      <c r="BA42" s="13"/>
      <c r="BC42" s="13"/>
      <c r="BD42" s="6"/>
      <c r="BE42" s="13"/>
      <c r="BF42" s="6"/>
      <c r="BG42" s="13"/>
      <c r="BH42" s="34"/>
      <c r="BI42" s="21"/>
      <c r="BK42" s="39"/>
    </row>
    <row r="43" spans="1:63" x14ac:dyDescent="0.25">
      <c r="A43" s="17"/>
      <c r="B43" s="31" t="s">
        <v>26</v>
      </c>
      <c r="C43" s="114"/>
      <c r="K43" s="15">
        <f>K25+K27+K28+K41</f>
        <v>70833550</v>
      </c>
      <c r="M43" s="15">
        <f>M25+M27+M28+M41</f>
        <v>19699859</v>
      </c>
      <c r="O43" s="15">
        <f>O25+O27+O28+O41</f>
        <v>85168309</v>
      </c>
      <c r="Q43" s="15">
        <f>Q25+Q27+Q28+Q41</f>
        <v>62222604.660000004</v>
      </c>
      <c r="R43" s="231"/>
      <c r="S43" s="15">
        <f>S25+S27+S28+S41</f>
        <v>1.2199999997392297</v>
      </c>
      <c r="T43" s="231"/>
      <c r="U43" s="15">
        <f>U25+U27+U28+U41</f>
        <v>17723971.57</v>
      </c>
      <c r="V43" s="12"/>
      <c r="W43" s="15">
        <f>W25+W27+W28+W41</f>
        <v>-706685.5</v>
      </c>
      <c r="X43" s="15"/>
      <c r="Y43" s="15">
        <f>Y25+Y27+Y28+Y41</f>
        <v>-2383396.5399999991</v>
      </c>
      <c r="Z43" s="15"/>
      <c r="AA43" s="15">
        <f>AA25+AA27+AA28+AA41</f>
        <v>6974738.540000001</v>
      </c>
      <c r="AB43" s="15"/>
      <c r="AC43" s="15">
        <f>AC25+AC27+AC28+AC41</f>
        <v>10505810.490000002</v>
      </c>
      <c r="AD43" s="15"/>
      <c r="AE43" s="15">
        <f>AE25+AE27+AE28+AE41</f>
        <v>1463745.92</v>
      </c>
      <c r="AF43" s="15"/>
      <c r="AG43" s="15">
        <f>AG25+AG27+AG28+AG41</f>
        <v>1075432.56</v>
      </c>
      <c r="AH43" s="15"/>
      <c r="AI43" s="15">
        <f>AI25+AI27+AI28+AI41</f>
        <v>834320.16000000015</v>
      </c>
      <c r="AJ43" s="15"/>
      <c r="AK43" s="15">
        <f>AK25+AK27+AK28+AK41</f>
        <v>2056140.49</v>
      </c>
      <c r="AL43" s="15"/>
      <c r="AM43" s="15">
        <f>AM25+AM27+AM28+AM41</f>
        <v>135736.53</v>
      </c>
      <c r="AN43" s="15"/>
      <c r="AO43" s="15">
        <f>AO25+AO27+AO28+AO41</f>
        <v>1556819</v>
      </c>
      <c r="AP43" s="15"/>
      <c r="AQ43" s="15">
        <f>AQ25+AQ27+AQ28+AQ41</f>
        <v>0</v>
      </c>
      <c r="AS43" s="15">
        <f>AS25+AS27+AS28+AS41</f>
        <v>0</v>
      </c>
      <c r="AU43" s="15">
        <f>AU25+AU27+AU28+AU41</f>
        <v>0</v>
      </c>
      <c r="AW43" s="15">
        <f>AW25+AW27+AW28+AW41</f>
        <v>0</v>
      </c>
      <c r="AY43" s="15">
        <f>AY25+AY27+AY28+AY41</f>
        <v>101459239.09999999</v>
      </c>
      <c r="BA43" s="15">
        <f>+BA41+BA25</f>
        <v>3754002</v>
      </c>
      <c r="BC43" s="15">
        <f>BC25+BC27+BC28+BC41</f>
        <v>523482.06999999518</v>
      </c>
      <c r="BD43" s="6"/>
      <c r="BE43" s="15">
        <f>BE25+BE27+BE28+BE41</f>
        <v>101982721.17</v>
      </c>
      <c r="BF43" s="6"/>
      <c r="BG43" s="15">
        <f>BG25+BG27+BG28+BG41</f>
        <v>-16814412.170000002</v>
      </c>
      <c r="BH43" s="12"/>
      <c r="BI43" s="15"/>
      <c r="BJ43" s="8">
        <f>SUM(BJ25:BJ40)</f>
        <v>-3730928</v>
      </c>
      <c r="BK43" s="39">
        <f t="shared" si="8"/>
        <v>98251793.170000002</v>
      </c>
    </row>
    <row r="44" spans="1:63" x14ac:dyDescent="0.25">
      <c r="A44" s="113"/>
      <c r="B44" s="171"/>
      <c r="C44" s="114"/>
      <c r="V44" s="12"/>
      <c r="AY44" s="45"/>
      <c r="BD44" s="6"/>
      <c r="BF44" s="6"/>
      <c r="BH44" s="8"/>
      <c r="BI44" s="8"/>
    </row>
    <row r="45" spans="1:63" x14ac:dyDescent="0.25">
      <c r="A45" s="112" t="s">
        <v>27</v>
      </c>
      <c r="B45" s="19"/>
      <c r="C45" s="114"/>
      <c r="V45" s="12"/>
      <c r="AY45" s="45"/>
      <c r="BD45" s="6"/>
      <c r="BF45" s="6"/>
      <c r="BH45" s="8"/>
      <c r="BI45" s="8"/>
    </row>
    <row r="46" spans="1:63" x14ac:dyDescent="0.25">
      <c r="A46" s="120"/>
      <c r="B46" s="31" t="s">
        <v>28</v>
      </c>
      <c r="C46" s="114" t="s">
        <v>29</v>
      </c>
      <c r="E46" s="7" t="s">
        <v>17</v>
      </c>
      <c r="G46" s="7" t="s">
        <v>9</v>
      </c>
      <c r="I46" s="7" t="s">
        <v>21</v>
      </c>
      <c r="K46" s="8">
        <v>251225</v>
      </c>
      <c r="M46" s="8">
        <f>397500-251225</f>
        <v>146275</v>
      </c>
      <c r="O46" s="8">
        <f>SUM(K46:N46)</f>
        <v>397500</v>
      </c>
      <c r="R46" s="236"/>
      <c r="S46" s="143">
        <f>9814.21+29565.13</f>
        <v>39379.339999999997</v>
      </c>
      <c r="T46" s="236"/>
      <c r="U46" s="143">
        <v>31484.89</v>
      </c>
      <c r="V46" s="12"/>
      <c r="X46" s="45"/>
      <c r="Z46" s="45"/>
      <c r="AA46" s="143">
        <f>8446+7462</f>
        <v>15908</v>
      </c>
      <c r="AB46" s="45"/>
      <c r="AD46" s="45"/>
      <c r="AE46" s="143">
        <f>47333.27+67041.23+53481.29+19477.97+33866.18+38218.02+71208.95-4304.31-1664.69</f>
        <v>324657.90999999997</v>
      </c>
      <c r="AG46" s="143">
        <f>84659.24+52858.29</f>
        <v>137517.53</v>
      </c>
      <c r="AI46" s="143">
        <f>56944.36+17928+103320</f>
        <v>178192.36</v>
      </c>
      <c r="AM46" s="143">
        <v>23268.37</v>
      </c>
      <c r="AO46" s="143">
        <v>7845.45</v>
      </c>
      <c r="AQ46" s="143">
        <v>51444.89</v>
      </c>
      <c r="AY46" s="45">
        <f>SUM(P46:AX46)</f>
        <v>809698.73999999987</v>
      </c>
      <c r="BA46" s="143">
        <f>570000-397500+72200+189000+34800</f>
        <v>468500</v>
      </c>
      <c r="BC46" s="8">
        <f>IF(+O46-AY46+BA46&gt;0,O46-AY46+BA46,0)</f>
        <v>56301.260000000126</v>
      </c>
      <c r="BD46" s="6"/>
      <c r="BE46" s="8">
        <f t="shared" si="3"/>
        <v>866000</v>
      </c>
      <c r="BF46" s="6"/>
      <c r="BG46" s="8">
        <f>O46-AY46-BC46</f>
        <v>-468500</v>
      </c>
      <c r="BH46" s="12"/>
      <c r="BI46" s="131"/>
    </row>
    <row r="47" spans="1:63" x14ac:dyDescent="0.25">
      <c r="A47" s="120"/>
      <c r="B47" s="31" t="s">
        <v>30</v>
      </c>
      <c r="C47" s="114" t="s">
        <v>29</v>
      </c>
      <c r="E47" s="7" t="s">
        <v>17</v>
      </c>
      <c r="G47" s="7" t="s">
        <v>9</v>
      </c>
      <c r="I47" s="7" t="s">
        <v>21</v>
      </c>
      <c r="K47" s="8">
        <v>6500</v>
      </c>
      <c r="M47" s="8">
        <v>5700</v>
      </c>
      <c r="O47" s="8">
        <f>SUM(K47:N47)</f>
        <v>12200</v>
      </c>
      <c r="R47" s="236"/>
      <c r="S47" s="143">
        <v>0</v>
      </c>
      <c r="T47" s="236"/>
      <c r="V47" s="12"/>
      <c r="X47" s="45"/>
      <c r="Z47" s="45"/>
      <c r="AB47" s="45"/>
      <c r="AD47" s="45"/>
      <c r="AY47" s="45">
        <f>SUM(P47:AX47)</f>
        <v>0</v>
      </c>
      <c r="BA47" s="143">
        <v>-12200</v>
      </c>
      <c r="BC47" s="8">
        <f>IF(+O47-AY47+BA47&gt;0,O47-AY47+BA47,0)</f>
        <v>0</v>
      </c>
      <c r="BD47" s="6"/>
      <c r="BE47" s="8">
        <f t="shared" si="3"/>
        <v>0</v>
      </c>
      <c r="BF47" s="6"/>
      <c r="BG47" s="8">
        <f>O47-AY47-BC47</f>
        <v>12200</v>
      </c>
      <c r="BH47" s="12"/>
      <c r="BI47" s="8"/>
    </row>
    <row r="48" spans="1:63" x14ac:dyDescent="0.25">
      <c r="A48" s="120"/>
      <c r="B48" s="31" t="s">
        <v>31</v>
      </c>
      <c r="C48" s="114" t="s">
        <v>29</v>
      </c>
      <c r="E48" s="7" t="s">
        <v>17</v>
      </c>
      <c r="G48" s="7" t="s">
        <v>9</v>
      </c>
      <c r="I48" s="7" t="s">
        <v>21</v>
      </c>
      <c r="K48" s="8">
        <v>24500</v>
      </c>
      <c r="M48" s="8">
        <v>0</v>
      </c>
      <c r="O48" s="8">
        <f>SUM(K48:N48)</f>
        <v>24500</v>
      </c>
      <c r="R48" s="236"/>
      <c r="S48" s="143">
        <v>0</v>
      </c>
      <c r="T48" s="236"/>
      <c r="V48" s="12"/>
      <c r="X48" s="45"/>
      <c r="Z48" s="45"/>
      <c r="AB48" s="45"/>
      <c r="AD48" s="45"/>
      <c r="AE48" s="143">
        <f>12545.77+1664.69+9495.51</f>
        <v>23705.97</v>
      </c>
      <c r="AG48" s="143">
        <f>1308.97+13891.31</f>
        <v>15200.279999999999</v>
      </c>
      <c r="AI48" s="143">
        <v>157.27000000000001</v>
      </c>
      <c r="AY48" s="45">
        <f>SUM(P48:AX48)</f>
        <v>39063.519999999997</v>
      </c>
      <c r="BA48" s="143">
        <f>47300-24500-7300</f>
        <v>15500</v>
      </c>
      <c r="BC48" s="8">
        <f>IF(+O48-AY48+BA48&gt;0,O48-AY48+BA48,0)</f>
        <v>936.4800000000032</v>
      </c>
      <c r="BD48" s="6"/>
      <c r="BE48" s="8">
        <f t="shared" si="3"/>
        <v>40000</v>
      </c>
      <c r="BF48" s="6"/>
      <c r="BG48" s="8">
        <f>O48-AY48-BC48</f>
        <v>-15500</v>
      </c>
      <c r="BH48" s="12"/>
      <c r="BI48" s="8"/>
    </row>
    <row r="49" spans="1:63" x14ac:dyDescent="0.25">
      <c r="A49" s="120"/>
      <c r="B49" s="31" t="s">
        <v>32</v>
      </c>
      <c r="C49" s="114" t="s">
        <v>29</v>
      </c>
      <c r="E49" s="7" t="s">
        <v>17</v>
      </c>
      <c r="G49" s="7" t="s">
        <v>9</v>
      </c>
      <c r="I49" s="7" t="s">
        <v>21</v>
      </c>
      <c r="K49" s="21">
        <v>113050</v>
      </c>
      <c r="L49" s="19"/>
      <c r="M49" s="8">
        <f>115300-113050</f>
        <v>2250</v>
      </c>
      <c r="N49" s="19"/>
      <c r="O49" s="21">
        <f>SUM(K49:N49)</f>
        <v>115300</v>
      </c>
      <c r="P49" s="19"/>
      <c r="Q49" s="173"/>
      <c r="R49" s="237"/>
      <c r="S49" s="173">
        <f>970.36+2297.64</f>
        <v>3268</v>
      </c>
      <c r="T49" s="237"/>
      <c r="U49" s="173">
        <f>5198.51</f>
        <v>5198.51</v>
      </c>
      <c r="V49" s="12"/>
      <c r="W49" s="173"/>
      <c r="X49" s="172"/>
      <c r="Y49" s="173"/>
      <c r="Z49" s="172"/>
      <c r="AA49" s="173"/>
      <c r="AB49" s="172"/>
      <c r="AC49" s="173"/>
      <c r="AD49" s="172"/>
      <c r="AE49" s="173">
        <f>11303.31+5026.39+6624.44+4304.31+23996.78+2091.18</f>
        <v>53346.409999999996</v>
      </c>
      <c r="AF49" s="173"/>
      <c r="AG49" s="173">
        <f>14548.58+7054.59</f>
        <v>21603.17</v>
      </c>
      <c r="AH49" s="173"/>
      <c r="AI49" s="173">
        <f>9859.67-17928</f>
        <v>-8068.33</v>
      </c>
      <c r="AJ49" s="173"/>
      <c r="AK49" s="173"/>
      <c r="AL49" s="173"/>
      <c r="AM49" s="173">
        <v>83826.31</v>
      </c>
      <c r="AN49" s="173"/>
      <c r="AO49" s="173">
        <v>731.68</v>
      </c>
      <c r="AP49" s="173"/>
      <c r="AQ49" s="173"/>
      <c r="AR49" s="19"/>
      <c r="AS49" s="173"/>
      <c r="AT49" s="19"/>
      <c r="AU49" s="173"/>
      <c r="AV49" s="19"/>
      <c r="AW49" s="173"/>
      <c r="AX49" s="19"/>
      <c r="AY49" s="45">
        <f>SUM(P49:AX49)</f>
        <v>159905.75</v>
      </c>
      <c r="BA49" s="173">
        <f>160000-115300-60000-24652+89652</f>
        <v>49700</v>
      </c>
      <c r="BC49" s="21">
        <f>IF(+O49-AY49+BA49&gt;0,O49-AY49+BA49,0)</f>
        <v>5094.25</v>
      </c>
      <c r="BD49" s="19"/>
      <c r="BE49" s="383">
        <f t="shared" si="3"/>
        <v>165000</v>
      </c>
      <c r="BF49" s="19"/>
      <c r="BG49" s="8">
        <f>O49-AY49-BC49</f>
        <v>-49700</v>
      </c>
      <c r="BH49" s="34"/>
      <c r="BI49" s="21"/>
    </row>
    <row r="50" spans="1:63" x14ac:dyDescent="0.25">
      <c r="A50" s="120"/>
      <c r="B50" s="31" t="s">
        <v>255</v>
      </c>
      <c r="C50" s="114" t="s">
        <v>29</v>
      </c>
      <c r="E50" s="7" t="s">
        <v>17</v>
      </c>
      <c r="G50" s="7" t="s">
        <v>9</v>
      </c>
      <c r="K50" s="14">
        <v>0</v>
      </c>
      <c r="L50" s="19"/>
      <c r="M50" s="14">
        <v>92331</v>
      </c>
      <c r="N50" s="19"/>
      <c r="O50" s="14">
        <f>SUM(K50:N50)</f>
        <v>92331</v>
      </c>
      <c r="P50" s="19"/>
      <c r="Q50" s="144"/>
      <c r="R50" s="237"/>
      <c r="S50" s="144">
        <v>92330.74</v>
      </c>
      <c r="T50" s="237"/>
      <c r="U50" s="144"/>
      <c r="V50" s="12"/>
      <c r="W50" s="144"/>
      <c r="X50" s="172"/>
      <c r="Y50" s="144"/>
      <c r="Z50" s="172"/>
      <c r="AA50" s="144"/>
      <c r="AB50" s="172"/>
      <c r="AC50" s="144"/>
      <c r="AD50" s="172"/>
      <c r="AE50" s="144">
        <f>36347.92+103320.23</f>
        <v>139668.15</v>
      </c>
      <c r="AF50" s="173"/>
      <c r="AG50" s="144"/>
      <c r="AH50" s="173"/>
      <c r="AI50" s="144">
        <v>-103320</v>
      </c>
      <c r="AJ50" s="173"/>
      <c r="AK50" s="144"/>
      <c r="AL50" s="144"/>
      <c r="AM50" s="144"/>
      <c r="AN50" s="173"/>
      <c r="AO50" s="144"/>
      <c r="AP50" s="173"/>
      <c r="AQ50" s="144"/>
      <c r="AR50" s="19"/>
      <c r="AS50" s="144"/>
      <c r="AT50" s="19"/>
      <c r="AU50" s="144"/>
      <c r="AV50" s="19"/>
      <c r="AW50" s="144"/>
      <c r="AX50" s="19"/>
      <c r="AY50" s="45">
        <f>SUM(P50:AX50)</f>
        <v>128678.89000000001</v>
      </c>
      <c r="BA50" s="144">
        <f>128679-92331</f>
        <v>36348</v>
      </c>
      <c r="BC50" s="14">
        <f>IF(+O50-AY50+BA50&gt;0,O50-AY50+BA50,0)</f>
        <v>0.10999999998603016</v>
      </c>
      <c r="BD50" s="19"/>
      <c r="BE50" s="384">
        <f t="shared" si="3"/>
        <v>128679</v>
      </c>
      <c r="BF50" s="19"/>
      <c r="BG50" s="8">
        <f>O50-AY50-BC50</f>
        <v>-36348</v>
      </c>
      <c r="BH50" s="34"/>
      <c r="BI50" s="21"/>
    </row>
    <row r="51" spans="1:63" x14ac:dyDescent="0.25">
      <c r="A51" s="17"/>
      <c r="B51" s="31" t="s">
        <v>33</v>
      </c>
      <c r="C51" s="114"/>
      <c r="K51" s="15">
        <f>SUM(K46:K50)</f>
        <v>395275</v>
      </c>
      <c r="M51" s="15">
        <f>SUM(M46:M50)</f>
        <v>246556</v>
      </c>
      <c r="O51" s="15">
        <f>SUM(O46:O50)</f>
        <v>641831</v>
      </c>
      <c r="Q51" s="141">
        <f>SUM(Q46:Q50)</f>
        <v>0</v>
      </c>
      <c r="R51" s="231"/>
      <c r="S51" s="141">
        <f>SUM(S46:S50)</f>
        <v>134978.08000000002</v>
      </c>
      <c r="T51" s="231"/>
      <c r="U51" s="141">
        <f>SUM(U46:U50)</f>
        <v>36683.4</v>
      </c>
      <c r="V51" s="12"/>
      <c r="W51" s="141">
        <f>SUM(W46:W50)</f>
        <v>0</v>
      </c>
      <c r="X51" s="15"/>
      <c r="Y51" s="141">
        <f>SUM(Y46:Y50)</f>
        <v>0</v>
      </c>
      <c r="Z51" s="15"/>
      <c r="AA51" s="141">
        <f>SUM(AA46:AA50)</f>
        <v>15908</v>
      </c>
      <c r="AB51" s="15"/>
      <c r="AC51" s="141">
        <f>SUM(AC46:AC50)</f>
        <v>0</v>
      </c>
      <c r="AD51" s="15"/>
      <c r="AE51" s="141">
        <f>SUM(AE46:AE50)</f>
        <v>541378.43999999994</v>
      </c>
      <c r="AF51" s="141"/>
      <c r="AG51" s="141">
        <f>SUM(AG46:AG50)</f>
        <v>174320.97999999998</v>
      </c>
      <c r="AH51" s="141"/>
      <c r="AI51" s="141">
        <f>SUM(AI46:AI50)</f>
        <v>66961.299999999988</v>
      </c>
      <c r="AJ51" s="141"/>
      <c r="AK51" s="141">
        <f>SUM(AK46:AK50)</f>
        <v>0</v>
      </c>
      <c r="AL51" s="141"/>
      <c r="AM51" s="141">
        <f>SUM(AM46:AM50)</f>
        <v>107094.68</v>
      </c>
      <c r="AN51" s="141"/>
      <c r="AO51" s="141">
        <f>SUM(AO46:AO50)</f>
        <v>8577.1299999999992</v>
      </c>
      <c r="AP51" s="141"/>
      <c r="AQ51" s="141">
        <f>SUM(AQ46:AQ50)</f>
        <v>51444.89</v>
      </c>
      <c r="AS51" s="141">
        <f>SUM(AS46:AS50)</f>
        <v>0</v>
      </c>
      <c r="AU51" s="141">
        <f>SUM(AU46:AU50)</f>
        <v>0</v>
      </c>
      <c r="AW51" s="141">
        <f>SUM(AW46:AW50)</f>
        <v>0</v>
      </c>
      <c r="AY51" s="108">
        <f>SUM(AY46:AY50)</f>
        <v>1137346.8999999999</v>
      </c>
      <c r="BA51" s="141">
        <f>SUM(BA46:BA50)</f>
        <v>557848</v>
      </c>
      <c r="BC51" s="15">
        <f>SUM(BC46:BC50)</f>
        <v>62332.100000000115</v>
      </c>
      <c r="BD51" s="6"/>
      <c r="BE51" s="15">
        <f>SUM(BE46:BE50)</f>
        <v>1199679</v>
      </c>
      <c r="BF51" s="6"/>
      <c r="BG51" s="107">
        <f>SUM(BG46:BG50)</f>
        <v>-557848</v>
      </c>
      <c r="BH51" s="34"/>
      <c r="BI51" s="15"/>
      <c r="BK51" s="39">
        <f>+BE51+BK43</f>
        <v>99451472.170000002</v>
      </c>
    </row>
    <row r="52" spans="1:63" x14ac:dyDescent="0.25">
      <c r="A52" s="120"/>
      <c r="B52" s="31"/>
      <c r="C52" s="114"/>
      <c r="V52" s="12"/>
      <c r="AY52" s="45"/>
      <c r="BD52" s="6"/>
      <c r="BF52" s="6"/>
      <c r="BH52" s="8"/>
      <c r="BI52" s="8"/>
    </row>
    <row r="53" spans="1:63" x14ac:dyDescent="0.25">
      <c r="A53" s="113"/>
      <c r="B53" s="31"/>
      <c r="C53" s="114"/>
      <c r="G53" s="6"/>
      <c r="V53" s="12"/>
      <c r="AY53" s="45"/>
      <c r="BD53" s="6"/>
      <c r="BF53" s="6"/>
      <c r="BH53" s="8"/>
      <c r="BI53" s="8"/>
    </row>
    <row r="54" spans="1:63" x14ac:dyDescent="0.25">
      <c r="A54" s="112" t="s">
        <v>34</v>
      </c>
      <c r="B54" s="31"/>
      <c r="C54" s="114"/>
      <c r="G54" s="6"/>
      <c r="V54" s="12"/>
      <c r="AY54" s="45"/>
      <c r="BD54" s="6"/>
      <c r="BF54" s="6"/>
      <c r="BH54" s="8"/>
      <c r="BI54" s="8"/>
    </row>
    <row r="55" spans="1:63" x14ac:dyDescent="0.25">
      <c r="A55" s="113"/>
      <c r="B55" s="31" t="s">
        <v>256</v>
      </c>
      <c r="C55" s="114" t="s">
        <v>36</v>
      </c>
      <c r="E55" s="7" t="s">
        <v>17</v>
      </c>
      <c r="G55" s="7" t="s">
        <v>254</v>
      </c>
      <c r="I55" s="7" t="s">
        <v>21</v>
      </c>
      <c r="K55" s="5">
        <v>53649</v>
      </c>
      <c r="M55" s="5">
        <f>60105-53649</f>
        <v>6456</v>
      </c>
      <c r="O55" s="5">
        <f>SUM(K55:N55)</f>
        <v>60105</v>
      </c>
      <c r="Q55" s="143">
        <v>0</v>
      </c>
      <c r="S55" s="143">
        <v>0</v>
      </c>
      <c r="V55" s="12"/>
      <c r="AY55" s="45">
        <f t="shared" ref="AY55:AY79" si="9">SUM(P55:AX55)</f>
        <v>0</v>
      </c>
      <c r="BA55" s="143">
        <f>22467+59781+8871-151224</f>
        <v>-60105</v>
      </c>
      <c r="BC55" s="8">
        <f t="shared" ref="BC55:BC79" si="10">IF(+O55-AY55+BA55&gt;0,O55-AY55+BA55,0)</f>
        <v>0</v>
      </c>
      <c r="BD55" s="6"/>
      <c r="BE55" s="8">
        <f t="shared" si="3"/>
        <v>0</v>
      </c>
      <c r="BF55" s="6"/>
      <c r="BG55" s="8">
        <f t="shared" ref="BG55:BG79" si="11">O55-AY55-BC55</f>
        <v>60105</v>
      </c>
      <c r="BH55" s="12"/>
      <c r="BI55" s="8"/>
    </row>
    <row r="56" spans="1:63" x14ac:dyDescent="0.25">
      <c r="A56" s="113"/>
      <c r="B56" s="31" t="s">
        <v>213</v>
      </c>
      <c r="C56" s="114"/>
      <c r="K56" s="5"/>
      <c r="M56" s="5">
        <v>636961</v>
      </c>
      <c r="O56" s="5">
        <f t="shared" ref="O56:O74" si="12">SUM(K56:N56)</f>
        <v>636961</v>
      </c>
      <c r="V56" s="12"/>
      <c r="AY56" s="45">
        <f t="shared" si="9"/>
        <v>0</v>
      </c>
      <c r="BA56" s="143">
        <f>-139681+2608-499888</f>
        <v>-636961</v>
      </c>
      <c r="BC56" s="8">
        <f t="shared" si="10"/>
        <v>0</v>
      </c>
      <c r="BD56" s="6"/>
      <c r="BE56" s="8">
        <f t="shared" si="3"/>
        <v>0</v>
      </c>
      <c r="BF56" s="6"/>
      <c r="BG56" s="8">
        <f t="shared" si="11"/>
        <v>636961</v>
      </c>
      <c r="BH56" s="12"/>
      <c r="BI56" s="8"/>
    </row>
    <row r="57" spans="1:63" x14ac:dyDescent="0.25">
      <c r="A57" s="113"/>
      <c r="B57" s="31" t="s">
        <v>377</v>
      </c>
      <c r="C57" s="114"/>
      <c r="K57" s="5"/>
      <c r="M57" s="5">
        <v>16500</v>
      </c>
      <c r="O57" s="5">
        <f t="shared" si="12"/>
        <v>16500</v>
      </c>
      <c r="V57" s="12"/>
      <c r="AY57" s="45">
        <f t="shared" si="9"/>
        <v>0</v>
      </c>
      <c r="BA57" s="143">
        <f>10720-224-26996</f>
        <v>-16500</v>
      </c>
      <c r="BC57" s="8">
        <f t="shared" si="10"/>
        <v>0</v>
      </c>
      <c r="BD57" s="6"/>
      <c r="BE57" s="8">
        <f t="shared" si="3"/>
        <v>0</v>
      </c>
      <c r="BF57" s="6"/>
      <c r="BG57" s="8">
        <f t="shared" si="11"/>
        <v>16500</v>
      </c>
      <c r="BH57" s="12"/>
      <c r="BI57" s="8"/>
    </row>
    <row r="58" spans="1:63" x14ac:dyDescent="0.25">
      <c r="A58" s="113"/>
      <c r="B58" s="31" t="s">
        <v>378</v>
      </c>
      <c r="C58" s="114"/>
      <c r="K58" s="5"/>
      <c r="M58" s="5">
        <v>375110</v>
      </c>
      <c r="O58" s="5">
        <f t="shared" si="12"/>
        <v>375110</v>
      </c>
      <c r="V58" s="12"/>
      <c r="W58" s="143">
        <f>137615+1665.8</f>
        <v>139280.79999999999</v>
      </c>
      <c r="Y58" s="143">
        <v>0</v>
      </c>
      <c r="AG58" s="143">
        <v>-139281</v>
      </c>
      <c r="AY58" s="45">
        <f t="shared" si="9"/>
        <v>-0.20000000001164153</v>
      </c>
      <c r="BA58" s="143">
        <f>376211-375110-152824-223387</f>
        <v>-375110</v>
      </c>
      <c r="BC58" s="8">
        <f t="shared" si="10"/>
        <v>0.20000000001164153</v>
      </c>
      <c r="BD58" s="6"/>
      <c r="BE58" s="8">
        <f t="shared" si="3"/>
        <v>0</v>
      </c>
      <c r="BF58" s="6"/>
      <c r="BG58" s="8">
        <f t="shared" si="11"/>
        <v>375110</v>
      </c>
      <c r="BH58" s="12"/>
      <c r="BI58" s="8"/>
    </row>
    <row r="59" spans="1:63" x14ac:dyDescent="0.25">
      <c r="A59" s="113"/>
      <c r="B59" s="31" t="s">
        <v>225</v>
      </c>
      <c r="C59" s="114"/>
      <c r="K59" s="5"/>
      <c r="M59" s="5">
        <v>132000</v>
      </c>
      <c r="O59" s="5">
        <f t="shared" si="12"/>
        <v>132000</v>
      </c>
      <c r="V59" s="12"/>
      <c r="AY59" s="45">
        <f t="shared" si="9"/>
        <v>0</v>
      </c>
      <c r="BA59" s="143">
        <f>-116457+943-16486</f>
        <v>-132000</v>
      </c>
      <c r="BC59" s="8">
        <f t="shared" si="10"/>
        <v>0</v>
      </c>
      <c r="BD59" s="6"/>
      <c r="BE59" s="8">
        <f t="shared" si="3"/>
        <v>0</v>
      </c>
      <c r="BF59" s="6"/>
      <c r="BG59" s="8">
        <f t="shared" si="11"/>
        <v>132000</v>
      </c>
      <c r="BH59" s="12"/>
      <c r="BI59" s="8"/>
    </row>
    <row r="60" spans="1:63" x14ac:dyDescent="0.25">
      <c r="A60" s="113"/>
      <c r="B60" s="31" t="s">
        <v>379</v>
      </c>
      <c r="C60" s="114"/>
      <c r="K60" s="5"/>
      <c r="M60" s="5">
        <v>586658</v>
      </c>
      <c r="O60" s="5">
        <f t="shared" si="12"/>
        <v>586658</v>
      </c>
      <c r="Q60" s="143">
        <v>0</v>
      </c>
      <c r="S60" s="143">
        <v>0</v>
      </c>
      <c r="U60" s="143">
        <v>0</v>
      </c>
      <c r="V60" s="12"/>
      <c r="W60" s="143">
        <v>0</v>
      </c>
      <c r="AY60" s="45">
        <f t="shared" si="9"/>
        <v>0</v>
      </c>
      <c r="BA60" s="143">
        <f>161754-586658+27872-189626</f>
        <v>-586658</v>
      </c>
      <c r="BC60" s="8">
        <f t="shared" si="10"/>
        <v>0</v>
      </c>
      <c r="BD60" s="6"/>
      <c r="BE60" s="8">
        <f t="shared" si="3"/>
        <v>0</v>
      </c>
      <c r="BF60" s="6"/>
      <c r="BG60" s="8">
        <f t="shared" si="11"/>
        <v>586658</v>
      </c>
      <c r="BH60" s="12"/>
      <c r="BI60" s="8"/>
    </row>
    <row r="61" spans="1:63" x14ac:dyDescent="0.25">
      <c r="A61" s="113"/>
      <c r="B61" s="31" t="s">
        <v>404</v>
      </c>
      <c r="C61" s="114"/>
      <c r="K61" s="5"/>
      <c r="M61" s="5">
        <v>0</v>
      </c>
      <c r="O61" s="5">
        <f>SUM(K61:N61)</f>
        <v>0</v>
      </c>
      <c r="Q61" s="143">
        <v>0</v>
      </c>
      <c r="S61" s="143">
        <v>0</v>
      </c>
      <c r="U61" s="143">
        <v>0</v>
      </c>
      <c r="V61" s="12"/>
      <c r="W61" s="143">
        <v>0</v>
      </c>
      <c r="AY61" s="45">
        <f t="shared" si="9"/>
        <v>0</v>
      </c>
      <c r="BA61" s="143">
        <f>7900+12835+31765-14607-37893</f>
        <v>0</v>
      </c>
      <c r="BC61" s="8">
        <f t="shared" si="10"/>
        <v>0</v>
      </c>
      <c r="BD61" s="6"/>
      <c r="BE61" s="8">
        <f>+BC61+AY61</f>
        <v>0</v>
      </c>
      <c r="BF61" s="6"/>
      <c r="BG61" s="8">
        <f t="shared" si="11"/>
        <v>0</v>
      </c>
      <c r="BH61" s="12"/>
      <c r="BI61" s="8"/>
    </row>
    <row r="62" spans="1:63" x14ac:dyDescent="0.25">
      <c r="A62" s="113"/>
      <c r="B62" s="31" t="s">
        <v>217</v>
      </c>
      <c r="C62" s="114"/>
      <c r="K62" s="5"/>
      <c r="M62" s="5">
        <v>202350</v>
      </c>
      <c r="O62" s="5">
        <f t="shared" si="12"/>
        <v>202350</v>
      </c>
      <c r="V62" s="12"/>
      <c r="AY62" s="45">
        <f t="shared" si="9"/>
        <v>0</v>
      </c>
      <c r="BA62" s="143">
        <f>32701-235051</f>
        <v>-202350</v>
      </c>
      <c r="BC62" s="8">
        <f t="shared" si="10"/>
        <v>0</v>
      </c>
      <c r="BD62" s="6"/>
      <c r="BE62" s="8">
        <f t="shared" si="3"/>
        <v>0</v>
      </c>
      <c r="BF62" s="6"/>
      <c r="BG62" s="8">
        <f t="shared" si="11"/>
        <v>202350</v>
      </c>
      <c r="BH62" s="12"/>
      <c r="BI62" s="8"/>
    </row>
    <row r="63" spans="1:63" x14ac:dyDescent="0.25">
      <c r="A63" s="113"/>
      <c r="B63" s="31" t="s">
        <v>218</v>
      </c>
      <c r="C63" s="114"/>
      <c r="K63" s="5"/>
      <c r="M63" s="5">
        <v>46416</v>
      </c>
      <c r="O63" s="5">
        <f t="shared" si="12"/>
        <v>46416</v>
      </c>
      <c r="V63" s="12"/>
      <c r="AY63" s="45">
        <f t="shared" si="9"/>
        <v>0</v>
      </c>
      <c r="BA63" s="143">
        <f>-5101-1292-40023</f>
        <v>-46416</v>
      </c>
      <c r="BC63" s="8">
        <f t="shared" si="10"/>
        <v>0</v>
      </c>
      <c r="BD63" s="6"/>
      <c r="BE63" s="8">
        <f t="shared" si="3"/>
        <v>0</v>
      </c>
      <c r="BF63" s="6"/>
      <c r="BG63" s="8">
        <f t="shared" si="11"/>
        <v>46416</v>
      </c>
      <c r="BH63" s="12"/>
      <c r="BI63" s="8"/>
    </row>
    <row r="64" spans="1:63" x14ac:dyDescent="0.25">
      <c r="A64" s="113"/>
      <c r="B64" s="31" t="s">
        <v>219</v>
      </c>
      <c r="C64" s="114"/>
      <c r="K64" s="5"/>
      <c r="M64" s="5">
        <v>99000</v>
      </c>
      <c r="O64" s="5">
        <f t="shared" si="12"/>
        <v>99000</v>
      </c>
      <c r="V64" s="12"/>
      <c r="AY64" s="45">
        <f t="shared" si="9"/>
        <v>0</v>
      </c>
      <c r="BA64" s="143">
        <f>-45768+1297-54529</f>
        <v>-99000</v>
      </c>
      <c r="BC64" s="8">
        <f t="shared" si="10"/>
        <v>0</v>
      </c>
      <c r="BD64" s="6"/>
      <c r="BE64" s="8">
        <f t="shared" si="3"/>
        <v>0</v>
      </c>
      <c r="BF64" s="6"/>
      <c r="BG64" s="8">
        <f t="shared" si="11"/>
        <v>99000</v>
      </c>
      <c r="BH64" s="12"/>
      <c r="BI64" s="8"/>
    </row>
    <row r="65" spans="1:61" x14ac:dyDescent="0.25">
      <c r="A65" s="113"/>
      <c r="B65" s="31" t="s">
        <v>380</v>
      </c>
      <c r="C65" s="114"/>
      <c r="K65" s="5"/>
      <c r="M65" s="5">
        <v>57202</v>
      </c>
      <c r="O65" s="5">
        <f t="shared" si="12"/>
        <v>57202</v>
      </c>
      <c r="U65" s="143">
        <f>1000+10290.7</f>
        <v>11290.7</v>
      </c>
      <c r="V65" s="12"/>
      <c r="AG65" s="143">
        <v>-11291</v>
      </c>
      <c r="AY65" s="45">
        <f t="shared" si="9"/>
        <v>-0.2999999999992724</v>
      </c>
      <c r="BA65" s="143">
        <f>-32332-1535-23335</f>
        <v>-57202</v>
      </c>
      <c r="BC65" s="8">
        <f t="shared" si="10"/>
        <v>0.30000000000291038</v>
      </c>
      <c r="BD65" s="6"/>
      <c r="BE65" s="8">
        <f t="shared" si="3"/>
        <v>3.637978807091713E-12</v>
      </c>
      <c r="BF65" s="6"/>
      <c r="BG65" s="8">
        <f t="shared" si="11"/>
        <v>57202</v>
      </c>
      <c r="BH65" s="12"/>
      <c r="BI65" s="8"/>
    </row>
    <row r="66" spans="1:61" x14ac:dyDescent="0.25">
      <c r="A66" s="113"/>
      <c r="B66" s="31" t="s">
        <v>220</v>
      </c>
      <c r="C66" s="114"/>
      <c r="K66" s="5"/>
      <c r="M66" s="5">
        <v>420261</v>
      </c>
      <c r="O66" s="5">
        <f t="shared" si="12"/>
        <v>420261</v>
      </c>
      <c r="V66" s="12"/>
      <c r="AY66" s="45">
        <f t="shared" si="9"/>
        <v>0</v>
      </c>
      <c r="BA66" s="143">
        <f>-70261-39138-310862</f>
        <v>-420261</v>
      </c>
      <c r="BC66" s="8">
        <f t="shared" si="10"/>
        <v>0</v>
      </c>
      <c r="BD66" s="6"/>
      <c r="BE66" s="8">
        <f t="shared" si="3"/>
        <v>0</v>
      </c>
      <c r="BF66" s="6"/>
      <c r="BG66" s="8">
        <f t="shared" si="11"/>
        <v>420261</v>
      </c>
      <c r="BH66" s="12"/>
      <c r="BI66" s="8"/>
    </row>
    <row r="67" spans="1:61" x14ac:dyDescent="0.25">
      <c r="A67" s="113"/>
      <c r="B67" s="31" t="s">
        <v>221</v>
      </c>
      <c r="C67" s="114"/>
      <c r="K67" s="5"/>
      <c r="M67" s="5">
        <v>69600</v>
      </c>
      <c r="O67" s="5">
        <f t="shared" si="12"/>
        <v>69600</v>
      </c>
      <c r="V67" s="12"/>
      <c r="AY67" s="45">
        <f t="shared" si="9"/>
        <v>0</v>
      </c>
      <c r="BA67" s="143">
        <f>-67871+315-2044</f>
        <v>-69600</v>
      </c>
      <c r="BC67" s="8">
        <f t="shared" si="10"/>
        <v>0</v>
      </c>
      <c r="BD67" s="6"/>
      <c r="BE67" s="8">
        <f t="shared" si="3"/>
        <v>0</v>
      </c>
      <c r="BF67" s="6"/>
      <c r="BG67" s="8">
        <f t="shared" si="11"/>
        <v>69600</v>
      </c>
      <c r="BH67" s="12"/>
      <c r="BI67" s="8"/>
    </row>
    <row r="68" spans="1:61" x14ac:dyDescent="0.25">
      <c r="A68" s="113"/>
      <c r="B68" s="31" t="s">
        <v>258</v>
      </c>
      <c r="C68" s="114"/>
      <c r="G68" s="7" t="s">
        <v>254</v>
      </c>
      <c r="K68" s="5">
        <v>8800</v>
      </c>
      <c r="M68" s="5">
        <f>30800-8800</f>
        <v>22000</v>
      </c>
      <c r="O68" s="5">
        <f>SUM(K68:N68)</f>
        <v>30800</v>
      </c>
      <c r="Q68" s="143">
        <v>0</v>
      </c>
      <c r="S68" s="143">
        <v>0</v>
      </c>
      <c r="V68" s="12"/>
      <c r="AY68" s="45">
        <f t="shared" si="9"/>
        <v>0</v>
      </c>
      <c r="BA68" s="143">
        <f>8800-30800+1382-10182</f>
        <v>-30800</v>
      </c>
      <c r="BC68" s="8">
        <f t="shared" si="10"/>
        <v>0</v>
      </c>
      <c r="BD68" s="6"/>
      <c r="BE68" s="8">
        <f>+BC68+AY68</f>
        <v>0</v>
      </c>
      <c r="BF68" s="6"/>
      <c r="BG68" s="8">
        <f t="shared" si="11"/>
        <v>30800</v>
      </c>
      <c r="BH68" s="12"/>
      <c r="BI68" s="8"/>
    </row>
    <row r="69" spans="1:61" x14ac:dyDescent="0.25">
      <c r="A69" s="113"/>
      <c r="B69" s="31" t="s">
        <v>223</v>
      </c>
      <c r="C69" s="114"/>
      <c r="K69" s="5"/>
      <c r="M69" s="5"/>
      <c r="O69" s="5">
        <f t="shared" si="12"/>
        <v>0</v>
      </c>
      <c r="V69" s="12"/>
      <c r="AY69" s="45">
        <f t="shared" si="9"/>
        <v>0</v>
      </c>
      <c r="BC69" s="8">
        <f t="shared" si="10"/>
        <v>0</v>
      </c>
      <c r="BD69" s="6"/>
      <c r="BE69" s="8">
        <f t="shared" si="3"/>
        <v>0</v>
      </c>
      <c r="BF69" s="6"/>
      <c r="BG69" s="8">
        <f t="shared" si="11"/>
        <v>0</v>
      </c>
      <c r="BH69" s="12"/>
      <c r="BI69" s="8"/>
    </row>
    <row r="70" spans="1:61" x14ac:dyDescent="0.25">
      <c r="A70" s="113"/>
      <c r="B70" s="31" t="s">
        <v>382</v>
      </c>
      <c r="C70" s="114"/>
      <c r="K70" s="5"/>
      <c r="M70" s="5">
        <v>945000</v>
      </c>
      <c r="O70" s="5">
        <f>SUM(K70:N70)</f>
        <v>945000</v>
      </c>
      <c r="V70" s="12"/>
      <c r="AY70" s="45">
        <f t="shared" si="9"/>
        <v>0</v>
      </c>
      <c r="BA70" s="143">
        <f>16606-945000+8394+65000-5040-84960</f>
        <v>-945000</v>
      </c>
      <c r="BC70" s="8">
        <f t="shared" si="10"/>
        <v>0</v>
      </c>
      <c r="BD70" s="6"/>
      <c r="BE70" s="8">
        <f>+BC70+AY70</f>
        <v>0</v>
      </c>
      <c r="BF70" s="6"/>
      <c r="BG70" s="8">
        <f t="shared" si="11"/>
        <v>945000</v>
      </c>
      <c r="BH70" s="12"/>
      <c r="BI70" s="8"/>
    </row>
    <row r="71" spans="1:61" x14ac:dyDescent="0.25">
      <c r="A71" s="113"/>
      <c r="B71" s="31" t="s">
        <v>381</v>
      </c>
      <c r="C71" s="114"/>
      <c r="K71" s="5"/>
      <c r="M71" s="5"/>
      <c r="O71" s="5">
        <f t="shared" si="12"/>
        <v>0</v>
      </c>
      <c r="V71" s="12"/>
      <c r="AY71" s="45">
        <f t="shared" si="9"/>
        <v>0</v>
      </c>
      <c r="BA71" s="143">
        <f>142000-120000+2581-24581</f>
        <v>0</v>
      </c>
      <c r="BC71" s="8">
        <f t="shared" si="10"/>
        <v>0</v>
      </c>
      <c r="BD71" s="6"/>
      <c r="BE71" s="8">
        <f t="shared" si="3"/>
        <v>0</v>
      </c>
      <c r="BF71" s="6"/>
      <c r="BG71" s="8">
        <f t="shared" si="11"/>
        <v>0</v>
      </c>
      <c r="BH71" s="12"/>
      <c r="BI71" s="8"/>
    </row>
    <row r="72" spans="1:61" x14ac:dyDescent="0.25">
      <c r="A72" s="113"/>
      <c r="B72" s="31" t="s">
        <v>383</v>
      </c>
      <c r="C72" s="114"/>
      <c r="K72" s="5"/>
      <c r="M72" s="5">
        <v>549000</v>
      </c>
      <c r="O72" s="5">
        <f t="shared" si="12"/>
        <v>549000</v>
      </c>
      <c r="V72" s="12"/>
      <c r="W72" s="143">
        <v>38094</v>
      </c>
      <c r="AG72" s="143">
        <v>-38094</v>
      </c>
      <c r="AY72" s="45">
        <f t="shared" si="9"/>
        <v>0</v>
      </c>
      <c r="BA72" s="143">
        <f>-139624-409376</f>
        <v>-549000</v>
      </c>
      <c r="BC72" s="8">
        <f t="shared" si="10"/>
        <v>0</v>
      </c>
      <c r="BD72" s="6"/>
      <c r="BE72" s="8">
        <f t="shared" si="3"/>
        <v>0</v>
      </c>
      <c r="BF72" s="6"/>
      <c r="BG72" s="8">
        <f t="shared" si="11"/>
        <v>549000</v>
      </c>
      <c r="BH72" s="12"/>
      <c r="BI72" s="8"/>
    </row>
    <row r="73" spans="1:61" x14ac:dyDescent="0.25">
      <c r="A73" s="113"/>
      <c r="B73" s="31" t="s">
        <v>384</v>
      </c>
      <c r="C73" s="114"/>
      <c r="K73" s="5"/>
      <c r="M73" s="5">
        <v>120000</v>
      </c>
      <c r="O73" s="5">
        <f t="shared" si="12"/>
        <v>120000</v>
      </c>
      <c r="U73" s="143">
        <v>0</v>
      </c>
      <c r="V73" s="12"/>
      <c r="AY73" s="45">
        <f t="shared" si="9"/>
        <v>0</v>
      </c>
      <c r="BA73" s="143">
        <v>-120000</v>
      </c>
      <c r="BC73" s="8">
        <f t="shared" si="10"/>
        <v>0</v>
      </c>
      <c r="BD73" s="6"/>
      <c r="BE73" s="8">
        <f t="shared" si="3"/>
        <v>0</v>
      </c>
      <c r="BF73" s="6"/>
      <c r="BG73" s="8">
        <f t="shared" si="11"/>
        <v>120000</v>
      </c>
      <c r="BH73" s="12"/>
      <c r="BI73" s="8"/>
    </row>
    <row r="74" spans="1:61" x14ac:dyDescent="0.25">
      <c r="A74" s="113"/>
      <c r="B74" s="31" t="s">
        <v>228</v>
      </c>
      <c r="C74" s="114"/>
      <c r="K74" s="5"/>
      <c r="M74" s="5">
        <v>6000</v>
      </c>
      <c r="O74" s="5">
        <f t="shared" si="12"/>
        <v>6000</v>
      </c>
      <c r="Q74" s="234"/>
      <c r="S74" s="234">
        <f>11760.8+4410.3</f>
        <v>16171.099999999999</v>
      </c>
      <c r="V74" s="12"/>
      <c r="AG74" s="143">
        <v>-16171</v>
      </c>
      <c r="AY74" s="45">
        <f t="shared" si="9"/>
        <v>9.9999999998544808E-2</v>
      </c>
      <c r="BA74" s="143">
        <f>110718-6000-54528-56190</f>
        <v>-6000</v>
      </c>
      <c r="BC74" s="8">
        <f t="shared" si="10"/>
        <v>0</v>
      </c>
      <c r="BD74" s="6"/>
      <c r="BE74" s="8">
        <f t="shared" si="3"/>
        <v>9.9999999998544808E-2</v>
      </c>
      <c r="BF74" s="6"/>
      <c r="BG74" s="8">
        <f t="shared" si="11"/>
        <v>5999.9000000000015</v>
      </c>
      <c r="BH74" s="12"/>
      <c r="BI74" s="8"/>
    </row>
    <row r="75" spans="1:61" x14ac:dyDescent="0.25">
      <c r="A75" s="113"/>
      <c r="B75" s="31" t="s">
        <v>257</v>
      </c>
      <c r="C75" s="114"/>
      <c r="K75" s="5">
        <v>4206853</v>
      </c>
      <c r="M75" s="5">
        <v>-4206853</v>
      </c>
      <c r="O75" s="5"/>
      <c r="Q75" s="143">
        <f>15305+11761+4410+167</f>
        <v>31643</v>
      </c>
      <c r="S75" s="143">
        <v>-31643</v>
      </c>
      <c r="V75" s="12"/>
      <c r="AY75" s="45">
        <f t="shared" si="9"/>
        <v>0</v>
      </c>
      <c r="BC75" s="8">
        <f t="shared" si="10"/>
        <v>0</v>
      </c>
      <c r="BD75" s="6"/>
      <c r="BE75" s="8">
        <f t="shared" si="3"/>
        <v>0</v>
      </c>
      <c r="BF75" s="6"/>
      <c r="BG75" s="8">
        <f t="shared" si="11"/>
        <v>0</v>
      </c>
      <c r="BH75" s="12"/>
      <c r="BI75" s="8"/>
    </row>
    <row r="76" spans="1:61" x14ac:dyDescent="0.25">
      <c r="A76" s="113"/>
      <c r="B76" s="31" t="s">
        <v>247</v>
      </c>
      <c r="C76" s="114"/>
      <c r="K76" s="5">
        <v>1500000</v>
      </c>
      <c r="M76" s="5">
        <v>-1500000</v>
      </c>
      <c r="O76" s="5"/>
      <c r="V76" s="12"/>
      <c r="Y76" s="143">
        <v>0</v>
      </c>
      <c r="AY76" s="45">
        <f t="shared" si="9"/>
        <v>0</v>
      </c>
      <c r="BA76" s="143">
        <v>0</v>
      </c>
      <c r="BC76" s="8">
        <f t="shared" si="10"/>
        <v>0</v>
      </c>
      <c r="BD76" s="6"/>
      <c r="BE76" s="8">
        <f t="shared" si="3"/>
        <v>0</v>
      </c>
      <c r="BF76" s="6"/>
      <c r="BG76" s="8">
        <f t="shared" si="11"/>
        <v>0</v>
      </c>
      <c r="BH76" s="12"/>
      <c r="BI76" s="8"/>
    </row>
    <row r="77" spans="1:61" x14ac:dyDescent="0.25">
      <c r="A77" s="113"/>
      <c r="B77" s="31" t="s">
        <v>43</v>
      </c>
      <c r="C77" s="114"/>
      <c r="K77" s="5">
        <v>547063</v>
      </c>
      <c r="M77" s="5">
        <v>-547063</v>
      </c>
      <c r="O77" s="5"/>
      <c r="V77" s="12"/>
      <c r="AY77" s="45">
        <f t="shared" si="9"/>
        <v>0</v>
      </c>
      <c r="BC77" s="8">
        <f t="shared" si="10"/>
        <v>0</v>
      </c>
      <c r="BD77" s="6"/>
      <c r="BE77" s="8">
        <f t="shared" si="3"/>
        <v>0</v>
      </c>
      <c r="BF77" s="6"/>
      <c r="BG77" s="8">
        <f t="shared" si="11"/>
        <v>0</v>
      </c>
      <c r="BH77" s="12"/>
      <c r="BI77" s="8"/>
    </row>
    <row r="78" spans="1:61" x14ac:dyDescent="0.25">
      <c r="A78" s="113"/>
      <c r="B78" s="31" t="s">
        <v>38</v>
      </c>
      <c r="C78" s="114"/>
      <c r="K78" s="5">
        <v>113880</v>
      </c>
      <c r="M78" s="5">
        <v>-113880</v>
      </c>
      <c r="O78" s="5"/>
      <c r="V78" s="12"/>
      <c r="AC78" s="173"/>
      <c r="AD78" s="21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S78" s="173"/>
      <c r="AU78" s="173"/>
      <c r="AW78" s="173"/>
      <c r="AY78" s="45">
        <f t="shared" si="9"/>
        <v>0</v>
      </c>
      <c r="BC78" s="8">
        <f t="shared" si="10"/>
        <v>0</v>
      </c>
      <c r="BD78" s="6"/>
      <c r="BE78" s="8">
        <f t="shared" si="3"/>
        <v>0</v>
      </c>
      <c r="BF78" s="6"/>
      <c r="BG78" s="8">
        <f t="shared" si="11"/>
        <v>0</v>
      </c>
      <c r="BH78" s="12"/>
      <c r="BI78" s="8"/>
    </row>
    <row r="79" spans="1:61" x14ac:dyDescent="0.25">
      <c r="A79" s="113"/>
      <c r="B79" s="31" t="s">
        <v>259</v>
      </c>
      <c r="C79" s="114"/>
      <c r="E79" s="7" t="s">
        <v>17</v>
      </c>
      <c r="G79" s="7" t="s">
        <v>254</v>
      </c>
      <c r="I79" s="7" t="s">
        <v>21</v>
      </c>
      <c r="K79" s="13">
        <v>142000</v>
      </c>
      <c r="M79" s="13">
        <v>-142000</v>
      </c>
      <c r="O79" s="13">
        <v>0</v>
      </c>
      <c r="Q79" s="144">
        <v>0</v>
      </c>
      <c r="S79" s="144">
        <v>0</v>
      </c>
      <c r="U79" s="144"/>
      <c r="V79" s="12"/>
      <c r="AC79" s="144"/>
      <c r="AD79" s="14"/>
      <c r="AE79" s="144"/>
      <c r="AF79" s="173"/>
      <c r="AG79" s="144"/>
      <c r="AH79" s="173"/>
      <c r="AI79" s="144"/>
      <c r="AJ79" s="173"/>
      <c r="AK79" s="144"/>
      <c r="AL79" s="144"/>
      <c r="AM79" s="144"/>
      <c r="AN79" s="173"/>
      <c r="AO79" s="144"/>
      <c r="AP79" s="173"/>
      <c r="AQ79" s="144"/>
      <c r="AS79" s="144"/>
      <c r="AU79" s="144"/>
      <c r="AW79" s="144"/>
      <c r="AY79" s="45">
        <f t="shared" si="9"/>
        <v>0</v>
      </c>
      <c r="BA79" s="144"/>
      <c r="BC79" s="14">
        <f t="shared" si="10"/>
        <v>0</v>
      </c>
      <c r="BD79" s="6"/>
      <c r="BE79" s="14">
        <f t="shared" si="3"/>
        <v>0</v>
      </c>
      <c r="BF79" s="6"/>
      <c r="BG79" s="14">
        <f t="shared" si="11"/>
        <v>0</v>
      </c>
      <c r="BH79" s="12"/>
      <c r="BI79" s="8"/>
    </row>
    <row r="80" spans="1:61" x14ac:dyDescent="0.25">
      <c r="A80" s="17"/>
      <c r="B80" s="119" t="s">
        <v>39</v>
      </c>
      <c r="C80" s="114"/>
      <c r="K80" s="29">
        <f>SUM(K55:K79)</f>
        <v>6572245</v>
      </c>
      <c r="L80" s="27"/>
      <c r="M80" s="29">
        <f>SUM(M55:M79)</f>
        <v>-2219282</v>
      </c>
      <c r="N80" s="27"/>
      <c r="O80" s="29">
        <f>SUM(O55:O79)</f>
        <v>4352963</v>
      </c>
      <c r="Q80" s="141">
        <f>SUM(Q55:Q79)</f>
        <v>31643</v>
      </c>
      <c r="R80" s="231"/>
      <c r="S80" s="141">
        <f>SUM(S55:S79)</f>
        <v>-15471.900000000001</v>
      </c>
      <c r="T80" s="231"/>
      <c r="U80" s="141">
        <f>SUM(U55:U79)</f>
        <v>11290.7</v>
      </c>
      <c r="V80" s="12"/>
      <c r="W80" s="139">
        <f>SUM(W55:W79)</f>
        <v>177374.8</v>
      </c>
      <c r="X80" s="15"/>
      <c r="Y80" s="139">
        <f>SUM(Y55:Y79)</f>
        <v>0</v>
      </c>
      <c r="Z80" s="15"/>
      <c r="AA80" s="139">
        <f>SUM(AA55:AA79)</f>
        <v>0</v>
      </c>
      <c r="AB80" s="15"/>
      <c r="AC80" s="141">
        <f>SUM(AC55:AC79)</f>
        <v>0</v>
      </c>
      <c r="AD80" s="15"/>
      <c r="AE80" s="141">
        <f>SUM(AE55:AE79)</f>
        <v>0</v>
      </c>
      <c r="AF80" s="141"/>
      <c r="AG80" s="141">
        <f>SUM(AG55:AG79)</f>
        <v>-204837</v>
      </c>
      <c r="AH80" s="141"/>
      <c r="AI80" s="141">
        <f>SUM(AI55:AI79)</f>
        <v>0</v>
      </c>
      <c r="AJ80" s="141"/>
      <c r="AK80" s="141">
        <f>SUM(AK55:AK79)</f>
        <v>0</v>
      </c>
      <c r="AL80" s="141"/>
      <c r="AM80" s="141">
        <f>SUM(AM55:AM79)</f>
        <v>0</v>
      </c>
      <c r="AN80" s="141"/>
      <c r="AO80" s="141">
        <f>SUM(AO55:AO79)</f>
        <v>0</v>
      </c>
      <c r="AP80" s="141"/>
      <c r="AQ80" s="141">
        <f>SUM(AQ55:AQ79)</f>
        <v>0</v>
      </c>
      <c r="AS80" s="141">
        <f>SUM(AS55:AS79)</f>
        <v>0</v>
      </c>
      <c r="AU80" s="141">
        <f>SUM(AU55:AU79)</f>
        <v>0</v>
      </c>
      <c r="AW80" s="141">
        <f>SUM(AW55:AW79)</f>
        <v>0</v>
      </c>
      <c r="AY80" s="108">
        <f>SUM(AY55:AY79)</f>
        <v>-0.40000000001236913</v>
      </c>
      <c r="BA80" s="141">
        <f>SUM(BA55:BA79)</f>
        <v>-4352963</v>
      </c>
      <c r="BC80" s="15">
        <f>SUM(BC55:BC79)</f>
        <v>0.50000000001455192</v>
      </c>
      <c r="BD80" s="6"/>
      <c r="BE80" s="15">
        <f>SUM(BE55:BE79)</f>
        <v>0.10000000000218279</v>
      </c>
      <c r="BF80" s="6"/>
      <c r="BG80" s="15">
        <f>SUM(BG55:BG79)</f>
        <v>4352962.9000000004</v>
      </c>
      <c r="BH80" s="12"/>
      <c r="BI80" s="15"/>
    </row>
    <row r="81" spans="1:62" x14ac:dyDescent="0.25">
      <c r="A81" s="113"/>
      <c r="B81" s="31"/>
      <c r="C81" s="114"/>
      <c r="G81" s="6"/>
      <c r="V81" s="12"/>
      <c r="AY81" s="45"/>
      <c r="BD81" s="6"/>
      <c r="BF81" s="6"/>
      <c r="BH81" s="8"/>
      <c r="BI81" s="8"/>
    </row>
    <row r="82" spans="1:62" s="27" customFormat="1" x14ac:dyDescent="0.25">
      <c r="A82" s="121" t="s">
        <v>40</v>
      </c>
      <c r="B82" s="31"/>
      <c r="C82" s="114"/>
      <c r="E82" s="28"/>
      <c r="I82" s="28"/>
      <c r="K82" s="45"/>
      <c r="M82" s="45"/>
      <c r="O82" s="45"/>
      <c r="Q82" s="143"/>
      <c r="R82" s="236"/>
      <c r="S82" s="143"/>
      <c r="T82" s="236"/>
      <c r="U82" s="143"/>
      <c r="V82" s="12"/>
      <c r="W82" s="143"/>
      <c r="X82" s="45"/>
      <c r="Y82" s="143"/>
      <c r="Z82" s="45"/>
      <c r="AA82" s="143"/>
      <c r="AB82" s="45"/>
      <c r="AC82" s="143"/>
      <c r="AD82" s="45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S82" s="143"/>
      <c r="AU82" s="143"/>
      <c r="AW82" s="143"/>
      <c r="AY82" s="45"/>
      <c r="BA82" s="143"/>
      <c r="BC82" s="45"/>
      <c r="BE82" s="45"/>
      <c r="BG82" s="45"/>
      <c r="BH82" s="45"/>
      <c r="BI82" s="45"/>
      <c r="BJ82" s="45"/>
    </row>
    <row r="83" spans="1:62" s="27" customFormat="1" x14ac:dyDescent="0.25">
      <c r="A83" s="121"/>
      <c r="B83" s="31" t="s">
        <v>41</v>
      </c>
      <c r="C83" s="114" t="s">
        <v>36</v>
      </c>
      <c r="E83" s="28" t="s">
        <v>17</v>
      </c>
      <c r="G83" s="28" t="s">
        <v>254</v>
      </c>
      <c r="I83" s="28" t="s">
        <v>21</v>
      </c>
      <c r="K83" s="182">
        <v>248807</v>
      </c>
      <c r="M83" s="182">
        <v>-248807</v>
      </c>
      <c r="O83" s="182">
        <f>SUM(K83:N83)</f>
        <v>0</v>
      </c>
      <c r="Q83" s="143">
        <v>0</v>
      </c>
      <c r="R83" s="236"/>
      <c r="S83" s="143">
        <v>0</v>
      </c>
      <c r="T83" s="236"/>
      <c r="U83" s="143"/>
      <c r="V83" s="12"/>
      <c r="W83" s="143"/>
      <c r="X83" s="45"/>
      <c r="Y83" s="143"/>
      <c r="Z83" s="45"/>
      <c r="AA83" s="143"/>
      <c r="AB83" s="45"/>
      <c r="AC83" s="143"/>
      <c r="AD83" s="45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S83" s="143"/>
      <c r="AU83" s="143"/>
      <c r="AW83" s="143"/>
      <c r="AY83" s="45">
        <f>SUM(P83:AX83)</f>
        <v>0</v>
      </c>
      <c r="BA83" s="143"/>
      <c r="BC83" s="45">
        <f>IF(+O83-AY83+BA83&gt;0,O83-AY83+BA83,0)</f>
        <v>0</v>
      </c>
      <c r="BE83" s="45">
        <f t="shared" si="3"/>
        <v>0</v>
      </c>
      <c r="BG83" s="8">
        <f>O83-AY83-BC83</f>
        <v>0</v>
      </c>
      <c r="BH83" s="82"/>
      <c r="BI83" s="45"/>
      <c r="BJ83" s="45"/>
    </row>
    <row r="84" spans="1:62" s="27" customFormat="1" x14ac:dyDescent="0.25">
      <c r="A84" s="121"/>
      <c r="B84" s="31" t="s">
        <v>35</v>
      </c>
      <c r="C84" s="114"/>
      <c r="E84" s="28" t="s">
        <v>17</v>
      </c>
      <c r="G84" s="28" t="s">
        <v>254</v>
      </c>
      <c r="I84" s="28" t="s">
        <v>21</v>
      </c>
      <c r="K84" s="182">
        <v>1024801</v>
      </c>
      <c r="M84" s="182">
        <v>-1024801</v>
      </c>
      <c r="O84" s="182">
        <f>SUM(K84:N84)</f>
        <v>0</v>
      </c>
      <c r="Q84" s="143">
        <v>0</v>
      </c>
      <c r="R84" s="236"/>
      <c r="S84" s="143">
        <v>0</v>
      </c>
      <c r="T84" s="236"/>
      <c r="U84" s="143"/>
      <c r="V84" s="12"/>
      <c r="W84" s="143"/>
      <c r="X84" s="45"/>
      <c r="Y84" s="143"/>
      <c r="Z84" s="45"/>
      <c r="AA84" s="143"/>
      <c r="AB84" s="45"/>
      <c r="AC84" s="143"/>
      <c r="AD84" s="45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S84" s="143"/>
      <c r="AU84" s="143"/>
      <c r="AW84" s="143"/>
      <c r="AY84" s="45">
        <f>SUM(P84:AX84)</f>
        <v>0</v>
      </c>
      <c r="BA84" s="143"/>
      <c r="BC84" s="45">
        <f>IF(+O84-AY84+BA84&gt;0,O84-AY84+BA84,0)</f>
        <v>0</v>
      </c>
      <c r="BE84" s="45">
        <f t="shared" si="3"/>
        <v>0</v>
      </c>
      <c r="BG84" s="8">
        <f>O84-AY84-BC84</f>
        <v>0</v>
      </c>
      <c r="BH84" s="82"/>
      <c r="BI84" s="45"/>
      <c r="BJ84" s="45"/>
    </row>
    <row r="85" spans="1:62" s="27" customFormat="1" x14ac:dyDescent="0.25">
      <c r="A85" s="113"/>
      <c r="B85" s="31" t="s">
        <v>42</v>
      </c>
      <c r="C85" s="114"/>
      <c r="E85" s="28" t="s">
        <v>17</v>
      </c>
      <c r="G85" s="28" t="s">
        <v>254</v>
      </c>
      <c r="I85" s="28" t="s">
        <v>21</v>
      </c>
      <c r="K85" s="182">
        <v>811714</v>
      </c>
      <c r="M85" s="182">
        <v>-811714</v>
      </c>
      <c r="O85" s="182">
        <f>SUM(K85:N85)</f>
        <v>0</v>
      </c>
      <c r="Q85" s="143">
        <v>0</v>
      </c>
      <c r="R85" s="236"/>
      <c r="S85" s="143">
        <v>0</v>
      </c>
      <c r="T85" s="236"/>
      <c r="U85" s="143"/>
      <c r="V85" s="12"/>
      <c r="W85" s="143"/>
      <c r="X85" s="45"/>
      <c r="Y85" s="143"/>
      <c r="Z85" s="45"/>
      <c r="AA85" s="143"/>
      <c r="AB85" s="45"/>
      <c r="AC85" s="143"/>
      <c r="AD85" s="45"/>
      <c r="AE85" s="143"/>
      <c r="AF85" s="143"/>
      <c r="AG85" s="143"/>
      <c r="AH85" s="143"/>
      <c r="AI85" s="143"/>
      <c r="AJ85" s="143"/>
      <c r="AK85" s="143"/>
      <c r="AL85" s="143"/>
      <c r="AM85" s="143"/>
      <c r="AN85" s="143"/>
      <c r="AO85" s="143"/>
      <c r="AP85" s="143"/>
      <c r="AQ85" s="143"/>
      <c r="AS85" s="143"/>
      <c r="AU85" s="143"/>
      <c r="AW85" s="143"/>
      <c r="AY85" s="45">
        <f>SUM(P85:AX85)</f>
        <v>0</v>
      </c>
      <c r="BA85" s="143"/>
      <c r="BC85" s="45">
        <f>IF(+O85-AY85+BA85&gt;0,O85-AY85+BA85,0)</f>
        <v>0</v>
      </c>
      <c r="BE85" s="45">
        <f t="shared" si="3"/>
        <v>0</v>
      </c>
      <c r="BG85" s="8">
        <f>O85-AY85-BC85</f>
        <v>0</v>
      </c>
      <c r="BH85" s="82"/>
      <c r="BI85" s="45"/>
      <c r="BJ85" s="45"/>
    </row>
    <row r="86" spans="1:62" s="27" customFormat="1" x14ac:dyDescent="0.25">
      <c r="A86" s="113"/>
      <c r="B86" s="31" t="s">
        <v>43</v>
      </c>
      <c r="C86" s="114"/>
      <c r="E86" s="28" t="s">
        <v>17</v>
      </c>
      <c r="G86" s="28" t="s">
        <v>254</v>
      </c>
      <c r="I86" s="28" t="s">
        <v>21</v>
      </c>
      <c r="K86" s="81">
        <v>12470</v>
      </c>
      <c r="M86" s="81">
        <v>-12470</v>
      </c>
      <c r="O86" s="81">
        <f>SUM(K86:N86)</f>
        <v>0</v>
      </c>
      <c r="Q86" s="144">
        <v>0</v>
      </c>
      <c r="R86" s="237"/>
      <c r="S86" s="144">
        <v>0</v>
      </c>
      <c r="T86" s="237"/>
      <c r="U86" s="144"/>
      <c r="V86" s="12"/>
      <c r="W86" s="144"/>
      <c r="X86" s="172"/>
      <c r="Y86" s="144"/>
      <c r="Z86" s="172"/>
      <c r="AA86" s="144"/>
      <c r="AB86" s="172"/>
      <c r="AC86" s="144"/>
      <c r="AD86" s="172"/>
      <c r="AE86" s="144"/>
      <c r="AF86" s="173"/>
      <c r="AG86" s="144"/>
      <c r="AH86" s="173"/>
      <c r="AI86" s="144"/>
      <c r="AJ86" s="173"/>
      <c r="AK86" s="144"/>
      <c r="AL86" s="144"/>
      <c r="AM86" s="144"/>
      <c r="AN86" s="173"/>
      <c r="AO86" s="144"/>
      <c r="AP86" s="173"/>
      <c r="AQ86" s="144"/>
      <c r="AS86" s="144"/>
      <c r="AU86" s="144"/>
      <c r="AW86" s="144"/>
      <c r="AY86" s="45">
        <f>SUM(P86:AX86)</f>
        <v>0</v>
      </c>
      <c r="BA86" s="144"/>
      <c r="BC86" s="129">
        <f>IF(+O86-AY86+BA86&gt;0,O86-AY86+BA86,0)</f>
        <v>0</v>
      </c>
      <c r="BE86" s="129">
        <f t="shared" si="3"/>
        <v>0</v>
      </c>
      <c r="BG86" s="14">
        <f>O86-AY86-BC86</f>
        <v>0</v>
      </c>
      <c r="BH86" s="183"/>
      <c r="BI86" s="172"/>
      <c r="BJ86" s="45"/>
    </row>
    <row r="87" spans="1:62" s="27" customFormat="1" x14ac:dyDescent="0.25">
      <c r="A87" s="26"/>
      <c r="B87" s="119" t="s">
        <v>44</v>
      </c>
      <c r="C87" s="114"/>
      <c r="E87" s="28"/>
      <c r="G87" s="28"/>
      <c r="I87" s="28"/>
      <c r="K87" s="29">
        <f>SUM(K83:K86)</f>
        <v>2097792</v>
      </c>
      <c r="M87" s="29">
        <f>SUM(M83:M86)</f>
        <v>-2097792</v>
      </c>
      <c r="O87" s="29">
        <f>SUM(O83:O86)</f>
        <v>0</v>
      </c>
      <c r="Q87" s="141">
        <f>SUM(Q83:Q86)</f>
        <v>0</v>
      </c>
      <c r="R87" s="238"/>
      <c r="S87" s="141">
        <f>SUM(S83:S86)</f>
        <v>0</v>
      </c>
      <c r="T87" s="238"/>
      <c r="U87" s="141">
        <f>SUM(U83:U86)</f>
        <v>0</v>
      </c>
      <c r="V87" s="12"/>
      <c r="W87" s="141">
        <f>SUM(W83:W86)</f>
        <v>0</v>
      </c>
      <c r="X87" s="29"/>
      <c r="Y87" s="141">
        <f>SUM(Y83:Y86)</f>
        <v>0</v>
      </c>
      <c r="Z87" s="29"/>
      <c r="AA87" s="141">
        <f>SUM(AA83:AA86)</f>
        <v>0</v>
      </c>
      <c r="AB87" s="29"/>
      <c r="AC87" s="141">
        <f>SUM(AC83:AC86)</f>
        <v>0</v>
      </c>
      <c r="AD87" s="29"/>
      <c r="AE87" s="141">
        <f>SUM(AE83:AE86)</f>
        <v>0</v>
      </c>
      <c r="AF87" s="141"/>
      <c r="AG87" s="141">
        <f>SUM(AG83:AG86)</f>
        <v>0</v>
      </c>
      <c r="AH87" s="141"/>
      <c r="AI87" s="141">
        <f>SUM(AI83:AI86)</f>
        <v>0</v>
      </c>
      <c r="AJ87" s="141"/>
      <c r="AK87" s="141">
        <f>SUM(AK83:AK86)</f>
        <v>0</v>
      </c>
      <c r="AL87" s="141"/>
      <c r="AM87" s="141">
        <f>SUM(AM83:AM86)</f>
        <v>0</v>
      </c>
      <c r="AN87" s="141"/>
      <c r="AO87" s="141">
        <f>SUM(AO83:AO86)</f>
        <v>0</v>
      </c>
      <c r="AP87" s="141"/>
      <c r="AQ87" s="141">
        <f>SUM(AQ83:AQ86)</f>
        <v>0</v>
      </c>
      <c r="AS87" s="141">
        <f>SUM(AS83:AS86)</f>
        <v>0</v>
      </c>
      <c r="AU87" s="141">
        <f>SUM(AU83:AU86)</f>
        <v>0</v>
      </c>
      <c r="AW87" s="141">
        <f>SUM(AW83:AW86)</f>
        <v>0</v>
      </c>
      <c r="AY87" s="108">
        <f>SUM(AY83:AY86)</f>
        <v>0</v>
      </c>
      <c r="BA87" s="141">
        <f>SUM(BA83:BA86)</f>
        <v>0</v>
      </c>
      <c r="BC87" s="29">
        <f>SUM(BC83:BC86)</f>
        <v>0</v>
      </c>
      <c r="BE87" s="29">
        <f>SUM(BE83:BE86)</f>
        <v>0</v>
      </c>
      <c r="BG87" s="29">
        <f>SUM(BG83:BG86)</f>
        <v>0</v>
      </c>
      <c r="BH87" s="82"/>
      <c r="BI87" s="29"/>
      <c r="BJ87" s="45"/>
    </row>
    <row r="88" spans="1:62" s="27" customFormat="1" x14ac:dyDescent="0.25">
      <c r="A88" s="113"/>
      <c r="B88" s="31"/>
      <c r="C88" s="114"/>
      <c r="E88" s="28"/>
      <c r="I88" s="28"/>
      <c r="K88" s="45"/>
      <c r="M88" s="45"/>
      <c r="O88" s="45"/>
      <c r="Q88" s="143"/>
      <c r="R88" s="236"/>
      <c r="S88" s="143"/>
      <c r="T88" s="236"/>
      <c r="U88" s="143"/>
      <c r="V88" s="12"/>
      <c r="W88" s="143"/>
      <c r="X88" s="45"/>
      <c r="Y88" s="143"/>
      <c r="Z88" s="45"/>
      <c r="AA88" s="143"/>
      <c r="AB88" s="45"/>
      <c r="AC88" s="143"/>
      <c r="AD88" s="45"/>
      <c r="AE88" s="143"/>
      <c r="AF88" s="143"/>
      <c r="AG88" s="143"/>
      <c r="AH88" s="143"/>
      <c r="AI88" s="143"/>
      <c r="AJ88" s="143"/>
      <c r="AK88" s="143"/>
      <c r="AL88" s="143"/>
      <c r="AM88" s="143"/>
      <c r="AN88" s="143"/>
      <c r="AO88" s="143"/>
      <c r="AP88" s="143"/>
      <c r="AQ88" s="143"/>
      <c r="AS88" s="143"/>
      <c r="AU88" s="143"/>
      <c r="AW88" s="143"/>
      <c r="AY88" s="45"/>
      <c r="BA88" s="143"/>
      <c r="BC88" s="45"/>
      <c r="BE88" s="45"/>
      <c r="BG88" s="45"/>
      <c r="BH88" s="45"/>
      <c r="BI88" s="45"/>
      <c r="BJ88" s="45"/>
    </row>
    <row r="89" spans="1:62" s="27" customFormat="1" x14ac:dyDescent="0.25">
      <c r="A89" s="121" t="s">
        <v>45</v>
      </c>
      <c r="B89" s="31"/>
      <c r="C89" s="114"/>
      <c r="E89" s="28"/>
      <c r="I89" s="28"/>
      <c r="K89" s="45"/>
      <c r="M89" s="45"/>
      <c r="O89" s="45"/>
      <c r="Q89" s="143"/>
      <c r="R89" s="236"/>
      <c r="S89" s="143"/>
      <c r="T89" s="236"/>
      <c r="U89" s="143"/>
      <c r="V89" s="12"/>
      <c r="W89" s="143"/>
      <c r="X89" s="45"/>
      <c r="Y89" s="143"/>
      <c r="Z89" s="45"/>
      <c r="AA89" s="143"/>
      <c r="AB89" s="45"/>
      <c r="AC89" s="143"/>
      <c r="AD89" s="45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S89" s="143"/>
      <c r="AU89" s="143"/>
      <c r="AW89" s="143"/>
      <c r="AY89" s="45"/>
      <c r="BA89" s="143"/>
      <c r="BC89" s="45"/>
      <c r="BE89" s="45"/>
      <c r="BG89" s="45"/>
      <c r="BH89" s="45"/>
      <c r="BI89" s="45"/>
      <c r="BJ89" s="45"/>
    </row>
    <row r="90" spans="1:62" s="27" customFormat="1" x14ac:dyDescent="0.25">
      <c r="A90" s="121"/>
      <c r="B90" s="31" t="s">
        <v>230</v>
      </c>
      <c r="C90" s="114"/>
      <c r="E90" s="28"/>
      <c r="I90" s="28"/>
      <c r="K90" s="45"/>
      <c r="M90" s="45">
        <v>462972</v>
      </c>
      <c r="O90" s="182">
        <f t="shared" ref="O90:O112" si="13">SUM(K90:N90)</f>
        <v>462972</v>
      </c>
      <c r="Q90" s="143"/>
      <c r="R90" s="236"/>
      <c r="S90" s="143"/>
      <c r="T90" s="236"/>
      <c r="U90" s="143"/>
      <c r="V90" s="12"/>
      <c r="W90" s="143"/>
      <c r="X90" s="45"/>
      <c r="Y90" s="143">
        <v>386650</v>
      </c>
      <c r="Z90" s="45"/>
      <c r="AA90" s="143"/>
      <c r="AB90" s="45"/>
      <c r="AC90" s="143">
        <v>107869</v>
      </c>
      <c r="AD90" s="45"/>
      <c r="AE90" s="143">
        <v>-17093</v>
      </c>
      <c r="AF90" s="143"/>
      <c r="AG90" s="143">
        <f>99949+60366</f>
        <v>160315</v>
      </c>
      <c r="AH90" s="143"/>
      <c r="AI90" s="143">
        <v>63657</v>
      </c>
      <c r="AJ90" s="143"/>
      <c r="AK90" s="143">
        <v>110496</v>
      </c>
      <c r="AL90" s="143"/>
      <c r="AM90" s="143">
        <v>7566</v>
      </c>
      <c r="AN90" s="143"/>
      <c r="AO90" s="143">
        <v>91598</v>
      </c>
      <c r="AP90" s="143"/>
      <c r="AQ90" s="143"/>
      <c r="AS90" s="143"/>
      <c r="AU90" s="143"/>
      <c r="AW90" s="143"/>
      <c r="AY90" s="45">
        <f t="shared" ref="AY90:AY120" si="14">SUM(P90:AX90)</f>
        <v>911058</v>
      </c>
      <c r="BA90" s="143">
        <f>503700-491386+28414+651300-255000+23957-104497+91598</f>
        <v>448086</v>
      </c>
      <c r="BC90" s="45">
        <f t="shared" ref="BC90:BC120" si="15">IF(+O90-AY90+BA90&gt;0,O90-AY90+BA90,0)</f>
        <v>0</v>
      </c>
      <c r="BE90" s="45">
        <f t="shared" si="3"/>
        <v>911058</v>
      </c>
      <c r="BG90" s="8">
        <f t="shared" ref="BG90:BG120" si="16">O90-AY90-BC90</f>
        <v>-448086</v>
      </c>
      <c r="BH90" s="45"/>
      <c r="BI90" s="45"/>
      <c r="BJ90" s="45"/>
    </row>
    <row r="91" spans="1:62" s="27" customFormat="1" x14ac:dyDescent="0.25">
      <c r="A91" s="121"/>
      <c r="B91" s="31" t="s">
        <v>231</v>
      </c>
      <c r="C91" s="114"/>
      <c r="E91" s="28"/>
      <c r="I91" s="28"/>
      <c r="K91" s="45"/>
      <c r="M91" s="45">
        <v>532399</v>
      </c>
      <c r="O91" s="182">
        <f t="shared" si="13"/>
        <v>532399</v>
      </c>
      <c r="Q91" s="143"/>
      <c r="R91" s="236"/>
      <c r="S91" s="143"/>
      <c r="T91" s="236"/>
      <c r="U91" s="143"/>
      <c r="V91" s="12"/>
      <c r="W91" s="143"/>
      <c r="X91" s="45"/>
      <c r="Y91" s="143"/>
      <c r="Z91" s="45"/>
      <c r="AA91" s="143"/>
      <c r="AB91" s="45"/>
      <c r="AC91" s="143"/>
      <c r="AD91" s="45"/>
      <c r="AE91" s="143"/>
      <c r="AF91" s="143"/>
      <c r="AG91" s="143">
        <f>1400+16559</f>
        <v>17959</v>
      </c>
      <c r="AH91" s="143"/>
      <c r="AI91" s="143">
        <v>3946</v>
      </c>
      <c r="AJ91" s="143"/>
      <c r="AK91" s="143">
        <v>45942</v>
      </c>
      <c r="AL91" s="143"/>
      <c r="AM91" s="143">
        <v>317486</v>
      </c>
      <c r="AN91" s="143"/>
      <c r="AO91" s="143">
        <v>-139173</v>
      </c>
      <c r="AP91" s="143"/>
      <c r="AQ91" s="143"/>
      <c r="AS91" s="143"/>
      <c r="AU91" s="143"/>
      <c r="AW91" s="143"/>
      <c r="AY91" s="45">
        <f t="shared" si="14"/>
        <v>246160</v>
      </c>
      <c r="BA91" s="143">
        <f>479771-532399-100027-142782+8830-139173</f>
        <v>-425780</v>
      </c>
      <c r="BC91" s="82">
        <f>IF(+O91-AY91+BA91&gt;0,O91-AY91+BA91,0)</f>
        <v>0</v>
      </c>
      <c r="BE91" s="45">
        <f t="shared" si="3"/>
        <v>246160</v>
      </c>
      <c r="BG91" s="8">
        <f t="shared" si="16"/>
        <v>286239</v>
      </c>
      <c r="BH91" s="45"/>
      <c r="BI91" s="45"/>
      <c r="BJ91" s="45"/>
    </row>
    <row r="92" spans="1:62" s="27" customFormat="1" x14ac:dyDescent="0.25">
      <c r="A92" s="121"/>
      <c r="B92" s="31" t="s">
        <v>386</v>
      </c>
      <c r="C92" s="114"/>
      <c r="E92" s="28"/>
      <c r="I92" s="28"/>
      <c r="K92" s="45"/>
      <c r="M92" s="45">
        <v>738930</v>
      </c>
      <c r="O92" s="182">
        <f t="shared" si="13"/>
        <v>738930</v>
      </c>
      <c r="Q92" s="143"/>
      <c r="R92" s="236"/>
      <c r="S92" s="143"/>
      <c r="T92" s="236"/>
      <c r="U92" s="143"/>
      <c r="V92" s="12"/>
      <c r="W92" s="143"/>
      <c r="X92" s="45"/>
      <c r="Y92" s="143">
        <f>42454+34176</f>
        <v>76630</v>
      </c>
      <c r="Z92" s="45"/>
      <c r="AA92" s="143"/>
      <c r="AB92" s="45"/>
      <c r="AC92" s="143">
        <v>60189</v>
      </c>
      <c r="AD92" s="45"/>
      <c r="AE92" s="143">
        <v>138436</v>
      </c>
      <c r="AF92" s="143"/>
      <c r="AG92" s="143">
        <f>83234+56678</f>
        <v>139912</v>
      </c>
      <c r="AH92" s="143"/>
      <c r="AI92" s="143">
        <v>39882</v>
      </c>
      <c r="AJ92" s="143"/>
      <c r="AK92" s="143">
        <v>14874</v>
      </c>
      <c r="AL92" s="143"/>
      <c r="AM92" s="143">
        <v>1468</v>
      </c>
      <c r="AN92" s="143"/>
      <c r="AO92" s="143"/>
      <c r="AP92" s="143"/>
      <c r="AQ92" s="143"/>
      <c r="AS92" s="143"/>
      <c r="AU92" s="143"/>
      <c r="AW92" s="143"/>
      <c r="AY92" s="45">
        <f t="shared" si="14"/>
        <v>471391</v>
      </c>
      <c r="BA92" s="143">
        <f>-10000-83395-148747-2321+52164-75240</f>
        <v>-267539</v>
      </c>
      <c r="BC92" s="45">
        <f t="shared" si="15"/>
        <v>0</v>
      </c>
      <c r="BE92" s="45">
        <f t="shared" si="3"/>
        <v>471391</v>
      </c>
      <c r="BG92" s="8">
        <f t="shared" si="16"/>
        <v>267539</v>
      </c>
      <c r="BH92" s="45"/>
      <c r="BI92" s="45"/>
      <c r="BJ92" s="45"/>
    </row>
    <row r="93" spans="1:62" s="27" customFormat="1" x14ac:dyDescent="0.25">
      <c r="A93" s="121"/>
      <c r="B93" s="31" t="s">
        <v>387</v>
      </c>
      <c r="C93" s="114"/>
      <c r="E93" s="28"/>
      <c r="I93" s="28"/>
      <c r="K93" s="45"/>
      <c r="M93" s="45">
        <v>401168</v>
      </c>
      <c r="O93" s="182">
        <f t="shared" si="13"/>
        <v>401168</v>
      </c>
      <c r="Q93" s="143"/>
      <c r="R93" s="236"/>
      <c r="S93" s="143"/>
      <c r="T93" s="236"/>
      <c r="U93" s="143"/>
      <c r="V93" s="12"/>
      <c r="W93" s="143"/>
      <c r="X93" s="45"/>
      <c r="Y93" s="143">
        <f>14804+1569</f>
        <v>16373</v>
      </c>
      <c r="Z93" s="45"/>
      <c r="AA93" s="143"/>
      <c r="AB93" s="45"/>
      <c r="AC93" s="143">
        <v>46593</v>
      </c>
      <c r="AD93" s="45"/>
      <c r="AE93" s="143">
        <v>126396</v>
      </c>
      <c r="AF93" s="143"/>
      <c r="AG93" s="143">
        <f>48311+12581</f>
        <v>60892</v>
      </c>
      <c r="AH93" s="143"/>
      <c r="AI93" s="143">
        <v>4047</v>
      </c>
      <c r="AJ93" s="143"/>
      <c r="AK93" s="143">
        <v>4220</v>
      </c>
      <c r="AL93" s="143"/>
      <c r="AM93" s="143">
        <v>69</v>
      </c>
      <c r="AN93" s="143"/>
      <c r="AO93" s="143">
        <v>2229</v>
      </c>
      <c r="AP93" s="143"/>
      <c r="AQ93" s="143"/>
      <c r="AS93" s="143"/>
      <c r="AU93" s="143"/>
      <c r="AW93" s="143"/>
      <c r="AY93" s="45">
        <f t="shared" si="14"/>
        <v>260819</v>
      </c>
      <c r="BA93" s="143">
        <f>371835-401168-21811-80259+5424-832-15767+2229</f>
        <v>-140349</v>
      </c>
      <c r="BC93" s="45">
        <f t="shared" si="15"/>
        <v>0</v>
      </c>
      <c r="BE93" s="45">
        <f t="shared" si="3"/>
        <v>260819</v>
      </c>
      <c r="BG93" s="8">
        <f t="shared" si="16"/>
        <v>140349</v>
      </c>
      <c r="BH93" s="45"/>
      <c r="BI93" s="45"/>
      <c r="BJ93" s="45"/>
    </row>
    <row r="94" spans="1:62" s="27" customFormat="1" x14ac:dyDescent="0.25">
      <c r="A94" s="121"/>
      <c r="B94" s="31" t="s">
        <v>234</v>
      </c>
      <c r="C94" s="114"/>
      <c r="E94" s="28"/>
      <c r="I94" s="28"/>
      <c r="K94" s="45"/>
      <c r="M94" s="45">
        <v>1766324</v>
      </c>
      <c r="O94" s="182">
        <f t="shared" si="13"/>
        <v>1766324</v>
      </c>
      <c r="Q94" s="143"/>
      <c r="R94" s="236"/>
      <c r="S94" s="143"/>
      <c r="T94" s="236"/>
      <c r="U94" s="143">
        <v>845</v>
      </c>
      <c r="V94" s="12"/>
      <c r="W94" s="143">
        <v>14356</v>
      </c>
      <c r="X94" s="45"/>
      <c r="Y94" s="143">
        <f>171431+53926</f>
        <v>225357</v>
      </c>
      <c r="Z94" s="45"/>
      <c r="AA94" s="143"/>
      <c r="AB94" s="45"/>
      <c r="AC94" s="143">
        <v>276181</v>
      </c>
      <c r="AD94" s="45"/>
      <c r="AE94" s="143">
        <v>526718</v>
      </c>
      <c r="AF94" s="143"/>
      <c r="AG94" s="143">
        <f>196162+90539</f>
        <v>286701</v>
      </c>
      <c r="AH94" s="143"/>
      <c r="AI94" s="143">
        <v>67689</v>
      </c>
      <c r="AJ94" s="143"/>
      <c r="AK94" s="143">
        <v>13834</v>
      </c>
      <c r="AL94" s="143"/>
      <c r="AM94" s="143">
        <v>12775</v>
      </c>
      <c r="AN94" s="143"/>
      <c r="AO94" s="143">
        <v>3700</v>
      </c>
      <c r="AP94" s="143"/>
      <c r="AQ94" s="143"/>
      <c r="AS94" s="143"/>
      <c r="AU94" s="143"/>
      <c r="AW94" s="143"/>
      <c r="AY94" s="45">
        <f t="shared" si="14"/>
        <v>1428156</v>
      </c>
      <c r="BA94" s="143">
        <f>1541099-1766324+121244-154855+1610-1100-83542+3700</f>
        <v>-338168</v>
      </c>
      <c r="BC94" s="45">
        <f t="shared" si="15"/>
        <v>0</v>
      </c>
      <c r="BE94" s="45">
        <f t="shared" si="3"/>
        <v>1428156</v>
      </c>
      <c r="BG94" s="8">
        <f t="shared" si="16"/>
        <v>338168</v>
      </c>
      <c r="BH94" s="45"/>
      <c r="BI94" s="45"/>
      <c r="BJ94" s="45"/>
    </row>
    <row r="95" spans="1:62" s="27" customFormat="1" x14ac:dyDescent="0.25">
      <c r="A95" s="121"/>
      <c r="B95" s="31" t="s">
        <v>388</v>
      </c>
      <c r="C95" s="114"/>
      <c r="E95" s="28"/>
      <c r="I95" s="28"/>
      <c r="K95" s="45"/>
      <c r="M95" s="45">
        <v>72583</v>
      </c>
      <c r="O95" s="182">
        <f t="shared" si="13"/>
        <v>72583</v>
      </c>
      <c r="Q95" s="143"/>
      <c r="R95" s="236"/>
      <c r="S95" s="143"/>
      <c r="T95" s="236"/>
      <c r="U95" s="143"/>
      <c r="V95" s="12"/>
      <c r="W95" s="143"/>
      <c r="X95" s="45"/>
      <c r="Y95" s="143"/>
      <c r="Z95" s="45"/>
      <c r="AA95" s="143"/>
      <c r="AB95" s="45"/>
      <c r="AC95" s="143"/>
      <c r="AD95" s="45"/>
      <c r="AE95" s="143"/>
      <c r="AF95" s="143"/>
      <c r="AG95" s="143">
        <f>5614+11895</f>
        <v>17509</v>
      </c>
      <c r="AH95" s="143"/>
      <c r="AI95" s="143">
        <v>11804</v>
      </c>
      <c r="AJ95" s="143"/>
      <c r="AK95" s="143">
        <v>3434</v>
      </c>
      <c r="AL95" s="143"/>
      <c r="AM95" s="143"/>
      <c r="AN95" s="143"/>
      <c r="AO95" s="143"/>
      <c r="AP95" s="143"/>
      <c r="AQ95" s="143"/>
      <c r="AS95" s="143"/>
      <c r="AU95" s="143"/>
      <c r="AW95" s="143"/>
      <c r="AY95" s="45">
        <f t="shared" si="14"/>
        <v>32747</v>
      </c>
      <c r="BA95" s="143">
        <f>-10531-21133-6522-1650</f>
        <v>-39836</v>
      </c>
      <c r="BC95" s="45">
        <f t="shared" si="15"/>
        <v>0</v>
      </c>
      <c r="BE95" s="45">
        <f t="shared" si="3"/>
        <v>32747</v>
      </c>
      <c r="BG95" s="8">
        <f t="shared" si="16"/>
        <v>39836</v>
      </c>
      <c r="BH95" s="45"/>
      <c r="BI95" s="45"/>
      <c r="BJ95" s="45"/>
    </row>
    <row r="96" spans="1:62" s="27" customFormat="1" x14ac:dyDescent="0.25">
      <c r="A96" s="121"/>
      <c r="B96" s="31" t="s">
        <v>389</v>
      </c>
      <c r="C96" s="114"/>
      <c r="E96" s="28"/>
      <c r="I96" s="28"/>
      <c r="K96" s="45"/>
      <c r="M96" s="45">
        <v>24454</v>
      </c>
      <c r="O96" s="182">
        <f t="shared" si="13"/>
        <v>24454</v>
      </c>
      <c r="Q96" s="143"/>
      <c r="R96" s="236"/>
      <c r="S96" s="143"/>
      <c r="T96" s="236"/>
      <c r="U96" s="143"/>
      <c r="V96" s="12"/>
      <c r="W96" s="143"/>
      <c r="X96" s="45"/>
      <c r="Y96" s="143"/>
      <c r="Z96" s="45"/>
      <c r="AA96" s="143"/>
      <c r="AB96" s="45"/>
      <c r="AC96" s="143">
        <v>1450</v>
      </c>
      <c r="AD96" s="45"/>
      <c r="AE96" s="143">
        <v>22</v>
      </c>
      <c r="AF96" s="143"/>
      <c r="AG96" s="143">
        <f>35448+74215</f>
        <v>109663</v>
      </c>
      <c r="AH96" s="143"/>
      <c r="AI96" s="143">
        <v>3467</v>
      </c>
      <c r="AJ96" s="143"/>
      <c r="AK96" s="143">
        <v>1944</v>
      </c>
      <c r="AL96" s="143"/>
      <c r="AM96" s="143"/>
      <c r="AN96" s="143"/>
      <c r="AO96" s="143"/>
      <c r="AP96" s="143"/>
      <c r="AQ96" s="143"/>
      <c r="AS96" s="143"/>
      <c r="AU96" s="143"/>
      <c r="AW96" s="143"/>
      <c r="AY96" s="45">
        <f t="shared" si="14"/>
        <v>116546</v>
      </c>
      <c r="BA96" s="143">
        <f>62086+32108-2102</f>
        <v>92092</v>
      </c>
      <c r="BC96" s="45">
        <f t="shared" si="15"/>
        <v>0</v>
      </c>
      <c r="BE96" s="45">
        <f t="shared" si="3"/>
        <v>116546</v>
      </c>
      <c r="BG96" s="8">
        <f t="shared" si="16"/>
        <v>-92092</v>
      </c>
      <c r="BH96" s="45"/>
      <c r="BI96" s="45"/>
      <c r="BJ96" s="45"/>
    </row>
    <row r="97" spans="1:62" s="27" customFormat="1" x14ac:dyDescent="0.25">
      <c r="A97" s="121"/>
      <c r="B97" s="31" t="s">
        <v>390</v>
      </c>
      <c r="C97" s="114"/>
      <c r="E97" s="28"/>
      <c r="I97" s="28"/>
      <c r="K97" s="45"/>
      <c r="M97" s="45">
        <v>35400</v>
      </c>
      <c r="O97" s="182">
        <f t="shared" si="13"/>
        <v>35400</v>
      </c>
      <c r="Q97" s="143"/>
      <c r="R97" s="236"/>
      <c r="S97" s="143"/>
      <c r="T97" s="236"/>
      <c r="U97" s="143"/>
      <c r="V97" s="12"/>
      <c r="W97" s="143"/>
      <c r="X97" s="45"/>
      <c r="Y97" s="143"/>
      <c r="Z97" s="45"/>
      <c r="AA97" s="143"/>
      <c r="AB97" s="45"/>
      <c r="AC97" s="143"/>
      <c r="AD97" s="45"/>
      <c r="AE97" s="143">
        <v>16709</v>
      </c>
      <c r="AF97" s="143"/>
      <c r="AG97" s="143">
        <f>30445+10368</f>
        <v>40813</v>
      </c>
      <c r="AH97" s="143"/>
      <c r="AI97" s="143">
        <v>4555</v>
      </c>
      <c r="AJ97" s="143"/>
      <c r="AK97" s="143"/>
      <c r="AL97" s="143"/>
      <c r="AM97" s="143"/>
      <c r="AN97" s="143"/>
      <c r="AO97" s="143">
        <v>293</v>
      </c>
      <c r="AP97" s="143"/>
      <c r="AQ97" s="143"/>
      <c r="AS97" s="143"/>
      <c r="AU97" s="143"/>
      <c r="AW97" s="143"/>
      <c r="AY97" s="45">
        <f t="shared" si="14"/>
        <v>62370</v>
      </c>
      <c r="BA97" s="143">
        <f>24600+6925-4524-324+293</f>
        <v>26970</v>
      </c>
      <c r="BC97" s="45">
        <f t="shared" si="15"/>
        <v>0</v>
      </c>
      <c r="BE97" s="45">
        <f t="shared" si="3"/>
        <v>62370</v>
      </c>
      <c r="BG97" s="8">
        <f t="shared" si="16"/>
        <v>-26970</v>
      </c>
      <c r="BH97" s="45"/>
      <c r="BI97" s="45"/>
      <c r="BJ97" s="45"/>
    </row>
    <row r="98" spans="1:62" s="27" customFormat="1" x14ac:dyDescent="0.25">
      <c r="A98" s="121"/>
      <c r="B98" s="31" t="s">
        <v>391</v>
      </c>
      <c r="C98" s="114"/>
      <c r="E98" s="28"/>
      <c r="I98" s="28"/>
      <c r="K98" s="45"/>
      <c r="M98" s="45">
        <v>297005</v>
      </c>
      <c r="O98" s="182">
        <f t="shared" si="13"/>
        <v>297005</v>
      </c>
      <c r="Q98" s="143"/>
      <c r="R98" s="236"/>
      <c r="S98" s="143"/>
      <c r="T98" s="236"/>
      <c r="U98" s="143"/>
      <c r="V98" s="12"/>
      <c r="W98" s="143"/>
      <c r="X98" s="45"/>
      <c r="Y98" s="143"/>
      <c r="Z98" s="45"/>
      <c r="AA98" s="143"/>
      <c r="AB98" s="45"/>
      <c r="AC98" s="143"/>
      <c r="AD98" s="45"/>
      <c r="AE98" s="143">
        <v>76275</v>
      </c>
      <c r="AF98" s="143"/>
      <c r="AG98" s="143">
        <f>47475</f>
        <v>47475</v>
      </c>
      <c r="AH98" s="143"/>
      <c r="AI98" s="143">
        <v>12631</v>
      </c>
      <c r="AJ98" s="143"/>
      <c r="AK98" s="143">
        <v>266264</v>
      </c>
      <c r="AL98" s="143"/>
      <c r="AM98" s="143">
        <v>38449</v>
      </c>
      <c r="AN98" s="143"/>
      <c r="AO98" s="143"/>
      <c r="AP98" s="143"/>
      <c r="AQ98" s="143"/>
      <c r="AS98" s="143"/>
      <c r="AU98" s="143"/>
      <c r="AW98" s="143"/>
      <c r="AY98" s="45">
        <f t="shared" si="14"/>
        <v>441094</v>
      </c>
      <c r="BA98" s="143">
        <f>93111+24201+18128+7101</f>
        <v>142541</v>
      </c>
      <c r="BC98" s="45">
        <f t="shared" si="15"/>
        <v>0</v>
      </c>
      <c r="BE98" s="45">
        <f t="shared" si="3"/>
        <v>441094</v>
      </c>
      <c r="BG98" s="8">
        <f t="shared" si="16"/>
        <v>-144089</v>
      </c>
      <c r="BH98" s="45"/>
      <c r="BI98" s="45"/>
      <c r="BJ98" s="45"/>
    </row>
    <row r="99" spans="1:62" s="27" customFormat="1" x14ac:dyDescent="0.25">
      <c r="A99" s="121"/>
      <c r="B99" s="31" t="s">
        <v>238</v>
      </c>
      <c r="C99" s="114"/>
      <c r="E99" s="28"/>
      <c r="I99" s="28"/>
      <c r="K99" s="45"/>
      <c r="M99" s="45"/>
      <c r="O99" s="182">
        <f t="shared" si="13"/>
        <v>0</v>
      </c>
      <c r="Q99" s="143"/>
      <c r="R99" s="236"/>
      <c r="S99" s="143"/>
      <c r="T99" s="236"/>
      <c r="U99" s="143"/>
      <c r="V99" s="12"/>
      <c r="W99" s="143"/>
      <c r="X99" s="45"/>
      <c r="Y99" s="143"/>
      <c r="Z99" s="45"/>
      <c r="AA99" s="143"/>
      <c r="AB99" s="45"/>
      <c r="AC99" s="143"/>
      <c r="AD99" s="45"/>
      <c r="AE99" s="143"/>
      <c r="AF99" s="143"/>
      <c r="AG99" s="143"/>
      <c r="AH99" s="143"/>
      <c r="AI99" s="143"/>
      <c r="AJ99" s="143"/>
      <c r="AK99" s="143"/>
      <c r="AL99" s="143"/>
      <c r="AM99" s="143"/>
      <c r="AN99" s="143"/>
      <c r="AO99" s="143"/>
      <c r="AP99" s="143"/>
      <c r="AQ99" s="143"/>
      <c r="AS99" s="143"/>
      <c r="AU99" s="143"/>
      <c r="AW99" s="143"/>
      <c r="AY99" s="45">
        <f t="shared" si="14"/>
        <v>0</v>
      </c>
      <c r="BA99" s="143"/>
      <c r="BC99" s="45">
        <f t="shared" si="15"/>
        <v>0</v>
      </c>
      <c r="BE99" s="45">
        <f t="shared" si="3"/>
        <v>0</v>
      </c>
      <c r="BG99" s="8">
        <f t="shared" si="16"/>
        <v>0</v>
      </c>
      <c r="BH99" s="45"/>
      <c r="BI99" s="45"/>
      <c r="BJ99" s="45"/>
    </row>
    <row r="100" spans="1:62" s="27" customFormat="1" x14ac:dyDescent="0.25">
      <c r="A100" s="121"/>
      <c r="B100" s="31" t="s">
        <v>392</v>
      </c>
      <c r="C100" s="114"/>
      <c r="E100" s="28"/>
      <c r="I100" s="28"/>
      <c r="K100" s="45"/>
      <c r="M100" s="45">
        <v>53364</v>
      </c>
      <c r="O100" s="182">
        <f t="shared" si="13"/>
        <v>53364</v>
      </c>
      <c r="Q100" s="143"/>
      <c r="R100" s="236"/>
      <c r="S100" s="143"/>
      <c r="T100" s="236"/>
      <c r="U100" s="143"/>
      <c r="V100" s="12"/>
      <c r="W100" s="143"/>
      <c r="X100" s="45"/>
      <c r="Y100" s="143"/>
      <c r="Z100" s="45"/>
      <c r="AA100" s="143"/>
      <c r="AB100" s="45"/>
      <c r="AC100" s="143">
        <v>226</v>
      </c>
      <c r="AD100" s="45"/>
      <c r="AE100" s="143">
        <v>2455</v>
      </c>
      <c r="AF100" s="143"/>
      <c r="AG100" s="143">
        <f>60271+20840</f>
        <v>81111</v>
      </c>
      <c r="AH100" s="143"/>
      <c r="AI100" s="143">
        <v>21068</v>
      </c>
      <c r="AJ100" s="143"/>
      <c r="AK100" s="143">
        <v>116620</v>
      </c>
      <c r="AL100" s="143"/>
      <c r="AM100" s="143">
        <v>13969</v>
      </c>
      <c r="AN100" s="143"/>
      <c r="AO100" s="143">
        <v>7589</v>
      </c>
      <c r="AP100" s="143"/>
      <c r="AQ100" s="143"/>
      <c r="AS100" s="143"/>
      <c r="AU100" s="143"/>
      <c r="AW100" s="143"/>
      <c r="AY100" s="45">
        <f t="shared" si="14"/>
        <v>243038</v>
      </c>
      <c r="BA100" s="143">
        <f>23319+8681-216+151224-100+7075-7898+7589</f>
        <v>189674</v>
      </c>
      <c r="BC100" s="45">
        <f t="shared" si="15"/>
        <v>0</v>
      </c>
      <c r="BE100" s="45">
        <f t="shared" si="3"/>
        <v>243038</v>
      </c>
      <c r="BG100" s="8">
        <f t="shared" si="16"/>
        <v>-189674</v>
      </c>
      <c r="BH100" s="45"/>
      <c r="BI100" s="45"/>
      <c r="BJ100" s="45"/>
    </row>
    <row r="101" spans="1:62" s="27" customFormat="1" x14ac:dyDescent="0.25">
      <c r="A101" s="121"/>
      <c r="B101" s="31" t="s">
        <v>393</v>
      </c>
      <c r="C101" s="114"/>
      <c r="E101" s="28"/>
      <c r="I101" s="28"/>
      <c r="K101" s="45"/>
      <c r="M101" s="45">
        <v>0</v>
      </c>
      <c r="O101" s="182">
        <f t="shared" si="13"/>
        <v>0</v>
      </c>
      <c r="Q101" s="143"/>
      <c r="R101" s="236"/>
      <c r="S101" s="143"/>
      <c r="T101" s="236"/>
      <c r="U101" s="143"/>
      <c r="V101" s="12"/>
      <c r="W101" s="143"/>
      <c r="X101" s="45"/>
      <c r="Y101" s="143"/>
      <c r="Z101" s="45"/>
      <c r="AA101" s="143"/>
      <c r="AB101" s="45"/>
      <c r="AC101" s="143"/>
      <c r="AD101" s="45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S101" s="143"/>
      <c r="AU101" s="143"/>
      <c r="AW101" s="143"/>
      <c r="AY101" s="45">
        <f t="shared" si="14"/>
        <v>0</v>
      </c>
      <c r="BA101" s="143">
        <f>5000-5000</f>
        <v>0</v>
      </c>
      <c r="BC101" s="45">
        <f t="shared" si="15"/>
        <v>0</v>
      </c>
      <c r="BE101" s="45">
        <f t="shared" si="3"/>
        <v>0</v>
      </c>
      <c r="BG101" s="8">
        <f t="shared" si="16"/>
        <v>0</v>
      </c>
      <c r="BH101" s="45"/>
      <c r="BI101" s="45"/>
      <c r="BJ101" s="45"/>
    </row>
    <row r="102" spans="1:62" s="27" customFormat="1" x14ac:dyDescent="0.25">
      <c r="A102" s="121"/>
      <c r="B102" s="31" t="s">
        <v>394</v>
      </c>
      <c r="C102" s="114"/>
      <c r="E102" s="28"/>
      <c r="I102" s="28"/>
      <c r="K102" s="45"/>
      <c r="M102" s="45">
        <v>84253</v>
      </c>
      <c r="O102" s="182">
        <f t="shared" si="13"/>
        <v>84253</v>
      </c>
      <c r="Q102" s="143"/>
      <c r="R102" s="236"/>
      <c r="S102" s="143"/>
      <c r="T102" s="236"/>
      <c r="U102" s="143"/>
      <c r="V102" s="12"/>
      <c r="W102" s="143"/>
      <c r="X102" s="45"/>
      <c r="Y102" s="143">
        <v>720</v>
      </c>
      <c r="Z102" s="45"/>
      <c r="AA102" s="143"/>
      <c r="AB102" s="45"/>
      <c r="AC102" s="143"/>
      <c r="AD102" s="45"/>
      <c r="AE102" s="143">
        <v>20186</v>
      </c>
      <c r="AF102" s="143"/>
      <c r="AG102" s="143">
        <f>71069+18019</f>
        <v>89088</v>
      </c>
      <c r="AH102" s="143"/>
      <c r="AI102" s="143"/>
      <c r="AJ102" s="143"/>
      <c r="AK102" s="143">
        <v>631</v>
      </c>
      <c r="AL102" s="143"/>
      <c r="AM102" s="143"/>
      <c r="AN102" s="143"/>
      <c r="AO102" s="143"/>
      <c r="AP102" s="143"/>
      <c r="AQ102" s="143"/>
      <c r="AS102" s="143"/>
      <c r="AU102" s="143"/>
      <c r="AW102" s="143"/>
      <c r="AY102" s="45">
        <f t="shared" si="14"/>
        <v>110625</v>
      </c>
      <c r="BA102" s="143">
        <f>28848+12551-5570-9457</f>
        <v>26372</v>
      </c>
      <c r="BC102" s="45">
        <f t="shared" si="15"/>
        <v>0</v>
      </c>
      <c r="BE102" s="45">
        <f t="shared" si="3"/>
        <v>110625</v>
      </c>
      <c r="BG102" s="8">
        <f t="shared" si="16"/>
        <v>-26372</v>
      </c>
      <c r="BH102" s="45"/>
      <c r="BI102" s="45"/>
      <c r="BJ102" s="45"/>
    </row>
    <row r="103" spans="1:62" s="27" customFormat="1" x14ac:dyDescent="0.25">
      <c r="A103" s="121"/>
      <c r="B103" s="31" t="s">
        <v>242</v>
      </c>
      <c r="C103" s="114"/>
      <c r="E103" s="28"/>
      <c r="I103" s="28"/>
      <c r="K103" s="45"/>
      <c r="M103" s="45"/>
      <c r="O103" s="182">
        <f t="shared" si="13"/>
        <v>0</v>
      </c>
      <c r="Q103" s="143"/>
      <c r="R103" s="236"/>
      <c r="S103" s="143"/>
      <c r="T103" s="236"/>
      <c r="U103" s="143"/>
      <c r="V103" s="12"/>
      <c r="W103" s="143"/>
      <c r="X103" s="45"/>
      <c r="Y103" s="143"/>
      <c r="Z103" s="45"/>
      <c r="AA103" s="143"/>
      <c r="AB103" s="45"/>
      <c r="AC103" s="143"/>
      <c r="AD103" s="45"/>
      <c r="AE103" s="143"/>
      <c r="AF103" s="143"/>
      <c r="AG103" s="143"/>
      <c r="AH103" s="143"/>
      <c r="AI103" s="143"/>
      <c r="AJ103" s="143"/>
      <c r="AK103" s="143"/>
      <c r="AL103" s="143"/>
      <c r="AM103" s="143"/>
      <c r="AN103" s="143"/>
      <c r="AO103" s="143"/>
      <c r="AP103" s="143"/>
      <c r="AQ103" s="143"/>
      <c r="AS103" s="143"/>
      <c r="AU103" s="143"/>
      <c r="AW103" s="143"/>
      <c r="AY103" s="45">
        <f t="shared" si="14"/>
        <v>0</v>
      </c>
      <c r="BA103" s="143"/>
      <c r="BC103" s="45">
        <f t="shared" si="15"/>
        <v>0</v>
      </c>
      <c r="BE103" s="45">
        <f t="shared" si="3"/>
        <v>0</v>
      </c>
      <c r="BG103" s="8">
        <f t="shared" si="16"/>
        <v>0</v>
      </c>
      <c r="BH103" s="45"/>
      <c r="BI103" s="45"/>
      <c r="BJ103" s="45"/>
    </row>
    <row r="104" spans="1:62" s="27" customFormat="1" x14ac:dyDescent="0.25">
      <c r="A104" s="121"/>
      <c r="B104" s="31" t="s">
        <v>392</v>
      </c>
      <c r="C104" s="114"/>
      <c r="E104" s="28"/>
      <c r="I104" s="28"/>
      <c r="K104" s="45"/>
      <c r="M104" s="45">
        <v>597175</v>
      </c>
      <c r="O104" s="182">
        <f t="shared" si="13"/>
        <v>597175</v>
      </c>
      <c r="Q104" s="143"/>
      <c r="R104" s="236"/>
      <c r="S104" s="143"/>
      <c r="T104" s="236"/>
      <c r="U104" s="143"/>
      <c r="V104" s="12"/>
      <c r="W104" s="143"/>
      <c r="X104" s="45"/>
      <c r="Y104" s="143"/>
      <c r="Z104" s="45"/>
      <c r="AA104" s="143"/>
      <c r="AB104" s="45"/>
      <c r="AC104" s="143">
        <v>63923</v>
      </c>
      <c r="AD104" s="45"/>
      <c r="AE104" s="143">
        <v>36130</v>
      </c>
      <c r="AF104" s="143"/>
      <c r="AG104" s="143">
        <f>946615+333634-894451+139281</f>
        <v>525079</v>
      </c>
      <c r="AH104" s="143"/>
      <c r="AI104" s="143"/>
      <c r="AJ104" s="143"/>
      <c r="AK104" s="143">
        <v>382740</v>
      </c>
      <c r="AL104" s="143"/>
      <c r="AM104" s="143">
        <v>18555</v>
      </c>
      <c r="AN104" s="143"/>
      <c r="AO104" s="143">
        <v>62368</v>
      </c>
      <c r="AP104" s="143"/>
      <c r="AQ104" s="143"/>
      <c r="AS104" s="143"/>
      <c r="AU104" s="143"/>
      <c r="AW104" s="143"/>
      <c r="AY104" s="45">
        <f t="shared" si="14"/>
        <v>1088795</v>
      </c>
      <c r="BA104" s="143">
        <f>1013275-597175-197392-330032-11244+499888+26996+223387+16486+189626+37893+235051+40023+54529+267268-15268+444+322-1-25403-252020-747401+62368</f>
        <v>491620</v>
      </c>
      <c r="BC104" s="45">
        <f t="shared" si="15"/>
        <v>0</v>
      </c>
      <c r="BE104" s="271">
        <f t="shared" si="3"/>
        <v>1088795</v>
      </c>
      <c r="BG104" s="8">
        <f t="shared" si="16"/>
        <v>-491620</v>
      </c>
      <c r="BH104" s="45"/>
      <c r="BI104" s="45"/>
      <c r="BJ104" s="45"/>
    </row>
    <row r="105" spans="1:62" s="27" customFormat="1" x14ac:dyDescent="0.25">
      <c r="A105" s="121"/>
      <c r="B105" s="31" t="s">
        <v>393</v>
      </c>
      <c r="C105" s="114"/>
      <c r="E105" s="28"/>
      <c r="I105" s="28"/>
      <c r="K105" s="45"/>
      <c r="M105" s="45">
        <v>190000</v>
      </c>
      <c r="O105" s="182">
        <f t="shared" si="13"/>
        <v>190000</v>
      </c>
      <c r="Q105" s="143"/>
      <c r="R105" s="236"/>
      <c r="S105" s="143"/>
      <c r="T105" s="236"/>
      <c r="U105" s="143"/>
      <c r="V105" s="12"/>
      <c r="W105" s="143"/>
      <c r="X105" s="45"/>
      <c r="Y105" s="143"/>
      <c r="Z105" s="45"/>
      <c r="AA105" s="143"/>
      <c r="AB105" s="45"/>
      <c r="AC105" s="143"/>
      <c r="AD105" s="45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S105" s="143"/>
      <c r="AU105" s="143"/>
      <c r="AW105" s="143"/>
      <c r="AY105" s="45">
        <f t="shared" si="14"/>
        <v>0</v>
      </c>
      <c r="BA105" s="143">
        <f>12000+50000-252000+314125-314125</f>
        <v>-190000</v>
      </c>
      <c r="BC105" s="45">
        <f t="shared" si="15"/>
        <v>0</v>
      </c>
      <c r="BE105" s="45">
        <f t="shared" si="3"/>
        <v>0</v>
      </c>
      <c r="BG105" s="8">
        <f t="shared" si="16"/>
        <v>190000</v>
      </c>
      <c r="BH105" s="45"/>
      <c r="BI105" s="45"/>
      <c r="BJ105" s="45"/>
    </row>
    <row r="106" spans="1:62" s="27" customFormat="1" x14ac:dyDescent="0.25">
      <c r="A106" s="121"/>
      <c r="B106" s="31" t="s">
        <v>394</v>
      </c>
      <c r="C106" s="114"/>
      <c r="E106" s="28"/>
      <c r="I106" s="28"/>
      <c r="K106" s="45"/>
      <c r="M106" s="45">
        <v>538044</v>
      </c>
      <c r="O106" s="182">
        <f t="shared" si="13"/>
        <v>538044</v>
      </c>
      <c r="Q106" s="143"/>
      <c r="R106" s="236"/>
      <c r="S106" s="143"/>
      <c r="T106" s="236"/>
      <c r="U106" s="143"/>
      <c r="V106" s="12"/>
      <c r="W106" s="143"/>
      <c r="X106" s="45"/>
      <c r="Y106" s="143"/>
      <c r="Z106" s="45"/>
      <c r="AA106" s="143"/>
      <c r="AB106" s="45"/>
      <c r="AC106" s="143"/>
      <c r="AD106" s="45"/>
      <c r="AE106" s="143">
        <v>65736</v>
      </c>
      <c r="AF106" s="143"/>
      <c r="AG106" s="143">
        <f>215559+187764</f>
        <v>403323</v>
      </c>
      <c r="AH106" s="143"/>
      <c r="AI106" s="143">
        <v>36550</v>
      </c>
      <c r="AJ106" s="143"/>
      <c r="AK106" s="143">
        <v>29041</v>
      </c>
      <c r="AL106" s="143"/>
      <c r="AM106" s="143"/>
      <c r="AN106" s="143"/>
      <c r="AO106" s="143">
        <v>55136</v>
      </c>
      <c r="AP106" s="143"/>
      <c r="AQ106" s="143"/>
      <c r="AS106" s="143"/>
      <c r="AU106" s="143"/>
      <c r="AW106" s="143"/>
      <c r="AY106" s="45">
        <f t="shared" si="14"/>
        <v>589786</v>
      </c>
      <c r="BA106" s="143">
        <f>10026+71314-3064-81670+55136</f>
        <v>51742</v>
      </c>
      <c r="BC106" s="45">
        <f t="shared" si="15"/>
        <v>0</v>
      </c>
      <c r="BE106" s="45">
        <f t="shared" si="3"/>
        <v>589786</v>
      </c>
      <c r="BG106" s="8">
        <f t="shared" si="16"/>
        <v>-51742</v>
      </c>
      <c r="BH106" s="45"/>
      <c r="BI106" s="45"/>
      <c r="BJ106" s="45"/>
    </row>
    <row r="107" spans="1:62" s="27" customFormat="1" x14ac:dyDescent="0.25">
      <c r="A107" s="121"/>
      <c r="B107" s="31" t="s">
        <v>43</v>
      </c>
      <c r="C107" s="114"/>
      <c r="E107" s="28"/>
      <c r="I107" s="28"/>
      <c r="K107" s="45"/>
      <c r="M107" s="45">
        <v>230432</v>
      </c>
      <c r="O107" s="182">
        <f t="shared" si="13"/>
        <v>230432</v>
      </c>
      <c r="Q107" s="143"/>
      <c r="R107" s="236"/>
      <c r="S107" s="143"/>
      <c r="T107" s="236"/>
      <c r="U107" s="143"/>
      <c r="V107" s="12"/>
      <c r="W107" s="143"/>
      <c r="X107" s="45"/>
      <c r="Y107" s="143"/>
      <c r="Z107" s="45"/>
      <c r="AA107" s="143"/>
      <c r="AB107" s="45"/>
      <c r="AC107" s="143">
        <v>11921</v>
      </c>
      <c r="AD107" s="45"/>
      <c r="AE107" s="143">
        <v>3430</v>
      </c>
      <c r="AF107" s="143"/>
      <c r="AG107" s="143">
        <f>257611+43696-199273+11291</f>
        <v>113325</v>
      </c>
      <c r="AH107" s="143"/>
      <c r="AI107" s="143">
        <f>199273+29178</f>
        <v>228451</v>
      </c>
      <c r="AJ107" s="143"/>
      <c r="AK107" s="143">
        <v>6215</v>
      </c>
      <c r="AL107" s="143"/>
      <c r="AM107" s="143">
        <v>28577</v>
      </c>
      <c r="AN107" s="143"/>
      <c r="AO107" s="143">
        <v>1595</v>
      </c>
      <c r="AP107" s="143"/>
      <c r="AQ107" s="143"/>
      <c r="AS107" s="143"/>
      <c r="AU107" s="143"/>
      <c r="AW107" s="143"/>
      <c r="AY107" s="45">
        <f t="shared" si="14"/>
        <v>393514</v>
      </c>
      <c r="BA107" s="143">
        <f>-113047-41116+23335+310862+2044+21+15991-12401-24202+1595</f>
        <v>163082</v>
      </c>
      <c r="BC107" s="45">
        <f t="shared" si="15"/>
        <v>0</v>
      </c>
      <c r="BE107" s="271">
        <f t="shared" si="3"/>
        <v>393514</v>
      </c>
      <c r="BG107" s="8">
        <f t="shared" si="16"/>
        <v>-163082</v>
      </c>
      <c r="BH107" s="45"/>
      <c r="BI107" s="45"/>
      <c r="BJ107" s="45"/>
    </row>
    <row r="108" spans="1:62" s="27" customFormat="1" x14ac:dyDescent="0.25">
      <c r="A108" s="121"/>
      <c r="B108" s="31" t="s">
        <v>245</v>
      </c>
      <c r="C108" s="114"/>
      <c r="E108" s="28"/>
      <c r="I108" s="28"/>
      <c r="K108" s="45"/>
      <c r="M108" s="45">
        <v>329958</v>
      </c>
      <c r="O108" s="182">
        <f t="shared" si="13"/>
        <v>329958</v>
      </c>
      <c r="Q108" s="143"/>
      <c r="R108" s="236"/>
      <c r="S108" s="143"/>
      <c r="T108" s="236"/>
      <c r="U108" s="143"/>
      <c r="V108" s="12"/>
      <c r="W108" s="143"/>
      <c r="X108" s="45"/>
      <c r="Y108" s="143"/>
      <c r="Z108" s="45"/>
      <c r="AA108" s="143"/>
      <c r="AB108" s="45"/>
      <c r="AC108" s="143"/>
      <c r="AD108" s="45"/>
      <c r="AE108" s="143"/>
      <c r="AF108" s="143"/>
      <c r="AG108" s="143">
        <v>0</v>
      </c>
      <c r="AH108" s="143"/>
      <c r="AI108" s="143"/>
      <c r="AJ108" s="143"/>
      <c r="AK108" s="143"/>
      <c r="AL108" s="143"/>
      <c r="AM108" s="143"/>
      <c r="AN108" s="143"/>
      <c r="AO108" s="143"/>
      <c r="AP108" s="143"/>
      <c r="AQ108" s="143"/>
      <c r="AS108" s="143"/>
      <c r="AU108" s="143"/>
      <c r="AW108" s="143"/>
      <c r="AY108" s="45">
        <f t="shared" si="14"/>
        <v>0</v>
      </c>
      <c r="BA108" s="143">
        <f>-315058-14900</f>
        <v>-329958</v>
      </c>
      <c r="BC108" s="45">
        <f t="shared" si="15"/>
        <v>0</v>
      </c>
      <c r="BE108" s="45">
        <f t="shared" si="3"/>
        <v>0</v>
      </c>
      <c r="BG108" s="8">
        <f t="shared" si="16"/>
        <v>329958</v>
      </c>
      <c r="BH108" s="45"/>
      <c r="BI108" s="45"/>
      <c r="BJ108" s="45"/>
    </row>
    <row r="109" spans="1:62" s="27" customFormat="1" x14ac:dyDescent="0.25">
      <c r="A109" s="121"/>
      <c r="B109" s="31" t="s">
        <v>243</v>
      </c>
      <c r="C109" s="114"/>
      <c r="E109" s="28"/>
      <c r="I109" s="28"/>
      <c r="K109" s="45"/>
      <c r="M109" s="45">
        <v>120865</v>
      </c>
      <c r="O109" s="182">
        <f t="shared" si="13"/>
        <v>120865</v>
      </c>
      <c r="Q109" s="143"/>
      <c r="R109" s="236"/>
      <c r="S109" s="143"/>
      <c r="T109" s="236"/>
      <c r="U109" s="143"/>
      <c r="V109" s="12"/>
      <c r="W109" s="143"/>
      <c r="X109" s="45"/>
      <c r="Y109" s="143"/>
      <c r="Z109" s="45"/>
      <c r="AA109" s="143"/>
      <c r="AB109" s="45"/>
      <c r="AC109" s="143"/>
      <c r="AD109" s="45"/>
      <c r="AE109" s="143"/>
      <c r="AF109" s="143"/>
      <c r="AG109" s="143">
        <v>0</v>
      </c>
      <c r="AH109" s="143"/>
      <c r="AI109" s="143"/>
      <c r="AJ109" s="143"/>
      <c r="AK109" s="143">
        <v>64650</v>
      </c>
      <c r="AL109" s="143"/>
      <c r="AM109" s="143"/>
      <c r="AN109" s="143"/>
      <c r="AO109" s="143"/>
      <c r="AP109" s="143"/>
      <c r="AQ109" s="143"/>
      <c r="AS109" s="143"/>
      <c r="AU109" s="143"/>
      <c r="AW109" s="143"/>
      <c r="AY109" s="45">
        <f t="shared" si="14"/>
        <v>64650</v>
      </c>
      <c r="BA109" s="143">
        <f>120135+12000-12000-176350</f>
        <v>-56215</v>
      </c>
      <c r="BC109" s="45">
        <f t="shared" si="15"/>
        <v>0</v>
      </c>
      <c r="BE109" s="45">
        <f t="shared" si="3"/>
        <v>64650</v>
      </c>
      <c r="BG109" s="8">
        <f t="shared" si="16"/>
        <v>56215</v>
      </c>
      <c r="BH109" s="45"/>
      <c r="BI109" s="45"/>
      <c r="BJ109" s="45"/>
    </row>
    <row r="110" spans="1:62" s="27" customFormat="1" x14ac:dyDescent="0.25">
      <c r="A110" s="121"/>
      <c r="B110" s="31" t="s">
        <v>395</v>
      </c>
      <c r="C110" s="114"/>
      <c r="E110" s="28"/>
      <c r="I110" s="28"/>
      <c r="K110" s="45"/>
      <c r="M110" s="45">
        <v>1099682</v>
      </c>
      <c r="O110" s="182">
        <f t="shared" si="13"/>
        <v>1099682</v>
      </c>
      <c r="Q110" s="143"/>
      <c r="R110" s="236"/>
      <c r="S110" s="143"/>
      <c r="T110" s="236"/>
      <c r="U110" s="143"/>
      <c r="V110" s="12"/>
      <c r="W110" s="143"/>
      <c r="X110" s="45"/>
      <c r="Y110" s="143"/>
      <c r="Z110" s="45"/>
      <c r="AA110" s="143"/>
      <c r="AB110" s="45"/>
      <c r="AC110" s="143"/>
      <c r="AD110" s="45"/>
      <c r="AE110" s="143"/>
      <c r="AF110" s="143"/>
      <c r="AG110" s="143">
        <v>0</v>
      </c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S110" s="143"/>
      <c r="AU110" s="143"/>
      <c r="AW110" s="143"/>
      <c r="AY110" s="45">
        <f t="shared" si="14"/>
        <v>0</v>
      </c>
      <c r="BA110" s="143">
        <v>-1099682</v>
      </c>
      <c r="BC110" s="45">
        <f t="shared" si="15"/>
        <v>0</v>
      </c>
      <c r="BE110" s="45">
        <f t="shared" si="3"/>
        <v>0</v>
      </c>
      <c r="BG110" s="8">
        <f t="shared" si="16"/>
        <v>1099682</v>
      </c>
      <c r="BH110" s="45"/>
      <c r="BI110" s="45"/>
      <c r="BJ110" s="45"/>
    </row>
    <row r="111" spans="1:62" s="27" customFormat="1" x14ac:dyDescent="0.25">
      <c r="A111" s="121"/>
      <c r="B111" s="31" t="s">
        <v>396</v>
      </c>
      <c r="C111" s="114"/>
      <c r="E111" s="28"/>
      <c r="I111" s="28"/>
      <c r="K111" s="45"/>
      <c r="M111" s="45">
        <v>105810</v>
      </c>
      <c r="O111" s="182">
        <f t="shared" si="13"/>
        <v>105810</v>
      </c>
      <c r="Q111" s="143"/>
      <c r="R111" s="236"/>
      <c r="S111" s="143"/>
      <c r="T111" s="236"/>
      <c r="U111" s="143"/>
      <c r="V111" s="12"/>
      <c r="W111" s="143"/>
      <c r="X111" s="45"/>
      <c r="Y111" s="143">
        <v>1164</v>
      </c>
      <c r="Z111" s="45"/>
      <c r="AA111" s="143"/>
      <c r="AB111" s="45"/>
      <c r="AC111" s="143">
        <v>118814</v>
      </c>
      <c r="AD111" s="45"/>
      <c r="AE111" s="143">
        <v>537451</v>
      </c>
      <c r="AF111" s="143"/>
      <c r="AG111" s="143">
        <f>365148+922795+38094+16171</f>
        <v>1342208</v>
      </c>
      <c r="AH111" s="143"/>
      <c r="AI111" s="82">
        <f>96049-360517</f>
        <v>-264468</v>
      </c>
      <c r="AJ111" s="82"/>
      <c r="AK111" s="143">
        <v>42014</v>
      </c>
      <c r="AL111" s="143"/>
      <c r="AM111" s="82">
        <f>25232+600000</f>
        <v>625232</v>
      </c>
      <c r="AN111" s="82"/>
      <c r="AO111" s="82">
        <v>728688</v>
      </c>
      <c r="AP111" s="82"/>
      <c r="AQ111" s="82"/>
      <c r="AS111" s="82"/>
      <c r="AU111" s="82"/>
      <c r="AW111" s="82"/>
      <c r="AY111" s="45">
        <f t="shared" si="14"/>
        <v>3131103</v>
      </c>
      <c r="BA111" s="143">
        <f>2323080-105810+85506+2361586-14919+10182+84960+24581+409376+56190+165+568+674-2424215-515319+728688</f>
        <v>3025293</v>
      </c>
      <c r="BC111" s="271">
        <f t="shared" si="15"/>
        <v>0</v>
      </c>
      <c r="BE111" s="271">
        <f t="shared" si="3"/>
        <v>3131103</v>
      </c>
      <c r="BG111" s="8">
        <f t="shared" si="16"/>
        <v>-3025293</v>
      </c>
      <c r="BH111" s="45"/>
      <c r="BI111" s="45"/>
      <c r="BJ111" s="45"/>
    </row>
    <row r="112" spans="1:62" s="27" customFormat="1" x14ac:dyDescent="0.25">
      <c r="A112" s="121"/>
      <c r="B112" s="31" t="s">
        <v>398</v>
      </c>
      <c r="C112" s="114"/>
      <c r="E112" s="28"/>
      <c r="I112" s="28"/>
      <c r="K112" s="45"/>
      <c r="M112" s="45">
        <v>0</v>
      </c>
      <c r="O112" s="182">
        <f t="shared" si="13"/>
        <v>0</v>
      </c>
      <c r="Q112" s="143"/>
      <c r="R112" s="236"/>
      <c r="S112" s="143"/>
      <c r="T112" s="236"/>
      <c r="U112" s="143"/>
      <c r="V112" s="12"/>
      <c r="W112" s="143">
        <v>2655</v>
      </c>
      <c r="X112" s="45"/>
      <c r="Y112" s="143">
        <f>9356</f>
        <v>9356</v>
      </c>
      <c r="Z112" s="45"/>
      <c r="AA112" s="143"/>
      <c r="AB112" s="45"/>
      <c r="AC112" s="143">
        <v>-12011</v>
      </c>
      <c r="AD112" s="45"/>
      <c r="AE112" s="143"/>
      <c r="AF112" s="143"/>
      <c r="AG112" s="143">
        <f>643+59448</f>
        <v>60091</v>
      </c>
      <c r="AH112" s="143"/>
      <c r="AI112" s="143"/>
      <c r="AJ112" s="143"/>
      <c r="AK112" s="143"/>
      <c r="AL112" s="143"/>
      <c r="AM112" s="143"/>
      <c r="AN112" s="143"/>
      <c r="AO112" s="143"/>
      <c r="AP112" s="143"/>
      <c r="AQ112" s="143"/>
      <c r="AS112" s="143"/>
      <c r="AU112" s="143"/>
      <c r="AW112" s="143"/>
      <c r="AY112" s="45">
        <f t="shared" si="14"/>
        <v>60091</v>
      </c>
      <c r="BA112" s="143">
        <f>35068+20233+44675+19927-1202-58610</f>
        <v>60091</v>
      </c>
      <c r="BC112" s="45">
        <f t="shared" si="15"/>
        <v>0</v>
      </c>
      <c r="BE112" s="45">
        <f>+BC112+AY112</f>
        <v>60091</v>
      </c>
      <c r="BG112" s="8">
        <f t="shared" si="16"/>
        <v>-60091</v>
      </c>
      <c r="BH112" s="45"/>
      <c r="BI112" s="45"/>
      <c r="BJ112" s="45"/>
    </row>
    <row r="113" spans="1:62" s="27" customFormat="1" x14ac:dyDescent="0.25">
      <c r="A113" s="113"/>
      <c r="B113" s="31" t="s">
        <v>46</v>
      </c>
      <c r="C113" s="114" t="s">
        <v>36</v>
      </c>
      <c r="E113" s="28" t="s">
        <v>17</v>
      </c>
      <c r="G113" s="28" t="s">
        <v>254</v>
      </c>
      <c r="I113" s="28" t="s">
        <v>21</v>
      </c>
      <c r="K113" s="182">
        <v>1277936</v>
      </c>
      <c r="M113" s="182">
        <v>-1277936</v>
      </c>
      <c r="O113" s="182">
        <f t="shared" ref="O113:O119" si="17">SUM(K113:N113)</f>
        <v>0</v>
      </c>
      <c r="Q113" s="143">
        <v>0</v>
      </c>
      <c r="R113" s="236"/>
      <c r="S113" s="143">
        <v>0</v>
      </c>
      <c r="T113" s="236"/>
      <c r="U113" s="143"/>
      <c r="V113" s="12"/>
      <c r="W113" s="143"/>
      <c r="X113" s="45"/>
      <c r="Y113" s="143"/>
      <c r="Z113" s="45"/>
      <c r="AA113" s="143"/>
      <c r="AB113" s="45"/>
      <c r="AC113" s="143"/>
      <c r="AD113" s="45"/>
      <c r="AE113" s="143"/>
      <c r="AF113" s="143"/>
      <c r="AG113" s="143"/>
      <c r="AH113" s="143"/>
      <c r="AI113" s="143"/>
      <c r="AJ113" s="143"/>
      <c r="AK113" s="143"/>
      <c r="AL113" s="143"/>
      <c r="AM113" s="143"/>
      <c r="AN113" s="143"/>
      <c r="AO113" s="143"/>
      <c r="AP113" s="143"/>
      <c r="AQ113" s="143"/>
      <c r="AS113" s="143"/>
      <c r="AU113" s="143"/>
      <c r="AW113" s="143"/>
      <c r="AY113" s="45">
        <f t="shared" si="14"/>
        <v>0</v>
      </c>
      <c r="BA113" s="143"/>
      <c r="BC113" s="45">
        <f t="shared" si="15"/>
        <v>0</v>
      </c>
      <c r="BE113" s="45">
        <f t="shared" si="3"/>
        <v>0</v>
      </c>
      <c r="BG113" s="8">
        <f t="shared" si="16"/>
        <v>0</v>
      </c>
      <c r="BH113" s="82"/>
      <c r="BI113" s="45"/>
      <c r="BJ113" s="45"/>
    </row>
    <row r="114" spans="1:62" s="27" customFormat="1" x14ac:dyDescent="0.25">
      <c r="A114" s="113"/>
      <c r="B114" s="31" t="s">
        <v>47</v>
      </c>
      <c r="C114" s="114"/>
      <c r="E114" s="28" t="s">
        <v>17</v>
      </c>
      <c r="G114" s="28" t="s">
        <v>254</v>
      </c>
      <c r="I114" s="28" t="s">
        <v>21</v>
      </c>
      <c r="K114" s="182">
        <v>2045710</v>
      </c>
      <c r="M114" s="182">
        <v>-2045710</v>
      </c>
      <c r="O114" s="182">
        <f t="shared" si="17"/>
        <v>0</v>
      </c>
      <c r="Q114" s="143">
        <v>0</v>
      </c>
      <c r="R114" s="236"/>
      <c r="S114" s="143">
        <v>0</v>
      </c>
      <c r="T114" s="236"/>
      <c r="U114" s="143"/>
      <c r="V114" s="12"/>
      <c r="W114" s="143"/>
      <c r="X114" s="45"/>
      <c r="Y114" s="143"/>
      <c r="Z114" s="45"/>
      <c r="AA114" s="143"/>
      <c r="AB114" s="45"/>
      <c r="AC114" s="143"/>
      <c r="AD114" s="45"/>
      <c r="AE114" s="143"/>
      <c r="AF114" s="143"/>
      <c r="AG114" s="143"/>
      <c r="AH114" s="143"/>
      <c r="AI114" s="143"/>
      <c r="AJ114" s="143"/>
      <c r="AK114" s="143"/>
      <c r="AL114" s="143"/>
      <c r="AM114" s="143"/>
      <c r="AN114" s="143"/>
      <c r="AO114" s="143"/>
      <c r="AP114" s="143"/>
      <c r="AQ114" s="143"/>
      <c r="AS114" s="143"/>
      <c r="AU114" s="143"/>
      <c r="AW114" s="143"/>
      <c r="AY114" s="45">
        <f t="shared" si="14"/>
        <v>0</v>
      </c>
      <c r="BA114" s="143"/>
      <c r="BC114" s="45">
        <f t="shared" si="15"/>
        <v>0</v>
      </c>
      <c r="BE114" s="45">
        <f t="shared" si="3"/>
        <v>0</v>
      </c>
      <c r="BG114" s="8">
        <f t="shared" si="16"/>
        <v>0</v>
      </c>
      <c r="BH114" s="82"/>
      <c r="BI114" s="45"/>
      <c r="BJ114" s="45"/>
    </row>
    <row r="115" spans="1:62" s="27" customFormat="1" x14ac:dyDescent="0.25">
      <c r="A115" s="113"/>
      <c r="B115" s="31" t="s">
        <v>48</v>
      </c>
      <c r="C115" s="114"/>
      <c r="E115" s="28" t="s">
        <v>17</v>
      </c>
      <c r="G115" s="28" t="s">
        <v>254</v>
      </c>
      <c r="I115" s="28" t="s">
        <v>21</v>
      </c>
      <c r="K115" s="182">
        <v>279055</v>
      </c>
      <c r="M115" s="182">
        <v>-279055</v>
      </c>
      <c r="O115" s="182">
        <f t="shared" si="17"/>
        <v>0</v>
      </c>
      <c r="Q115" s="143">
        <v>0</v>
      </c>
      <c r="R115" s="236"/>
      <c r="S115" s="143">
        <v>0</v>
      </c>
      <c r="T115" s="236"/>
      <c r="U115" s="143"/>
      <c r="V115" s="12"/>
      <c r="W115" s="143"/>
      <c r="X115" s="45"/>
      <c r="Y115" s="143"/>
      <c r="Z115" s="45"/>
      <c r="AA115" s="143"/>
      <c r="AB115" s="45"/>
      <c r="AC115" s="143"/>
      <c r="AD115" s="45"/>
      <c r="AE115" s="143"/>
      <c r="AF115" s="143"/>
      <c r="AG115" s="143"/>
      <c r="AH115" s="143"/>
      <c r="AI115" s="143"/>
      <c r="AJ115" s="143"/>
      <c r="AK115" s="143"/>
      <c r="AL115" s="143"/>
      <c r="AM115" s="143"/>
      <c r="AN115" s="143"/>
      <c r="AO115" s="143"/>
      <c r="AP115" s="143"/>
      <c r="AQ115" s="143"/>
      <c r="AS115" s="143"/>
      <c r="AU115" s="143"/>
      <c r="AW115" s="143"/>
      <c r="AY115" s="45">
        <f t="shared" si="14"/>
        <v>0</v>
      </c>
      <c r="BA115" s="143"/>
      <c r="BC115" s="45">
        <f t="shared" si="15"/>
        <v>0</v>
      </c>
      <c r="BE115" s="45">
        <f t="shared" si="3"/>
        <v>0</v>
      </c>
      <c r="BG115" s="8">
        <f t="shared" si="16"/>
        <v>0</v>
      </c>
      <c r="BH115" s="82"/>
      <c r="BI115" s="45"/>
      <c r="BJ115" s="45"/>
    </row>
    <row r="116" spans="1:62" s="27" customFormat="1" x14ac:dyDescent="0.25">
      <c r="A116" s="113"/>
      <c r="B116" s="31" t="s">
        <v>49</v>
      </c>
      <c r="C116" s="114"/>
      <c r="E116" s="28" t="s">
        <v>17</v>
      </c>
      <c r="G116" s="28" t="s">
        <v>254</v>
      </c>
      <c r="I116" s="28" t="s">
        <v>21</v>
      </c>
      <c r="K116" s="182">
        <v>257278</v>
      </c>
      <c r="M116" s="182">
        <v>-257278</v>
      </c>
      <c r="O116" s="182">
        <f t="shared" si="17"/>
        <v>0</v>
      </c>
      <c r="Q116" s="143">
        <v>0</v>
      </c>
      <c r="R116" s="236"/>
      <c r="S116" s="143">
        <v>0</v>
      </c>
      <c r="T116" s="236"/>
      <c r="U116" s="143"/>
      <c r="V116" s="12"/>
      <c r="W116" s="143"/>
      <c r="X116" s="45"/>
      <c r="Y116" s="143"/>
      <c r="Z116" s="45"/>
      <c r="AA116" s="143"/>
      <c r="AB116" s="45"/>
      <c r="AC116" s="143"/>
      <c r="AD116" s="45"/>
      <c r="AE116" s="143"/>
      <c r="AF116" s="143"/>
      <c r="AG116" s="143"/>
      <c r="AH116" s="143"/>
      <c r="AI116" s="143"/>
      <c r="AJ116" s="143"/>
      <c r="AK116" s="143"/>
      <c r="AL116" s="143"/>
      <c r="AM116" s="143"/>
      <c r="AN116" s="143"/>
      <c r="AO116" s="143"/>
      <c r="AP116" s="143"/>
      <c r="AQ116" s="143"/>
      <c r="AS116" s="143"/>
      <c r="AU116" s="143"/>
      <c r="AW116" s="143"/>
      <c r="AY116" s="45">
        <f t="shared" si="14"/>
        <v>0</v>
      </c>
      <c r="BA116" s="143"/>
      <c r="BC116" s="45">
        <f t="shared" si="15"/>
        <v>0</v>
      </c>
      <c r="BE116" s="45">
        <f t="shared" si="3"/>
        <v>0</v>
      </c>
      <c r="BG116" s="8">
        <f t="shared" si="16"/>
        <v>0</v>
      </c>
      <c r="BH116" s="82"/>
      <c r="BI116" s="45"/>
      <c r="BJ116" s="45"/>
    </row>
    <row r="117" spans="1:62" s="27" customFormat="1" x14ac:dyDescent="0.25">
      <c r="A117" s="113"/>
      <c r="B117" s="31" t="s">
        <v>50</v>
      </c>
      <c r="C117" s="114"/>
      <c r="E117" s="28" t="s">
        <v>17</v>
      </c>
      <c r="G117" s="28" t="s">
        <v>254</v>
      </c>
      <c r="I117" s="28" t="s">
        <v>21</v>
      </c>
      <c r="K117" s="182">
        <v>1405318</v>
      </c>
      <c r="M117" s="182">
        <v>-1405318</v>
      </c>
      <c r="O117" s="182">
        <f t="shared" si="17"/>
        <v>0</v>
      </c>
      <c r="Q117" s="143">
        <v>0</v>
      </c>
      <c r="R117" s="236"/>
      <c r="S117" s="143">
        <v>0</v>
      </c>
      <c r="T117" s="236"/>
      <c r="U117" s="143"/>
      <c r="V117" s="12"/>
      <c r="W117" s="143"/>
      <c r="X117" s="45"/>
      <c r="Y117" s="143"/>
      <c r="Z117" s="45"/>
      <c r="AA117" s="143"/>
      <c r="AB117" s="45"/>
      <c r="AC117" s="143"/>
      <c r="AD117" s="45"/>
      <c r="AE117" s="143"/>
      <c r="AF117" s="143"/>
      <c r="AG117" s="143"/>
      <c r="AH117" s="143"/>
      <c r="AI117" s="143"/>
      <c r="AJ117" s="143"/>
      <c r="AK117" s="143"/>
      <c r="AL117" s="143"/>
      <c r="AM117" s="143"/>
      <c r="AN117" s="143"/>
      <c r="AO117" s="143"/>
      <c r="AP117" s="143"/>
      <c r="AQ117" s="143"/>
      <c r="AS117" s="143"/>
      <c r="AU117" s="143"/>
      <c r="AW117" s="143"/>
      <c r="AY117" s="45">
        <f t="shared" si="14"/>
        <v>0</v>
      </c>
      <c r="BA117" s="143"/>
      <c r="BC117" s="45">
        <f t="shared" si="15"/>
        <v>0</v>
      </c>
      <c r="BE117" s="45">
        <f t="shared" si="3"/>
        <v>0</v>
      </c>
      <c r="BG117" s="8">
        <f t="shared" si="16"/>
        <v>0</v>
      </c>
      <c r="BH117" s="82"/>
      <c r="BI117" s="45"/>
      <c r="BJ117" s="45"/>
    </row>
    <row r="118" spans="1:62" s="27" customFormat="1" x14ac:dyDescent="0.25">
      <c r="A118" s="113"/>
      <c r="B118" s="31" t="s">
        <v>247</v>
      </c>
      <c r="C118" s="114"/>
      <c r="E118" s="28"/>
      <c r="G118" s="28" t="s">
        <v>254</v>
      </c>
      <c r="I118" s="28"/>
      <c r="K118" s="182">
        <v>0</v>
      </c>
      <c r="M118" s="182">
        <v>8565579</v>
      </c>
      <c r="O118" s="182">
        <f t="shared" si="17"/>
        <v>8565579</v>
      </c>
      <c r="Q118" s="143"/>
      <c r="R118" s="236"/>
      <c r="S118" s="143">
        <f>15304.8+167+77224.56+57141+104736</f>
        <v>254573.36</v>
      </c>
      <c r="T118" s="236"/>
      <c r="U118" s="143">
        <f>76188+53.62+14962.92+76188+386</f>
        <v>167778.53999999998</v>
      </c>
      <c r="V118" s="12"/>
      <c r="W118" s="143">
        <f>140279.5+67578+849</f>
        <v>208706.5</v>
      </c>
      <c r="X118" s="45"/>
      <c r="Y118" s="143">
        <f>849+345000</f>
        <v>345849</v>
      </c>
      <c r="Z118" s="45"/>
      <c r="AA118" s="143"/>
      <c r="AB118" s="45"/>
      <c r="AC118" s="143">
        <f>2895829</f>
        <v>2895829</v>
      </c>
      <c r="AD118" s="45"/>
      <c r="AE118" s="143">
        <v>1849499</v>
      </c>
      <c r="AF118" s="143"/>
      <c r="AG118" s="143">
        <f>911857+1295871</f>
        <v>2207728</v>
      </c>
      <c r="AH118" s="143"/>
      <c r="AI118" s="143">
        <v>134528</v>
      </c>
      <c r="AJ118" s="143"/>
      <c r="AK118" s="143">
        <v>110547</v>
      </c>
      <c r="AL118" s="143"/>
      <c r="AM118" s="143">
        <v>42298</v>
      </c>
      <c r="AN118" s="143"/>
      <c r="AO118" s="143">
        <v>90809</v>
      </c>
      <c r="AP118" s="143"/>
      <c r="AQ118" s="143"/>
      <c r="AS118" s="143"/>
      <c r="AU118" s="143"/>
      <c r="AW118" s="143"/>
      <c r="AY118" s="45">
        <f t="shared" si="14"/>
        <v>8308145.4000000004</v>
      </c>
      <c r="BA118" s="143">
        <f>-354593+203856+6755-204261+90809</f>
        <v>-257434</v>
      </c>
      <c r="BC118" s="45">
        <f t="shared" si="15"/>
        <v>0</v>
      </c>
      <c r="BE118" s="45">
        <f t="shared" si="3"/>
        <v>8308145.4000000004</v>
      </c>
      <c r="BG118" s="8">
        <f t="shared" si="16"/>
        <v>257433.59999999963</v>
      </c>
      <c r="BH118" s="82"/>
      <c r="BI118" s="45"/>
      <c r="BJ118" s="45"/>
    </row>
    <row r="119" spans="1:62" x14ac:dyDescent="0.25">
      <c r="A119" s="113"/>
      <c r="B119" s="31" t="s">
        <v>522</v>
      </c>
      <c r="C119" s="114"/>
      <c r="E119" s="7" t="s">
        <v>17</v>
      </c>
      <c r="G119" s="7" t="s">
        <v>254</v>
      </c>
      <c r="I119" s="7" t="s">
        <v>21</v>
      </c>
      <c r="K119" s="13">
        <f>3395289+1107732</f>
        <v>4503021</v>
      </c>
      <c r="M119" s="20">
        <f>-3395289-1107732</f>
        <v>-4503021</v>
      </c>
      <c r="N119" s="19"/>
      <c r="O119" s="20">
        <f t="shared" si="17"/>
        <v>0</v>
      </c>
      <c r="P119" s="19"/>
      <c r="Q119" s="173">
        <v>0</v>
      </c>
      <c r="R119" s="235"/>
      <c r="S119" s="173">
        <v>0</v>
      </c>
      <c r="T119" s="235"/>
      <c r="U119" s="275"/>
      <c r="V119" s="34"/>
      <c r="W119" s="173"/>
      <c r="X119" s="21"/>
      <c r="Y119" s="173"/>
      <c r="Z119" s="21"/>
      <c r="AA119" s="173"/>
      <c r="AB119" s="21"/>
      <c r="AC119" s="173"/>
      <c r="AD119" s="21"/>
      <c r="AE119" s="173"/>
      <c r="AF119" s="173"/>
      <c r="AG119" s="173"/>
      <c r="AH119" s="173"/>
      <c r="AI119" s="173">
        <f>112252+360517+894451+75335</f>
        <v>1442555</v>
      </c>
      <c r="AJ119" s="173"/>
      <c r="AK119" s="173">
        <v>1085705</v>
      </c>
      <c r="AL119" s="173"/>
      <c r="AM119" s="173"/>
      <c r="AN119" s="173"/>
      <c r="AO119" s="173"/>
      <c r="AP119" s="173"/>
      <c r="AQ119" s="173"/>
      <c r="AR119" s="19"/>
      <c r="AS119" s="173"/>
      <c r="AT119" s="19"/>
      <c r="AU119" s="173"/>
      <c r="AV119" s="19"/>
      <c r="AW119" s="173"/>
      <c r="AX119" s="19"/>
      <c r="AY119" s="45">
        <f t="shared" si="14"/>
        <v>2528260</v>
      </c>
      <c r="AZ119" s="19"/>
      <c r="BA119" s="173">
        <f>1692567+2459246-1623553</f>
        <v>2528260</v>
      </c>
      <c r="BB119" s="19"/>
      <c r="BC119" s="21">
        <f t="shared" si="15"/>
        <v>0</v>
      </c>
      <c r="BD119" s="19"/>
      <c r="BE119" s="21">
        <f t="shared" si="3"/>
        <v>2528260</v>
      </c>
      <c r="BF119" s="19"/>
      <c r="BG119" s="21">
        <f t="shared" si="16"/>
        <v>-2528260</v>
      </c>
      <c r="BH119" s="34"/>
      <c r="BI119" s="21"/>
    </row>
    <row r="120" spans="1:62" x14ac:dyDescent="0.25">
      <c r="A120" s="113"/>
      <c r="B120" s="31" t="s">
        <v>534</v>
      </c>
      <c r="C120" s="114"/>
      <c r="K120" s="20"/>
      <c r="M120" s="13"/>
      <c r="O120" s="13">
        <v>0</v>
      </c>
      <c r="Q120" s="173"/>
      <c r="R120" s="235"/>
      <c r="S120" s="173"/>
      <c r="T120" s="235"/>
      <c r="U120" s="275"/>
      <c r="V120" s="12"/>
      <c r="W120" s="173"/>
      <c r="X120" s="21"/>
      <c r="Y120" s="173"/>
      <c r="Z120" s="21"/>
      <c r="AA120" s="173"/>
      <c r="AB120" s="21"/>
      <c r="AC120" s="173"/>
      <c r="AD120" s="21"/>
      <c r="AE120" s="173"/>
      <c r="AF120" s="173"/>
      <c r="AG120" s="173"/>
      <c r="AH120" s="173"/>
      <c r="AI120" s="173"/>
      <c r="AJ120" s="173"/>
      <c r="AK120" s="173">
        <f>11289.95+148500</f>
        <v>159789.95000000001</v>
      </c>
      <c r="AL120" s="173"/>
      <c r="AM120" s="173">
        <f>61914.57</f>
        <v>61914.57</v>
      </c>
      <c r="AN120" s="173"/>
      <c r="AO120" s="173"/>
      <c r="AP120" s="173"/>
      <c r="AQ120" s="173"/>
      <c r="AS120" s="173"/>
      <c r="AU120" s="173"/>
      <c r="AW120" s="173"/>
      <c r="AY120" s="45">
        <f t="shared" si="14"/>
        <v>221704.52000000002</v>
      </c>
      <c r="BA120" s="144"/>
      <c r="BC120" s="14">
        <f t="shared" si="15"/>
        <v>0</v>
      </c>
      <c r="BD120" s="6"/>
      <c r="BE120" s="14">
        <f t="shared" si="3"/>
        <v>221704.52000000002</v>
      </c>
      <c r="BF120" s="6"/>
      <c r="BG120" s="14">
        <f t="shared" si="16"/>
        <v>-221704.52000000002</v>
      </c>
      <c r="BH120" s="34"/>
      <c r="BI120" s="21"/>
    </row>
    <row r="121" spans="1:62" x14ac:dyDescent="0.25">
      <c r="A121" s="17"/>
      <c r="B121" s="119" t="s">
        <v>51</v>
      </c>
      <c r="C121" s="114"/>
      <c r="K121" s="15">
        <f>SUM(K90:K119)</f>
        <v>9768318</v>
      </c>
      <c r="L121" s="107">
        <f t="shared" ref="L121:AI121" si="18">SUM(L90:L120)</f>
        <v>0</v>
      </c>
      <c r="M121" s="107">
        <f t="shared" si="18"/>
        <v>6478079</v>
      </c>
      <c r="N121" s="107">
        <f t="shared" si="18"/>
        <v>0</v>
      </c>
      <c r="O121" s="107">
        <f t="shared" si="18"/>
        <v>16246397</v>
      </c>
      <c r="P121" s="107">
        <f t="shared" si="18"/>
        <v>0</v>
      </c>
      <c r="Q121" s="107">
        <f>SUM(Q90:Q120)</f>
        <v>0</v>
      </c>
      <c r="R121" s="107"/>
      <c r="S121" s="107">
        <f>SUM(S90:S120)</f>
        <v>254573.36</v>
      </c>
      <c r="T121" s="107"/>
      <c r="U121" s="107">
        <f t="shared" si="18"/>
        <v>168623.53999999998</v>
      </c>
      <c r="V121" s="107"/>
      <c r="W121" s="107">
        <f t="shared" si="18"/>
        <v>225717.5</v>
      </c>
      <c r="X121" s="107"/>
      <c r="Y121" s="107">
        <f t="shared" si="18"/>
        <v>1062099</v>
      </c>
      <c r="Z121" s="107"/>
      <c r="AA121" s="107">
        <f t="shared" si="18"/>
        <v>0</v>
      </c>
      <c r="AB121" s="107"/>
      <c r="AC121" s="107">
        <f t="shared" si="18"/>
        <v>3570984</v>
      </c>
      <c r="AD121" s="107"/>
      <c r="AE121" s="107">
        <f t="shared" si="18"/>
        <v>3382350</v>
      </c>
      <c r="AF121" s="107"/>
      <c r="AG121" s="107">
        <f t="shared" si="18"/>
        <v>5703192</v>
      </c>
      <c r="AH121" s="107"/>
      <c r="AI121" s="107">
        <f t="shared" si="18"/>
        <v>1810362</v>
      </c>
      <c r="AJ121" s="107"/>
      <c r="AK121" s="107">
        <f>SUM(AK90:AK120)</f>
        <v>2458960.9500000002</v>
      </c>
      <c r="AL121" s="107"/>
      <c r="AM121" s="107">
        <f>SUM(AM90:AM120)</f>
        <v>1168358.57</v>
      </c>
      <c r="AN121" s="16"/>
      <c r="AO121" s="107">
        <f>SUM(AO90:AO120)</f>
        <v>904832</v>
      </c>
      <c r="AP121" s="16"/>
      <c r="AQ121" s="107">
        <f>SUM(AQ90:AQ120)</f>
        <v>0</v>
      </c>
      <c r="AS121" s="107">
        <f>SUM(AS90:AS120)</f>
        <v>0</v>
      </c>
      <c r="AU121" s="107">
        <f>SUM(AU90:AU120)</f>
        <v>0</v>
      </c>
      <c r="AW121" s="107">
        <f>SUM(AW90:AW120)</f>
        <v>0</v>
      </c>
      <c r="AY121" s="107">
        <f>SUM(AY90:AY120)</f>
        <v>20710052.919999998</v>
      </c>
      <c r="BA121" s="15">
        <f>SUM(BA90:BA119)</f>
        <v>4100862</v>
      </c>
      <c r="BC121" s="15">
        <f>SUM(BC90:BC120)</f>
        <v>0</v>
      </c>
      <c r="BD121" s="6"/>
      <c r="BE121" s="15">
        <f>SUM(BE90:BE120)</f>
        <v>20710052.919999998</v>
      </c>
      <c r="BF121" s="6"/>
      <c r="BG121" s="15">
        <f>SUM(BG90:BG120)</f>
        <v>-4463655.92</v>
      </c>
      <c r="BH121" s="12"/>
      <c r="BI121" s="15"/>
    </row>
    <row r="122" spans="1:62" x14ac:dyDescent="0.25">
      <c r="A122" s="113"/>
      <c r="B122" s="31"/>
      <c r="C122" s="114"/>
      <c r="G122" s="6"/>
      <c r="V122" s="12"/>
      <c r="AY122" s="45"/>
      <c r="BD122" s="6"/>
      <c r="BF122" s="6"/>
      <c r="BH122" s="8"/>
      <c r="BI122" s="8"/>
    </row>
    <row r="123" spans="1:62" s="27" customFormat="1" x14ac:dyDescent="0.25">
      <c r="B123" s="31"/>
      <c r="C123" s="114"/>
      <c r="E123" s="28"/>
      <c r="I123" s="28"/>
      <c r="K123" s="45"/>
      <c r="M123" s="45"/>
      <c r="O123" s="45"/>
      <c r="Q123" s="143"/>
      <c r="R123" s="236"/>
      <c r="S123" s="143"/>
      <c r="T123" s="236"/>
      <c r="U123" s="143"/>
      <c r="V123" s="12"/>
      <c r="W123" s="143"/>
      <c r="X123" s="45"/>
      <c r="Y123" s="143"/>
      <c r="Z123" s="45"/>
      <c r="AA123" s="143"/>
      <c r="AB123" s="45"/>
      <c r="AC123" s="143"/>
      <c r="AD123" s="45"/>
      <c r="AE123" s="143"/>
      <c r="AF123" s="143"/>
      <c r="AG123" s="143"/>
      <c r="AH123" s="143"/>
      <c r="AI123" s="143"/>
      <c r="AJ123" s="143"/>
      <c r="AK123" s="143"/>
      <c r="AL123" s="143"/>
      <c r="AM123" s="143"/>
      <c r="AN123" s="143"/>
      <c r="AO123" s="143"/>
      <c r="AP123" s="143"/>
      <c r="AQ123" s="143"/>
      <c r="AS123" s="143"/>
      <c r="AU123" s="143"/>
      <c r="AW123" s="143"/>
      <c r="AY123" s="45"/>
      <c r="BA123" s="143"/>
      <c r="BC123" s="45"/>
      <c r="BE123" s="45"/>
      <c r="BG123" s="45"/>
      <c r="BH123" s="45"/>
      <c r="BI123" s="45"/>
      <c r="BJ123" s="45"/>
    </row>
    <row r="124" spans="1:62" s="27" customFormat="1" x14ac:dyDescent="0.25">
      <c r="A124" s="121" t="s">
        <v>248</v>
      </c>
      <c r="B124" s="31"/>
      <c r="C124" s="114"/>
      <c r="E124" s="28"/>
      <c r="I124" s="28"/>
      <c r="K124" s="45"/>
      <c r="M124" s="45"/>
      <c r="O124" s="182"/>
      <c r="Q124" s="143"/>
      <c r="R124" s="236"/>
      <c r="S124" s="143"/>
      <c r="T124" s="236"/>
      <c r="U124" s="143"/>
      <c r="V124" s="12"/>
      <c r="W124" s="143"/>
      <c r="X124" s="45"/>
      <c r="Y124" s="143"/>
      <c r="Z124" s="45"/>
      <c r="AA124" s="143"/>
      <c r="AB124" s="45"/>
      <c r="AC124" s="143"/>
      <c r="AD124" s="45"/>
      <c r="AE124" s="143"/>
      <c r="AF124" s="143"/>
      <c r="AG124" s="143"/>
      <c r="AH124" s="143"/>
      <c r="AI124" s="143"/>
      <c r="AJ124" s="143"/>
      <c r="AK124" s="143"/>
      <c r="AL124" s="143"/>
      <c r="AM124" s="143"/>
      <c r="AN124" s="143"/>
      <c r="AO124" s="143"/>
      <c r="AP124" s="143"/>
      <c r="AQ124" s="143"/>
      <c r="AS124" s="143"/>
      <c r="AU124" s="143"/>
      <c r="AW124" s="143"/>
      <c r="AY124" s="45"/>
      <c r="BA124" s="143"/>
      <c r="BC124" s="45"/>
      <c r="BE124" s="82"/>
      <c r="BG124" s="8"/>
      <c r="BH124" s="45"/>
      <c r="BI124" s="45"/>
      <c r="BJ124" s="45"/>
    </row>
    <row r="125" spans="1:62" s="27" customFormat="1" x14ac:dyDescent="0.25">
      <c r="A125" s="121"/>
      <c r="B125" s="31" t="s">
        <v>397</v>
      </c>
      <c r="C125" s="114"/>
      <c r="E125" s="28"/>
      <c r="I125" s="28"/>
      <c r="K125" s="45"/>
      <c r="M125" s="45">
        <v>356828</v>
      </c>
      <c r="O125" s="182">
        <f>SUM(K125:N125)</f>
        <v>356828</v>
      </c>
      <c r="Q125" s="143"/>
      <c r="R125" s="236"/>
      <c r="S125" s="143"/>
      <c r="T125" s="236"/>
      <c r="U125" s="143">
        <v>209239</v>
      </c>
      <c r="V125" s="12"/>
      <c r="W125" s="143">
        <v>17821</v>
      </c>
      <c r="X125" s="45"/>
      <c r="Y125" s="143">
        <f>23019</f>
        <v>23019</v>
      </c>
      <c r="Z125" s="45"/>
      <c r="AA125" s="143"/>
      <c r="AB125" s="45"/>
      <c r="AC125" s="143">
        <v>62454</v>
      </c>
      <c r="AD125" s="45"/>
      <c r="AE125" s="143">
        <v>54096</v>
      </c>
      <c r="AF125" s="143"/>
      <c r="AG125" s="143">
        <f>70493+142326-32811</f>
        <v>180008</v>
      </c>
      <c r="AH125" s="143"/>
      <c r="AI125" s="143">
        <f>32811+155834-112252</f>
        <v>76393</v>
      </c>
      <c r="AJ125" s="143"/>
      <c r="AK125" s="143">
        <v>41252</v>
      </c>
      <c r="AL125" s="143"/>
      <c r="AM125" s="82">
        <f>518143-600000</f>
        <v>-81857</v>
      </c>
      <c r="AN125" s="82"/>
      <c r="AO125" s="82">
        <v>-159204</v>
      </c>
      <c r="AP125" s="82"/>
      <c r="AQ125" s="82">
        <v>1849089</v>
      </c>
      <c r="AS125" s="82"/>
      <c r="AU125" s="82"/>
      <c r="AW125" s="82"/>
      <c r="AY125" s="45">
        <f t="shared" ref="AY125:AY131" si="19">SUM(P125:AX125)</f>
        <v>2272310</v>
      </c>
      <c r="BA125" s="143">
        <f>88085-91209-97940-39686-10472-159204</f>
        <v>-310426</v>
      </c>
      <c r="BC125" s="82">
        <f>IF(+O125-AY125+BA125&gt;0,O125-AY125+BA125,0)</f>
        <v>0</v>
      </c>
      <c r="BE125" s="271">
        <f>+BC125+AY125</f>
        <v>2272310</v>
      </c>
      <c r="BG125" s="8">
        <f t="shared" ref="BG125:BG131" si="20">O125-AY125-BC125</f>
        <v>-1915482</v>
      </c>
      <c r="BH125" s="45"/>
      <c r="BI125" s="45"/>
      <c r="BJ125" s="45"/>
    </row>
    <row r="126" spans="1:62" s="27" customFormat="1" x14ac:dyDescent="0.25">
      <c r="A126" s="121"/>
      <c r="B126" s="31" t="s">
        <v>399</v>
      </c>
      <c r="C126" s="114"/>
      <c r="E126" s="28"/>
      <c r="I126" s="28"/>
      <c r="K126" s="45"/>
      <c r="M126" s="45">
        <v>1194879</v>
      </c>
      <c r="O126" s="182">
        <f t="shared" ref="O126:O131" si="21">SUM(K126:N126)</f>
        <v>1194879</v>
      </c>
      <c r="Q126" s="143"/>
      <c r="R126" s="236"/>
      <c r="S126" s="143"/>
      <c r="T126" s="236"/>
      <c r="U126" s="143"/>
      <c r="V126" s="12"/>
      <c r="W126" s="143">
        <v>11066</v>
      </c>
      <c r="X126" s="45"/>
      <c r="Y126" s="143">
        <f>1221+40940</f>
        <v>42161</v>
      </c>
      <c r="Z126" s="45"/>
      <c r="AA126" s="143"/>
      <c r="AB126" s="45"/>
      <c r="AC126" s="143">
        <v>145566</v>
      </c>
      <c r="AD126" s="45"/>
      <c r="AE126" s="143">
        <v>77856</v>
      </c>
      <c r="AF126" s="143"/>
      <c r="AG126" s="143">
        <f>89037+165939</f>
        <v>254976</v>
      </c>
      <c r="AH126" s="143"/>
      <c r="AI126" s="143">
        <v>83020</v>
      </c>
      <c r="AJ126" s="143"/>
      <c r="AK126" s="143">
        <v>147045</v>
      </c>
      <c r="AL126" s="143"/>
      <c r="AM126" s="143">
        <v>67769</v>
      </c>
      <c r="AN126" s="143"/>
      <c r="AO126" s="143">
        <v>126562</v>
      </c>
      <c r="AP126" s="143"/>
      <c r="AQ126" s="143"/>
      <c r="AS126" s="143"/>
      <c r="AU126" s="143"/>
      <c r="AW126" s="143"/>
      <c r="AY126" s="45">
        <f t="shared" si="19"/>
        <v>956021</v>
      </c>
      <c r="BA126" s="143">
        <f>951863-1194879-111197+54246+46516+36245-148214+126562</f>
        <v>-238858</v>
      </c>
      <c r="BC126" s="45">
        <f t="shared" ref="BC126:BC131" si="22">IF(+O126-AY126+BA126&gt;0,O126-AY126+BA126,0)</f>
        <v>0</v>
      </c>
      <c r="BE126" s="45">
        <f>+BC126+AY126</f>
        <v>956021</v>
      </c>
      <c r="BG126" s="8">
        <f t="shared" si="20"/>
        <v>238858</v>
      </c>
      <c r="BH126" s="45"/>
      <c r="BI126" s="45"/>
      <c r="BJ126" s="45"/>
    </row>
    <row r="127" spans="1:62" s="27" customFormat="1" ht="13.5" customHeight="1" x14ac:dyDescent="0.25">
      <c r="A127" s="121"/>
      <c r="B127" s="31" t="s">
        <v>528</v>
      </c>
      <c r="C127" s="114"/>
      <c r="E127" s="28"/>
      <c r="I127" s="28"/>
      <c r="K127" s="45"/>
      <c r="M127" s="45">
        <f>2998745+1312553+1463286</f>
        <v>5774584</v>
      </c>
      <c r="O127" s="182">
        <f t="shared" si="21"/>
        <v>5774584</v>
      </c>
      <c r="Q127" s="143"/>
      <c r="R127" s="236"/>
      <c r="S127" s="143"/>
      <c r="T127" s="236"/>
      <c r="U127" s="143"/>
      <c r="V127" s="12"/>
      <c r="W127" s="143">
        <v>231203</v>
      </c>
      <c r="X127" s="45"/>
      <c r="Y127" s="143">
        <f>225923+338731</f>
        <v>564654</v>
      </c>
      <c r="Z127" s="45"/>
      <c r="AA127" s="143"/>
      <c r="AB127" s="45"/>
      <c r="AC127" s="143">
        <v>502492</v>
      </c>
      <c r="AD127" s="45"/>
      <c r="AE127" s="143">
        <v>702372</v>
      </c>
      <c r="AF127" s="143"/>
      <c r="AG127" s="143">
        <f>860179+705034-911026</f>
        <v>654187</v>
      </c>
      <c r="AH127" s="143"/>
      <c r="AI127" s="143">
        <f>911026+609618+1282565</f>
        <v>2803209</v>
      </c>
      <c r="AJ127" s="143"/>
      <c r="AK127" s="143">
        <v>843487</v>
      </c>
      <c r="AL127" s="143"/>
      <c r="AM127" s="143">
        <v>432007</v>
      </c>
      <c r="AN127" s="143"/>
      <c r="AO127" s="143"/>
      <c r="AP127" s="143"/>
      <c r="AQ127" s="143"/>
      <c r="AS127" s="143"/>
      <c r="AU127" s="143"/>
      <c r="AW127" s="143"/>
      <c r="AY127" s="45">
        <f t="shared" si="19"/>
        <v>6733611</v>
      </c>
      <c r="BA127" s="143">
        <f>2862030-2998745+351093-378248+155246+314000-273311-13504+115571</f>
        <v>134132</v>
      </c>
      <c r="BC127" s="45">
        <f t="shared" si="22"/>
        <v>0</v>
      </c>
      <c r="BE127" s="45">
        <f>+BC127+AY127</f>
        <v>6733611</v>
      </c>
      <c r="BG127" s="8">
        <f t="shared" si="20"/>
        <v>-959027</v>
      </c>
      <c r="BH127" s="45"/>
      <c r="BI127" s="45"/>
      <c r="BJ127" s="45"/>
    </row>
    <row r="128" spans="1:62" s="27" customFormat="1" x14ac:dyDescent="0.25">
      <c r="A128" s="121"/>
      <c r="B128" s="31" t="s">
        <v>527</v>
      </c>
      <c r="C128" s="114"/>
      <c r="E128" s="28"/>
      <c r="I128" s="28"/>
      <c r="K128" s="45"/>
      <c r="M128" s="45">
        <f>1110485+1095310</f>
        <v>2205795</v>
      </c>
      <c r="O128" s="182">
        <f t="shared" si="21"/>
        <v>2205795</v>
      </c>
      <c r="Q128" s="143"/>
      <c r="R128" s="236"/>
      <c r="S128" s="143"/>
      <c r="T128" s="236"/>
      <c r="U128" s="143">
        <v>0</v>
      </c>
      <c r="V128" s="12"/>
      <c r="W128" s="143">
        <v>6069</v>
      </c>
      <c r="X128" s="45"/>
      <c r="Y128" s="143">
        <f>29241+1111+3612</f>
        <v>33964</v>
      </c>
      <c r="Z128" s="45"/>
      <c r="AA128" s="143"/>
      <c r="AB128" s="45"/>
      <c r="AC128" s="143">
        <v>31530</v>
      </c>
      <c r="AD128" s="45"/>
      <c r="AE128" s="143">
        <v>113729</v>
      </c>
      <c r="AF128" s="143"/>
      <c r="AG128" s="143">
        <f>299667+446771</f>
        <v>746438</v>
      </c>
      <c r="AH128" s="143"/>
      <c r="AI128" s="143">
        <v>410118</v>
      </c>
      <c r="AJ128" s="143"/>
      <c r="AK128" s="143">
        <v>344336</v>
      </c>
      <c r="AL128" s="143"/>
      <c r="AM128" s="143">
        <v>119527</v>
      </c>
      <c r="AN128" s="143"/>
      <c r="AO128" s="143">
        <v>257014</v>
      </c>
      <c r="AP128" s="143"/>
      <c r="AQ128" s="143"/>
      <c r="AS128" s="143"/>
      <c r="AU128" s="143"/>
      <c r="AW128" s="143"/>
      <c r="AY128" s="45">
        <f t="shared" si="19"/>
        <v>2062725</v>
      </c>
      <c r="BA128" s="143">
        <f>847378-1110485-113+147785+316190-568870+400000-10364-330743+112532+32000-235394+257014</f>
        <v>-143070</v>
      </c>
      <c r="BC128" s="45">
        <f t="shared" si="22"/>
        <v>0</v>
      </c>
      <c r="BE128" s="45">
        <f>+BC128+AY128</f>
        <v>2062725</v>
      </c>
      <c r="BG128" s="8">
        <f t="shared" si="20"/>
        <v>143070</v>
      </c>
      <c r="BH128" s="45"/>
      <c r="BI128" s="45"/>
      <c r="BJ128" s="45"/>
    </row>
    <row r="129" spans="1:63" s="27" customFormat="1" x14ac:dyDescent="0.25">
      <c r="A129" s="121"/>
      <c r="B129" s="31" t="s">
        <v>52</v>
      </c>
      <c r="C129" s="114" t="s">
        <v>36</v>
      </c>
      <c r="E129" s="28" t="s">
        <v>17</v>
      </c>
      <c r="G129" s="28" t="s">
        <v>254</v>
      </c>
      <c r="I129" s="28" t="s">
        <v>21</v>
      </c>
      <c r="K129" s="182">
        <v>710800</v>
      </c>
      <c r="M129" s="182">
        <v>-710800</v>
      </c>
      <c r="O129" s="182">
        <f t="shared" si="21"/>
        <v>0</v>
      </c>
      <c r="Q129" s="143">
        <v>0</v>
      </c>
      <c r="R129" s="236"/>
      <c r="S129" s="143">
        <v>0</v>
      </c>
      <c r="T129" s="236"/>
      <c r="U129" s="143">
        <v>0</v>
      </c>
      <c r="V129" s="12"/>
      <c r="W129" s="143"/>
      <c r="X129" s="45"/>
      <c r="Y129" s="143"/>
      <c r="Z129" s="45"/>
      <c r="AA129" s="143"/>
      <c r="AB129" s="45"/>
      <c r="AC129" s="143"/>
      <c r="AD129" s="45"/>
      <c r="AE129" s="143"/>
      <c r="AF129" s="143"/>
      <c r="AG129" s="143"/>
      <c r="AH129" s="143"/>
      <c r="AI129" s="143"/>
      <c r="AJ129" s="143"/>
      <c r="AK129" s="143"/>
      <c r="AL129" s="143"/>
      <c r="AM129" s="143"/>
      <c r="AN129" s="143"/>
      <c r="AO129" s="143"/>
      <c r="AP129" s="143"/>
      <c r="AQ129" s="143"/>
      <c r="AS129" s="143"/>
      <c r="AU129" s="143"/>
      <c r="AW129" s="143"/>
      <c r="AY129" s="45">
        <f t="shared" si="19"/>
        <v>0</v>
      </c>
      <c r="BA129" s="143"/>
      <c r="BC129" s="45">
        <f t="shared" si="22"/>
        <v>0</v>
      </c>
      <c r="BE129" s="45">
        <f t="shared" ref="BE129:BE189" si="23">+BC129+AY129</f>
        <v>0</v>
      </c>
      <c r="BG129" s="8">
        <f t="shared" si="20"/>
        <v>0</v>
      </c>
      <c r="BH129" s="82"/>
      <c r="BI129" s="45"/>
      <c r="BJ129" s="45"/>
    </row>
    <row r="130" spans="1:63" s="27" customFormat="1" x14ac:dyDescent="0.25">
      <c r="A130" s="121"/>
      <c r="B130" s="31" t="s">
        <v>53</v>
      </c>
      <c r="C130" s="114"/>
      <c r="E130" s="28" t="s">
        <v>17</v>
      </c>
      <c r="G130" s="28" t="s">
        <v>254</v>
      </c>
      <c r="I130" s="28" t="s">
        <v>21</v>
      </c>
      <c r="K130" s="182">
        <v>3163053</v>
      </c>
      <c r="M130" s="182">
        <v>-3163053</v>
      </c>
      <c r="O130" s="182">
        <f t="shared" si="21"/>
        <v>0</v>
      </c>
      <c r="Q130" s="143">
        <v>0</v>
      </c>
      <c r="R130" s="236"/>
      <c r="S130" s="143">
        <v>0</v>
      </c>
      <c r="T130" s="236"/>
      <c r="U130" s="143"/>
      <c r="V130" s="12"/>
      <c r="W130" s="143"/>
      <c r="X130" s="45"/>
      <c r="Y130" s="143"/>
      <c r="Z130" s="45"/>
      <c r="AA130" s="143"/>
      <c r="AB130" s="45"/>
      <c r="AC130" s="143"/>
      <c r="AD130" s="45"/>
      <c r="AE130" s="143"/>
      <c r="AF130" s="143"/>
      <c r="AG130" s="143"/>
      <c r="AH130" s="143"/>
      <c r="AI130" s="143"/>
      <c r="AJ130" s="143"/>
      <c r="AK130" s="143"/>
      <c r="AL130" s="143"/>
      <c r="AM130" s="143"/>
      <c r="AN130" s="143"/>
      <c r="AO130" s="143"/>
      <c r="AP130" s="143"/>
      <c r="AQ130" s="143"/>
      <c r="AS130" s="143"/>
      <c r="AU130" s="143"/>
      <c r="AW130" s="143"/>
      <c r="AY130" s="45">
        <f t="shared" si="19"/>
        <v>0</v>
      </c>
      <c r="BA130" s="143"/>
      <c r="BC130" s="45">
        <f t="shared" si="22"/>
        <v>0</v>
      </c>
      <c r="BE130" s="45">
        <f t="shared" si="23"/>
        <v>0</v>
      </c>
      <c r="BG130" s="8">
        <f t="shared" si="20"/>
        <v>0</v>
      </c>
      <c r="BH130" s="82"/>
      <c r="BI130" s="45"/>
      <c r="BJ130" s="45"/>
    </row>
    <row r="131" spans="1:63" s="27" customFormat="1" x14ac:dyDescent="0.25">
      <c r="A131" s="121"/>
      <c r="B131" s="31" t="s">
        <v>54</v>
      </c>
      <c r="C131" s="114"/>
      <c r="E131" s="28" t="s">
        <v>17</v>
      </c>
      <c r="G131" s="28" t="s">
        <v>254</v>
      </c>
      <c r="I131" s="28" t="s">
        <v>21</v>
      </c>
      <c r="K131" s="81">
        <v>1128260</v>
      </c>
      <c r="M131" s="81">
        <v>-1128260</v>
      </c>
      <c r="O131" s="81">
        <f t="shared" si="21"/>
        <v>0</v>
      </c>
      <c r="Q131" s="144">
        <v>0</v>
      </c>
      <c r="R131" s="237"/>
      <c r="S131" s="144">
        <v>0</v>
      </c>
      <c r="T131" s="237"/>
      <c r="U131" s="144"/>
      <c r="V131" s="12"/>
      <c r="W131" s="144"/>
      <c r="X131" s="172"/>
      <c r="Y131" s="144"/>
      <c r="Z131" s="172"/>
      <c r="AA131" s="144"/>
      <c r="AB131" s="172"/>
      <c r="AC131" s="144"/>
      <c r="AD131" s="172"/>
      <c r="AE131" s="144"/>
      <c r="AF131" s="173"/>
      <c r="AG131" s="144"/>
      <c r="AH131" s="173"/>
      <c r="AI131" s="144"/>
      <c r="AJ131" s="173"/>
      <c r="AK131" s="144"/>
      <c r="AL131" s="144"/>
      <c r="AM131" s="144"/>
      <c r="AN131" s="173"/>
      <c r="AO131" s="144"/>
      <c r="AP131" s="173"/>
      <c r="AQ131" s="144"/>
      <c r="AS131" s="144"/>
      <c r="AU131" s="144"/>
      <c r="AW131" s="144"/>
      <c r="AY131" s="45">
        <f t="shared" si="19"/>
        <v>0</v>
      </c>
      <c r="BA131" s="144"/>
      <c r="BC131" s="129">
        <f t="shared" si="22"/>
        <v>0</v>
      </c>
      <c r="BE131" s="129">
        <f t="shared" si="23"/>
        <v>0</v>
      </c>
      <c r="BG131" s="14">
        <f t="shared" si="20"/>
        <v>0</v>
      </c>
      <c r="BH131" s="183"/>
      <c r="BI131" s="172"/>
      <c r="BJ131" s="45"/>
    </row>
    <row r="132" spans="1:63" s="27" customFormat="1" x14ac:dyDescent="0.25">
      <c r="A132" s="26"/>
      <c r="B132" s="119" t="s">
        <v>55</v>
      </c>
      <c r="C132" s="114"/>
      <c r="E132" s="28"/>
      <c r="G132" s="28"/>
      <c r="I132" s="28"/>
      <c r="K132" s="29">
        <f>SUM(K124:K131)</f>
        <v>5002113</v>
      </c>
      <c r="M132" s="29">
        <f>SUM(M124:M131)</f>
        <v>4529973</v>
      </c>
      <c r="O132" s="108">
        <f>SUM(O124:O131)</f>
        <v>9532086</v>
      </c>
      <c r="Q132" s="108">
        <f>SUM(Q124:Q131)</f>
        <v>0</v>
      </c>
      <c r="R132" s="238"/>
      <c r="S132" s="108">
        <f>SUM(S124:S131)</f>
        <v>0</v>
      </c>
      <c r="T132" s="238"/>
      <c r="U132" s="108">
        <f>SUM(U124:U131)</f>
        <v>209239</v>
      </c>
      <c r="V132" s="12"/>
      <c r="W132" s="108">
        <f>SUM(W124:W131)</f>
        <v>266159</v>
      </c>
      <c r="X132" s="29"/>
      <c r="Y132" s="108">
        <f>SUM(Y124:Y131)</f>
        <v>663798</v>
      </c>
      <c r="Z132" s="29"/>
      <c r="AA132" s="108">
        <f>SUM(AA124:AA131)</f>
        <v>0</v>
      </c>
      <c r="AB132" s="29"/>
      <c r="AC132" s="108">
        <f>SUM(AC124:AC131)</f>
        <v>742042</v>
      </c>
      <c r="AD132" s="29"/>
      <c r="AE132" s="108">
        <f>SUM(AE124:AE131)</f>
        <v>948053</v>
      </c>
      <c r="AF132" s="84"/>
      <c r="AG132" s="108">
        <f>SUM(AG124:AG131)</f>
        <v>1835609</v>
      </c>
      <c r="AH132" s="84"/>
      <c r="AI132" s="108">
        <f>SUM(AI124:AI131)</f>
        <v>3372740</v>
      </c>
      <c r="AJ132" s="84"/>
      <c r="AK132" s="108">
        <f>SUM(AK124:AK131)</f>
        <v>1376120</v>
      </c>
      <c r="AL132" s="108"/>
      <c r="AM132" s="108">
        <f>SUM(AM124:AM131)</f>
        <v>537446</v>
      </c>
      <c r="AN132" s="84"/>
      <c r="AO132" s="108">
        <f>SUM(AO124:AO131)</f>
        <v>224372</v>
      </c>
      <c r="AP132" s="84"/>
      <c r="AQ132" s="108">
        <f>SUM(AQ124:AQ131)</f>
        <v>1849089</v>
      </c>
      <c r="AS132" s="108">
        <f>SUM(AS124:AS131)</f>
        <v>0</v>
      </c>
      <c r="AU132" s="108">
        <f>SUM(AU124:AU131)</f>
        <v>0</v>
      </c>
      <c r="AW132" s="108">
        <f>SUM(AW124:AW131)</f>
        <v>0</v>
      </c>
      <c r="AY132" s="108">
        <f>SUM(AY124:AY131)</f>
        <v>12024667</v>
      </c>
      <c r="BA132" s="29">
        <f>SUM(BA124:BA131)</f>
        <v>-558222</v>
      </c>
      <c r="BC132" s="29">
        <f>SUM(BC124:BC131)</f>
        <v>0</v>
      </c>
      <c r="BE132" s="29">
        <f>SUM(BE124:BE131)</f>
        <v>12024667</v>
      </c>
      <c r="BG132" s="108">
        <f>SUM(BG124:BG131)</f>
        <v>-2492581</v>
      </c>
      <c r="BH132" s="183"/>
      <c r="BI132" s="29"/>
      <c r="BJ132" s="45"/>
    </row>
    <row r="133" spans="1:63" s="27" customFormat="1" x14ac:dyDescent="0.25">
      <c r="A133" s="26"/>
      <c r="B133" s="119"/>
      <c r="C133" s="114"/>
      <c r="E133" s="28"/>
      <c r="G133" s="28"/>
      <c r="I133" s="28"/>
      <c r="K133" s="29"/>
      <c r="M133" s="29"/>
      <c r="O133" s="29"/>
      <c r="Q133" s="141"/>
      <c r="R133" s="238"/>
      <c r="S133" s="141"/>
      <c r="T133" s="238"/>
      <c r="U133" s="141"/>
      <c r="V133" s="12"/>
      <c r="W133" s="141"/>
      <c r="X133" s="29"/>
      <c r="Y133" s="141"/>
      <c r="Z133" s="29"/>
      <c r="AA133" s="141"/>
      <c r="AB133" s="29"/>
      <c r="AC133" s="141"/>
      <c r="AD133" s="29"/>
      <c r="AE133" s="141"/>
      <c r="AF133" s="141"/>
      <c r="AG133" s="141"/>
      <c r="AH133" s="141"/>
      <c r="AI133" s="141"/>
      <c r="AJ133" s="141"/>
      <c r="AK133" s="141"/>
      <c r="AL133" s="141"/>
      <c r="AM133" s="141"/>
      <c r="AN133" s="141"/>
      <c r="AO133" s="141"/>
      <c r="AP133" s="141"/>
      <c r="AQ133" s="141"/>
      <c r="AS133" s="141"/>
      <c r="AU133" s="141"/>
      <c r="AW133" s="141"/>
      <c r="AY133" s="29"/>
      <c r="BA133" s="141"/>
      <c r="BC133" s="29"/>
      <c r="BE133" s="29"/>
      <c r="BG133" s="29"/>
      <c r="BH133" s="29"/>
      <c r="BI133" s="29"/>
      <c r="BJ133" s="45"/>
    </row>
    <row r="134" spans="1:63" x14ac:dyDescent="0.25">
      <c r="A134" s="121" t="s">
        <v>56</v>
      </c>
      <c r="B134" s="31"/>
      <c r="C134" s="114" t="s">
        <v>36</v>
      </c>
      <c r="E134" s="7" t="s">
        <v>17</v>
      </c>
      <c r="G134" s="7" t="s">
        <v>254</v>
      </c>
      <c r="I134" s="7" t="s">
        <v>21</v>
      </c>
      <c r="K134" s="22">
        <v>954000</v>
      </c>
      <c r="M134" s="22">
        <f>975000-954000</f>
        <v>21000</v>
      </c>
      <c r="O134" s="22">
        <f>SUM(K134:N134)</f>
        <v>975000</v>
      </c>
      <c r="Q134" s="141">
        <v>0</v>
      </c>
      <c r="R134" s="231"/>
      <c r="S134" s="141">
        <v>0</v>
      </c>
      <c r="T134" s="231"/>
      <c r="U134" s="141">
        <v>3788</v>
      </c>
      <c r="V134" s="12"/>
      <c r="W134" s="141">
        <v>5112</v>
      </c>
      <c r="X134" s="15"/>
      <c r="Y134" s="141">
        <f>1756963.15-1725897</f>
        <v>31066.149999999907</v>
      </c>
      <c r="Z134" s="15"/>
      <c r="AA134" s="141"/>
      <c r="AB134" s="15"/>
      <c r="AC134" s="141">
        <v>77634</v>
      </c>
      <c r="AD134" s="15"/>
      <c r="AE134" s="141">
        <v>77947</v>
      </c>
      <c r="AF134" s="141"/>
      <c r="AG134" s="141">
        <f>84531+84156</f>
        <v>168687</v>
      </c>
      <c r="AH134" s="141"/>
      <c r="AI134" s="141">
        <v>56620</v>
      </c>
      <c r="AJ134" s="141"/>
      <c r="AK134" s="141">
        <v>66155</v>
      </c>
      <c r="AL134" s="141"/>
      <c r="AM134" s="141">
        <v>29590</v>
      </c>
      <c r="AN134" s="141"/>
      <c r="AO134" s="141">
        <v>20326</v>
      </c>
      <c r="AP134" s="141"/>
      <c r="AQ134" s="141"/>
      <c r="AS134" s="141"/>
      <c r="AU134" s="141"/>
      <c r="AW134" s="141"/>
      <c r="AY134" s="45">
        <f>SUM(P134:AX134)</f>
        <v>536925.14999999991</v>
      </c>
      <c r="BA134" s="141">
        <f>-458401+20326</f>
        <v>-438075</v>
      </c>
      <c r="BC134" s="15">
        <f>IF(+O134-AY134+BA134&gt;0,O134-AY134+BA134,0)</f>
        <v>0</v>
      </c>
      <c r="BD134" s="6"/>
      <c r="BE134" s="15">
        <f t="shared" si="23"/>
        <v>536925.14999999991</v>
      </c>
      <c r="BF134" s="6"/>
      <c r="BG134" s="8">
        <f>O134-AY134-BC134</f>
        <v>438074.85000000009</v>
      </c>
      <c r="BH134" s="34"/>
      <c r="BI134" s="15"/>
    </row>
    <row r="135" spans="1:63" x14ac:dyDescent="0.25">
      <c r="A135" s="121"/>
      <c r="B135" s="31" t="s">
        <v>274</v>
      </c>
      <c r="C135" s="114"/>
      <c r="K135" s="22">
        <v>275432</v>
      </c>
      <c r="M135" s="22">
        <v>-275432</v>
      </c>
      <c r="O135" s="22">
        <f>SUM(K135:N135)</f>
        <v>0</v>
      </c>
      <c r="Q135" s="141">
        <v>0</v>
      </c>
      <c r="R135" s="231"/>
      <c r="S135" s="141">
        <v>0</v>
      </c>
      <c r="T135" s="231"/>
      <c r="U135" s="141"/>
      <c r="V135" s="12"/>
      <c r="W135" s="141"/>
      <c r="X135" s="15"/>
      <c r="Y135" s="141"/>
      <c r="Z135" s="15"/>
      <c r="AA135" s="141"/>
      <c r="AB135" s="15"/>
      <c r="AC135" s="141"/>
      <c r="AD135" s="15"/>
      <c r="AE135" s="141"/>
      <c r="AF135" s="141"/>
      <c r="AG135" s="141"/>
      <c r="AH135" s="141"/>
      <c r="AI135" s="141"/>
      <c r="AJ135" s="141"/>
      <c r="AK135" s="141"/>
      <c r="AL135" s="141"/>
      <c r="AM135" s="141"/>
      <c r="AN135" s="141"/>
      <c r="AO135" s="141"/>
      <c r="AP135" s="141"/>
      <c r="AQ135" s="141"/>
      <c r="AS135" s="141"/>
      <c r="AU135" s="141"/>
      <c r="AW135" s="141"/>
      <c r="AY135" s="45"/>
      <c r="BA135" s="141"/>
      <c r="BC135" s="15">
        <f>IF(+O135-AY135+BA135&gt;0,O135-AY135+BA135,0)</f>
        <v>0</v>
      </c>
      <c r="BD135" s="6"/>
      <c r="BE135" s="15">
        <f t="shared" si="23"/>
        <v>0</v>
      </c>
      <c r="BF135" s="6"/>
      <c r="BG135" s="8">
        <f>O135-AY135-BC135</f>
        <v>0</v>
      </c>
      <c r="BH135" s="34"/>
      <c r="BI135" s="15"/>
    </row>
    <row r="136" spans="1:63" x14ac:dyDescent="0.25">
      <c r="A136" s="121"/>
      <c r="B136" s="31"/>
      <c r="C136" s="114"/>
      <c r="K136" s="5"/>
      <c r="M136" s="5"/>
      <c r="O136" s="5"/>
      <c r="V136" s="12"/>
      <c r="AY136" s="45"/>
      <c r="BD136" s="6"/>
      <c r="BF136" s="6"/>
      <c r="BH136" s="8"/>
      <c r="BI136" s="8"/>
    </row>
    <row r="137" spans="1:63" x14ac:dyDescent="0.25">
      <c r="A137" s="121" t="s">
        <v>544</v>
      </c>
      <c r="B137" s="31"/>
      <c r="C137" s="114"/>
      <c r="G137" s="7" t="s">
        <v>254</v>
      </c>
      <c r="K137" s="5">
        <v>0</v>
      </c>
      <c r="M137" s="5">
        <v>0</v>
      </c>
      <c r="O137" s="22">
        <f>SUM(K137:N137)</f>
        <v>0</v>
      </c>
      <c r="V137" s="12"/>
      <c r="AO137" s="143">
        <v>0</v>
      </c>
      <c r="AQ137" s="143">
        <v>260000</v>
      </c>
      <c r="AY137" s="45">
        <f>SUM(P137:AX137)</f>
        <v>260000</v>
      </c>
      <c r="BA137" s="143">
        <v>0</v>
      </c>
      <c r="BC137" s="15">
        <v>0</v>
      </c>
      <c r="BD137" s="6"/>
      <c r="BE137" s="15">
        <f t="shared" si="23"/>
        <v>260000</v>
      </c>
      <c r="BF137" s="6"/>
      <c r="BG137" s="8">
        <f>O137-AY137-BC137</f>
        <v>-260000</v>
      </c>
      <c r="BH137" s="8"/>
      <c r="BI137" s="8"/>
    </row>
    <row r="138" spans="1:63" x14ac:dyDescent="0.25">
      <c r="A138" s="112"/>
      <c r="B138" s="80" t="s">
        <v>260</v>
      </c>
      <c r="C138" s="114"/>
      <c r="G138" s="28"/>
      <c r="K138" s="22"/>
      <c r="M138" s="22"/>
      <c r="O138" s="22"/>
      <c r="Q138" s="141"/>
      <c r="R138" s="231"/>
      <c r="S138" s="141"/>
      <c r="T138" s="231"/>
      <c r="U138" s="141"/>
      <c r="V138" s="12"/>
      <c r="W138" s="141"/>
      <c r="X138" s="15"/>
      <c r="Y138" s="141"/>
      <c r="Z138" s="15"/>
      <c r="AA138" s="141"/>
      <c r="AB138" s="15"/>
      <c r="AC138" s="141"/>
      <c r="AD138" s="15"/>
      <c r="AE138" s="141"/>
      <c r="AF138" s="141"/>
      <c r="AG138" s="141"/>
      <c r="AH138" s="141"/>
      <c r="AI138" s="141"/>
      <c r="AJ138" s="141"/>
      <c r="AK138" s="141"/>
      <c r="AL138" s="141"/>
      <c r="AM138" s="141"/>
      <c r="AN138" s="141"/>
      <c r="AO138" s="141"/>
      <c r="AP138" s="141"/>
      <c r="AQ138" s="141"/>
      <c r="AS138" s="141"/>
      <c r="AU138" s="141"/>
      <c r="AW138" s="141"/>
      <c r="AY138" s="29"/>
      <c r="BA138" s="141"/>
      <c r="BC138" s="15"/>
      <c r="BD138" s="6"/>
      <c r="BE138" s="15"/>
      <c r="BF138" s="6"/>
      <c r="BG138" s="21"/>
      <c r="BH138" s="34"/>
      <c r="BI138" s="15"/>
    </row>
    <row r="139" spans="1:63" hidden="1" x14ac:dyDescent="0.25">
      <c r="A139" s="112" t="s">
        <v>261</v>
      </c>
      <c r="C139" s="114" t="s">
        <v>36</v>
      </c>
      <c r="E139" s="7" t="s">
        <v>17</v>
      </c>
      <c r="G139" s="7" t="s">
        <v>254</v>
      </c>
      <c r="K139" s="22">
        <v>0</v>
      </c>
      <c r="M139" s="22">
        <v>0</v>
      </c>
      <c r="O139" s="22">
        <f>SUM(K139:N139)</f>
        <v>0</v>
      </c>
      <c r="Q139" s="141">
        <v>0</v>
      </c>
      <c r="R139" s="231"/>
      <c r="S139" s="141">
        <v>0</v>
      </c>
      <c r="T139" s="231"/>
      <c r="U139" s="141"/>
      <c r="V139" s="12"/>
      <c r="W139" s="141"/>
      <c r="X139" s="15"/>
      <c r="Y139" s="141"/>
      <c r="Z139" s="15"/>
      <c r="AA139" s="141"/>
      <c r="AB139" s="15"/>
      <c r="AC139" s="141"/>
      <c r="AD139" s="15"/>
      <c r="AE139" s="141"/>
      <c r="AF139" s="141"/>
      <c r="AG139" s="141"/>
      <c r="AH139" s="141"/>
      <c r="AI139" s="141"/>
      <c r="AJ139" s="141"/>
      <c r="AK139" s="141"/>
      <c r="AL139" s="141"/>
      <c r="AM139" s="141"/>
      <c r="AN139" s="141"/>
      <c r="AO139" s="141"/>
      <c r="AP139" s="141"/>
      <c r="AQ139" s="141"/>
      <c r="AS139" s="141"/>
      <c r="AU139" s="141"/>
      <c r="AW139" s="141"/>
      <c r="AY139" s="45">
        <f>SUM(P139:AR139)</f>
        <v>0</v>
      </c>
      <c r="BA139" s="141"/>
      <c r="BC139" s="16">
        <f>IF(+O139-AY139+BA139&gt;0,O139-AY139+BA139,0)</f>
        <v>0</v>
      </c>
      <c r="BD139" s="6"/>
      <c r="BE139" s="16">
        <f t="shared" si="23"/>
        <v>0</v>
      </c>
      <c r="BF139" s="6"/>
      <c r="BG139" s="8">
        <f>O139-AY139-BC139</f>
        <v>0</v>
      </c>
      <c r="BH139" s="34"/>
      <c r="BI139" s="15"/>
    </row>
    <row r="140" spans="1:63" hidden="1" x14ac:dyDescent="0.25">
      <c r="A140" s="112"/>
      <c r="C140" s="114"/>
      <c r="G140" s="28"/>
      <c r="K140" s="22"/>
      <c r="M140" s="22"/>
      <c r="O140" s="22"/>
      <c r="Q140" s="141"/>
      <c r="R140" s="231"/>
      <c r="S140" s="141"/>
      <c r="T140" s="231"/>
      <c r="U140" s="141"/>
      <c r="V140" s="12"/>
      <c r="W140" s="141"/>
      <c r="X140" s="15"/>
      <c r="Y140" s="141"/>
      <c r="Z140" s="15"/>
      <c r="AA140" s="141"/>
      <c r="AB140" s="15"/>
      <c r="AC140" s="141"/>
      <c r="AD140" s="15"/>
      <c r="AE140" s="141"/>
      <c r="AF140" s="141"/>
      <c r="AG140" s="141"/>
      <c r="AH140" s="141"/>
      <c r="AI140" s="141"/>
      <c r="AJ140" s="141"/>
      <c r="AK140" s="141"/>
      <c r="AL140" s="141"/>
      <c r="AM140" s="141"/>
      <c r="AN140" s="141"/>
      <c r="AO140" s="141"/>
      <c r="AP140" s="141"/>
      <c r="AQ140" s="141"/>
      <c r="AS140" s="141"/>
      <c r="AU140" s="141"/>
      <c r="AW140" s="141"/>
      <c r="AY140" s="29"/>
      <c r="BA140" s="141"/>
      <c r="BC140" s="15"/>
      <c r="BD140" s="6"/>
      <c r="BE140" s="15"/>
      <c r="BF140" s="6"/>
      <c r="BH140" s="12"/>
      <c r="BI140" s="15"/>
    </row>
    <row r="141" spans="1:63" x14ac:dyDescent="0.25">
      <c r="A141" s="112" t="s">
        <v>262</v>
      </c>
      <c r="C141" s="114"/>
      <c r="G141" s="28"/>
      <c r="K141" s="22">
        <f>K139+K135+K134+K132+K121+K87+K80+K137</f>
        <v>24669900</v>
      </c>
      <c r="M141" s="22">
        <f>M139+M135+M134+M132+M121+M87+M80+M137</f>
        <v>6436546</v>
      </c>
      <c r="O141" s="29">
        <f>O139+O135+O134+O132+O121+O87+O80+O137</f>
        <v>31106446</v>
      </c>
      <c r="Q141" s="134">
        <f>Q139+Q135+Q134+Q132+Q121+Q87+Q80+Q137</f>
        <v>31643</v>
      </c>
      <c r="R141" s="231"/>
      <c r="S141" s="134">
        <f>S139+S135+S134+S132+S121+S87+S80+S137</f>
        <v>239101.46</v>
      </c>
      <c r="T141" s="231"/>
      <c r="U141" s="141">
        <f>U139+U135+U134+U132+U121+U87+U80+U137</f>
        <v>392941.24</v>
      </c>
      <c r="V141" s="12"/>
      <c r="W141" s="141">
        <f>W139+W135+W134+W132+W121+W87+W80+W137</f>
        <v>674363.3</v>
      </c>
      <c r="X141" s="22"/>
      <c r="Y141" s="141">
        <f>Y139+Y135+Y134+Y132+Y121+Y87+Y80+Y137</f>
        <v>1756963.15</v>
      </c>
      <c r="Z141" s="22"/>
      <c r="AA141" s="141">
        <f>AA139+AA135+AA134+AA132+AA121+AA87+AA80+AA137</f>
        <v>0</v>
      </c>
      <c r="AB141" s="22"/>
      <c r="AC141" s="141">
        <f>AC139+AC135+AC134+AC132+AC121+AC87+AC80+AC137</f>
        <v>4390660</v>
      </c>
      <c r="AD141" s="22"/>
      <c r="AE141" s="141">
        <f>AE139+AE135+AE134+AE132+AE121+AE87+AE80+AE137</f>
        <v>4408350</v>
      </c>
      <c r="AF141" s="141"/>
      <c r="AG141" s="141">
        <f>AG139+AG135+AG134+AG132+AG121+AG87+AG80+AG137</f>
        <v>7502651</v>
      </c>
      <c r="AH141" s="141"/>
      <c r="AI141" s="141">
        <f>AI139+AI135+AI134+AI132+AI121+AI87+AI80+AI137</f>
        <v>5239722</v>
      </c>
      <c r="AJ141" s="141"/>
      <c r="AK141" s="141">
        <f>AK139+AK135+AK134+AK132+AK121+AK87+AK80+AK137</f>
        <v>3901235.95</v>
      </c>
      <c r="AL141" s="141"/>
      <c r="AM141" s="141">
        <f>AM139+AM135+AM134+AM132+AM121+AM87+AM80+AM137</f>
        <v>1735394.57</v>
      </c>
      <c r="AN141" s="141"/>
      <c r="AO141" s="141">
        <f>AO139+AO135+AO134+AO132+AO121+AO87+AO80+AO137</f>
        <v>1149530</v>
      </c>
      <c r="AP141" s="141"/>
      <c r="AQ141" s="141">
        <f>AQ139+AQ135+AQ134+AQ132+AQ121+AQ87+AQ80+AQ137</f>
        <v>2109089</v>
      </c>
      <c r="AS141" s="141">
        <f>AS139+AS135+AS134+AS132+AS121+AS87+AS80+AS137</f>
        <v>0</v>
      </c>
      <c r="AU141" s="141">
        <f>AU139+AU135+AU134+AU132+AU121+AU87+AU80+AU137</f>
        <v>0</v>
      </c>
      <c r="AW141" s="141">
        <f>AW139+AW135+AW134+AW132+AW121+AW87+AW80+AW137</f>
        <v>0</v>
      </c>
      <c r="AY141" s="29">
        <f>AY139+AY135+AY134+AY132+AY121+AY87+AY80+AY137</f>
        <v>33531644.670000002</v>
      </c>
      <c r="BA141" s="141">
        <f>BA139+BA135+BA134+BA132+BA121+BA87+BA80+BA137</f>
        <v>-1248398</v>
      </c>
      <c r="BC141" s="29">
        <f>BC139+BC135+BC134+BC132+BC121+BC87+BC80+BC13-1</f>
        <v>-0.49999999998544808</v>
      </c>
      <c r="BD141" s="6"/>
      <c r="BE141" s="29">
        <f>BE139+BE135+BE134+BE132+BE121+BE87+BE80+BE137</f>
        <v>33531645.170000002</v>
      </c>
      <c r="BF141" s="6"/>
      <c r="BG141" s="29">
        <f>BG139+BG135+BG134+BG132+BG121+BG87+BG80+BG137</f>
        <v>-2425199.17</v>
      </c>
      <c r="BH141" s="34"/>
      <c r="BI141" s="15"/>
      <c r="BK141" s="39">
        <f>+BE141+BK51</f>
        <v>132983117.34</v>
      </c>
    </row>
    <row r="142" spans="1:63" x14ac:dyDescent="0.25">
      <c r="A142" s="112"/>
      <c r="C142" s="114"/>
      <c r="G142" s="28"/>
      <c r="K142" s="15"/>
      <c r="M142" s="15"/>
      <c r="O142" s="15"/>
      <c r="Q142" s="141"/>
      <c r="R142" s="231"/>
      <c r="S142" s="141"/>
      <c r="T142" s="231"/>
      <c r="U142" s="141"/>
      <c r="V142" s="12"/>
      <c r="W142" s="141"/>
      <c r="X142" s="15"/>
      <c r="Y142" s="141"/>
      <c r="Z142" s="15"/>
      <c r="AA142" s="141"/>
      <c r="AB142" s="15"/>
      <c r="AC142" s="141"/>
      <c r="AD142" s="15"/>
      <c r="AE142" s="141"/>
      <c r="AF142" s="141"/>
      <c r="AG142" s="141"/>
      <c r="AH142" s="141"/>
      <c r="AI142" s="141"/>
      <c r="AJ142" s="141"/>
      <c r="AK142" s="141"/>
      <c r="AL142" s="141"/>
      <c r="AM142" s="141"/>
      <c r="AN142" s="141"/>
      <c r="AO142" s="141"/>
      <c r="AP142" s="141"/>
      <c r="AQ142" s="141"/>
      <c r="AS142" s="141"/>
      <c r="AU142" s="141"/>
      <c r="AW142" s="141"/>
      <c r="AY142" s="29"/>
      <c r="BA142" s="141"/>
      <c r="BC142" s="15"/>
      <c r="BD142" s="6"/>
      <c r="BE142" s="15"/>
      <c r="BF142" s="6"/>
      <c r="BG142" s="15"/>
      <c r="BH142" s="15"/>
      <c r="BI142" s="15"/>
    </row>
    <row r="143" spans="1:63" s="27" customFormat="1" x14ac:dyDescent="0.25">
      <c r="A143" s="180"/>
      <c r="B143" s="122" t="s">
        <v>58</v>
      </c>
      <c r="C143" s="123"/>
      <c r="D143" s="23"/>
      <c r="E143" s="24"/>
      <c r="F143" s="23"/>
      <c r="G143" s="24"/>
      <c r="H143" s="23"/>
      <c r="I143" s="24"/>
      <c r="J143" s="23"/>
      <c r="K143" s="25">
        <f>K141+K51+K43</f>
        <v>95898725</v>
      </c>
      <c r="L143" s="23"/>
      <c r="M143" s="25">
        <f>M141+M51+M43</f>
        <v>26382961</v>
      </c>
      <c r="N143" s="23"/>
      <c r="O143" s="25">
        <f>O141+O51+O43</f>
        <v>116916586</v>
      </c>
      <c r="P143" s="23"/>
      <c r="Q143" s="140">
        <f>Q141+Q51+Q43</f>
        <v>62254247.660000004</v>
      </c>
      <c r="R143" s="230"/>
      <c r="S143" s="140">
        <f>S141+S51+S43</f>
        <v>374080.75999999978</v>
      </c>
      <c r="T143" s="230"/>
      <c r="U143" s="140">
        <f>U141+U51+U43</f>
        <v>18153596.210000001</v>
      </c>
      <c r="V143" s="247"/>
      <c r="W143" s="140">
        <f>W141+W51+W43</f>
        <v>-32322.199999999953</v>
      </c>
      <c r="X143" s="25"/>
      <c r="Y143" s="140">
        <f>Y141+Y51+Y43</f>
        <v>-626433.3899999992</v>
      </c>
      <c r="Z143" s="25"/>
      <c r="AA143" s="140">
        <f>AA141+AA51+AA43</f>
        <v>6990646.540000001</v>
      </c>
      <c r="AB143" s="25"/>
      <c r="AC143" s="140">
        <f>AC141+AC51+AC43</f>
        <v>14896470.490000002</v>
      </c>
      <c r="AD143" s="25"/>
      <c r="AE143" s="140">
        <f>AE141+AE51+AE43</f>
        <v>6413474.3599999994</v>
      </c>
      <c r="AF143" s="140"/>
      <c r="AG143" s="140">
        <f>AG141+AG51+AG43</f>
        <v>8752404.540000001</v>
      </c>
      <c r="AH143" s="140"/>
      <c r="AI143" s="140">
        <f>AI141+AI51+AI43</f>
        <v>6141003.46</v>
      </c>
      <c r="AJ143" s="140"/>
      <c r="AK143" s="140">
        <f>AK141+AK51+AK43</f>
        <v>5957376.4400000004</v>
      </c>
      <c r="AL143" s="140"/>
      <c r="AM143" s="140">
        <f>AM141+AM51+AM43</f>
        <v>1978225.78</v>
      </c>
      <c r="AN143" s="140"/>
      <c r="AO143" s="140">
        <f>AO141+AO51+AO43</f>
        <v>2714926.13</v>
      </c>
      <c r="AP143" s="140"/>
      <c r="AQ143" s="140">
        <f>AQ141+AQ51+AQ43</f>
        <v>2160533.89</v>
      </c>
      <c r="AR143" s="23"/>
      <c r="AS143" s="140">
        <f>AS141+AS51+AS43</f>
        <v>0</v>
      </c>
      <c r="AT143" s="23"/>
      <c r="AU143" s="140">
        <f>AU141+AU51+AU43</f>
        <v>0</v>
      </c>
      <c r="AV143" s="23"/>
      <c r="AW143" s="140">
        <f>AW141+AW51+AW43</f>
        <v>0</v>
      </c>
      <c r="AX143" s="23"/>
      <c r="AY143" s="25">
        <f>AY141+AY51+AY43</f>
        <v>136128230.66999999</v>
      </c>
      <c r="AZ143" s="23"/>
      <c r="BA143" s="140">
        <f>BA141+BA51+BA43</f>
        <v>3063452</v>
      </c>
      <c r="BB143" s="23"/>
      <c r="BC143" s="25">
        <f>BC141+BC51+BC43+BC137</f>
        <v>585813.66999999527</v>
      </c>
      <c r="BD143" s="23"/>
      <c r="BE143" s="25">
        <f t="shared" si="23"/>
        <v>136714044.33999997</v>
      </c>
      <c r="BF143" s="23"/>
      <c r="BG143" s="25">
        <f>BG141+BG51+BG43</f>
        <v>-19797459.340000004</v>
      </c>
      <c r="BH143" s="25"/>
      <c r="BI143" s="29"/>
      <c r="BJ143" s="45">
        <f>+BJ43</f>
        <v>-3730928</v>
      </c>
      <c r="BK143" s="39">
        <f>+BE143+BJ143</f>
        <v>132983116.33999997</v>
      </c>
    </row>
    <row r="144" spans="1:63" x14ac:dyDescent="0.25">
      <c r="A144" s="112"/>
      <c r="B144" s="115"/>
      <c r="C144" s="114"/>
      <c r="D144" s="27"/>
      <c r="E144" s="28"/>
      <c r="F144" s="27"/>
      <c r="G144" s="28"/>
      <c r="H144" s="27"/>
      <c r="I144" s="28"/>
      <c r="J144" s="27"/>
      <c r="K144" s="29"/>
      <c r="L144" s="27"/>
      <c r="M144" s="29"/>
      <c r="N144" s="27"/>
      <c r="O144" s="29"/>
      <c r="P144" s="27"/>
      <c r="Q144" s="141"/>
      <c r="R144" s="238"/>
      <c r="S144" s="141"/>
      <c r="T144" s="238"/>
      <c r="U144" s="141"/>
      <c r="V144" s="29"/>
      <c r="W144" s="141"/>
      <c r="X144" s="29"/>
      <c r="Y144" s="141"/>
      <c r="Z144" s="29"/>
      <c r="AA144" s="141"/>
      <c r="AB144" s="29"/>
      <c r="AC144" s="141"/>
      <c r="AD144" s="29"/>
      <c r="AE144" s="141"/>
      <c r="AF144" s="141"/>
      <c r="AG144" s="141"/>
      <c r="AH144" s="141"/>
      <c r="AI144" s="141"/>
      <c r="AJ144" s="141"/>
      <c r="AK144" s="141"/>
      <c r="AL144" s="141"/>
      <c r="AM144" s="141"/>
      <c r="AN144" s="141"/>
      <c r="AO144" s="141"/>
      <c r="AP144" s="141"/>
      <c r="AQ144" s="141"/>
      <c r="AS144" s="141"/>
      <c r="AU144" s="141"/>
      <c r="AW144" s="141"/>
      <c r="AY144" s="29"/>
      <c r="BA144" s="141"/>
      <c r="BC144" s="29"/>
      <c r="BD144" s="27"/>
      <c r="BE144" s="29"/>
      <c r="BF144" s="27"/>
      <c r="BG144" s="29"/>
      <c r="BH144" s="29"/>
      <c r="BI144" s="29"/>
    </row>
    <row r="145" spans="1:62" x14ac:dyDescent="0.25">
      <c r="A145" s="112" t="s">
        <v>59</v>
      </c>
      <c r="B145" s="115"/>
      <c r="C145" s="111" t="s">
        <v>60</v>
      </c>
      <c r="D145" s="27"/>
      <c r="E145" s="28" t="s">
        <v>61</v>
      </c>
      <c r="F145" s="28"/>
      <c r="G145" s="28" t="s">
        <v>62</v>
      </c>
      <c r="H145" s="27"/>
      <c r="I145" s="28"/>
      <c r="J145" s="27"/>
      <c r="K145" s="15">
        <v>600000</v>
      </c>
      <c r="L145" s="27"/>
      <c r="M145" s="15">
        <v>68000</v>
      </c>
      <c r="N145" s="27"/>
      <c r="O145" s="15">
        <f>SUM(K145:N145)</f>
        <v>668000</v>
      </c>
      <c r="P145" s="27"/>
      <c r="Q145" s="141">
        <f>4583+1527.75</f>
        <v>6110.75</v>
      </c>
      <c r="R145" s="231"/>
      <c r="S145" s="141"/>
      <c r="T145" s="231"/>
      <c r="U145" s="141">
        <f>1954.84+9531.93</f>
        <v>11486.77</v>
      </c>
      <c r="V145" s="15"/>
      <c r="W145" s="141"/>
      <c r="X145" s="15"/>
      <c r="Y145" s="141"/>
      <c r="Z145" s="15"/>
      <c r="AA145" s="141">
        <v>91858</v>
      </c>
      <c r="AB145" s="15"/>
      <c r="AC145" s="141">
        <v>166373</v>
      </c>
      <c r="AD145" s="15"/>
      <c r="AE145" s="141">
        <v>242196.48000000001</v>
      </c>
      <c r="AF145" s="141"/>
      <c r="AG145" s="141">
        <v>108545.95</v>
      </c>
      <c r="AH145" s="141"/>
      <c r="AI145" s="141">
        <v>112784.15</v>
      </c>
      <c r="AJ145" s="141"/>
      <c r="AK145" s="141">
        <v>37104.92</v>
      </c>
      <c r="AL145" s="141"/>
      <c r="AM145" s="141">
        <v>7825.49</v>
      </c>
      <c r="AN145" s="141"/>
      <c r="AO145" s="141">
        <f>3064-740.92</f>
        <v>2323.08</v>
      </c>
      <c r="AP145" s="141"/>
      <c r="AQ145" s="141">
        <v>0</v>
      </c>
      <c r="AR145" s="15"/>
      <c r="AS145" s="141">
        <v>0</v>
      </c>
      <c r="AT145" s="15"/>
      <c r="AU145" s="141">
        <v>0</v>
      </c>
      <c r="AV145" s="15"/>
      <c r="AW145" s="141">
        <v>0</v>
      </c>
      <c r="AX145" s="15"/>
      <c r="AY145" s="45">
        <f>SUM(P145:AX145)</f>
        <v>786608.59</v>
      </c>
      <c r="BA145" s="141">
        <f>706219-668000+83333.33-35845</f>
        <v>85707.33</v>
      </c>
      <c r="BC145" s="8">
        <f>IF(+O145-AY145+BA145&gt;0,O145-AY145+BA145,0)</f>
        <v>0</v>
      </c>
      <c r="BD145" s="27"/>
      <c r="BE145" s="15">
        <f t="shared" si="23"/>
        <v>786608.59</v>
      </c>
      <c r="BF145" s="27"/>
      <c r="BG145" s="8">
        <f>O145-AY145-BC145</f>
        <v>-118608.58999999997</v>
      </c>
      <c r="BH145" s="12"/>
      <c r="BI145" s="27" t="s">
        <v>369</v>
      </c>
    </row>
    <row r="146" spans="1:62" x14ac:dyDescent="0.25">
      <c r="A146" s="112"/>
      <c r="B146" s="115" t="s">
        <v>120</v>
      </c>
      <c r="C146" s="111" t="s">
        <v>60</v>
      </c>
      <c r="D146" s="27"/>
      <c r="E146" s="28" t="s">
        <v>61</v>
      </c>
      <c r="F146" s="28"/>
      <c r="G146" s="28" t="s">
        <v>62</v>
      </c>
      <c r="H146" s="27"/>
      <c r="I146" s="28"/>
      <c r="J146" s="27"/>
      <c r="K146" s="15">
        <v>25000</v>
      </c>
      <c r="L146" s="27"/>
      <c r="M146" s="15">
        <v>0</v>
      </c>
      <c r="N146" s="27"/>
      <c r="O146" s="15">
        <f>SUM(K146:N146)</f>
        <v>25000</v>
      </c>
      <c r="P146" s="27"/>
      <c r="Q146" s="141"/>
      <c r="R146" s="231"/>
      <c r="S146" s="141"/>
      <c r="T146" s="231"/>
      <c r="U146" s="141"/>
      <c r="V146" s="15"/>
      <c r="W146" s="141"/>
      <c r="X146" s="15"/>
      <c r="Y146" s="141"/>
      <c r="Z146" s="15"/>
      <c r="AA146" s="141"/>
      <c r="AB146" s="15"/>
      <c r="AC146" s="141"/>
      <c r="AD146" s="15"/>
      <c r="AE146" s="141"/>
      <c r="AF146" s="141"/>
      <c r="AG146" s="141"/>
      <c r="AH146" s="141"/>
      <c r="AI146" s="141"/>
      <c r="AJ146" s="141"/>
      <c r="AK146" s="141"/>
      <c r="AL146" s="141"/>
      <c r="AM146" s="141"/>
      <c r="AN146" s="141"/>
      <c r="AO146" s="141"/>
      <c r="AP146" s="141"/>
      <c r="AQ146" s="141"/>
      <c r="AR146" s="15"/>
      <c r="AS146" s="141"/>
      <c r="AT146" s="15"/>
      <c r="AU146" s="141"/>
      <c r="AV146" s="15"/>
      <c r="AW146" s="141"/>
      <c r="AX146" s="15"/>
      <c r="AY146" s="45">
        <f>SUM(P146:AX146)</f>
        <v>0</v>
      </c>
      <c r="BA146" s="141">
        <v>-25000</v>
      </c>
      <c r="BC146" s="8">
        <f>IF(+O146-AY146+BA146&gt;0,O146-AY146+BA146,0)</f>
        <v>0</v>
      </c>
      <c r="BD146" s="27"/>
      <c r="BE146" s="15">
        <f t="shared" si="23"/>
        <v>0</v>
      </c>
      <c r="BF146" s="27"/>
      <c r="BG146" s="8">
        <f>O146-AY146-BC146</f>
        <v>25000</v>
      </c>
      <c r="BH146" s="12"/>
      <c r="BI146" s="27" t="s">
        <v>369</v>
      </c>
    </row>
    <row r="147" spans="1:62" x14ac:dyDescent="0.25">
      <c r="A147" s="112"/>
      <c r="B147" s="115" t="s">
        <v>473</v>
      </c>
      <c r="C147" s="111"/>
      <c r="D147" s="27"/>
      <c r="E147" s="28"/>
      <c r="F147" s="28"/>
      <c r="G147" s="28"/>
      <c r="H147" s="27"/>
      <c r="I147" s="28"/>
      <c r="J147" s="27"/>
      <c r="K147" s="107">
        <f>SUM(K145:K146)</f>
        <v>625000</v>
      </c>
      <c r="L147" s="27"/>
      <c r="M147" s="107">
        <f>SUM(M145:M146)</f>
        <v>68000</v>
      </c>
      <c r="N147" s="27"/>
      <c r="O147" s="107">
        <f>SUM(O145:O146)</f>
        <v>693000</v>
      </c>
      <c r="P147" s="27"/>
      <c r="Q147" s="107">
        <f>SUM(Q145:Q146)</f>
        <v>6110.75</v>
      </c>
      <c r="R147" s="231"/>
      <c r="S147" s="107">
        <f>SUM(S145:S146)</f>
        <v>0</v>
      </c>
      <c r="T147" s="231"/>
      <c r="U147" s="107">
        <f>SUM(U145:U146)</f>
        <v>11486.77</v>
      </c>
      <c r="V147" s="15"/>
      <c r="W147" s="107">
        <f>SUM(W145:W146)</f>
        <v>0</v>
      </c>
      <c r="X147" s="15"/>
      <c r="Y147" s="107">
        <f>SUM(Y145:Y146)</f>
        <v>0</v>
      </c>
      <c r="Z147" s="15"/>
      <c r="AA147" s="107">
        <f>SUM(AA145:AA146)</f>
        <v>91858</v>
      </c>
      <c r="AB147" s="15"/>
      <c r="AC147" s="107">
        <f>SUM(AC145:AC146)</f>
        <v>166373</v>
      </c>
      <c r="AD147" s="15"/>
      <c r="AE147" s="107">
        <f>SUM(AE145:AE146)</f>
        <v>242196.48000000001</v>
      </c>
      <c r="AF147" s="16"/>
      <c r="AG147" s="107">
        <f>SUM(AG145:AG146)</f>
        <v>108545.95</v>
      </c>
      <c r="AH147" s="16"/>
      <c r="AI147" s="107">
        <f>SUM(AI145:AI146)</f>
        <v>112784.15</v>
      </c>
      <c r="AJ147" s="16"/>
      <c r="AK147" s="107">
        <f>SUM(AK145:AK146)</f>
        <v>37104.92</v>
      </c>
      <c r="AL147" s="107"/>
      <c r="AM147" s="107">
        <f>SUM(AM145:AM146)</f>
        <v>7825.49</v>
      </c>
      <c r="AN147" s="16"/>
      <c r="AO147" s="107">
        <f>SUM(AO145:AO146)</f>
        <v>2323.08</v>
      </c>
      <c r="AP147" s="16"/>
      <c r="AQ147" s="107">
        <f>SUM(AQ145:AQ146)</f>
        <v>0</v>
      </c>
      <c r="AR147" s="15"/>
      <c r="AS147" s="107">
        <f>SUM(AS145:AS146)</f>
        <v>0</v>
      </c>
      <c r="AT147" s="15"/>
      <c r="AU147" s="107">
        <f>SUM(AU145:AU146)</f>
        <v>0</v>
      </c>
      <c r="AV147" s="15"/>
      <c r="AW147" s="107">
        <f>SUM(AW145:AW146)</f>
        <v>0</v>
      </c>
      <c r="AX147" s="15"/>
      <c r="AY147" s="107">
        <f>SUM(AY145:AY146)</f>
        <v>786608.59</v>
      </c>
      <c r="BA147" s="107">
        <f>SUM(BA145:BA146)</f>
        <v>60707.33</v>
      </c>
      <c r="BC147" s="107">
        <f>SUM(BC145:BC146)</f>
        <v>0</v>
      </c>
      <c r="BD147" s="27"/>
      <c r="BE147" s="107">
        <f>SUM(BE145:BE146)</f>
        <v>786608.59</v>
      </c>
      <c r="BF147" s="27"/>
      <c r="BG147" s="107">
        <f>SUM(BG145:BG146)</f>
        <v>-93608.589999999967</v>
      </c>
      <c r="BH147" s="12"/>
      <c r="BI147" s="27"/>
    </row>
    <row r="148" spans="1:62" x14ac:dyDescent="0.25">
      <c r="A148" s="112"/>
      <c r="B148" s="115"/>
      <c r="C148" s="114"/>
      <c r="D148" s="27"/>
      <c r="E148" s="28"/>
      <c r="F148" s="27"/>
      <c r="H148" s="27"/>
      <c r="I148" s="28"/>
      <c r="J148" s="27"/>
      <c r="K148" s="29"/>
      <c r="L148" s="27"/>
      <c r="M148" s="29"/>
      <c r="N148" s="27"/>
      <c r="O148" s="29"/>
      <c r="P148" s="27"/>
      <c r="Q148" s="141"/>
      <c r="R148" s="238"/>
      <c r="S148" s="141"/>
      <c r="T148" s="238"/>
      <c r="U148" s="141"/>
      <c r="V148" s="29"/>
      <c r="W148" s="141"/>
      <c r="X148" s="29"/>
      <c r="Y148" s="141"/>
      <c r="Z148" s="29"/>
      <c r="AA148" s="141"/>
      <c r="AB148" s="29"/>
      <c r="AC148" s="141"/>
      <c r="AD148" s="29"/>
      <c r="AE148" s="141"/>
      <c r="AF148" s="141"/>
      <c r="AG148" s="141"/>
      <c r="AH148" s="141"/>
      <c r="AI148" s="141"/>
      <c r="AJ148" s="141"/>
      <c r="AK148" s="141"/>
      <c r="AL148" s="141"/>
      <c r="AM148" s="141"/>
      <c r="AN148" s="141"/>
      <c r="AO148" s="141"/>
      <c r="AP148" s="141"/>
      <c r="AQ148" s="141"/>
      <c r="AS148" s="141"/>
      <c r="AU148" s="141"/>
      <c r="AW148" s="141"/>
      <c r="AY148" s="29"/>
      <c r="BA148" s="141"/>
      <c r="BC148" s="29"/>
      <c r="BD148" s="27"/>
      <c r="BE148" s="29"/>
      <c r="BF148" s="27"/>
      <c r="BG148" s="29"/>
      <c r="BH148" s="29"/>
      <c r="BI148" s="29"/>
    </row>
    <row r="149" spans="1:62" x14ac:dyDescent="0.25">
      <c r="A149" s="112" t="s">
        <v>64</v>
      </c>
      <c r="B149" s="115"/>
      <c r="C149" s="114" t="s">
        <v>0</v>
      </c>
      <c r="D149" s="27"/>
      <c r="E149" s="28" t="s">
        <v>65</v>
      </c>
      <c r="F149" s="27"/>
      <c r="G149" s="7" t="s">
        <v>66</v>
      </c>
      <c r="H149" s="27"/>
      <c r="I149" s="28"/>
      <c r="J149" s="27"/>
      <c r="K149" s="15">
        <v>2000000</v>
      </c>
      <c r="L149" s="27"/>
      <c r="M149" s="15">
        <v>-1186950</v>
      </c>
      <c r="N149" s="27"/>
      <c r="O149" s="15">
        <f>SUM(K149:N149)</f>
        <v>813050</v>
      </c>
      <c r="P149" s="27"/>
      <c r="Q149" s="141">
        <v>0</v>
      </c>
      <c r="R149" s="231"/>
      <c r="S149" s="141">
        <v>0</v>
      </c>
      <c r="T149" s="231"/>
      <c r="U149" s="141"/>
      <c r="V149" s="30"/>
      <c r="W149" s="141"/>
      <c r="X149" s="30"/>
      <c r="Y149" s="141"/>
      <c r="Z149" s="30"/>
      <c r="AA149" s="141"/>
      <c r="AB149" s="30"/>
      <c r="AC149" s="141"/>
      <c r="AD149" s="30"/>
      <c r="AE149" s="141"/>
      <c r="AF149" s="141"/>
      <c r="AG149" s="141"/>
      <c r="AH149" s="141"/>
      <c r="AI149" s="141">
        <v>39922.660000000003</v>
      </c>
      <c r="AJ149" s="141"/>
      <c r="AK149" s="141">
        <v>689523.59</v>
      </c>
      <c r="AL149" s="141"/>
      <c r="AM149" s="141">
        <v>18841.830000000002</v>
      </c>
      <c r="AN149" s="141"/>
      <c r="AO149" s="141">
        <v>0</v>
      </c>
      <c r="AP149" s="141"/>
      <c r="AQ149" s="141">
        <v>0</v>
      </c>
      <c r="AS149" s="141">
        <v>0</v>
      </c>
      <c r="AU149" s="141">
        <v>0</v>
      </c>
      <c r="AW149" s="141">
        <v>0</v>
      </c>
      <c r="AY149" s="45">
        <f>SUM(P149:AX149)</f>
        <v>748288.08</v>
      </c>
      <c r="BA149" s="141"/>
      <c r="BC149" s="8">
        <f>IF(+O149-AY149+BA149&gt;0,O149-AY149+BA149,0)</f>
        <v>64761.920000000042</v>
      </c>
      <c r="BD149" s="27"/>
      <c r="BE149" s="8">
        <f t="shared" si="23"/>
        <v>813050</v>
      </c>
      <c r="BF149" s="27"/>
      <c r="BG149" s="8">
        <f>O149-AY149-BC149</f>
        <v>0</v>
      </c>
      <c r="BH149" s="12"/>
      <c r="BI149" s="29" t="s">
        <v>121</v>
      </c>
    </row>
    <row r="150" spans="1:62" x14ac:dyDescent="0.25">
      <c r="A150" s="112"/>
      <c r="B150" s="115"/>
      <c r="C150" s="114"/>
      <c r="D150" s="27"/>
      <c r="E150" s="28"/>
      <c r="F150" s="27"/>
      <c r="H150" s="27"/>
      <c r="I150" s="28"/>
      <c r="J150" s="27"/>
      <c r="K150" s="15"/>
      <c r="L150" s="27"/>
      <c r="M150" s="15"/>
      <c r="N150" s="27"/>
      <c r="O150" s="15"/>
      <c r="P150" s="27"/>
      <c r="V150" s="12"/>
      <c r="X150" s="12"/>
      <c r="Z150" s="12"/>
      <c r="AB150" s="12"/>
      <c r="AD150" s="12"/>
      <c r="AY150" s="45"/>
      <c r="BD150" s="27"/>
      <c r="BF150" s="27"/>
      <c r="BH150" s="12"/>
      <c r="BI150" s="29"/>
    </row>
    <row r="151" spans="1:62" x14ac:dyDescent="0.25">
      <c r="A151" s="112" t="s">
        <v>67</v>
      </c>
      <c r="B151" s="19"/>
      <c r="C151" s="114" t="s">
        <v>0</v>
      </c>
      <c r="E151" s="7" t="s">
        <v>68</v>
      </c>
      <c r="G151" s="7" t="s">
        <v>69</v>
      </c>
      <c r="K151" s="15">
        <f>169275</f>
        <v>169275</v>
      </c>
      <c r="M151" s="15">
        <v>0</v>
      </c>
      <c r="O151" s="15">
        <f>SUM(K151:N151)</f>
        <v>169275</v>
      </c>
      <c r="Q151" s="143">
        <f>159276+10000</f>
        <v>169276</v>
      </c>
      <c r="V151" s="12"/>
      <c r="X151" s="12"/>
      <c r="Z151" s="12"/>
      <c r="AB151" s="12"/>
      <c r="AC151" s="143">
        <v>3333.34</v>
      </c>
      <c r="AD151" s="12"/>
      <c r="AY151" s="45">
        <f>SUM(P151:AX151)</f>
        <v>172609.34</v>
      </c>
      <c r="BC151" s="8">
        <f>IF(+O151-AY151+BA151&gt;0,O151-AY151+BA151,0)</f>
        <v>0</v>
      </c>
      <c r="BD151" s="6"/>
      <c r="BE151" s="8">
        <f t="shared" si="23"/>
        <v>172609.34</v>
      </c>
      <c r="BF151" s="6"/>
      <c r="BG151" s="8">
        <f>O151-AY151-BC151</f>
        <v>-3334.3399999999965</v>
      </c>
      <c r="BH151" s="12"/>
      <c r="BI151" s="8" t="s">
        <v>122</v>
      </c>
    </row>
    <row r="152" spans="1:62" s="43" customFormat="1" x14ac:dyDescent="0.25">
      <c r="A152" s="124"/>
      <c r="B152" s="42" t="s">
        <v>123</v>
      </c>
      <c r="C152" s="164"/>
      <c r="E152" s="44"/>
      <c r="G152" s="7"/>
      <c r="I152" s="44"/>
      <c r="K152" s="30">
        <v>150000</v>
      </c>
      <c r="M152" s="30">
        <v>0</v>
      </c>
      <c r="O152" s="30">
        <f>SUM(K152:N152)</f>
        <v>150000</v>
      </c>
      <c r="Q152" s="143">
        <v>0</v>
      </c>
      <c r="R152" s="228"/>
      <c r="S152" s="143">
        <v>0</v>
      </c>
      <c r="T152" s="228"/>
      <c r="U152" s="143"/>
      <c r="V152" s="12"/>
      <c r="W152" s="143"/>
      <c r="X152" s="12"/>
      <c r="Y152" s="143"/>
      <c r="Z152" s="12"/>
      <c r="AA152" s="143"/>
      <c r="AB152" s="12"/>
      <c r="AC152" s="143"/>
      <c r="AD152" s="12"/>
      <c r="AE152" s="143"/>
      <c r="AF152" s="143"/>
      <c r="AG152" s="143"/>
      <c r="AH152" s="143"/>
      <c r="AI152" s="143"/>
      <c r="AJ152" s="143"/>
      <c r="AK152" s="143"/>
      <c r="AL152" s="143"/>
      <c r="AM152" s="143"/>
      <c r="AN152" s="143"/>
      <c r="AO152" s="143"/>
      <c r="AP152" s="143"/>
      <c r="AQ152" s="143"/>
      <c r="AR152" s="6"/>
      <c r="AS152" s="143"/>
      <c r="AT152" s="6"/>
      <c r="AU152" s="143"/>
      <c r="AV152" s="6"/>
      <c r="AW152" s="143"/>
      <c r="AX152" s="6"/>
      <c r="AY152" s="45">
        <f>SUM(P152:AX152)</f>
        <v>0</v>
      </c>
      <c r="BA152" s="143"/>
      <c r="BC152" s="8">
        <v>0</v>
      </c>
      <c r="BD152" s="6"/>
      <c r="BE152" s="8">
        <f t="shared" si="23"/>
        <v>0</v>
      </c>
      <c r="BF152" s="6"/>
      <c r="BG152" s="8">
        <f>O152-AY152-BC152</f>
        <v>150000</v>
      </c>
      <c r="BH152" s="12"/>
      <c r="BI152" s="12"/>
      <c r="BJ152" s="12"/>
    </row>
    <row r="153" spans="1:62" s="43" customFormat="1" x14ac:dyDescent="0.25">
      <c r="A153" s="124"/>
      <c r="B153" s="19" t="s">
        <v>471</v>
      </c>
      <c r="C153" s="164"/>
      <c r="E153" s="44"/>
      <c r="G153" s="7"/>
      <c r="I153" s="44"/>
      <c r="K153" s="107">
        <f>SUM(K151:K152)</f>
        <v>319275</v>
      </c>
      <c r="M153" s="107">
        <f>SUM(M151:M152)</f>
        <v>0</v>
      </c>
      <c r="O153" s="107">
        <f>SUM(O151:O152)</f>
        <v>319275</v>
      </c>
      <c r="Q153" s="107">
        <f>SUM(Q151:Q152)</f>
        <v>169276</v>
      </c>
      <c r="R153" s="228"/>
      <c r="S153" s="107">
        <f>SUM(S151:S152)</f>
        <v>0</v>
      </c>
      <c r="T153" s="228"/>
      <c r="U153" s="107">
        <f>SUM(U151:U152)</f>
        <v>0</v>
      </c>
      <c r="V153" s="12"/>
      <c r="W153" s="107">
        <f>SUM(W151:W152)</f>
        <v>0</v>
      </c>
      <c r="X153" s="12"/>
      <c r="Y153" s="107">
        <f>SUM(Y151:Y152)</f>
        <v>0</v>
      </c>
      <c r="Z153" s="12"/>
      <c r="AA153" s="107">
        <f>SUM(AA151:AA152)</f>
        <v>0</v>
      </c>
      <c r="AB153" s="12"/>
      <c r="AC153" s="107">
        <f>SUM(AC151:AC152)</f>
        <v>3333.34</v>
      </c>
      <c r="AD153" s="12"/>
      <c r="AE153" s="107">
        <f>SUM(AE151:AE152)</f>
        <v>0</v>
      </c>
      <c r="AF153" s="16"/>
      <c r="AG153" s="107">
        <f>SUM(AG151:AG152)</f>
        <v>0</v>
      </c>
      <c r="AH153" s="16"/>
      <c r="AI153" s="107">
        <f>SUM(AI151:AI152)</f>
        <v>0</v>
      </c>
      <c r="AJ153" s="16"/>
      <c r="AK153" s="107">
        <f>SUM(AK151:AK152)</f>
        <v>0</v>
      </c>
      <c r="AL153" s="107"/>
      <c r="AM153" s="107">
        <f>SUM(AM151:AM152)</f>
        <v>0</v>
      </c>
      <c r="AN153" s="16"/>
      <c r="AO153" s="107">
        <f>SUM(AO151:AO152)</f>
        <v>0</v>
      </c>
      <c r="AP153" s="16"/>
      <c r="AQ153" s="107">
        <f>SUM(AQ151:AQ152)</f>
        <v>0</v>
      </c>
      <c r="AR153" s="6"/>
      <c r="AS153" s="107">
        <f>SUM(AS151:AS152)</f>
        <v>0</v>
      </c>
      <c r="AT153" s="6"/>
      <c r="AU153" s="107">
        <f>SUM(AU151:AU152)</f>
        <v>0</v>
      </c>
      <c r="AV153" s="6"/>
      <c r="AW153" s="107">
        <f>SUM(AW151:AW152)</f>
        <v>0</v>
      </c>
      <c r="AX153" s="6"/>
      <c r="AY153" s="107">
        <f>SUM(AY151:AY152)</f>
        <v>172609.34</v>
      </c>
      <c r="BA153" s="107">
        <f>SUM(BA151:BA152)</f>
        <v>0</v>
      </c>
      <c r="BC153" s="107">
        <f>SUM(BC151:BC152)</f>
        <v>0</v>
      </c>
      <c r="BD153" s="6"/>
      <c r="BE153" s="107">
        <f>SUM(BE151:BE152)</f>
        <v>172609.34</v>
      </c>
      <c r="BF153" s="6"/>
      <c r="BG153" s="107">
        <f>SUM(BG151:BG152)</f>
        <v>146665.66</v>
      </c>
      <c r="BH153" s="12"/>
      <c r="BI153" s="12"/>
      <c r="BJ153" s="12"/>
    </row>
    <row r="154" spans="1:62" x14ac:dyDescent="0.25">
      <c r="A154" s="113"/>
      <c r="B154" s="31"/>
      <c r="C154" s="114"/>
      <c r="K154" s="15"/>
      <c r="M154" s="15"/>
      <c r="O154" s="15"/>
      <c r="AY154" s="45"/>
      <c r="BD154" s="6"/>
      <c r="BF154" s="6"/>
      <c r="BH154" s="8"/>
      <c r="BI154" s="8"/>
    </row>
    <row r="155" spans="1:62" x14ac:dyDescent="0.25">
      <c r="A155" s="112" t="s">
        <v>71</v>
      </c>
      <c r="B155" s="19"/>
      <c r="C155" s="114" t="s">
        <v>0</v>
      </c>
      <c r="E155" s="7" t="s">
        <v>8</v>
      </c>
      <c r="G155" s="7" t="s">
        <v>72</v>
      </c>
      <c r="K155" s="15">
        <v>500000</v>
      </c>
      <c r="M155" s="15">
        <v>-310000</v>
      </c>
      <c r="O155" s="15">
        <f>SUM(K155:N155)</f>
        <v>190000</v>
      </c>
      <c r="Q155" s="143">
        <f>57953.3+6951.7+29178.42+1522.63+54679.49+10804.68</f>
        <v>161090.22</v>
      </c>
      <c r="S155" s="143">
        <f>48441.13</f>
        <v>48441.13</v>
      </c>
      <c r="V155" s="12"/>
      <c r="W155" s="143">
        <f>12317</f>
        <v>12317</v>
      </c>
      <c r="X155" s="12"/>
      <c r="Z155" s="12"/>
      <c r="AB155" s="12"/>
      <c r="AC155" s="143">
        <v>11450.36</v>
      </c>
      <c r="AD155" s="12"/>
      <c r="AG155" s="143">
        <v>10800</v>
      </c>
      <c r="AY155" s="45">
        <f>SUM(P155:AX155)</f>
        <v>244098.71000000002</v>
      </c>
      <c r="BC155" s="8">
        <f>IF(+O155-AY155+BA155&gt;0,O155-AY155+BA155,0)</f>
        <v>0</v>
      </c>
      <c r="BD155" s="6"/>
      <c r="BE155" s="8">
        <f t="shared" si="23"/>
        <v>244098.71000000002</v>
      </c>
      <c r="BF155" s="6"/>
      <c r="BG155" s="8">
        <f>O155-AY155-BC155</f>
        <v>-54098.710000000021</v>
      </c>
      <c r="BH155" s="12"/>
      <c r="BI155" s="8"/>
    </row>
    <row r="156" spans="1:62" x14ac:dyDescent="0.25">
      <c r="A156" s="113"/>
      <c r="B156" s="31" t="s">
        <v>335</v>
      </c>
      <c r="C156" s="114"/>
      <c r="K156" s="15"/>
      <c r="M156" s="15"/>
      <c r="O156" s="15"/>
      <c r="U156" s="143">
        <v>204.75</v>
      </c>
      <c r="AG156" s="143">
        <v>4030</v>
      </c>
      <c r="AI156" s="143">
        <v>130</v>
      </c>
      <c r="AM156" s="143">
        <f>250+106190</f>
        <v>106440</v>
      </c>
      <c r="AY156" s="45">
        <f>SUM(P156:AX156)</f>
        <v>110804.75</v>
      </c>
      <c r="BC156" s="8">
        <f>IF(+O156-AY156+BA156&gt;0,O156-AY156+BA156,0)</f>
        <v>0</v>
      </c>
      <c r="BD156" s="6"/>
      <c r="BE156" s="8">
        <f t="shared" si="23"/>
        <v>110804.75</v>
      </c>
      <c r="BF156" s="6"/>
      <c r="BG156" s="8">
        <f>O156-AY156-BC156</f>
        <v>-110804.75</v>
      </c>
      <c r="BH156" s="8"/>
      <c r="BI156" s="8"/>
    </row>
    <row r="157" spans="1:62" x14ac:dyDescent="0.25">
      <c r="A157" s="113"/>
      <c r="B157" s="31"/>
      <c r="C157" s="114"/>
      <c r="K157" s="107">
        <f>SUM(K155:K156)</f>
        <v>500000</v>
      </c>
      <c r="M157" s="107">
        <f>SUM(M155:M156)</f>
        <v>-310000</v>
      </c>
      <c r="O157" s="107">
        <f>SUM(O155:O156)</f>
        <v>190000</v>
      </c>
      <c r="Q157" s="107">
        <f>SUM(Q155:Q156)</f>
        <v>161090.22</v>
      </c>
      <c r="S157" s="107">
        <f>SUM(S155:S156)</f>
        <v>48441.13</v>
      </c>
      <c r="U157" s="107">
        <f>SUM(U155:U156)</f>
        <v>204.75</v>
      </c>
      <c r="W157" s="107">
        <f>SUM(W155:W156)</f>
        <v>12317</v>
      </c>
      <c r="Y157" s="107">
        <f>SUM(Y155:Y156)</f>
        <v>0</v>
      </c>
      <c r="AA157" s="107">
        <f>SUM(AA155:AA156)</f>
        <v>0</v>
      </c>
      <c r="AC157" s="107">
        <f>SUM(AC155:AC156)</f>
        <v>11450.36</v>
      </c>
      <c r="AE157" s="107">
        <f>SUM(AE155:AE156)</f>
        <v>0</v>
      </c>
      <c r="AF157" s="16"/>
      <c r="AG157" s="107">
        <f>SUM(AG155:AG156)</f>
        <v>14830</v>
      </c>
      <c r="AH157" s="16"/>
      <c r="AI157" s="107">
        <f>SUM(AI155:AI156)</f>
        <v>130</v>
      </c>
      <c r="AJ157" s="16"/>
      <c r="AK157" s="107">
        <f>SUM(AK155:AK156)</f>
        <v>0</v>
      </c>
      <c r="AL157" s="107"/>
      <c r="AM157" s="107">
        <f>SUM(AM155:AM156)</f>
        <v>106440</v>
      </c>
      <c r="AN157" s="16"/>
      <c r="AO157" s="107">
        <f>SUM(AO155:AO156)</f>
        <v>0</v>
      </c>
      <c r="AP157" s="16"/>
      <c r="AQ157" s="107">
        <f>SUM(AQ155:AQ156)</f>
        <v>0</v>
      </c>
      <c r="AS157" s="107">
        <f>SUM(AS155:AS156)</f>
        <v>0</v>
      </c>
      <c r="AU157" s="107">
        <f>SUM(AU155:AU156)</f>
        <v>0</v>
      </c>
      <c r="AW157" s="107">
        <f>SUM(AW155:AW156)</f>
        <v>0</v>
      </c>
      <c r="AY157" s="107">
        <f>SUM(AY155:AY156)</f>
        <v>354903.46</v>
      </c>
      <c r="BA157" s="107">
        <f>SUM(BA155:BA156)</f>
        <v>0</v>
      </c>
      <c r="BC157" s="107">
        <f>SUM(BC155:BC156)</f>
        <v>0</v>
      </c>
      <c r="BD157" s="6"/>
      <c r="BE157" s="107">
        <f>SUM(BE155:BE156)</f>
        <v>354903.46</v>
      </c>
      <c r="BF157" s="6"/>
      <c r="BG157" s="107">
        <f>SUM(BG155:BG156)</f>
        <v>-164903.46000000002</v>
      </c>
      <c r="BH157" s="8"/>
      <c r="BI157" s="8"/>
    </row>
    <row r="158" spans="1:62" x14ac:dyDescent="0.25">
      <c r="A158" s="113"/>
      <c r="B158" s="31"/>
      <c r="C158" s="114"/>
      <c r="K158" s="15"/>
      <c r="M158" s="15"/>
      <c r="O158" s="15"/>
      <c r="AY158" s="45"/>
      <c r="BD158" s="6"/>
      <c r="BF158" s="6"/>
      <c r="BH158" s="8"/>
      <c r="BI158" s="8"/>
    </row>
    <row r="159" spans="1:62" x14ac:dyDescent="0.25">
      <c r="A159" s="112" t="s">
        <v>74</v>
      </c>
      <c r="B159" s="19"/>
      <c r="C159" s="114" t="s">
        <v>0</v>
      </c>
      <c r="E159" s="7" t="s">
        <v>68</v>
      </c>
      <c r="G159" s="7" t="s">
        <v>75</v>
      </c>
      <c r="K159" s="15">
        <v>0</v>
      </c>
      <c r="M159" s="15">
        <v>0</v>
      </c>
      <c r="O159" s="15">
        <f>SUM(K159:N159)</f>
        <v>0</v>
      </c>
      <c r="Q159" s="143">
        <v>0</v>
      </c>
      <c r="S159" s="143">
        <v>0</v>
      </c>
      <c r="AY159" s="45">
        <f>SUM(P159:AX159)</f>
        <v>0</v>
      </c>
      <c r="BC159" s="8">
        <f>IF(+O159-AY159+BA159&gt;0,O159-AY159+BA159,0)</f>
        <v>0</v>
      </c>
      <c r="BD159" s="6"/>
      <c r="BE159" s="8">
        <f t="shared" si="23"/>
        <v>0</v>
      </c>
      <c r="BF159" s="6"/>
      <c r="BG159" s="8">
        <f>O159-AY159-BC159</f>
        <v>0</v>
      </c>
      <c r="BH159" s="12"/>
      <c r="BI159" s="8" t="s">
        <v>124</v>
      </c>
    </row>
    <row r="160" spans="1:62" x14ac:dyDescent="0.25">
      <c r="A160" s="113"/>
      <c r="B160" s="31"/>
      <c r="C160" s="114"/>
      <c r="K160" s="15"/>
      <c r="M160" s="15"/>
      <c r="O160" s="15"/>
      <c r="AY160" s="45"/>
      <c r="BD160" s="6"/>
      <c r="BF160" s="6"/>
      <c r="BH160" s="8"/>
      <c r="BI160" s="8"/>
    </row>
    <row r="161" spans="1:61" x14ac:dyDescent="0.25">
      <c r="A161" s="112" t="s">
        <v>76</v>
      </c>
      <c r="B161" s="19"/>
      <c r="C161" s="114" t="s">
        <v>0</v>
      </c>
      <c r="E161" s="7" t="s">
        <v>68</v>
      </c>
      <c r="G161" s="7" t="s">
        <v>125</v>
      </c>
      <c r="I161" s="44"/>
      <c r="K161" s="15"/>
      <c r="M161" s="15"/>
      <c r="O161" s="15"/>
      <c r="AY161" s="45"/>
      <c r="BD161" s="6"/>
      <c r="BE161" s="8">
        <f t="shared" si="23"/>
        <v>0</v>
      </c>
      <c r="BF161" s="6"/>
      <c r="BH161" s="8"/>
      <c r="BI161" s="6" t="s">
        <v>78</v>
      </c>
    </row>
    <row r="162" spans="1:61" x14ac:dyDescent="0.25">
      <c r="A162" s="112"/>
      <c r="B162" s="19" t="s">
        <v>77</v>
      </c>
      <c r="C162" s="114"/>
      <c r="K162" s="15">
        <v>1674539</v>
      </c>
      <c r="M162" s="15">
        <v>0</v>
      </c>
      <c r="O162" s="15">
        <f>SUM(K162:N162)</f>
        <v>1674539</v>
      </c>
      <c r="Q162" s="143">
        <v>0</v>
      </c>
      <c r="S162" s="143">
        <v>0</v>
      </c>
      <c r="U162" s="143">
        <v>71059.960000000006</v>
      </c>
      <c r="AA162" s="143">
        <f>142161+342138.67+222890.65</f>
        <v>707190.32</v>
      </c>
      <c r="AE162" s="143">
        <v>644133.13</v>
      </c>
      <c r="AG162" s="143">
        <v>169598.18</v>
      </c>
      <c r="AI162" s="143">
        <v>127893.85</v>
      </c>
      <c r="AY162" s="45">
        <f>SUM(P162:AX162)</f>
        <v>1719875.44</v>
      </c>
      <c r="BC162" s="8">
        <f>IF(+O162-AY162+BA162&gt;0,O162-AY162+BA162,0)</f>
        <v>0</v>
      </c>
      <c r="BD162" s="6"/>
      <c r="BE162" s="8">
        <f t="shared" si="23"/>
        <v>1719875.44</v>
      </c>
      <c r="BF162" s="6"/>
      <c r="BG162" s="8">
        <f>O162-AY162-BC162</f>
        <v>-45336.439999999944</v>
      </c>
      <c r="BH162" s="12"/>
      <c r="BI162" s="8"/>
    </row>
    <row r="163" spans="1:61" x14ac:dyDescent="0.25">
      <c r="A163" s="112"/>
      <c r="B163" s="19" t="s">
        <v>79</v>
      </c>
      <c r="C163" s="114"/>
      <c r="K163" s="15">
        <f>K162*0.216</f>
        <v>361700.424</v>
      </c>
      <c r="M163" s="15">
        <v>0</v>
      </c>
      <c r="O163" s="15">
        <f>SUM(K163:N163)</f>
        <v>361700.424</v>
      </c>
      <c r="Q163" s="143">
        <v>0</v>
      </c>
      <c r="S163" s="143">
        <v>0</v>
      </c>
      <c r="AK163" s="143">
        <f>61288.35+10899.64</f>
        <v>72187.989999999991</v>
      </c>
      <c r="AM163" s="143">
        <v>12905.28</v>
      </c>
      <c r="AO163" s="143">
        <v>156683.79</v>
      </c>
      <c r="AQ163" s="143">
        <v>5257.23</v>
      </c>
      <c r="AY163" s="45">
        <f>SUM(P163:AX163)</f>
        <v>247034.29</v>
      </c>
      <c r="BC163" s="8">
        <f>IF(+O163-AY163+BA163&gt;0,O163-AY163+BA163,0)</f>
        <v>114666.13399999999</v>
      </c>
      <c r="BD163" s="6"/>
      <c r="BE163" s="8">
        <f t="shared" si="23"/>
        <v>361700.424</v>
      </c>
      <c r="BF163" s="6"/>
      <c r="BG163" s="8">
        <f>O163-AY163-BC163</f>
        <v>0</v>
      </c>
      <c r="BH163" s="12"/>
      <c r="BI163" s="8"/>
    </row>
    <row r="164" spans="1:61" x14ac:dyDescent="0.25">
      <c r="A164" s="112"/>
      <c r="B164" s="19" t="s">
        <v>271</v>
      </c>
      <c r="C164" s="114"/>
      <c r="K164" s="15">
        <v>0</v>
      </c>
      <c r="M164" s="15">
        <v>11826</v>
      </c>
      <c r="O164" s="15">
        <f>SUM(K164:N164)</f>
        <v>11826</v>
      </c>
      <c r="Q164" s="143">
        <v>0</v>
      </c>
      <c r="S164" s="143">
        <v>0</v>
      </c>
      <c r="AA164" s="143">
        <v>11826</v>
      </c>
      <c r="AY164" s="45">
        <f>SUM(P164:AX164)</f>
        <v>11826</v>
      </c>
      <c r="BC164" s="8">
        <f>IF(+O164-AY164+BA164&gt;0,O164-AY164+BA164,0)</f>
        <v>0</v>
      </c>
      <c r="BD164" s="6"/>
      <c r="BE164" s="8">
        <f t="shared" si="23"/>
        <v>11826</v>
      </c>
      <c r="BF164" s="6"/>
      <c r="BG164" s="8">
        <f>O164-AY164-BC164</f>
        <v>0</v>
      </c>
      <c r="BH164" s="12"/>
      <c r="BI164" s="8"/>
    </row>
    <row r="165" spans="1:61" x14ac:dyDescent="0.25">
      <c r="A165" s="112"/>
      <c r="B165" s="19" t="s">
        <v>272</v>
      </c>
      <c r="C165" s="114"/>
      <c r="K165" s="15">
        <v>0</v>
      </c>
      <c r="M165" s="15">
        <f>45594-11826</f>
        <v>33768</v>
      </c>
      <c r="O165" s="15">
        <f>SUM(K165:N165)</f>
        <v>33768</v>
      </c>
      <c r="Q165" s="143">
        <v>0</v>
      </c>
      <c r="S165" s="143">
        <v>0</v>
      </c>
      <c r="AI165" s="143">
        <f>46847.32+10557.48</f>
        <v>57404.800000000003</v>
      </c>
      <c r="AY165" s="45">
        <f>SUM(P165:AX165)</f>
        <v>57404.800000000003</v>
      </c>
      <c r="BC165" s="8">
        <f>IF(+O165-AY165+BA165&gt;0,O165-AY165+BA165,0)</f>
        <v>0</v>
      </c>
      <c r="BD165" s="6"/>
      <c r="BE165" s="8">
        <f t="shared" si="23"/>
        <v>57404.800000000003</v>
      </c>
      <c r="BF165" s="6"/>
      <c r="BG165" s="8">
        <f>O165-AY165-BC165</f>
        <v>-23636.800000000003</v>
      </c>
      <c r="BH165" s="12"/>
      <c r="BI165" s="8"/>
    </row>
    <row r="166" spans="1:61" x14ac:dyDescent="0.25">
      <c r="A166" s="112"/>
      <c r="B166" s="19" t="s">
        <v>472</v>
      </c>
      <c r="C166" s="114"/>
      <c r="K166" s="107">
        <f>SUM(K162:K165)</f>
        <v>2036239.4240000001</v>
      </c>
      <c r="M166" s="107">
        <f>SUM(M162:M165)</f>
        <v>45594</v>
      </c>
      <c r="O166" s="107">
        <f>SUM(O162:O165)</f>
        <v>2081833.4240000001</v>
      </c>
      <c r="Q166" s="107">
        <f>SUM(Q162:Q165)</f>
        <v>0</v>
      </c>
      <c r="S166" s="107">
        <f>SUM(S162:S165)</f>
        <v>0</v>
      </c>
      <c r="U166" s="107">
        <f>SUM(U162:U165)</f>
        <v>71059.960000000006</v>
      </c>
      <c r="W166" s="107">
        <f>SUM(W162:W165)</f>
        <v>0</v>
      </c>
      <c r="Y166" s="107">
        <f>SUM(Y162:Y165)</f>
        <v>0</v>
      </c>
      <c r="AA166" s="107">
        <f>SUM(AA162:AA165)</f>
        <v>719016.32</v>
      </c>
      <c r="AC166" s="107">
        <f>SUM(AC162:AC165)</f>
        <v>0</v>
      </c>
      <c r="AE166" s="107">
        <f>SUM(AE162:AE165)</f>
        <v>644133.13</v>
      </c>
      <c r="AF166" s="16"/>
      <c r="AG166" s="107">
        <f>SUM(AG162:AG165)</f>
        <v>169598.18</v>
      </c>
      <c r="AH166" s="16"/>
      <c r="AI166" s="107">
        <f>SUM(AI162:AI165)</f>
        <v>185298.65000000002</v>
      </c>
      <c r="AJ166" s="16"/>
      <c r="AK166" s="107">
        <f>SUM(AK162:AK165)</f>
        <v>72187.989999999991</v>
      </c>
      <c r="AL166" s="107"/>
      <c r="AM166" s="107">
        <f>SUM(AM162:AM165)</f>
        <v>12905.28</v>
      </c>
      <c r="AN166" s="16"/>
      <c r="AO166" s="107">
        <f>SUM(AO162:AO165)</f>
        <v>156683.79</v>
      </c>
      <c r="AP166" s="16"/>
      <c r="AQ166" s="107">
        <f>SUM(AQ162:AQ165)</f>
        <v>5257.23</v>
      </c>
      <c r="AS166" s="107">
        <f>SUM(AS162:AS165)</f>
        <v>0</v>
      </c>
      <c r="AU166" s="107">
        <f>SUM(AU162:AU165)</f>
        <v>0</v>
      </c>
      <c r="AW166" s="107">
        <f>SUM(AW162:AW165)</f>
        <v>0</v>
      </c>
      <c r="AY166" s="107">
        <f>SUM(AY162:AY165)</f>
        <v>2036140.53</v>
      </c>
      <c r="BA166" s="107">
        <f>SUM(BA162:BA165)</f>
        <v>0</v>
      </c>
      <c r="BC166" s="107">
        <f>SUM(BC162:BC165)</f>
        <v>114666.13399999999</v>
      </c>
      <c r="BD166" s="6"/>
      <c r="BE166" s="107">
        <f>SUM(BE162:BE165)</f>
        <v>2150806.6639999999</v>
      </c>
      <c r="BF166" s="6"/>
      <c r="BG166" s="107">
        <f>SUM(BG162:BG165)</f>
        <v>-68973.239999999947</v>
      </c>
      <c r="BH166" s="12"/>
      <c r="BI166" s="8"/>
    </row>
    <row r="167" spans="1:61" x14ac:dyDescent="0.25">
      <c r="A167" s="113"/>
      <c r="B167" s="31"/>
      <c r="C167" s="114"/>
      <c r="K167" s="15"/>
      <c r="M167" s="15"/>
      <c r="O167" s="15"/>
      <c r="AY167" s="45"/>
      <c r="BD167" s="6"/>
      <c r="BF167" s="6"/>
      <c r="BH167" s="8"/>
      <c r="BI167" s="8"/>
    </row>
    <row r="168" spans="1:61" x14ac:dyDescent="0.25">
      <c r="A168" s="112" t="s">
        <v>80</v>
      </c>
      <c r="B168" s="19"/>
      <c r="C168" s="114" t="s">
        <v>0</v>
      </c>
      <c r="E168" s="7" t="s">
        <v>81</v>
      </c>
      <c r="G168" s="7" t="s">
        <v>82</v>
      </c>
      <c r="K168" s="15">
        <v>363000</v>
      </c>
      <c r="M168" s="15">
        <v>0</v>
      </c>
      <c r="O168" s="15">
        <f>SUM(K168:N168)</f>
        <v>363000</v>
      </c>
      <c r="S168" s="143">
        <v>162185.68</v>
      </c>
      <c r="U168" s="143">
        <f>65002.32-50</f>
        <v>64952.32</v>
      </c>
      <c r="W168" s="143">
        <v>4730.46</v>
      </c>
      <c r="AG168" s="143">
        <f>78467.61+7500</f>
        <v>85967.61</v>
      </c>
      <c r="AY168" s="45">
        <f t="shared" ref="AY168:AY177" si="24">SUM(P168:AX168)</f>
        <v>317836.07</v>
      </c>
      <c r="BA168" s="143">
        <f>-131132+100000</f>
        <v>-31132</v>
      </c>
      <c r="BC168" s="12">
        <f>IF(+O168-AY168+BA168&gt;0,O168-AY168+BA168,0)-231868</f>
        <v>-217836.07</v>
      </c>
      <c r="BD168" s="6"/>
      <c r="BE168" s="8">
        <f t="shared" si="23"/>
        <v>100000</v>
      </c>
      <c r="BF168" s="6"/>
      <c r="BG168" s="8">
        <f>O168-AY168-BC168</f>
        <v>263000</v>
      </c>
      <c r="BH168" s="12"/>
      <c r="BI168" s="8"/>
    </row>
    <row r="169" spans="1:61" x14ac:dyDescent="0.25">
      <c r="A169" s="113"/>
      <c r="B169" s="31"/>
      <c r="C169" s="114"/>
      <c r="K169" s="15"/>
      <c r="M169" s="15"/>
      <c r="O169" s="15"/>
      <c r="AY169" s="45"/>
      <c r="BD169" s="6"/>
      <c r="BF169" s="6"/>
      <c r="BH169" s="8"/>
      <c r="BI169" s="8"/>
    </row>
    <row r="170" spans="1:61" x14ac:dyDescent="0.25">
      <c r="A170" s="112" t="s">
        <v>83</v>
      </c>
      <c r="B170" s="19"/>
      <c r="C170" s="114" t="s">
        <v>0</v>
      </c>
      <c r="E170" s="7" t="s">
        <v>84</v>
      </c>
      <c r="G170" s="7" t="s">
        <v>85</v>
      </c>
      <c r="K170" s="15">
        <v>100000</v>
      </c>
      <c r="M170" s="15">
        <v>55279</v>
      </c>
      <c r="O170" s="15">
        <f>SUM(K170:N170)</f>
        <v>155279</v>
      </c>
      <c r="Q170" s="143">
        <v>0</v>
      </c>
      <c r="S170" s="143">
        <v>0</v>
      </c>
      <c r="Y170" s="143">
        <f>202323-825.76</f>
        <v>201497.24</v>
      </c>
      <c r="AC170" s="143">
        <v>22112</v>
      </c>
      <c r="AK170" s="143">
        <v>67029.5</v>
      </c>
      <c r="AY170" s="45">
        <f t="shared" si="24"/>
        <v>290638.74</v>
      </c>
      <c r="BA170" s="143">
        <f>55279-64752</f>
        <v>-9473</v>
      </c>
      <c r="BC170" s="8">
        <f>336000+BA170-AY170</f>
        <v>35888.260000000009</v>
      </c>
      <c r="BD170" s="6"/>
      <c r="BE170" s="8">
        <f t="shared" si="23"/>
        <v>326527</v>
      </c>
      <c r="BF170" s="6"/>
      <c r="BG170" s="8">
        <f>O170-AY170-BC170</f>
        <v>-171248</v>
      </c>
      <c r="BH170" s="12"/>
      <c r="BI170" s="8"/>
    </row>
    <row r="171" spans="1:61" x14ac:dyDescent="0.25">
      <c r="A171" s="120"/>
      <c r="B171" s="19"/>
      <c r="C171" s="114"/>
      <c r="K171" s="15"/>
      <c r="M171" s="15"/>
      <c r="O171" s="15"/>
      <c r="AY171" s="45"/>
      <c r="BD171" s="6"/>
      <c r="BF171" s="6"/>
      <c r="BH171" s="8"/>
      <c r="BI171" s="8"/>
    </row>
    <row r="172" spans="1:61" x14ac:dyDescent="0.25">
      <c r="A172" s="112" t="s">
        <v>86</v>
      </c>
      <c r="B172" s="19"/>
      <c r="C172" s="114" t="s">
        <v>0</v>
      </c>
      <c r="E172" s="7" t="s">
        <v>87</v>
      </c>
      <c r="G172" s="7" t="s">
        <v>88</v>
      </c>
      <c r="K172" s="15">
        <v>113333</v>
      </c>
      <c r="M172" s="15">
        <v>0</v>
      </c>
      <c r="O172" s="15">
        <f>SUM(K172:N172)</f>
        <v>113333</v>
      </c>
      <c r="Q172" s="143">
        <v>0</v>
      </c>
      <c r="S172" s="143">
        <v>0</v>
      </c>
      <c r="W172" s="143">
        <v>11126.71</v>
      </c>
      <c r="AA172" s="143">
        <v>3774.9</v>
      </c>
      <c r="AC172" s="143">
        <f>3959.86+1684.07+1094.54+1016.66+4370.6+1074.93+4364.16+11543</f>
        <v>29107.82</v>
      </c>
      <c r="AE172" s="143">
        <f>5207.72+8345.32</f>
        <v>13553.04</v>
      </c>
      <c r="AG172" s="143">
        <f>5899.85+161.58</f>
        <v>6061.43</v>
      </c>
      <c r="AY172" s="45">
        <f t="shared" si="24"/>
        <v>63623.9</v>
      </c>
      <c r="BA172" s="143">
        <v>-29999</v>
      </c>
      <c r="BC172" s="8">
        <v>0</v>
      </c>
      <c r="BD172" s="6"/>
      <c r="BE172" s="8">
        <f t="shared" si="23"/>
        <v>63623.9</v>
      </c>
      <c r="BF172" s="6"/>
      <c r="BG172" s="8">
        <f>O172-AY172-BC172</f>
        <v>49709.1</v>
      </c>
      <c r="BH172" s="12"/>
      <c r="BI172" s="8"/>
    </row>
    <row r="173" spans="1:61" x14ac:dyDescent="0.25">
      <c r="A173" s="120"/>
      <c r="B173" s="19"/>
      <c r="C173" s="114"/>
      <c r="K173" s="15"/>
      <c r="M173" s="15"/>
      <c r="O173" s="15"/>
      <c r="AY173" s="45"/>
      <c r="BD173" s="6"/>
      <c r="BF173" s="6"/>
      <c r="BH173" s="8"/>
      <c r="BI173" s="8"/>
    </row>
    <row r="174" spans="1:61" x14ac:dyDescent="0.25">
      <c r="A174" s="112" t="s">
        <v>89</v>
      </c>
      <c r="B174" s="19"/>
      <c r="C174" s="114" t="s">
        <v>0</v>
      </c>
      <c r="E174" s="7" t="s">
        <v>87</v>
      </c>
      <c r="G174" s="7" t="s">
        <v>88</v>
      </c>
      <c r="K174" s="16">
        <v>5166466.5671544252</v>
      </c>
      <c r="L174" s="19"/>
      <c r="M174" s="16">
        <f>5093175-5166467+4057+215+540+2484-23666+976-993+9891+6242+283413-10123-91078+29574+1953+60-495206-68498+2+162237-262667+108-2-1852-1218-3-1135+70374-2182-2826+4600620-42473+19780+26428+15781-27611-3646743-90040-727099-331+380-81-1761-8844+1882+721114+69-25800-1266+13261-1609+5082-1370686-1</f>
        <v>-1002563</v>
      </c>
      <c r="N174" s="19"/>
      <c r="O174" s="16">
        <f>SUM(K174:N174)</f>
        <v>4163903.5671544252</v>
      </c>
      <c r="P174" s="19"/>
      <c r="Q174" s="173">
        <f>643194+270681</f>
        <v>913875</v>
      </c>
      <c r="R174" s="235"/>
      <c r="S174" s="173">
        <v>448366</v>
      </c>
      <c r="T174" s="235"/>
      <c r="U174" s="173">
        <f>395397.19+40681.75</f>
        <v>436078.94</v>
      </c>
      <c r="V174" s="34"/>
      <c r="W174" s="173">
        <f>434033.21</f>
        <v>434033.21</v>
      </c>
      <c r="X174" s="34"/>
      <c r="Y174" s="173">
        <f>422737.7</f>
        <v>422737.7</v>
      </c>
      <c r="Z174" s="34"/>
      <c r="AA174" s="173">
        <v>505583.13</v>
      </c>
      <c r="AB174" s="34"/>
      <c r="AC174" s="173">
        <f>387290.85+89072+378282-419548-170214</f>
        <v>264882.84999999998</v>
      </c>
      <c r="AD174" s="34"/>
      <c r="AE174" s="173">
        <f>610889+127459</f>
        <v>738348</v>
      </c>
      <c r="AF174" s="173"/>
      <c r="AG174" s="173">
        <v>659904</v>
      </c>
      <c r="AH174" s="173"/>
      <c r="AI174" s="173">
        <v>-659904</v>
      </c>
      <c r="AJ174" s="173"/>
      <c r="AK174" s="173"/>
      <c r="AL174" s="173"/>
      <c r="AM174" s="173"/>
      <c r="AN174" s="173"/>
      <c r="AO174" s="173"/>
      <c r="AP174" s="173"/>
      <c r="AQ174" s="173"/>
      <c r="AR174" s="19"/>
      <c r="AS174" s="173"/>
      <c r="AT174" s="19"/>
      <c r="AU174" s="173"/>
      <c r="AV174" s="19"/>
      <c r="AW174" s="173"/>
      <c r="AX174" s="19"/>
      <c r="AY174" s="45">
        <f t="shared" si="24"/>
        <v>4163904.83</v>
      </c>
      <c r="AZ174" s="19"/>
      <c r="BA174" s="173">
        <v>0</v>
      </c>
      <c r="BB174" s="19"/>
      <c r="BC174" s="21">
        <f>IF(+O174-AY174+BA174&gt;0,O174-AY174+BA174,0)</f>
        <v>0</v>
      </c>
      <c r="BD174" s="19"/>
      <c r="BE174" s="21">
        <f t="shared" si="23"/>
        <v>4163904.83</v>
      </c>
      <c r="BF174" s="19"/>
      <c r="BG174" s="21">
        <f>O174-AY174-BC174</f>
        <v>-1.2628455748781562</v>
      </c>
      <c r="BH174" s="34"/>
      <c r="BI174" s="21"/>
    </row>
    <row r="175" spans="1:61" x14ac:dyDescent="0.25">
      <c r="A175" s="112"/>
      <c r="B175" s="19" t="s">
        <v>487</v>
      </c>
      <c r="C175" s="114"/>
      <c r="K175" s="16"/>
      <c r="L175" s="19"/>
      <c r="M175" s="16">
        <v>-94899</v>
      </c>
      <c r="N175" s="19"/>
      <c r="O175" s="16">
        <f>SUM(K175:N175)</f>
        <v>-94899</v>
      </c>
      <c r="P175" s="19"/>
      <c r="Q175" s="173"/>
      <c r="R175" s="235"/>
      <c r="S175" s="173"/>
      <c r="T175" s="235"/>
      <c r="U175" s="173"/>
      <c r="V175" s="34"/>
      <c r="W175" s="173"/>
      <c r="X175" s="34"/>
      <c r="Y175" s="173">
        <v>-94899</v>
      </c>
      <c r="Z175" s="34"/>
      <c r="AA175" s="173">
        <f>-453754+12952+376418</f>
        <v>-64384</v>
      </c>
      <c r="AB175" s="34"/>
      <c r="AC175" s="173"/>
      <c r="AD175" s="34"/>
      <c r="AE175" s="173"/>
      <c r="AF175" s="173"/>
      <c r="AG175" s="173"/>
      <c r="AH175" s="173"/>
      <c r="AI175" s="173"/>
      <c r="AJ175" s="173"/>
      <c r="AK175" s="173"/>
      <c r="AL175" s="173"/>
      <c r="AM175" s="173"/>
      <c r="AN175" s="173"/>
      <c r="AO175" s="173"/>
      <c r="AP175" s="173"/>
      <c r="AQ175" s="173"/>
      <c r="AR175" s="19"/>
      <c r="AS175" s="173"/>
      <c r="AT175" s="19"/>
      <c r="AU175" s="173"/>
      <c r="AV175" s="19"/>
      <c r="AW175" s="173"/>
      <c r="AX175" s="19"/>
      <c r="AY175" s="45">
        <f t="shared" si="24"/>
        <v>-159283</v>
      </c>
      <c r="AZ175" s="19"/>
      <c r="BA175" s="173"/>
      <c r="BB175" s="19"/>
      <c r="BC175" s="21">
        <v>0</v>
      </c>
      <c r="BD175" s="19"/>
      <c r="BE175" s="21">
        <f t="shared" si="23"/>
        <v>-159283</v>
      </c>
      <c r="BF175" s="19"/>
      <c r="BG175" s="21">
        <f>O175-AY175-BC175</f>
        <v>64384</v>
      </c>
      <c r="BH175" s="34"/>
      <c r="BI175" s="21"/>
    </row>
    <row r="176" spans="1:61" x14ac:dyDescent="0.25">
      <c r="A176" s="112" t="s">
        <v>484</v>
      </c>
      <c r="B176" s="19"/>
      <c r="C176" s="114"/>
      <c r="K176" s="16"/>
      <c r="M176" s="16">
        <f>32660-100-5-14-64+3247-25+26-2666-241-168-524+242-436-706-46-2-7106</f>
        <v>24072</v>
      </c>
      <c r="O176" s="16">
        <f>SUM(K176:N176)</f>
        <v>24072</v>
      </c>
      <c r="Q176" s="173"/>
      <c r="R176" s="235"/>
      <c r="S176" s="173"/>
      <c r="T176" s="235"/>
      <c r="U176" s="173">
        <v>7392.73</v>
      </c>
      <c r="V176" s="34"/>
      <c r="W176" s="173">
        <v>4682.38</v>
      </c>
      <c r="X176" s="34"/>
      <c r="Y176" s="173">
        <v>4180.83</v>
      </c>
      <c r="Z176" s="34"/>
      <c r="AA176" s="173">
        <f>4002.47</f>
        <v>4002.47</v>
      </c>
      <c r="AB176" s="34"/>
      <c r="AC176" s="173">
        <v>3813.77</v>
      </c>
      <c r="AD176" s="34"/>
      <c r="AE176" s="173"/>
      <c r="AF176" s="173"/>
      <c r="AG176" s="173"/>
      <c r="AH176" s="173"/>
      <c r="AI176" s="173"/>
      <c r="AJ176" s="173"/>
      <c r="AK176" s="173"/>
      <c r="AL176" s="173"/>
      <c r="AM176" s="173"/>
      <c r="AN176" s="173"/>
      <c r="AO176" s="173"/>
      <c r="AP176" s="173"/>
      <c r="AQ176" s="173"/>
      <c r="AS176" s="173"/>
      <c r="AU176" s="173"/>
      <c r="AW176" s="173"/>
      <c r="AY176" s="45">
        <f t="shared" si="24"/>
        <v>24072.18</v>
      </c>
      <c r="BA176" s="173"/>
      <c r="BC176" s="21">
        <f>IF(+O176-AY176+BA176&gt;0,O176-AY176+BA176,0)</f>
        <v>0</v>
      </c>
      <c r="BD176" s="6"/>
      <c r="BE176" s="21">
        <f t="shared" si="23"/>
        <v>24072.18</v>
      </c>
      <c r="BF176" s="6"/>
      <c r="BG176" s="21">
        <f>O176-AY176-BC176</f>
        <v>-0.18000000000029104</v>
      </c>
      <c r="BH176" s="34"/>
      <c r="BI176" s="21"/>
    </row>
    <row r="177" spans="1:61" x14ac:dyDescent="0.25">
      <c r="A177" s="112" t="s">
        <v>485</v>
      </c>
      <c r="B177" s="19"/>
      <c r="C177" s="114"/>
      <c r="K177" s="16"/>
      <c r="M177" s="16">
        <f>2666-18334</f>
        <v>-15668</v>
      </c>
      <c r="O177" s="16">
        <f>SUM(K177:N177)</f>
        <v>-15668</v>
      </c>
      <c r="Q177" s="173"/>
      <c r="R177" s="235"/>
      <c r="S177" s="173"/>
      <c r="T177" s="235"/>
      <c r="U177" s="173"/>
      <c r="V177" s="34"/>
      <c r="W177" s="173"/>
      <c r="X177" s="34"/>
      <c r="Y177" s="173"/>
      <c r="Z177" s="34"/>
      <c r="AA177" s="173">
        <v>2665.56</v>
      </c>
      <c r="AB177" s="34"/>
      <c r="AC177" s="173">
        <v>-18333.93</v>
      </c>
      <c r="AD177" s="34"/>
      <c r="AE177" s="173"/>
      <c r="AF177" s="173"/>
      <c r="AG177" s="173"/>
      <c r="AH177" s="173"/>
      <c r="AI177" s="173"/>
      <c r="AJ177" s="173"/>
      <c r="AK177" s="173"/>
      <c r="AL177" s="173"/>
      <c r="AM177" s="173"/>
      <c r="AN177" s="173"/>
      <c r="AO177" s="173"/>
      <c r="AP177" s="173"/>
      <c r="AQ177" s="173"/>
      <c r="AS177" s="173"/>
      <c r="AU177" s="173"/>
      <c r="AW177" s="173"/>
      <c r="AY177" s="45">
        <f t="shared" si="24"/>
        <v>-15668.37</v>
      </c>
      <c r="BA177" s="173"/>
      <c r="BC177" s="21">
        <f>IF(+O177-AY177+BA177&gt;0,O177-AY177+BA177,0)</f>
        <v>0.37000000000080036</v>
      </c>
      <c r="BD177" s="6"/>
      <c r="BE177" s="21">
        <f t="shared" si="23"/>
        <v>-15668</v>
      </c>
      <c r="BF177" s="6"/>
      <c r="BG177" s="21">
        <f>O177-AY177-BC177</f>
        <v>0</v>
      </c>
      <c r="BH177" s="34"/>
      <c r="BI177" s="21"/>
    </row>
    <row r="178" spans="1:61" x14ac:dyDescent="0.25">
      <c r="A178" s="112"/>
      <c r="B178" s="19"/>
      <c r="C178" s="114"/>
      <c r="K178" s="16"/>
      <c r="M178" s="16"/>
      <c r="O178" s="16"/>
      <c r="Q178" s="173"/>
      <c r="R178" s="235"/>
      <c r="S178" s="173"/>
      <c r="T178" s="235"/>
      <c r="U178" s="173"/>
      <c r="V178" s="34"/>
      <c r="W178" s="173"/>
      <c r="X178" s="34"/>
      <c r="Y178" s="173"/>
      <c r="Z178" s="34"/>
      <c r="AA178" s="173"/>
      <c r="AB178" s="34"/>
      <c r="AC178" s="144"/>
      <c r="AD178" s="35"/>
      <c r="AE178" s="144"/>
      <c r="AF178" s="173"/>
      <c r="AG178" s="144"/>
      <c r="AH178" s="173"/>
      <c r="AI178" s="144"/>
      <c r="AJ178" s="173"/>
      <c r="AK178" s="144"/>
      <c r="AL178" s="144"/>
      <c r="AM178" s="144"/>
      <c r="AN178" s="173"/>
      <c r="AO178" s="144"/>
      <c r="AP178" s="173"/>
      <c r="AQ178" s="144"/>
      <c r="AS178" s="144"/>
      <c r="AU178" s="144"/>
      <c r="AW178" s="144"/>
      <c r="AY178" s="172"/>
      <c r="BA178" s="173"/>
      <c r="BC178" s="21"/>
      <c r="BD178" s="6"/>
      <c r="BE178" s="21"/>
      <c r="BF178" s="6"/>
      <c r="BG178" s="21"/>
      <c r="BH178" s="34"/>
      <c r="BI178" s="21"/>
    </row>
    <row r="179" spans="1:61" x14ac:dyDescent="0.25">
      <c r="A179" s="113"/>
      <c r="B179" s="122" t="s">
        <v>90</v>
      </c>
      <c r="C179" s="114"/>
      <c r="K179" s="107">
        <f>SUM(K145:K177)+K143-K153-K166-K147-K157</f>
        <v>107122038.99115443</v>
      </c>
      <c r="M179" s="107">
        <f>SUM(M145:M177)+M143-M153-M166-M147-M157</f>
        <v>23965826</v>
      </c>
      <c r="O179" s="107">
        <f>SUM(O145:O177)+O143-O153-O166-O147-O157</f>
        <v>125722764.99115443</v>
      </c>
      <c r="Q179" s="107">
        <f>SUM(Q145:Q177)+Q143-Q153-Q166-Q147-Q157</f>
        <v>63504599.630000003</v>
      </c>
      <c r="R179" s="231"/>
      <c r="S179" s="107">
        <f>SUM(S145:S177)+S143-S153-S166-S147-S157</f>
        <v>1033073.5699999997</v>
      </c>
      <c r="T179" s="231"/>
      <c r="U179" s="107">
        <f>SUM(U145:U177)+U143-U153-U166-U147-U157</f>
        <v>18744771.68</v>
      </c>
      <c r="V179" s="15"/>
      <c r="W179" s="107">
        <f>SUM(W145:W177)+W143-W153-W166-W147-W157</f>
        <v>434567.56000000006</v>
      </c>
      <c r="X179" s="15"/>
      <c r="Y179" s="107">
        <f>SUM(Y145:Y177)+Y143-Y153-Y166-Y147-Y157</f>
        <v>-92916.619999999297</v>
      </c>
      <c r="Z179" s="15"/>
      <c r="AA179" s="107">
        <f>SUM(AA145:AA177)+AA143-AA153-AA166-AA147-AA157</f>
        <v>8253162.9199999999</v>
      </c>
      <c r="AB179" s="107">
        <f>SUM(AB145:AB177)+AB143-AB153-AB166-AB147-AB157</f>
        <v>0</v>
      </c>
      <c r="AC179" s="107">
        <f>SUM(AC145:AC177)+AC143-AC153-AC166-AC147-AC157</f>
        <v>15379209.700000003</v>
      </c>
      <c r="AD179" s="107">
        <f>SUM(AD145:AD177)+AD143-AD153-AD166-AD147-AD157</f>
        <v>0</v>
      </c>
      <c r="AE179" s="107">
        <f>SUM(AE145:AE177)+AE143-AE153-AE166-AE147-AE157</f>
        <v>8051705.0099999988</v>
      </c>
      <c r="AF179" s="16"/>
      <c r="AG179" s="107">
        <f>SUM(AG145:AG177)+AG143-AG153-AG166-AG147-AG157</f>
        <v>9797311.7100000028</v>
      </c>
      <c r="AH179" s="16"/>
      <c r="AI179" s="107">
        <f>SUM(AI145:AI177)+AI143-AI153-AI166-AI147-AI157</f>
        <v>5819234.919999999</v>
      </c>
      <c r="AJ179" s="16"/>
      <c r="AK179" s="107">
        <f>SUM(AK145:AK177)+AK143-AK153-AK166-AK147-AK157</f>
        <v>6823222.4400000004</v>
      </c>
      <c r="AL179" s="107"/>
      <c r="AM179" s="107">
        <f>SUM(AM145:AM177)+AM143-AM153-AM166-AM147-AM157</f>
        <v>2124238.38</v>
      </c>
      <c r="AN179" s="16"/>
      <c r="AO179" s="107">
        <f>SUM(AO145:AO177)+AO143-AO153-AO166-AO147-AO157</f>
        <v>2873933</v>
      </c>
      <c r="AP179" s="16"/>
      <c r="AQ179" s="107">
        <f>SUM(AQ145:AQ177)+AQ143-AQ153-AQ166-AQ147-AQ157</f>
        <v>2165791.12</v>
      </c>
      <c r="AS179" s="107">
        <f>SUM(AS145:AS177)+AS143-AS153-AS166-AS147-AS157</f>
        <v>0</v>
      </c>
      <c r="AU179" s="107">
        <f>SUM(AU145:AU177)+AU143-AU153-AU166-AU147-AU157</f>
        <v>0</v>
      </c>
      <c r="AW179" s="107">
        <f>SUM(AW145:AW177)+AW143-AW153-AW166-AW147-AW157</f>
        <v>0</v>
      </c>
      <c r="AY179" s="107">
        <f>SUM(AY145:AY177)+AY143-AY153-AY166-AY147-AY157</f>
        <v>144911905.01999998</v>
      </c>
      <c r="BA179" s="15">
        <f>SUM(BA145:BA174)+BA143-BA153-BA166-BA147-BA157</f>
        <v>3053555.33</v>
      </c>
      <c r="BC179" s="107">
        <f>SUM(BC145:BC177)+BC143-BC153-BC166-BC147-BC157</f>
        <v>583294.28399999533</v>
      </c>
      <c r="BD179" s="6"/>
      <c r="BE179" s="107">
        <f>SUM(BE145:BE177)+BE143-BE153-BE166-BE147-BE157</f>
        <v>145495199.30399996</v>
      </c>
      <c r="BF179" s="6"/>
      <c r="BG179" s="107">
        <f>SUM(BG145:BG177)+BG143-BG153-BG166-BG147-BG157</f>
        <v>-19772435.31284558</v>
      </c>
      <c r="BH179" s="12"/>
      <c r="BI179" s="15"/>
    </row>
    <row r="180" spans="1:61" x14ac:dyDescent="0.25">
      <c r="A180" s="121"/>
      <c r="B180" s="115"/>
      <c r="C180" s="114"/>
      <c r="K180" s="15"/>
      <c r="M180" s="15"/>
      <c r="O180" s="15"/>
      <c r="Q180" s="141"/>
      <c r="R180" s="231"/>
      <c r="S180" s="141"/>
      <c r="T180" s="231"/>
      <c r="U180" s="141"/>
      <c r="V180" s="15"/>
      <c r="W180" s="141"/>
      <c r="X180" s="15"/>
      <c r="Y180" s="141"/>
      <c r="Z180" s="15"/>
      <c r="AA180" s="141"/>
      <c r="AB180" s="15"/>
      <c r="AC180" s="141"/>
      <c r="AD180" s="15"/>
      <c r="AE180" s="141"/>
      <c r="AF180" s="141"/>
      <c r="AG180" s="141"/>
      <c r="AH180" s="141"/>
      <c r="AI180" s="141"/>
      <c r="AJ180" s="141"/>
      <c r="AK180" s="141"/>
      <c r="AL180" s="141"/>
      <c r="AM180" s="141"/>
      <c r="AN180" s="141"/>
      <c r="AO180" s="141"/>
      <c r="AP180" s="141"/>
      <c r="AQ180" s="141"/>
      <c r="AS180" s="141"/>
      <c r="AU180" s="141"/>
      <c r="AW180" s="141"/>
      <c r="AY180" s="29"/>
      <c r="BA180" s="141"/>
      <c r="BC180" s="15"/>
      <c r="BD180" s="6"/>
      <c r="BE180" s="15"/>
      <c r="BF180" s="6"/>
      <c r="BG180" s="15"/>
      <c r="BH180" s="15"/>
      <c r="BI180" s="15"/>
    </row>
    <row r="181" spans="1:61" x14ac:dyDescent="0.25">
      <c r="A181" s="121"/>
      <c r="B181" s="115"/>
      <c r="C181" s="114"/>
      <c r="K181" s="15"/>
      <c r="M181" s="15"/>
      <c r="O181" s="15"/>
      <c r="Q181" s="141"/>
      <c r="R181" s="231"/>
      <c r="S181" s="141"/>
      <c r="T181" s="231"/>
      <c r="U181" s="141"/>
      <c r="V181" s="15"/>
      <c r="W181" s="141"/>
      <c r="X181" s="15"/>
      <c r="Y181" s="141"/>
      <c r="Z181" s="15"/>
      <c r="AA181" s="141"/>
      <c r="AB181" s="15"/>
      <c r="AC181" s="141"/>
      <c r="AD181" s="15"/>
      <c r="AE181" s="141"/>
      <c r="AF181" s="141"/>
      <c r="AG181" s="141"/>
      <c r="AH181" s="141"/>
      <c r="AI181" s="141"/>
      <c r="AJ181" s="141"/>
      <c r="AK181" s="141"/>
      <c r="AL181" s="141"/>
      <c r="AM181" s="141"/>
      <c r="AN181" s="141"/>
      <c r="AO181" s="141"/>
      <c r="AP181" s="141"/>
      <c r="AQ181" s="141"/>
      <c r="AS181" s="141"/>
      <c r="AU181" s="141"/>
      <c r="AW181" s="141"/>
      <c r="AY181" s="29"/>
      <c r="BA181" s="141"/>
      <c r="BC181" s="15"/>
      <c r="BD181" s="6"/>
      <c r="BE181" s="15"/>
      <c r="BF181" s="6"/>
      <c r="BG181" s="15"/>
      <c r="BH181" s="15"/>
      <c r="BI181" s="15"/>
    </row>
    <row r="182" spans="1:61" x14ac:dyDescent="0.25">
      <c r="A182" s="113"/>
      <c r="B182" s="115"/>
      <c r="C182" s="114"/>
      <c r="K182" s="15"/>
      <c r="M182" s="15"/>
      <c r="O182" s="15"/>
      <c r="Q182" s="141"/>
      <c r="R182" s="231"/>
      <c r="S182" s="141"/>
      <c r="T182" s="231"/>
      <c r="U182" s="141"/>
      <c r="V182" s="15"/>
      <c r="W182" s="141"/>
      <c r="X182" s="15"/>
      <c r="Y182" s="141"/>
      <c r="Z182" s="15"/>
      <c r="AA182" s="141"/>
      <c r="AB182" s="15"/>
      <c r="AC182" s="141"/>
      <c r="AD182" s="15"/>
      <c r="AE182" s="141"/>
      <c r="AF182" s="141"/>
      <c r="AG182" s="141"/>
      <c r="AH182" s="141"/>
      <c r="AI182" s="141"/>
      <c r="AJ182" s="141"/>
      <c r="AK182" s="141"/>
      <c r="AL182" s="141"/>
      <c r="AM182" s="141"/>
      <c r="AN182" s="141"/>
      <c r="AO182" s="141"/>
      <c r="AP182" s="141"/>
      <c r="AQ182" s="141"/>
      <c r="AS182" s="141"/>
      <c r="AU182" s="141"/>
      <c r="AW182" s="141"/>
      <c r="AY182" s="29"/>
      <c r="BA182" s="141"/>
      <c r="BC182" s="15"/>
      <c r="BD182" s="6"/>
      <c r="BE182" s="15"/>
      <c r="BF182" s="6"/>
      <c r="BG182" s="15"/>
      <c r="BH182" s="15"/>
      <c r="BI182" s="15"/>
    </row>
    <row r="183" spans="1:61" x14ac:dyDescent="0.25">
      <c r="A183" s="112" t="s">
        <v>91</v>
      </c>
      <c r="B183" s="115"/>
      <c r="C183" s="114" t="s">
        <v>0</v>
      </c>
      <c r="E183" s="7" t="s">
        <v>92</v>
      </c>
      <c r="G183" s="7" t="s">
        <v>93</v>
      </c>
      <c r="K183" s="15">
        <v>1500000</v>
      </c>
      <c r="M183" s="15">
        <v>-500000</v>
      </c>
      <c r="O183" s="15">
        <f>SUM(K183:M183)</f>
        <v>1000000</v>
      </c>
      <c r="Q183" s="141"/>
      <c r="R183" s="231"/>
      <c r="S183" s="141">
        <v>0</v>
      </c>
      <c r="T183" s="231"/>
      <c r="U183" s="141">
        <v>806250</v>
      </c>
      <c r="V183" s="15"/>
      <c r="W183" s="141"/>
      <c r="X183" s="15"/>
      <c r="Y183" s="141"/>
      <c r="Z183" s="15"/>
      <c r="AA183" s="141"/>
      <c r="AB183" s="15"/>
      <c r="AC183" s="141">
        <f>80592.07+2741.26</f>
        <v>83333.33</v>
      </c>
      <c r="AD183" s="15"/>
      <c r="AE183" s="141"/>
      <c r="AF183" s="141"/>
      <c r="AG183" s="141"/>
      <c r="AH183" s="141"/>
      <c r="AI183" s="141"/>
      <c r="AJ183" s="141"/>
      <c r="AK183" s="141"/>
      <c r="AL183" s="141"/>
      <c r="AM183" s="141"/>
      <c r="AN183" s="141"/>
      <c r="AO183" s="141"/>
      <c r="AP183" s="141"/>
      <c r="AQ183" s="141">
        <v>-41667</v>
      </c>
      <c r="AS183" s="141"/>
      <c r="AU183" s="141"/>
      <c r="AW183" s="141"/>
      <c r="AY183" s="45">
        <f t="shared" ref="AY183:AY188" si="25">SUM(P183:AX183)</f>
        <v>847916.33</v>
      </c>
      <c r="BA183" s="141">
        <v>-193750</v>
      </c>
      <c r="BC183" s="45">
        <f>IF(+O183-AY183+BA183&gt;0,O183-AY183+BA183,0)</f>
        <v>0</v>
      </c>
      <c r="BD183" s="6"/>
      <c r="BE183" s="45">
        <f t="shared" si="23"/>
        <v>847916.33</v>
      </c>
      <c r="BF183" s="6"/>
      <c r="BG183" s="8">
        <f t="shared" ref="BG183:BG188" si="26">O183-AY183-BC183</f>
        <v>152083.67000000004</v>
      </c>
      <c r="BH183" s="12"/>
      <c r="BI183" s="15"/>
    </row>
    <row r="184" spans="1:61" x14ac:dyDescent="0.25">
      <c r="A184" s="112"/>
      <c r="B184" s="19" t="s">
        <v>332</v>
      </c>
      <c r="C184" s="114"/>
      <c r="K184" s="15">
        <v>0</v>
      </c>
      <c r="M184" s="15">
        <v>0</v>
      </c>
      <c r="O184" s="15">
        <f>SUM(K184:N184)</f>
        <v>0</v>
      </c>
      <c r="Q184" s="173"/>
      <c r="R184" s="235"/>
      <c r="S184" s="173">
        <f>167937.5/3</f>
        <v>55979.166666666664</v>
      </c>
      <c r="T184" s="235"/>
      <c r="U184" s="173"/>
      <c r="V184" s="21"/>
      <c r="W184" s="173"/>
      <c r="X184" s="21"/>
      <c r="Y184" s="173"/>
      <c r="Z184" s="21"/>
      <c r="AA184" s="173"/>
      <c r="AB184" s="21"/>
      <c r="AC184" s="173"/>
      <c r="AD184" s="21"/>
      <c r="AE184" s="173"/>
      <c r="AF184" s="173"/>
      <c r="AG184" s="173"/>
      <c r="AH184" s="173"/>
      <c r="AI184" s="173"/>
      <c r="AJ184" s="173"/>
      <c r="AK184" s="173"/>
      <c r="AL184" s="173"/>
      <c r="AM184" s="173"/>
      <c r="AN184" s="173"/>
      <c r="AO184" s="173"/>
      <c r="AP184" s="173"/>
      <c r="AQ184" s="173"/>
      <c r="AS184" s="173"/>
      <c r="AU184" s="173"/>
      <c r="AW184" s="173"/>
      <c r="AY184" s="45">
        <f t="shared" si="25"/>
        <v>55979.166666666664</v>
      </c>
      <c r="BA184" s="173">
        <v>0</v>
      </c>
      <c r="BC184" s="45">
        <f>IF(+O184-AY184+BA184&gt;0,O184-AY184+BA184,0)</f>
        <v>0</v>
      </c>
      <c r="BD184" s="6"/>
      <c r="BE184" s="45">
        <f t="shared" si="23"/>
        <v>55979.166666666664</v>
      </c>
      <c r="BF184" s="6"/>
      <c r="BG184" s="8">
        <f t="shared" si="26"/>
        <v>-55979.166666666664</v>
      </c>
      <c r="BH184" s="12"/>
      <c r="BI184" s="15"/>
    </row>
    <row r="185" spans="1:61" x14ac:dyDescent="0.25">
      <c r="A185" s="112"/>
      <c r="B185" s="19" t="s">
        <v>333</v>
      </c>
      <c r="C185" s="114"/>
      <c r="K185" s="15">
        <v>0</v>
      </c>
      <c r="M185" s="15">
        <v>0</v>
      </c>
      <c r="O185" s="15">
        <f>SUM(K185:N185)</f>
        <v>0</v>
      </c>
      <c r="Q185" s="173"/>
      <c r="R185" s="235"/>
      <c r="S185" s="173">
        <f>7600/3</f>
        <v>2533.3333333333335</v>
      </c>
      <c r="T185" s="235"/>
      <c r="U185" s="173"/>
      <c r="V185" s="21"/>
      <c r="W185" s="173"/>
      <c r="X185" s="21"/>
      <c r="Y185" s="173"/>
      <c r="Z185" s="21"/>
      <c r="AA185" s="173"/>
      <c r="AB185" s="21"/>
      <c r="AC185" s="173"/>
      <c r="AD185" s="21"/>
      <c r="AE185" s="173"/>
      <c r="AF185" s="173"/>
      <c r="AG185" s="173"/>
      <c r="AH185" s="173"/>
      <c r="AI185" s="173"/>
      <c r="AJ185" s="173"/>
      <c r="AK185" s="173"/>
      <c r="AL185" s="173"/>
      <c r="AM185" s="173"/>
      <c r="AN185" s="173"/>
      <c r="AO185" s="173">
        <v>83333.33</v>
      </c>
      <c r="AP185" s="173"/>
      <c r="AQ185" s="173"/>
      <c r="AS185" s="173"/>
      <c r="AU185" s="173"/>
      <c r="AW185" s="173"/>
      <c r="AY185" s="45">
        <f t="shared" si="25"/>
        <v>85866.66333333333</v>
      </c>
      <c r="BA185" s="173">
        <v>352817</v>
      </c>
      <c r="BC185" s="45">
        <v>0</v>
      </c>
      <c r="BD185" s="6"/>
      <c r="BE185" s="45">
        <f t="shared" si="23"/>
        <v>85866.66333333333</v>
      </c>
      <c r="BF185" s="6"/>
      <c r="BG185" s="8">
        <f t="shared" si="26"/>
        <v>-85866.66333333333</v>
      </c>
      <c r="BH185" s="12"/>
      <c r="BI185" s="15"/>
    </row>
    <row r="186" spans="1:61" x14ac:dyDescent="0.25">
      <c r="A186" s="112"/>
      <c r="B186" s="19" t="s">
        <v>334</v>
      </c>
      <c r="C186" s="114"/>
      <c r="K186" s="15">
        <v>0</v>
      </c>
      <c r="M186" s="15">
        <v>0</v>
      </c>
      <c r="O186" s="15">
        <f>SUM(K186:N186)</f>
        <v>0</v>
      </c>
      <c r="Q186" s="173"/>
      <c r="R186" s="235"/>
      <c r="S186" s="173">
        <f>10000/3</f>
        <v>3333.3333333333335</v>
      </c>
      <c r="T186" s="235"/>
      <c r="U186" s="173"/>
      <c r="V186" s="21"/>
      <c r="W186" s="173"/>
      <c r="X186" s="21"/>
      <c r="Y186" s="173">
        <v>0</v>
      </c>
      <c r="Z186" s="21"/>
      <c r="AA186" s="173"/>
      <c r="AB186" s="21"/>
      <c r="AC186" s="173"/>
      <c r="AD186" s="21"/>
      <c r="AE186" s="173"/>
      <c r="AF186" s="173"/>
      <c r="AG186" s="173"/>
      <c r="AH186" s="173"/>
      <c r="AI186" s="173"/>
      <c r="AJ186" s="173"/>
      <c r="AK186" s="173"/>
      <c r="AL186" s="173"/>
      <c r="AM186" s="173"/>
      <c r="AN186" s="173"/>
      <c r="AO186" s="173"/>
      <c r="AP186" s="173"/>
      <c r="AQ186" s="173"/>
      <c r="AS186" s="173"/>
      <c r="AU186" s="173"/>
      <c r="AW186" s="173"/>
      <c r="AY186" s="45">
        <f t="shared" si="25"/>
        <v>3333.3333333333335</v>
      </c>
      <c r="BA186" s="173">
        <v>0</v>
      </c>
      <c r="BC186" s="45">
        <f>IF(+O186-AY186+BA186&gt;0,O186-AY186+BA186,0)</f>
        <v>0</v>
      </c>
      <c r="BD186" s="6"/>
      <c r="BE186" s="45">
        <f t="shared" si="23"/>
        <v>3333.3333333333335</v>
      </c>
      <c r="BF186" s="6"/>
      <c r="BG186" s="8">
        <f t="shared" si="26"/>
        <v>-3333.3333333333335</v>
      </c>
      <c r="BH186" s="12"/>
      <c r="BI186" s="15"/>
    </row>
    <row r="187" spans="1:61" x14ac:dyDescent="0.25">
      <c r="A187" s="112"/>
      <c r="B187" s="19" t="s">
        <v>519</v>
      </c>
      <c r="C187" s="114"/>
      <c r="K187" s="15"/>
      <c r="M187" s="15">
        <v>0</v>
      </c>
      <c r="O187" s="15">
        <v>0</v>
      </c>
      <c r="Q187" s="173"/>
      <c r="R187" s="235"/>
      <c r="S187" s="173"/>
      <c r="T187" s="235"/>
      <c r="U187" s="173"/>
      <c r="V187" s="21"/>
      <c r="W187" s="173"/>
      <c r="X187" s="21"/>
      <c r="Y187" s="173"/>
      <c r="Z187" s="21"/>
      <c r="AA187" s="173"/>
      <c r="AB187" s="21"/>
      <c r="AC187" s="173"/>
      <c r="AD187" s="21"/>
      <c r="AE187" s="173"/>
      <c r="AF187" s="173"/>
      <c r="AG187" s="173"/>
      <c r="AH187" s="173"/>
      <c r="AI187" s="173"/>
      <c r="AJ187" s="173"/>
      <c r="AK187" s="173"/>
      <c r="AL187" s="173"/>
      <c r="AM187" s="173"/>
      <c r="AN187" s="173"/>
      <c r="AO187" s="173"/>
      <c r="AP187" s="173"/>
      <c r="AQ187" s="173"/>
      <c r="AS187" s="173"/>
      <c r="AU187" s="173"/>
      <c r="AW187" s="173"/>
      <c r="AY187" s="45">
        <f t="shared" si="25"/>
        <v>0</v>
      </c>
      <c r="BA187" s="173"/>
      <c r="BC187" s="45">
        <f>IF(+O187-AY187+BA187&gt;0,O187-AY187+BA187,0)</f>
        <v>0</v>
      </c>
      <c r="BD187" s="6"/>
      <c r="BE187" s="45">
        <f t="shared" si="23"/>
        <v>0</v>
      </c>
      <c r="BF187" s="6"/>
      <c r="BG187" s="8">
        <f t="shared" si="26"/>
        <v>0</v>
      </c>
      <c r="BH187" s="12"/>
      <c r="BI187" s="15"/>
    </row>
    <row r="188" spans="1:61" x14ac:dyDescent="0.25">
      <c r="A188" s="112"/>
      <c r="B188" s="19" t="s">
        <v>370</v>
      </c>
      <c r="C188" s="114"/>
      <c r="K188" s="15">
        <v>0</v>
      </c>
      <c r="M188" s="15">
        <v>0</v>
      </c>
      <c r="O188" s="15">
        <f>SUM(K188:N188)</f>
        <v>0</v>
      </c>
      <c r="Q188" s="144"/>
      <c r="R188" s="235"/>
      <c r="S188" s="144">
        <f>(12620.33+7000)/3</f>
        <v>6540.1100000000006</v>
      </c>
      <c r="T188" s="235"/>
      <c r="U188" s="144">
        <v>4787.54</v>
      </c>
      <c r="V188" s="21"/>
      <c r="W188" s="144"/>
      <c r="X188" s="21"/>
      <c r="Y188" s="144"/>
      <c r="Z188" s="21"/>
      <c r="AA188" s="144"/>
      <c r="AB188" s="21"/>
      <c r="AC188" s="144"/>
      <c r="AD188" s="21"/>
      <c r="AE188" s="144"/>
      <c r="AF188" s="173"/>
      <c r="AG188" s="144"/>
      <c r="AH188" s="173"/>
      <c r="AI188" s="144"/>
      <c r="AJ188" s="173"/>
      <c r="AK188" s="144"/>
      <c r="AL188" s="144"/>
      <c r="AM188" s="144"/>
      <c r="AN188" s="173"/>
      <c r="AO188" s="144"/>
      <c r="AP188" s="173"/>
      <c r="AQ188" s="144">
        <f>82333.33+25346.23</f>
        <v>107679.56</v>
      </c>
      <c r="AS188" s="144"/>
      <c r="AU188" s="144"/>
      <c r="AW188" s="144"/>
      <c r="AY188" s="45">
        <f t="shared" si="25"/>
        <v>119007.20999999999</v>
      </c>
      <c r="BA188" s="144">
        <f>25000+4207+4787</f>
        <v>33994</v>
      </c>
      <c r="BC188" s="45">
        <v>0</v>
      </c>
      <c r="BD188" s="6"/>
      <c r="BE188" s="45">
        <f t="shared" si="23"/>
        <v>119007.20999999999</v>
      </c>
      <c r="BF188" s="6"/>
      <c r="BG188" s="8">
        <f t="shared" si="26"/>
        <v>-119007.20999999999</v>
      </c>
      <c r="BH188" s="12"/>
      <c r="BI188" s="8" t="s">
        <v>336</v>
      </c>
    </row>
    <row r="189" spans="1:61" x14ac:dyDescent="0.25">
      <c r="A189" s="112"/>
      <c r="B189" s="115"/>
      <c r="C189" s="114"/>
      <c r="K189" s="181">
        <f>SUBTOTAL(9,K183:K188)</f>
        <v>1500000</v>
      </c>
      <c r="M189" s="181">
        <f>SUBTOTAL(9,M183:M188)</f>
        <v>-500000</v>
      </c>
      <c r="O189" s="181">
        <f>SUBTOTAL(9,O183:O188)</f>
        <v>1000000</v>
      </c>
      <c r="Q189" s="173">
        <f>SUBTOTAL(9,Q183:Q188)</f>
        <v>0</v>
      </c>
      <c r="R189" s="235"/>
      <c r="S189" s="173">
        <f>SUBTOTAL(9,S183:S188)</f>
        <v>68385.943333333329</v>
      </c>
      <c r="T189" s="235"/>
      <c r="U189" s="173">
        <f>SUBTOTAL(9,U183:U188)</f>
        <v>811037.54</v>
      </c>
      <c r="V189" s="21"/>
      <c r="W189" s="173">
        <f>SUBTOTAL(9,W183:W188)</f>
        <v>0</v>
      </c>
      <c r="X189" s="21"/>
      <c r="Y189" s="173">
        <f>SUBTOTAL(9,Y183:Y188)</f>
        <v>0</v>
      </c>
      <c r="Z189" s="21"/>
      <c r="AA189" s="173">
        <f>SUBTOTAL(9,AA183:AA188)</f>
        <v>0</v>
      </c>
      <c r="AB189" s="21"/>
      <c r="AC189" s="173">
        <f>SUBTOTAL(9,AC183:AC188)</f>
        <v>83333.33</v>
      </c>
      <c r="AD189" s="21"/>
      <c r="AE189" s="173">
        <f>SUBTOTAL(9,AE183:AE188)</f>
        <v>0</v>
      </c>
      <c r="AF189" s="173"/>
      <c r="AG189" s="173">
        <f>SUBTOTAL(9,AG183:AG188)</f>
        <v>0</v>
      </c>
      <c r="AH189" s="173"/>
      <c r="AI189" s="173">
        <f>SUBTOTAL(9,AI183:AI188)</f>
        <v>0</v>
      </c>
      <c r="AJ189" s="173"/>
      <c r="AK189" s="173">
        <f>SUBTOTAL(9,AK183:AK188)</f>
        <v>0</v>
      </c>
      <c r="AL189" s="173"/>
      <c r="AM189" s="173">
        <f>SUBTOTAL(9,AM183:AM188)</f>
        <v>0</v>
      </c>
      <c r="AN189" s="173"/>
      <c r="AO189" s="173">
        <f>SUBTOTAL(9,AO183:AO188)</f>
        <v>83333.33</v>
      </c>
      <c r="AP189" s="173"/>
      <c r="AQ189" s="173">
        <f>SUBTOTAL(9,AQ183:AQ188)</f>
        <v>66012.56</v>
      </c>
      <c r="AS189" s="173">
        <f>SUBTOTAL(9,AS183:AS188)</f>
        <v>0</v>
      </c>
      <c r="AU189" s="173">
        <f>SUBTOTAL(9,AU183:AU188)</f>
        <v>0</v>
      </c>
      <c r="AW189" s="173">
        <f>SUBTOTAL(9,AW183:AW188)</f>
        <v>0</v>
      </c>
      <c r="AY189" s="181">
        <f>SUBTOTAL(9,AY183:AY188)</f>
        <v>1112102.7033333334</v>
      </c>
      <c r="BA189" s="173">
        <f>SUBTOTAL(9,BA183:BA188)</f>
        <v>193061</v>
      </c>
      <c r="BC189" s="181">
        <f>SUBTOTAL(9,BC183:BC188)</f>
        <v>0</v>
      </c>
      <c r="BD189" s="6"/>
      <c r="BE189" s="181">
        <f t="shared" si="23"/>
        <v>1112102.7033333334</v>
      </c>
      <c r="BF189" s="6"/>
      <c r="BG189" s="181">
        <f>SUBTOTAL(9,BG183:BG188)</f>
        <v>-112102.70333333327</v>
      </c>
      <c r="BH189" s="12"/>
      <c r="BI189" s="15"/>
    </row>
    <row r="190" spans="1:61" x14ac:dyDescent="0.25">
      <c r="A190" s="113"/>
      <c r="B190" s="31"/>
      <c r="C190" s="114"/>
      <c r="AY190" s="45"/>
      <c r="BD190" s="6"/>
      <c r="BF190" s="6"/>
      <c r="BH190" s="8"/>
      <c r="BI190" s="8"/>
    </row>
    <row r="191" spans="1:61" x14ac:dyDescent="0.25">
      <c r="A191" s="121" t="s">
        <v>328</v>
      </c>
      <c r="B191" s="31"/>
      <c r="C191" s="114" t="s">
        <v>0</v>
      </c>
      <c r="G191" s="7" t="s">
        <v>330</v>
      </c>
      <c r="K191" s="8">
        <v>0</v>
      </c>
      <c r="M191" s="15">
        <f>45910.15+17625</f>
        <v>63535.15</v>
      </c>
      <c r="O191" s="15">
        <f>SUM(K191:N191)</f>
        <v>63535.15</v>
      </c>
      <c r="Q191" s="141">
        <f>45910.15+17625</f>
        <v>63535.15</v>
      </c>
      <c r="R191" s="231"/>
      <c r="S191" s="141"/>
      <c r="T191" s="231"/>
      <c r="U191" s="141"/>
      <c r="V191" s="15"/>
      <c r="W191" s="141"/>
      <c r="X191" s="15"/>
      <c r="Y191" s="141"/>
      <c r="Z191" s="15"/>
      <c r="AA191" s="141">
        <v>-826</v>
      </c>
      <c r="AB191" s="15"/>
      <c r="AC191" s="141"/>
      <c r="AD191" s="15"/>
      <c r="AE191" s="141"/>
      <c r="AF191" s="141"/>
      <c r="AG191" s="141"/>
      <c r="AH191" s="141"/>
      <c r="AI191" s="141"/>
      <c r="AJ191" s="141"/>
      <c r="AK191" s="141"/>
      <c r="AL191" s="141"/>
      <c r="AM191" s="141"/>
      <c r="AN191" s="141"/>
      <c r="AO191" s="141"/>
      <c r="AP191" s="141"/>
      <c r="AQ191" s="141"/>
      <c r="AS191" s="141"/>
      <c r="AU191" s="141"/>
      <c r="AW191" s="141"/>
      <c r="AY191" s="45">
        <f>SUM(P191:AX191)</f>
        <v>62709.15</v>
      </c>
      <c r="BA191" s="141">
        <v>-826</v>
      </c>
      <c r="BC191" s="15">
        <f>IF(+O191-AY191+BA191&gt;0,O191-AY191+BA191,0)</f>
        <v>0</v>
      </c>
      <c r="BD191" s="6"/>
      <c r="BE191" s="15">
        <f t="shared" ref="BE191:BE219" si="27">+BC191+AY191</f>
        <v>62709.15</v>
      </c>
      <c r="BF191" s="6"/>
      <c r="BG191" s="8">
        <f>O191-AY191-BC191</f>
        <v>826</v>
      </c>
      <c r="BH191" s="12"/>
      <c r="BI191" s="8"/>
    </row>
    <row r="192" spans="1:61" x14ac:dyDescent="0.25">
      <c r="A192" s="113"/>
      <c r="B192" s="31"/>
      <c r="C192" s="114"/>
      <c r="AY192" s="45"/>
      <c r="BD192" s="6"/>
      <c r="BF192" s="6"/>
      <c r="BH192" s="8"/>
      <c r="BI192" s="8"/>
    </row>
    <row r="193" spans="1:61" x14ac:dyDescent="0.25">
      <c r="A193" s="112" t="s">
        <v>94</v>
      </c>
      <c r="B193" s="19"/>
      <c r="C193" s="114" t="s">
        <v>0</v>
      </c>
      <c r="E193" s="7" t="s">
        <v>8</v>
      </c>
      <c r="G193" s="7" t="s">
        <v>72</v>
      </c>
      <c r="K193" s="6"/>
      <c r="M193" s="6"/>
      <c r="O193" s="6"/>
      <c r="AY193" s="45"/>
      <c r="BD193" s="6"/>
      <c r="BE193" s="8">
        <f t="shared" si="27"/>
        <v>0</v>
      </c>
      <c r="BF193" s="6"/>
      <c r="BH193" s="8"/>
      <c r="BI193" s="8"/>
    </row>
    <row r="194" spans="1:61" x14ac:dyDescent="0.25">
      <c r="A194" s="112"/>
      <c r="B194" s="19" t="s">
        <v>95</v>
      </c>
      <c r="C194" s="114"/>
      <c r="Q194" s="143">
        <v>6743</v>
      </c>
      <c r="S194" s="143">
        <v>602</v>
      </c>
      <c r="U194" s="143">
        <f>7.03+104.09+453.75</f>
        <v>564.87</v>
      </c>
      <c r="V194" s="12"/>
      <c r="W194" s="143">
        <f>1465.1</f>
        <v>1465.1</v>
      </c>
      <c r="X194" s="12"/>
      <c r="Y194" s="143">
        <v>6454.99</v>
      </c>
      <c r="Z194" s="12"/>
      <c r="AA194" s="143">
        <f>1713.19+1265.04+57.1+116.33+116.32+667.98+1387.03</f>
        <v>5322.99</v>
      </c>
      <c r="AB194" s="12"/>
      <c r="AC194" s="143">
        <f>21327.67+2610</f>
        <v>23937.67</v>
      </c>
      <c r="AD194" s="12"/>
      <c r="AE194" s="143">
        <f>7.38+22.56+882.16+1129.83+768.19+27.46+42.76+2100.45</f>
        <v>4980.79</v>
      </c>
      <c r="AG194" s="143">
        <v>641.49</v>
      </c>
      <c r="AI194" s="143">
        <v>832.45</v>
      </c>
      <c r="AK194" s="143">
        <v>53.73</v>
      </c>
      <c r="AM194" s="143">
        <f>151.25+300.55+256.42</f>
        <v>708.22</v>
      </c>
      <c r="AY194" s="45">
        <f t="shared" ref="AY194:AY204" si="28">SUM(P194:AX194)</f>
        <v>52307.299999999996</v>
      </c>
      <c r="BD194" s="6"/>
      <c r="BE194" s="8">
        <f t="shared" si="27"/>
        <v>52307.299999999996</v>
      </c>
      <c r="BF194" s="6"/>
      <c r="BH194" s="8"/>
      <c r="BI194" s="8"/>
    </row>
    <row r="195" spans="1:61" x14ac:dyDescent="0.25">
      <c r="A195" s="112"/>
      <c r="B195" s="19" t="s">
        <v>96</v>
      </c>
      <c r="C195" s="114"/>
      <c r="Q195" s="143">
        <v>5024</v>
      </c>
      <c r="V195" s="12"/>
      <c r="X195" s="12"/>
      <c r="Z195" s="12"/>
      <c r="AB195" s="12"/>
      <c r="AD195" s="12"/>
      <c r="AY195" s="45">
        <f t="shared" si="28"/>
        <v>5024</v>
      </c>
      <c r="BD195" s="6"/>
      <c r="BE195" s="8">
        <f t="shared" si="27"/>
        <v>5024</v>
      </c>
      <c r="BF195" s="6"/>
      <c r="BH195" s="12"/>
      <c r="BI195" s="8"/>
    </row>
    <row r="196" spans="1:61" x14ac:dyDescent="0.25">
      <c r="A196" s="112"/>
      <c r="B196" s="19" t="s">
        <v>201</v>
      </c>
      <c r="C196" s="114"/>
      <c r="Q196" s="143">
        <f>1250+416.67+3333.33+3333.33</f>
        <v>8333.33</v>
      </c>
      <c r="U196" s="143">
        <v>3333.33</v>
      </c>
      <c r="V196" s="12"/>
      <c r="W196" s="143">
        <v>3333.33</v>
      </c>
      <c r="X196" s="12"/>
      <c r="Z196" s="12"/>
      <c r="AB196" s="12"/>
      <c r="AC196" s="143">
        <f>3710.96+3343.35+3481.92</f>
        <v>10536.23</v>
      </c>
      <c r="AD196" s="12"/>
      <c r="AE196" s="143">
        <v>3359.47</v>
      </c>
      <c r="AI196" s="143">
        <v>3385.34</v>
      </c>
      <c r="AK196" s="143">
        <f>3358.97+3370.61</f>
        <v>6729.58</v>
      </c>
      <c r="AO196" s="143">
        <v>3362.58</v>
      </c>
      <c r="AY196" s="45">
        <f t="shared" si="28"/>
        <v>42373.19</v>
      </c>
      <c r="BD196" s="6"/>
      <c r="BE196" s="8">
        <f t="shared" si="27"/>
        <v>42373.19</v>
      </c>
      <c r="BF196" s="6"/>
      <c r="BH196" s="12"/>
      <c r="BI196" s="8"/>
    </row>
    <row r="197" spans="1:61" x14ac:dyDescent="0.25">
      <c r="A197" s="112"/>
      <c r="B197" s="19" t="s">
        <v>505</v>
      </c>
      <c r="C197" s="114"/>
      <c r="Q197" s="143">
        <v>0</v>
      </c>
      <c r="V197" s="12"/>
      <c r="X197" s="12"/>
      <c r="Z197" s="12"/>
      <c r="AB197" s="12"/>
      <c r="AC197" s="143">
        <f>26570.56+3538.03+53011.09+25405.73+682.55</f>
        <v>109207.95999999999</v>
      </c>
      <c r="AD197" s="12"/>
      <c r="AE197" s="143">
        <v>30022.42</v>
      </c>
      <c r="AG197" s="143">
        <f>35137.48+30869</f>
        <v>66006.48000000001</v>
      </c>
      <c r="AK197" s="143">
        <v>19997.91</v>
      </c>
      <c r="AY197" s="45">
        <f t="shared" si="28"/>
        <v>225234.77000000002</v>
      </c>
      <c r="BD197" s="6"/>
      <c r="BE197" s="8">
        <f t="shared" si="27"/>
        <v>225234.77000000002</v>
      </c>
      <c r="BF197" s="6"/>
      <c r="BH197" s="12"/>
      <c r="BI197" s="8"/>
    </row>
    <row r="198" spans="1:61" x14ac:dyDescent="0.25">
      <c r="A198" s="112"/>
      <c r="B198" s="19" t="s">
        <v>98</v>
      </c>
      <c r="C198" s="114"/>
      <c r="K198" s="6"/>
      <c r="M198" s="6"/>
      <c r="O198" s="6"/>
      <c r="Q198" s="143">
        <f>93504.37+28622.5</f>
        <v>122126.87</v>
      </c>
      <c r="U198" s="143">
        <f>25448.82</f>
        <v>25448.82</v>
      </c>
      <c r="V198" s="12"/>
      <c r="X198" s="12"/>
      <c r="Z198" s="12"/>
      <c r="AB198" s="12"/>
      <c r="AD198" s="12"/>
      <c r="AY198" s="45">
        <f t="shared" si="28"/>
        <v>147575.69</v>
      </c>
      <c r="BD198" s="6"/>
      <c r="BE198" s="8">
        <f t="shared" si="27"/>
        <v>147575.69</v>
      </c>
      <c r="BF198" s="6"/>
      <c r="BH198" s="12"/>
      <c r="BI198" s="8" t="s">
        <v>126</v>
      </c>
    </row>
    <row r="199" spans="1:61" x14ac:dyDescent="0.25">
      <c r="A199" s="112"/>
      <c r="B199" s="19" t="s">
        <v>97</v>
      </c>
      <c r="C199" s="114"/>
      <c r="K199" s="6"/>
      <c r="M199" s="6"/>
      <c r="O199" s="6"/>
      <c r="Q199" s="143">
        <v>21649</v>
      </c>
      <c r="S199" s="143">
        <v>833</v>
      </c>
      <c r="V199" s="12"/>
      <c r="X199" s="12"/>
      <c r="Y199" s="143">
        <v>-22066.15</v>
      </c>
      <c r="Z199" s="12"/>
      <c r="AB199" s="12"/>
      <c r="AD199" s="12"/>
      <c r="AY199" s="45">
        <f t="shared" si="28"/>
        <v>415.84999999999854</v>
      </c>
      <c r="BD199" s="6"/>
      <c r="BE199" s="8">
        <f t="shared" si="27"/>
        <v>415.84999999999854</v>
      </c>
      <c r="BF199" s="6"/>
      <c r="BH199" s="12"/>
      <c r="BI199" s="8"/>
    </row>
    <row r="200" spans="1:61" x14ac:dyDescent="0.25">
      <c r="A200" s="112"/>
      <c r="B200" s="19" t="s">
        <v>100</v>
      </c>
      <c r="C200" s="114"/>
      <c r="K200" s="6"/>
      <c r="M200" s="6"/>
      <c r="O200" s="6"/>
      <c r="Q200" s="143">
        <v>16218</v>
      </c>
      <c r="V200" s="12"/>
      <c r="X200" s="12"/>
      <c r="Z200" s="12"/>
      <c r="AB200" s="12"/>
      <c r="AC200" s="143">
        <v>1785.85</v>
      </c>
      <c r="AD200" s="12"/>
      <c r="AY200" s="45">
        <f t="shared" si="28"/>
        <v>18003.849999999999</v>
      </c>
      <c r="BD200" s="6"/>
      <c r="BE200" s="8">
        <f t="shared" si="27"/>
        <v>18003.849999999999</v>
      </c>
      <c r="BF200" s="6"/>
      <c r="BH200" s="12"/>
      <c r="BI200" s="8"/>
    </row>
    <row r="201" spans="1:61" x14ac:dyDescent="0.25">
      <c r="A201" s="112"/>
      <c r="B201" s="19" t="s">
        <v>101</v>
      </c>
      <c r="C201" s="114"/>
      <c r="K201" s="6"/>
      <c r="M201" s="6"/>
      <c r="O201" s="6"/>
      <c r="Q201" s="143">
        <f>3311+1688.33</f>
        <v>4999.33</v>
      </c>
      <c r="V201" s="12"/>
      <c r="X201" s="12"/>
      <c r="Z201" s="12"/>
      <c r="AB201" s="12"/>
      <c r="AD201" s="12"/>
      <c r="AE201" s="143">
        <v>4449.95</v>
      </c>
      <c r="AI201" s="143">
        <v>19502.669999999998</v>
      </c>
      <c r="AK201" s="143">
        <f>4260.58+3078.33+7891.38</f>
        <v>15230.29</v>
      </c>
      <c r="AM201" s="143">
        <v>3271.03</v>
      </c>
      <c r="AY201" s="45">
        <f t="shared" si="28"/>
        <v>47453.27</v>
      </c>
      <c r="BD201" s="6"/>
      <c r="BE201" s="8">
        <f t="shared" si="27"/>
        <v>47453.27</v>
      </c>
      <c r="BF201" s="6"/>
      <c r="BH201" s="12"/>
      <c r="BI201" s="8"/>
    </row>
    <row r="202" spans="1:61" x14ac:dyDescent="0.25">
      <c r="A202" s="112"/>
      <c r="B202" s="19" t="s">
        <v>335</v>
      </c>
      <c r="C202" s="114"/>
      <c r="K202" s="6"/>
      <c r="M202" s="6"/>
      <c r="O202" s="6"/>
      <c r="Q202" s="143">
        <v>0</v>
      </c>
      <c r="V202" s="12"/>
      <c r="X202" s="12"/>
      <c r="Y202" s="143">
        <v>1652</v>
      </c>
      <c r="Z202" s="12"/>
      <c r="AB202" s="12"/>
      <c r="AC202" s="143">
        <f>33.01+2590.24+500</f>
        <v>3123.25</v>
      </c>
      <c r="AD202" s="12"/>
      <c r="AG202" s="143">
        <f>12443.36+2218.41+1136.9+324.46+3202.53+3067.16</f>
        <v>22392.82</v>
      </c>
      <c r="AI202" s="143">
        <f>10800+39960.67+4228.9</f>
        <v>54989.57</v>
      </c>
      <c r="AK202" s="143">
        <f>1589.29+11625</f>
        <v>13214.29</v>
      </c>
      <c r="AM202" s="143">
        <v>4115</v>
      </c>
      <c r="AY202" s="45">
        <f t="shared" si="28"/>
        <v>99486.93</v>
      </c>
      <c r="BD202" s="6"/>
      <c r="BE202" s="8">
        <f t="shared" si="27"/>
        <v>99486.93</v>
      </c>
      <c r="BF202" s="6"/>
      <c r="BH202" s="12"/>
      <c r="BI202" s="8"/>
    </row>
    <row r="203" spans="1:61" x14ac:dyDescent="0.25">
      <c r="A203" s="112"/>
      <c r="B203" s="19" t="s">
        <v>538</v>
      </c>
      <c r="C203" s="114"/>
      <c r="K203" s="6"/>
      <c r="M203" s="6"/>
      <c r="O203" s="6"/>
      <c r="V203" s="12"/>
      <c r="X203" s="12"/>
      <c r="Z203" s="12"/>
      <c r="AB203" s="12"/>
      <c r="AD203" s="12"/>
      <c r="AY203" s="45">
        <f t="shared" si="28"/>
        <v>0</v>
      </c>
      <c r="BD203" s="6"/>
      <c r="BE203" s="8">
        <f t="shared" si="27"/>
        <v>0</v>
      </c>
      <c r="BF203" s="6"/>
      <c r="BH203" s="12"/>
      <c r="BI203" s="8"/>
    </row>
    <row r="204" spans="1:61" x14ac:dyDescent="0.25">
      <c r="A204" s="112"/>
      <c r="B204" s="19" t="s">
        <v>99</v>
      </c>
      <c r="C204" s="114"/>
      <c r="K204" s="40"/>
      <c r="M204" s="40"/>
      <c r="O204" s="40"/>
      <c r="Q204" s="144">
        <f>230+77</f>
        <v>307</v>
      </c>
      <c r="R204" s="235"/>
      <c r="S204" s="144"/>
      <c r="T204" s="235"/>
      <c r="U204" s="144"/>
      <c r="V204" s="34"/>
      <c r="W204" s="144"/>
      <c r="X204" s="34"/>
      <c r="Y204" s="144"/>
      <c r="Z204" s="34"/>
      <c r="AA204" s="144"/>
      <c r="AB204" s="34"/>
      <c r="AC204" s="144"/>
      <c r="AD204" s="34"/>
      <c r="AE204" s="144"/>
      <c r="AF204" s="173"/>
      <c r="AG204" s="144"/>
      <c r="AH204" s="173"/>
      <c r="AI204" s="144"/>
      <c r="AJ204" s="173"/>
      <c r="AK204" s="144"/>
      <c r="AL204" s="144"/>
      <c r="AM204" s="144"/>
      <c r="AN204" s="173"/>
      <c r="AO204" s="144"/>
      <c r="AP204" s="173"/>
      <c r="AQ204" s="144"/>
      <c r="AS204" s="144"/>
      <c r="AU204" s="144"/>
      <c r="AW204" s="144"/>
      <c r="AY204" s="45">
        <f t="shared" si="28"/>
        <v>307</v>
      </c>
      <c r="BA204" s="144"/>
      <c r="BC204" s="14"/>
      <c r="BD204" s="6"/>
      <c r="BE204" s="14">
        <f t="shared" si="27"/>
        <v>307</v>
      </c>
      <c r="BF204" s="6"/>
      <c r="BG204" s="14"/>
      <c r="BH204" s="21"/>
      <c r="BI204" s="8"/>
    </row>
    <row r="205" spans="1:61" x14ac:dyDescent="0.25">
      <c r="A205" s="112"/>
      <c r="B205" s="19" t="s">
        <v>127</v>
      </c>
      <c r="C205" s="114"/>
      <c r="K205" s="15">
        <v>500000</v>
      </c>
      <c r="M205" s="15">
        <v>-200000</v>
      </c>
      <c r="O205" s="15">
        <f>SUM(K205:N205)</f>
        <v>300000</v>
      </c>
      <c r="Q205" s="141">
        <f>SUBTOTAL(9,Q194:Q204)</f>
        <v>185400.53</v>
      </c>
      <c r="R205" s="231"/>
      <c r="S205" s="141">
        <f>SUBTOTAL(9,S194:S204)</f>
        <v>1435</v>
      </c>
      <c r="T205" s="231"/>
      <c r="U205" s="141">
        <f>SUBTOTAL(9,U194:U204)</f>
        <v>29347.02</v>
      </c>
      <c r="V205" s="15"/>
      <c r="W205" s="141">
        <f>SUBTOTAL(9,W194:W204)</f>
        <v>4798.43</v>
      </c>
      <c r="X205" s="15"/>
      <c r="Y205" s="141">
        <f>SUBTOTAL(9,Y194:Y204)</f>
        <v>-13959.160000000002</v>
      </c>
      <c r="Z205" s="15"/>
      <c r="AA205" s="141">
        <f>SUBTOTAL(9,AA194:AA204)</f>
        <v>5322.99</v>
      </c>
      <c r="AB205" s="15"/>
      <c r="AC205" s="141">
        <f>SUBTOTAL(9,AC194:AC204)</f>
        <v>148590.96</v>
      </c>
      <c r="AD205" s="15"/>
      <c r="AE205" s="141">
        <f>SUBTOTAL(9,AE194:AE204)</f>
        <v>42812.63</v>
      </c>
      <c r="AF205" s="141"/>
      <c r="AG205" s="141">
        <f>SUBTOTAL(9,AG194:AG204)</f>
        <v>89040.790000000008</v>
      </c>
      <c r="AH205" s="141"/>
      <c r="AI205" s="141">
        <f>SUBTOTAL(9,AI194:AI204)</f>
        <v>78710.03</v>
      </c>
      <c r="AJ205" s="141"/>
      <c r="AK205" s="141">
        <f>SUBTOTAL(9,AK194:AK204)</f>
        <v>55225.8</v>
      </c>
      <c r="AL205" s="141"/>
      <c r="AM205" s="141">
        <f>SUBTOTAL(9,AM194:AM204)</f>
        <v>8094.25</v>
      </c>
      <c r="AN205" s="141"/>
      <c r="AO205" s="141">
        <f>SUBTOTAL(9,AO194:AO204)</f>
        <v>3362.58</v>
      </c>
      <c r="AP205" s="141"/>
      <c r="AQ205" s="141">
        <f>SUBTOTAL(9,AQ194:AQ204)</f>
        <v>0</v>
      </c>
      <c r="AS205" s="141">
        <f>SUBTOTAL(9,AS194:AS204)</f>
        <v>0</v>
      </c>
      <c r="AU205" s="141">
        <f>SUBTOTAL(9,AU194:AU204)</f>
        <v>0</v>
      </c>
      <c r="AW205" s="141">
        <f>SUBTOTAL(9,AW194:AW204)</f>
        <v>0</v>
      </c>
      <c r="AY205" s="108">
        <f>SUBTOTAL(9,AY194:AY204)</f>
        <v>638181.84999999986</v>
      </c>
      <c r="BA205" s="141">
        <f>SUBTOTAL(9,BA194:BA204)</f>
        <v>0</v>
      </c>
      <c r="BC205" s="15">
        <f>IF(+O205-AY205+BA205&gt;0,O205-AY205+BA205,0)</f>
        <v>0</v>
      </c>
      <c r="BD205" s="6"/>
      <c r="BE205" s="15">
        <f t="shared" si="27"/>
        <v>638181.84999999986</v>
      </c>
      <c r="BF205" s="6"/>
      <c r="BG205" s="8">
        <f>O205-AY205-BC205</f>
        <v>-338181.84999999986</v>
      </c>
      <c r="BH205" s="12"/>
      <c r="BI205" s="8"/>
    </row>
    <row r="206" spans="1:61" x14ac:dyDescent="0.25">
      <c r="A206" s="112"/>
      <c r="B206" s="19"/>
      <c r="C206" s="114"/>
      <c r="K206" s="6"/>
      <c r="M206" s="6"/>
      <c r="O206" s="6"/>
      <c r="AY206" s="45"/>
      <c r="BD206" s="6"/>
      <c r="BF206" s="6"/>
      <c r="BH206" s="8"/>
      <c r="BI206" s="8"/>
    </row>
    <row r="207" spans="1:61" x14ac:dyDescent="0.25">
      <c r="A207" s="112" t="s">
        <v>102</v>
      </c>
      <c r="B207" s="19"/>
      <c r="C207" s="114" t="s">
        <v>0</v>
      </c>
      <c r="E207" s="7" t="s">
        <v>103</v>
      </c>
      <c r="G207" s="7" t="s">
        <v>104</v>
      </c>
      <c r="K207" s="6"/>
      <c r="M207" s="16"/>
      <c r="O207" s="16"/>
      <c r="Q207" s="173"/>
      <c r="R207" s="235"/>
      <c r="S207" s="173"/>
      <c r="T207" s="235"/>
      <c r="U207" s="173"/>
      <c r="V207" s="21"/>
      <c r="W207" s="173"/>
      <c r="X207" s="21"/>
      <c r="Y207" s="173"/>
      <c r="Z207" s="21"/>
      <c r="AA207" s="173"/>
      <c r="AB207" s="21"/>
      <c r="AC207" s="173"/>
      <c r="AD207" s="21"/>
      <c r="AE207" s="173"/>
      <c r="AF207" s="173"/>
      <c r="AG207" s="173"/>
      <c r="AH207" s="173"/>
      <c r="AI207" s="173"/>
      <c r="AJ207" s="173"/>
      <c r="AK207" s="173"/>
      <c r="AL207" s="173"/>
      <c r="AM207" s="173"/>
      <c r="AN207" s="173"/>
      <c r="AO207" s="173"/>
      <c r="AP207" s="173"/>
      <c r="AQ207" s="173"/>
      <c r="AS207" s="173"/>
      <c r="AU207" s="173"/>
      <c r="AW207" s="173"/>
      <c r="AY207" s="172"/>
      <c r="BA207" s="173"/>
      <c r="BC207" s="21"/>
      <c r="BD207" s="6"/>
      <c r="BE207" s="21"/>
      <c r="BF207" s="6"/>
      <c r="BG207" s="21"/>
      <c r="BH207" s="21"/>
      <c r="BI207" s="21"/>
    </row>
    <row r="208" spans="1:61" x14ac:dyDescent="0.25">
      <c r="A208" s="112"/>
      <c r="B208" s="19" t="s">
        <v>106</v>
      </c>
      <c r="C208" s="114"/>
      <c r="K208" s="6"/>
      <c r="M208" s="16"/>
      <c r="O208" s="16"/>
      <c r="Q208" s="173">
        <f>447.92+4678.29</f>
        <v>5126.21</v>
      </c>
      <c r="R208" s="235"/>
      <c r="S208" s="173"/>
      <c r="T208" s="235"/>
      <c r="U208" s="173"/>
      <c r="V208" s="34"/>
      <c r="W208" s="173"/>
      <c r="X208" s="34"/>
      <c r="Y208" s="173"/>
      <c r="Z208" s="34"/>
      <c r="AA208" s="173"/>
      <c r="AB208" s="34"/>
      <c r="AC208" s="173"/>
      <c r="AD208" s="34"/>
      <c r="AE208" s="173"/>
      <c r="AF208" s="173"/>
      <c r="AG208" s="173"/>
      <c r="AH208" s="173"/>
      <c r="AI208" s="173"/>
      <c r="AJ208" s="173"/>
      <c r="AK208" s="173"/>
      <c r="AL208" s="173"/>
      <c r="AM208" s="173"/>
      <c r="AN208" s="173"/>
      <c r="AO208" s="173"/>
      <c r="AP208" s="173"/>
      <c r="AQ208" s="173"/>
      <c r="AS208" s="173"/>
      <c r="AU208" s="173"/>
      <c r="AW208" s="173"/>
      <c r="AY208" s="45">
        <f t="shared" ref="AY208:AY214" si="29">SUM(P208:AX208)</f>
        <v>5126.21</v>
      </c>
      <c r="BA208" s="173"/>
      <c r="BC208" s="21"/>
      <c r="BD208" s="6"/>
      <c r="BE208" s="21">
        <f t="shared" si="27"/>
        <v>5126.21</v>
      </c>
      <c r="BF208" s="6"/>
      <c r="BG208" s="21"/>
      <c r="BH208" s="21"/>
      <c r="BI208" s="21"/>
    </row>
    <row r="209" spans="1:62" x14ac:dyDescent="0.25">
      <c r="A209" s="112"/>
      <c r="B209" s="19" t="s">
        <v>105</v>
      </c>
      <c r="C209" s="114"/>
      <c r="K209" s="21"/>
      <c r="M209" s="21"/>
      <c r="O209" s="21"/>
      <c r="Q209" s="143">
        <f>9144.13+1027.3+135+774.48+2323.44+3048.04+482.07+2842.8+1575.38+30905.85+999.58+1238.97+19149.04</f>
        <v>73646.080000000002</v>
      </c>
      <c r="V209" s="12"/>
      <c r="X209" s="12"/>
      <c r="Z209" s="12"/>
      <c r="AB209" s="12"/>
      <c r="AC209" s="143">
        <f>26337+1911+7532.22+10052.41+634.15</f>
        <v>46466.780000000006</v>
      </c>
      <c r="AD209" s="12"/>
      <c r="AG209" s="143">
        <f>8514.86+169.13+3022+7400+9018.07+5514.18</f>
        <v>33638.239999999998</v>
      </c>
      <c r="AK209" s="143">
        <f>2031.75+23047.12</f>
        <v>25078.87</v>
      </c>
      <c r="AY209" s="45">
        <f t="shared" si="29"/>
        <v>178829.97</v>
      </c>
      <c r="BD209" s="6"/>
      <c r="BE209" s="8">
        <f t="shared" si="27"/>
        <v>178829.97</v>
      </c>
      <c r="BF209" s="6"/>
      <c r="BH209" s="12"/>
      <c r="BI209" s="21"/>
    </row>
    <row r="210" spans="1:62" x14ac:dyDescent="0.25">
      <c r="A210" s="112"/>
      <c r="B210" s="19" t="s">
        <v>197</v>
      </c>
      <c r="C210" s="114"/>
      <c r="K210" s="21"/>
      <c r="M210" s="21"/>
      <c r="O210" s="21"/>
      <c r="Q210" s="143">
        <v>0</v>
      </c>
      <c r="V210" s="12"/>
      <c r="X210" s="12"/>
      <c r="Z210" s="12"/>
      <c r="AB210" s="12"/>
      <c r="AD210" s="12"/>
      <c r="AY210" s="45">
        <f t="shared" si="29"/>
        <v>0</v>
      </c>
      <c r="BD210" s="6"/>
      <c r="BE210" s="8">
        <f t="shared" si="27"/>
        <v>0</v>
      </c>
      <c r="BF210" s="6"/>
      <c r="BH210" s="12"/>
      <c r="BI210" s="21"/>
    </row>
    <row r="211" spans="1:62" x14ac:dyDescent="0.25">
      <c r="A211" s="112"/>
      <c r="B211" s="19" t="s">
        <v>325</v>
      </c>
      <c r="C211" s="114"/>
      <c r="K211" s="21"/>
      <c r="M211" s="21"/>
      <c r="O211" s="21"/>
      <c r="Q211" s="143">
        <v>5964.94</v>
      </c>
      <c r="V211" s="12"/>
      <c r="X211" s="12"/>
      <c r="Z211" s="12"/>
      <c r="AB211" s="12"/>
      <c r="AD211" s="12"/>
      <c r="AY211" s="45">
        <f t="shared" si="29"/>
        <v>5964.94</v>
      </c>
      <c r="BD211" s="6"/>
      <c r="BE211" s="8">
        <f t="shared" si="27"/>
        <v>5964.94</v>
      </c>
      <c r="BF211" s="6"/>
      <c r="BH211" s="12"/>
      <c r="BI211" s="21"/>
    </row>
    <row r="212" spans="1:62" x14ac:dyDescent="0.25">
      <c r="A212" s="112"/>
      <c r="B212" s="322" t="s">
        <v>552</v>
      </c>
      <c r="C212" s="31"/>
      <c r="D212" s="294"/>
      <c r="E212" s="294"/>
      <c r="F212" s="294"/>
      <c r="G212" s="294"/>
      <c r="H212" s="294"/>
      <c r="I212" s="294"/>
      <c r="J212" s="294"/>
      <c r="K212" s="332"/>
      <c r="L212" s="322"/>
      <c r="M212" s="332"/>
      <c r="N212" s="322"/>
      <c r="O212" s="332"/>
      <c r="P212" s="322"/>
      <c r="Q212" s="308"/>
      <c r="R212" s="297"/>
      <c r="S212" s="308"/>
      <c r="T212" s="297"/>
      <c r="U212" s="308"/>
      <c r="V212" s="295"/>
      <c r="W212" s="308"/>
      <c r="X212" s="298"/>
      <c r="Y212" s="308"/>
      <c r="Z212" s="298"/>
      <c r="AA212" s="308"/>
      <c r="AB212" s="298"/>
      <c r="AC212" s="308"/>
      <c r="AD212" s="298"/>
      <c r="AE212" s="308"/>
      <c r="AF212" s="308"/>
      <c r="AG212" s="308"/>
      <c r="AH212" s="308"/>
      <c r="AI212" s="308"/>
      <c r="AJ212" s="308"/>
      <c r="AK212" s="308"/>
      <c r="AL212" s="308"/>
      <c r="AM212" s="308"/>
      <c r="AN212" s="308"/>
      <c r="AO212" s="308"/>
      <c r="AP212" s="308"/>
      <c r="AQ212" s="308">
        <v>252208.46</v>
      </c>
      <c r="AR212" s="308"/>
      <c r="AS212" s="308"/>
      <c r="AT212" s="308"/>
      <c r="AU212" s="308"/>
      <c r="AV212" s="308"/>
      <c r="AW212" s="308"/>
      <c r="AX212" s="308"/>
      <c r="AY212" s="45">
        <f t="shared" si="29"/>
        <v>252208.46</v>
      </c>
      <c r="AZ212" s="294"/>
      <c r="BA212" s="308"/>
      <c r="BB212" s="294"/>
      <c r="BC212" s="295"/>
      <c r="BD212" s="294"/>
      <c r="BE212" s="295">
        <f t="shared" si="27"/>
        <v>252208.46</v>
      </c>
      <c r="BF212" s="294"/>
      <c r="BG212" s="295"/>
      <c r="BJ212" s="6"/>
    </row>
    <row r="213" spans="1:62" x14ac:dyDescent="0.25">
      <c r="A213" s="112"/>
      <c r="B213" s="19" t="s">
        <v>335</v>
      </c>
      <c r="C213" s="114"/>
      <c r="K213" s="21"/>
      <c r="M213" s="21"/>
      <c r="O213" s="21"/>
      <c r="Q213" s="143">
        <v>0</v>
      </c>
      <c r="V213" s="12"/>
      <c r="W213" s="143">
        <v>133167</v>
      </c>
      <c r="X213" s="12"/>
      <c r="Z213" s="12"/>
      <c r="AB213" s="12"/>
      <c r="AC213" s="143">
        <f>7285.44+70.62-91.29</f>
        <v>7264.7699999999995</v>
      </c>
      <c r="AD213" s="12"/>
      <c r="AG213" s="143">
        <f>4433.7+3681+610+12507.56</f>
        <v>21232.260000000002</v>
      </c>
      <c r="AK213" s="143">
        <f>2747.71+316.3</f>
        <v>3064.01</v>
      </c>
      <c r="AM213" s="143">
        <f>532.87+2141.83+299.21</f>
        <v>2973.91</v>
      </c>
      <c r="AO213" s="143">
        <v>2233.33</v>
      </c>
      <c r="AY213" s="45">
        <f t="shared" si="29"/>
        <v>169935.28</v>
      </c>
      <c r="BD213" s="6"/>
      <c r="BE213" s="8">
        <f t="shared" si="27"/>
        <v>169935.28</v>
      </c>
      <c r="BF213" s="6"/>
      <c r="BH213" s="12"/>
      <c r="BI213" s="21"/>
    </row>
    <row r="214" spans="1:62" x14ac:dyDescent="0.25">
      <c r="A214" s="112"/>
      <c r="B214" s="19" t="s">
        <v>107</v>
      </c>
      <c r="C214" s="114"/>
      <c r="K214" s="14"/>
      <c r="M214" s="14"/>
      <c r="O214" s="14"/>
      <c r="Q214" s="144">
        <f>696.51+80.17+4421.02+2229.14+2089.52+240.5+6687.43+3737.58+7511.74</f>
        <v>27693.61</v>
      </c>
      <c r="R214" s="235"/>
      <c r="S214" s="144"/>
      <c r="T214" s="235"/>
      <c r="U214" s="144">
        <f>4398.29+1099.57</f>
        <v>5497.86</v>
      </c>
      <c r="V214" s="34"/>
      <c r="W214" s="144"/>
      <c r="X214" s="34"/>
      <c r="Y214" s="144"/>
      <c r="Z214" s="34"/>
      <c r="AA214" s="144"/>
      <c r="AB214" s="34"/>
      <c r="AC214" s="144">
        <f>1811.08+3575.02+11710.69+119286.95</f>
        <v>136383.74</v>
      </c>
      <c r="AD214" s="34"/>
      <c r="AE214" s="144"/>
      <c r="AF214" s="173"/>
      <c r="AG214" s="144"/>
      <c r="AH214" s="173"/>
      <c r="AI214" s="144"/>
      <c r="AJ214" s="173"/>
      <c r="AK214" s="144">
        <f>3574.3+2014.19</f>
        <v>5588.49</v>
      </c>
      <c r="AL214" s="144"/>
      <c r="AM214" s="144"/>
      <c r="AN214" s="173"/>
      <c r="AO214" s="144">
        <v>3946.28</v>
      </c>
      <c r="AP214" s="173"/>
      <c r="AQ214" s="144"/>
      <c r="AS214" s="144"/>
      <c r="AU214" s="144"/>
      <c r="AW214" s="144"/>
      <c r="AY214" s="45">
        <f t="shared" si="29"/>
        <v>179109.97999999998</v>
      </c>
      <c r="BA214" s="144"/>
      <c r="BC214" s="14"/>
      <c r="BD214" s="6"/>
      <c r="BE214" s="14">
        <f t="shared" si="27"/>
        <v>179109.97999999998</v>
      </c>
      <c r="BF214" s="6"/>
      <c r="BG214" s="14"/>
      <c r="BH214" s="34"/>
      <c r="BI214" s="21"/>
    </row>
    <row r="215" spans="1:62" x14ac:dyDescent="0.25">
      <c r="A215" s="112"/>
      <c r="B215" s="19" t="s">
        <v>128</v>
      </c>
      <c r="C215" s="114"/>
      <c r="K215" s="16">
        <v>850000</v>
      </c>
      <c r="M215" s="16">
        <v>-550000</v>
      </c>
      <c r="O215" s="16">
        <f>SUM(K215:N215)</f>
        <v>300000</v>
      </c>
      <c r="Q215" s="141">
        <f>SUBTOTAL(9,Q208:Q214)</f>
        <v>112430.84000000001</v>
      </c>
      <c r="R215" s="231"/>
      <c r="S215" s="141">
        <f>SUBTOTAL(9,S208:S214)</f>
        <v>0</v>
      </c>
      <c r="T215" s="231"/>
      <c r="U215" s="141">
        <f>SUBTOTAL(9,U208:U214)</f>
        <v>5497.86</v>
      </c>
      <c r="V215" s="30"/>
      <c r="W215" s="141">
        <f>SUBTOTAL(9,W208:W214)</f>
        <v>133167</v>
      </c>
      <c r="X215" s="30"/>
      <c r="Y215" s="141">
        <f>SUBTOTAL(9,Y208:Y214)</f>
        <v>0</v>
      </c>
      <c r="Z215" s="30"/>
      <c r="AA215" s="141">
        <f>SUBTOTAL(9,AA208:AA214)</f>
        <v>0</v>
      </c>
      <c r="AB215" s="30"/>
      <c r="AC215" s="141">
        <f>SUBTOTAL(9,AC208:AC214)</f>
        <v>190115.28999999998</v>
      </c>
      <c r="AD215" s="30"/>
      <c r="AE215" s="141">
        <f>SUBTOTAL(9,AE208:AE214)</f>
        <v>0</v>
      </c>
      <c r="AF215" s="141"/>
      <c r="AG215" s="141">
        <f>SUBTOTAL(9,AG208:AG214)</f>
        <v>54870.5</v>
      </c>
      <c r="AH215" s="141"/>
      <c r="AI215" s="141">
        <f>SUBTOTAL(9,AI208:AI214)</f>
        <v>0</v>
      </c>
      <c r="AJ215" s="141"/>
      <c r="AK215" s="141">
        <f>SUBTOTAL(9,AK208:AK214)</f>
        <v>33731.369999999995</v>
      </c>
      <c r="AL215" s="141"/>
      <c r="AM215" s="141">
        <f>SUBTOTAL(9,AM208:AM214)</f>
        <v>2973.91</v>
      </c>
      <c r="AN215" s="141"/>
      <c r="AO215" s="141">
        <f>SUBTOTAL(9,AO208:AO214)</f>
        <v>6179.6100000000006</v>
      </c>
      <c r="AP215" s="141"/>
      <c r="AQ215" s="141">
        <f>SUBTOTAL(9,AQ208:AQ214)</f>
        <v>252208.46</v>
      </c>
      <c r="AS215" s="141">
        <f>SUBTOTAL(9,AS208:AS214)</f>
        <v>0</v>
      </c>
      <c r="AU215" s="141">
        <f>SUBTOTAL(9,AU208:AU214)</f>
        <v>0</v>
      </c>
      <c r="AW215" s="141">
        <f>SUBTOTAL(9,AW208:AW214)</f>
        <v>0</v>
      </c>
      <c r="AY215" s="108">
        <f>SUBTOTAL(9,AY208:AY214)</f>
        <v>791174.84</v>
      </c>
      <c r="BA215" s="141">
        <f>SUBTOTAL(9,BA208:BA214)</f>
        <v>0</v>
      </c>
      <c r="BC215" s="16">
        <f>IF(+O215-AY215+BA215&gt;0,O215-AY215+BA215,0)</f>
        <v>0</v>
      </c>
      <c r="BD215" s="6"/>
      <c r="BE215" s="16">
        <f t="shared" si="27"/>
        <v>791174.84</v>
      </c>
      <c r="BF215" s="6"/>
      <c r="BG215" s="8">
        <f>O215-AY215-BC215</f>
        <v>-491174.83999999997</v>
      </c>
      <c r="BH215" s="12"/>
      <c r="BI215" s="21"/>
    </row>
    <row r="216" spans="1:62" x14ac:dyDescent="0.25">
      <c r="A216" s="112"/>
      <c r="B216" s="19"/>
      <c r="C216" s="114"/>
      <c r="K216" s="21"/>
      <c r="M216" s="21"/>
      <c r="O216" s="21"/>
      <c r="Q216" s="173"/>
      <c r="R216" s="235"/>
      <c r="S216" s="173"/>
      <c r="T216" s="235"/>
      <c r="U216" s="173"/>
      <c r="V216" s="21"/>
      <c r="W216" s="173"/>
      <c r="X216" s="21"/>
      <c r="Y216" s="173"/>
      <c r="Z216" s="21"/>
      <c r="AA216" s="173"/>
      <c r="AB216" s="21"/>
      <c r="AC216" s="173"/>
      <c r="AD216" s="21"/>
      <c r="AE216" s="173"/>
      <c r="AF216" s="173"/>
      <c r="AG216" s="173"/>
      <c r="AH216" s="173"/>
      <c r="AI216" s="173"/>
      <c r="AJ216" s="173"/>
      <c r="AK216" s="173"/>
      <c r="AL216" s="173"/>
      <c r="AM216" s="173"/>
      <c r="AN216" s="173"/>
      <c r="AO216" s="173"/>
      <c r="AP216" s="173"/>
      <c r="AQ216" s="173"/>
      <c r="AS216" s="173"/>
      <c r="AU216" s="173"/>
      <c r="AW216" s="173"/>
      <c r="AY216" s="172"/>
      <c r="BA216" s="173"/>
      <c r="BC216" s="21"/>
      <c r="BD216" s="6"/>
      <c r="BE216" s="21"/>
      <c r="BF216" s="6"/>
      <c r="BG216" s="21"/>
      <c r="BH216" s="21"/>
      <c r="BI216" s="21"/>
    </row>
    <row r="217" spans="1:62" x14ac:dyDescent="0.25">
      <c r="A217" s="112" t="s">
        <v>365</v>
      </c>
      <c r="B217" s="19"/>
      <c r="C217" s="114" t="s">
        <v>0</v>
      </c>
      <c r="G217" s="7" t="s">
        <v>366</v>
      </c>
      <c r="K217" s="15">
        <v>0</v>
      </c>
      <c r="M217" s="15">
        <v>1000000</v>
      </c>
      <c r="O217" s="15">
        <f>SUM(K217:N217)</f>
        <v>1000000</v>
      </c>
      <c r="Q217" s="134">
        <v>0</v>
      </c>
      <c r="S217" s="134">
        <v>0</v>
      </c>
      <c r="U217" s="134">
        <v>0</v>
      </c>
      <c r="W217" s="134"/>
      <c r="X217" s="131"/>
      <c r="Y217" s="134"/>
      <c r="Z217" s="131"/>
      <c r="AA217" s="134">
        <v>50000</v>
      </c>
      <c r="AB217" s="131"/>
      <c r="AC217" s="134">
        <v>54683.74</v>
      </c>
      <c r="AD217" s="131"/>
      <c r="AE217" s="134">
        <f>-50000+181581</f>
        <v>131581</v>
      </c>
      <c r="AF217" s="134"/>
      <c r="AG217" s="134">
        <v>138751</v>
      </c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45">
        <f>SUM(P217:AX217)</f>
        <v>375015.74</v>
      </c>
      <c r="BA217" s="134">
        <v>-650000</v>
      </c>
      <c r="BC217" s="8">
        <f>IF(+O217-AY217+BA217&gt;0,O217-AY217+BA217,0)</f>
        <v>0</v>
      </c>
      <c r="BD217" s="6"/>
      <c r="BE217" s="8">
        <f t="shared" si="27"/>
        <v>375015.74</v>
      </c>
      <c r="BF217" s="6"/>
      <c r="BG217" s="8">
        <f>O217-AY217-BC217</f>
        <v>624984.26</v>
      </c>
    </row>
    <row r="218" spans="1:62" x14ac:dyDescent="0.25">
      <c r="A218" s="112"/>
      <c r="B218" s="19"/>
      <c r="C218" s="114"/>
      <c r="K218" s="21"/>
      <c r="M218" s="21"/>
      <c r="O218" s="21"/>
      <c r="Q218" s="173"/>
      <c r="R218" s="235"/>
      <c r="S218" s="173"/>
      <c r="T218" s="235"/>
      <c r="U218" s="173"/>
      <c r="V218" s="21"/>
      <c r="W218" s="173"/>
      <c r="X218" s="21"/>
      <c r="Y218" s="173"/>
      <c r="Z218" s="21"/>
      <c r="AA218" s="173"/>
      <c r="AB218" s="21"/>
      <c r="AC218" s="173"/>
      <c r="AD218" s="21"/>
      <c r="AE218" s="173"/>
      <c r="AF218" s="173"/>
      <c r="AG218" s="173"/>
      <c r="AH218" s="173"/>
      <c r="AI218" s="173"/>
      <c r="AJ218" s="173"/>
      <c r="AK218" s="173"/>
      <c r="AL218" s="173"/>
      <c r="AM218" s="173"/>
      <c r="AN218" s="173"/>
      <c r="AO218" s="173"/>
      <c r="AP218" s="173"/>
      <c r="AQ218" s="173"/>
      <c r="AS218" s="173"/>
      <c r="AU218" s="173"/>
      <c r="AW218" s="173"/>
      <c r="AY218" s="172"/>
      <c r="BA218" s="173"/>
      <c r="BC218" s="21"/>
      <c r="BD218" s="6"/>
      <c r="BE218" s="21"/>
      <c r="BF218" s="6"/>
      <c r="BG218" s="21"/>
      <c r="BH218" s="21"/>
      <c r="BI218" s="21"/>
    </row>
    <row r="219" spans="1:62" x14ac:dyDescent="0.25">
      <c r="A219" s="113"/>
      <c r="B219" s="166" t="s">
        <v>108</v>
      </c>
      <c r="C219" s="114"/>
      <c r="G219" s="6"/>
      <c r="K219" s="15">
        <f>K215+K205+K189+K191+K217</f>
        <v>2850000</v>
      </c>
      <c r="M219" s="15">
        <f>M215+M205+M189+M191+M217</f>
        <v>-186464.85000000009</v>
      </c>
      <c r="O219" s="15">
        <f>O215+O205+O189+O191+O217</f>
        <v>2663535.15</v>
      </c>
      <c r="Q219" s="141">
        <f>Q215+Q205+Q189+Q191+Q217</f>
        <v>361366.52</v>
      </c>
      <c r="R219" s="231"/>
      <c r="S219" s="141">
        <f>S215+S205+S189+S191+S217</f>
        <v>69820.943333333329</v>
      </c>
      <c r="T219" s="231"/>
      <c r="U219" s="141">
        <f>U215+U205+U189+U191+U217</f>
        <v>845882.42</v>
      </c>
      <c r="V219" s="15"/>
      <c r="W219" s="141">
        <f>W215+W205+W189+W191+W217</f>
        <v>137965.43</v>
      </c>
      <c r="X219" s="15"/>
      <c r="Y219" s="141">
        <f>Y215+Y205+Y189+Y191+Y217</f>
        <v>-13959.160000000002</v>
      </c>
      <c r="Z219" s="15"/>
      <c r="AA219" s="141">
        <f>AA215+AA205+AA189+AA191+AA217</f>
        <v>54496.99</v>
      </c>
      <c r="AB219" s="15"/>
      <c r="AC219" s="141">
        <f>AC215+AC205+AC189+AC191+AC217</f>
        <v>476723.32</v>
      </c>
      <c r="AD219" s="15"/>
      <c r="AE219" s="141">
        <f>AE215+AE205+AE189+AE191+AE217</f>
        <v>174393.63</v>
      </c>
      <c r="AF219" s="141"/>
      <c r="AG219" s="141">
        <f>AG215+AG205+AG189+AG191+AG217</f>
        <v>282662.29000000004</v>
      </c>
      <c r="AH219" s="141"/>
      <c r="AI219" s="141">
        <f>AI215+AI205+AI189+AI191+AI217</f>
        <v>78710.03</v>
      </c>
      <c r="AJ219" s="141"/>
      <c r="AK219" s="141">
        <f>AK215+AK205+AK189+AK191+AK217</f>
        <v>88957.17</v>
      </c>
      <c r="AL219" s="141"/>
      <c r="AM219" s="141">
        <f>AM215+AM205+AM189+AM191+AM217</f>
        <v>11068.16</v>
      </c>
      <c r="AN219" s="141"/>
      <c r="AO219" s="141">
        <f>AO215+AO205+AO189+AO191+AO217</f>
        <v>92875.520000000004</v>
      </c>
      <c r="AP219" s="141"/>
      <c r="AQ219" s="141">
        <f>AQ215+AQ205+AQ189+AQ191+AQ217</f>
        <v>318221.02</v>
      </c>
      <c r="AS219" s="141">
        <f>AS215+AS205+AS189+AS191+AS217</f>
        <v>0</v>
      </c>
      <c r="AU219" s="141">
        <f>AU215+AU205+AU189+AU191+AU217</f>
        <v>0</v>
      </c>
      <c r="AW219" s="141">
        <f>AW215+AW205+AW189+AW191+AW217</f>
        <v>0</v>
      </c>
      <c r="AY219" s="29">
        <f>AY215+AY205+AY189+AY191+AY217</f>
        <v>2979184.2833333332</v>
      </c>
      <c r="BA219" s="141">
        <f>BA215+BA205+BA189+BA191+BA217</f>
        <v>-457765</v>
      </c>
      <c r="BC219" s="29">
        <f>BC215+BC205+BC189+BC191+BC217</f>
        <v>0</v>
      </c>
      <c r="BD219" s="6"/>
      <c r="BE219" s="29">
        <f t="shared" si="27"/>
        <v>2979184.2833333332</v>
      </c>
      <c r="BF219" s="6"/>
      <c r="BG219" s="29">
        <f>BG215+BG205+BG189+BG191+BG217</f>
        <v>-315649.13333333307</v>
      </c>
      <c r="BH219" s="15"/>
      <c r="BI219" s="15"/>
    </row>
    <row r="220" spans="1:62" x14ac:dyDescent="0.25">
      <c r="A220" s="113"/>
      <c r="B220" s="162"/>
      <c r="C220" s="114"/>
      <c r="G220" s="6"/>
      <c r="K220" s="15"/>
      <c r="M220" s="15"/>
      <c r="O220" s="15"/>
      <c r="Q220" s="141"/>
      <c r="R220" s="231"/>
      <c r="S220" s="141"/>
      <c r="T220" s="231"/>
      <c r="U220" s="141"/>
      <c r="V220" s="15"/>
      <c r="W220" s="141"/>
      <c r="X220" s="15"/>
      <c r="Y220" s="141"/>
      <c r="Z220" s="15"/>
      <c r="AA220" s="141"/>
      <c r="AB220" s="15"/>
      <c r="AC220" s="141"/>
      <c r="AD220" s="15"/>
      <c r="AE220" s="141"/>
      <c r="AF220" s="141"/>
      <c r="AG220" s="141"/>
      <c r="AH220" s="141"/>
      <c r="AI220" s="141"/>
      <c r="AJ220" s="141"/>
      <c r="AK220" s="141"/>
      <c r="AL220" s="141"/>
      <c r="AM220" s="141"/>
      <c r="AN220" s="141"/>
      <c r="AO220" s="141"/>
      <c r="AP220" s="141"/>
      <c r="AQ220" s="141"/>
      <c r="AS220" s="141"/>
      <c r="AU220" s="141"/>
      <c r="AW220" s="141"/>
      <c r="AY220" s="29"/>
      <c r="BA220" s="141"/>
      <c r="BC220" s="15"/>
      <c r="BD220" s="6"/>
      <c r="BE220" s="15"/>
      <c r="BF220" s="6"/>
      <c r="BG220" s="15"/>
      <c r="BH220" s="15"/>
      <c r="BI220" s="15"/>
    </row>
    <row r="221" spans="1:62" ht="13.8" thickBot="1" x14ac:dyDescent="0.3">
      <c r="A221" s="126" t="s">
        <v>129</v>
      </c>
      <c r="B221" s="109"/>
      <c r="C221" s="110"/>
      <c r="K221" s="18">
        <f>K219+K179</f>
        <v>109972038.99115443</v>
      </c>
      <c r="M221" s="18">
        <f>M219+M179</f>
        <v>23779361.149999999</v>
      </c>
      <c r="O221" s="18">
        <f>O219+O179</f>
        <v>128386300.14115444</v>
      </c>
      <c r="Q221" s="179">
        <f>Q179+Q219</f>
        <v>63865966.150000006</v>
      </c>
      <c r="R221" s="239"/>
      <c r="S221" s="179">
        <f>S179+S219</f>
        <v>1102894.513333333</v>
      </c>
      <c r="T221" s="239"/>
      <c r="U221" s="179">
        <f>U179+U219</f>
        <v>19590654.100000001</v>
      </c>
      <c r="V221" s="16"/>
      <c r="W221" s="179">
        <f>W179+W219</f>
        <v>572532.99</v>
      </c>
      <c r="X221" s="16"/>
      <c r="Y221" s="179">
        <f>Y179+Y219</f>
        <v>-106875.7799999993</v>
      </c>
      <c r="Z221" s="16"/>
      <c r="AA221" s="179">
        <f>AA179+AA219</f>
        <v>8307659.9100000001</v>
      </c>
      <c r="AB221" s="16"/>
      <c r="AC221" s="179">
        <f>AC179+AC219</f>
        <v>15855933.020000003</v>
      </c>
      <c r="AD221" s="16"/>
      <c r="AE221" s="179">
        <f>AE179+AE219</f>
        <v>8226098.6399999987</v>
      </c>
      <c r="AF221" s="178"/>
      <c r="AG221" s="179">
        <f>AG179+AG219</f>
        <v>10079974.000000004</v>
      </c>
      <c r="AH221" s="178"/>
      <c r="AI221" s="179">
        <f>AI179+AI219</f>
        <v>5897944.9499999993</v>
      </c>
      <c r="AJ221" s="178"/>
      <c r="AK221" s="179">
        <f>AK179+AK219</f>
        <v>6912179.6100000003</v>
      </c>
      <c r="AL221" s="179"/>
      <c r="AM221" s="179">
        <f>AM179+AM219</f>
        <v>2135306.54</v>
      </c>
      <c r="AN221" s="178"/>
      <c r="AO221" s="179">
        <f>AO179+AO219</f>
        <v>2966808.52</v>
      </c>
      <c r="AP221" s="178"/>
      <c r="AQ221" s="179">
        <f>AQ179+AQ219</f>
        <v>2484012.14</v>
      </c>
      <c r="AS221" s="179">
        <f>AS179+AS219</f>
        <v>0</v>
      </c>
      <c r="AU221" s="179">
        <f>AU179+AU219</f>
        <v>0</v>
      </c>
      <c r="AW221" s="179">
        <f>AW179+AW219</f>
        <v>0</v>
      </c>
      <c r="AY221" s="83">
        <f>AY179+AY219</f>
        <v>147891089.30333331</v>
      </c>
      <c r="BA221" s="179">
        <f>BA179+BA219</f>
        <v>2595790.33</v>
      </c>
      <c r="BC221" s="83">
        <f>BC179+BC219</f>
        <v>583294.28399999533</v>
      </c>
      <c r="BD221" s="6"/>
      <c r="BE221" s="83">
        <f>+BC221+AY221+1</f>
        <v>148474384.58733332</v>
      </c>
      <c r="BF221" s="6"/>
      <c r="BG221" s="83">
        <f>BG179+BG219</f>
        <v>-20088084.446178913</v>
      </c>
      <c r="BH221" s="34"/>
      <c r="BI221" s="16"/>
    </row>
    <row r="222" spans="1:62" ht="5.25" customHeight="1" thickTop="1" x14ac:dyDescent="0.25">
      <c r="A222" s="38"/>
      <c r="B222" s="23"/>
      <c r="C222" s="23"/>
      <c r="U222" s="143" t="s">
        <v>329</v>
      </c>
      <c r="W222" s="143" t="s">
        <v>329</v>
      </c>
      <c r="Y222" s="143" t="s">
        <v>329</v>
      </c>
      <c r="AA222" s="143" t="s">
        <v>329</v>
      </c>
      <c r="AC222" s="143" t="s">
        <v>329</v>
      </c>
      <c r="AE222" s="143" t="s">
        <v>329</v>
      </c>
      <c r="AG222" s="143" t="s">
        <v>329</v>
      </c>
      <c r="AI222" s="143" t="s">
        <v>329</v>
      </c>
      <c r="AK222" s="143" t="s">
        <v>329</v>
      </c>
      <c r="AM222" s="143" t="s">
        <v>329</v>
      </c>
      <c r="AO222" s="143" t="s">
        <v>329</v>
      </c>
      <c r="AQ222" s="143" t="s">
        <v>329</v>
      </c>
      <c r="AS222" s="143" t="s">
        <v>329</v>
      </c>
      <c r="AU222" s="143" t="s">
        <v>329</v>
      </c>
      <c r="AW222" s="143" t="s">
        <v>329</v>
      </c>
      <c r="AY222" s="45" t="s">
        <v>329</v>
      </c>
      <c r="BA222" s="143" t="s">
        <v>329</v>
      </c>
      <c r="BD222" s="6"/>
      <c r="BF222" s="6"/>
      <c r="BH222" s="8"/>
      <c r="BI222" s="8"/>
    </row>
    <row r="223" spans="1:62" ht="14.25" customHeight="1" thickBot="1" x14ac:dyDescent="0.3">
      <c r="A223" s="126" t="s">
        <v>194</v>
      </c>
      <c r="B223" s="23"/>
      <c r="C223" s="23"/>
      <c r="K223" s="167">
        <f>K221/390</f>
        <v>281979.58715680626</v>
      </c>
      <c r="O223" s="167">
        <f>O221/390</f>
        <v>329195.64138757548</v>
      </c>
      <c r="AY223" s="45"/>
      <c r="BD223" s="6"/>
      <c r="BE223" s="167">
        <f>BE221/390</f>
        <v>380703.55022393161</v>
      </c>
      <c r="BF223" s="6"/>
      <c r="BH223" s="8"/>
      <c r="BI223" s="8"/>
    </row>
    <row r="224" spans="1:62" customFormat="1" x14ac:dyDescent="0.25">
      <c r="A224" s="41"/>
      <c r="Q224" s="141"/>
      <c r="R224" s="231"/>
      <c r="S224" s="141"/>
      <c r="T224" s="231"/>
      <c r="U224" s="141"/>
      <c r="V224" s="15"/>
      <c r="W224" s="141"/>
      <c r="X224" s="15"/>
      <c r="Y224" s="141"/>
      <c r="Z224" s="15"/>
      <c r="AA224" s="141"/>
      <c r="AB224" s="15"/>
      <c r="AC224" s="141"/>
      <c r="AE224" s="89"/>
      <c r="BG224" s="8"/>
    </row>
    <row r="225" spans="1:62" x14ac:dyDescent="0.25">
      <c r="A225" s="41"/>
      <c r="E225" s="6"/>
      <c r="I225" s="6"/>
      <c r="Q225" s="134"/>
      <c r="R225" s="224"/>
      <c r="S225" s="134"/>
      <c r="T225" s="224"/>
      <c r="U225" s="134"/>
      <c r="W225" s="134"/>
      <c r="X225" s="131"/>
      <c r="Y225" s="134"/>
      <c r="Z225" s="131"/>
      <c r="AA225" s="134"/>
      <c r="AB225" s="131"/>
      <c r="AC225" s="134"/>
      <c r="AD225" s="131"/>
      <c r="AE225" s="89"/>
      <c r="AF225" s="131"/>
      <c r="AG225" s="131"/>
      <c r="AH225" s="131"/>
      <c r="AI225" s="131"/>
      <c r="AJ225" s="131"/>
      <c r="AK225" s="131"/>
      <c r="AL225" s="131"/>
      <c r="AM225" s="131"/>
      <c r="AN225" s="131"/>
      <c r="AO225" s="131"/>
      <c r="AP225" s="131"/>
      <c r="AQ225" s="131"/>
      <c r="AR225" s="131"/>
      <c r="AS225" s="131"/>
      <c r="AT225" s="131"/>
      <c r="AU225" s="131"/>
      <c r="AV225" s="131"/>
      <c r="AW225" s="131"/>
      <c r="AX225" s="131"/>
      <c r="BA225" s="131"/>
      <c r="BD225" s="6"/>
      <c r="BF225" s="6"/>
      <c r="BJ225" s="6"/>
    </row>
    <row r="226" spans="1:62" s="41" customFormat="1" x14ac:dyDescent="0.25">
      <c r="A226" s="41" t="s">
        <v>422</v>
      </c>
      <c r="G226" s="11"/>
      <c r="K226" s="15">
        <v>0</v>
      </c>
      <c r="M226" s="15"/>
      <c r="O226" s="15">
        <f>SUM(K226:N226)</f>
        <v>0</v>
      </c>
      <c r="Q226" s="143"/>
      <c r="R226" s="228"/>
      <c r="S226" s="143"/>
      <c r="T226" s="244"/>
      <c r="U226" s="134">
        <v>0</v>
      </c>
      <c r="V226" s="15"/>
      <c r="W226" s="134"/>
      <c r="X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5">
        <f>SUM(P226:AR226)</f>
        <v>0</v>
      </c>
      <c r="BA226" s="134">
        <v>0</v>
      </c>
      <c r="BC226" s="15">
        <f>IF(+O226-AY226+BA226&gt;0,O226-AY226+BA226,0)</f>
        <v>0</v>
      </c>
      <c r="BE226" s="15">
        <f>+BC226+AY226</f>
        <v>0</v>
      </c>
      <c r="BG226" s="15">
        <f>+O226-BE226</f>
        <v>0</v>
      </c>
    </row>
    <row r="227" spans="1:62" x14ac:dyDescent="0.25">
      <c r="A227" s="41" t="s">
        <v>537</v>
      </c>
      <c r="E227" s="6"/>
      <c r="I227" s="6"/>
      <c r="T227" s="224"/>
      <c r="U227" s="131"/>
      <c r="W227" s="131"/>
      <c r="X227" s="131"/>
      <c r="Y227" s="131"/>
      <c r="Z227" s="131"/>
      <c r="AA227" s="131"/>
      <c r="AB227" s="131"/>
      <c r="AC227" s="131"/>
      <c r="AD227" s="131"/>
      <c r="AE227" s="131"/>
      <c r="AF227" s="131"/>
      <c r="AG227" s="131"/>
      <c r="AH227" s="131"/>
      <c r="AI227" s="131"/>
      <c r="AJ227" s="131"/>
      <c r="AK227" s="131"/>
      <c r="AL227" s="131"/>
      <c r="AM227" s="131"/>
      <c r="AN227" s="131"/>
      <c r="AO227" s="131"/>
      <c r="AP227" s="131"/>
      <c r="AQ227" s="131"/>
      <c r="AR227" s="131"/>
      <c r="AS227" s="131"/>
      <c r="AT227" s="131"/>
      <c r="AU227" s="131"/>
      <c r="AV227" s="131"/>
      <c r="AW227" s="131"/>
      <c r="AX227" s="131"/>
      <c r="AY227" s="33">
        <f>+[1]Deprec!$H$29</f>
        <v>-1831144.689966666</v>
      </c>
      <c r="BA227" s="131"/>
      <c r="BD227" s="6"/>
      <c r="BE227" s="15">
        <f>+AY227</f>
        <v>-1831144.689966666</v>
      </c>
      <c r="BF227" s="6"/>
      <c r="BJ227" s="6"/>
    </row>
    <row r="228" spans="1:62" ht="13.8" thickBot="1" x14ac:dyDescent="0.3">
      <c r="A228" s="126" t="s">
        <v>427</v>
      </c>
      <c r="B228" s="109"/>
      <c r="E228" s="6"/>
      <c r="I228" s="6"/>
      <c r="K228" s="245">
        <f>+K221+K226</f>
        <v>109972038.99115443</v>
      </c>
      <c r="M228" s="245">
        <f>+M221+M226</f>
        <v>23779361.149999999</v>
      </c>
      <c r="O228" s="245">
        <f>+O221+O226</f>
        <v>128386300.14115444</v>
      </c>
      <c r="T228" s="224"/>
      <c r="U228" s="131"/>
      <c r="W228" s="131"/>
      <c r="X228" s="131"/>
      <c r="Y228" s="131"/>
      <c r="Z228" s="131"/>
      <c r="AA228" s="131"/>
      <c r="AB228" s="131"/>
      <c r="AC228" s="131"/>
      <c r="AD228" s="131"/>
      <c r="AE228" s="131"/>
      <c r="AF228" s="131"/>
      <c r="AG228" s="131"/>
      <c r="AH228" s="131"/>
      <c r="AI228" s="131"/>
      <c r="AJ228" s="131"/>
      <c r="AK228" s="131"/>
      <c r="AL228" s="131"/>
      <c r="AM228" s="131"/>
      <c r="AN228" s="131"/>
      <c r="AO228" s="131"/>
      <c r="AP228" s="131"/>
      <c r="AQ228" s="131"/>
      <c r="AR228" s="131"/>
      <c r="AS228" s="131"/>
      <c r="AT228" s="131"/>
      <c r="AU228" s="131"/>
      <c r="AV228" s="131"/>
      <c r="AW228" s="131"/>
      <c r="AX228" s="131"/>
      <c r="AY228" s="245">
        <f>+AY221+AY226+AY227</f>
        <v>146059944.61336663</v>
      </c>
      <c r="BA228" s="131"/>
      <c r="BC228" s="245">
        <f>+BC221+BC226</f>
        <v>583294.28399999533</v>
      </c>
      <c r="BD228" s="6"/>
      <c r="BE228" s="245">
        <f>+BE221+BE226+BE227</f>
        <v>146643239.89736664</v>
      </c>
      <c r="BF228" s="6"/>
      <c r="BG228" s="245">
        <f>+BG221+BG226</f>
        <v>-20088084.446178913</v>
      </c>
      <c r="BJ228" s="6"/>
    </row>
    <row r="229" spans="1:62" ht="4.5" customHeight="1" thickTop="1" x14ac:dyDescent="0.25">
      <c r="A229" s="38"/>
      <c r="B229" s="23"/>
      <c r="E229" s="6"/>
      <c r="I229" s="6"/>
      <c r="T229" s="224"/>
      <c r="U229" s="131"/>
      <c r="W229" s="131"/>
      <c r="X229" s="131"/>
      <c r="Y229" s="131"/>
      <c r="Z229" s="131"/>
      <c r="AA229" s="131"/>
      <c r="AB229" s="131"/>
      <c r="AC229" s="131"/>
      <c r="AD229" s="131"/>
      <c r="AE229" s="131"/>
      <c r="AF229" s="131"/>
      <c r="AG229" s="131"/>
      <c r="AH229" s="131"/>
      <c r="AI229" s="131"/>
      <c r="AJ229" s="131"/>
      <c r="AK229" s="131"/>
      <c r="AL229" s="131"/>
      <c r="AM229" s="131"/>
      <c r="AN229" s="131"/>
      <c r="AO229" s="131"/>
      <c r="AP229" s="131"/>
      <c r="AQ229" s="131"/>
      <c r="AR229" s="131"/>
      <c r="AS229" s="131"/>
      <c r="AT229" s="131"/>
      <c r="AU229" s="131"/>
      <c r="AV229" s="131"/>
      <c r="AW229" s="131"/>
      <c r="AX229" s="131"/>
      <c r="BA229" s="131"/>
      <c r="BD229" s="6"/>
      <c r="BF229" s="6"/>
      <c r="BJ229" s="6"/>
    </row>
    <row r="230" spans="1:62" ht="13.8" thickBot="1" x14ac:dyDescent="0.3">
      <c r="A230" s="126" t="s">
        <v>421</v>
      </c>
      <c r="B230" s="23"/>
      <c r="E230" s="6"/>
      <c r="I230" s="6"/>
      <c r="K230" s="127">
        <f>K228/$K$3</f>
        <v>284165.47542933963</v>
      </c>
      <c r="O230" s="127">
        <f>O228/$K$3</f>
        <v>331747.54558437841</v>
      </c>
      <c r="T230" s="224"/>
      <c r="U230" s="131"/>
      <c r="W230" s="131"/>
      <c r="X230" s="131"/>
      <c r="Y230" s="131"/>
      <c r="Z230" s="131"/>
      <c r="AA230" s="131"/>
      <c r="AB230" s="131"/>
      <c r="AC230" s="131"/>
      <c r="AD230" s="131"/>
      <c r="AE230" s="131"/>
      <c r="AF230" s="131"/>
      <c r="AG230" s="131"/>
      <c r="AH230" s="131"/>
      <c r="AI230" s="131"/>
      <c r="AJ230" s="131"/>
      <c r="AK230" s="131"/>
      <c r="AL230" s="131"/>
      <c r="AM230" s="131"/>
      <c r="AN230" s="131"/>
      <c r="AO230" s="131"/>
      <c r="AP230" s="131"/>
      <c r="AQ230" s="131"/>
      <c r="AR230" s="131"/>
      <c r="AS230" s="131"/>
      <c r="AT230" s="131"/>
      <c r="AU230" s="131"/>
      <c r="AV230" s="131"/>
      <c r="AW230" s="131"/>
      <c r="AX230" s="131"/>
      <c r="BA230" s="131"/>
      <c r="BD230" s="6"/>
      <c r="BE230" s="127">
        <f>BE228/$K$3</f>
        <v>378923.10050999135</v>
      </c>
      <c r="BF230" s="6"/>
      <c r="BJ230" s="6"/>
    </row>
    <row r="231" spans="1:62" x14ac:dyDescent="0.25">
      <c r="E231" s="6"/>
      <c r="I231" s="6"/>
      <c r="T231" s="224"/>
      <c r="U231" s="131"/>
      <c r="W231" s="131"/>
      <c r="X231" s="131"/>
      <c r="Y231" s="134">
        <f>SUM(Q225:Y225)</f>
        <v>0</v>
      </c>
      <c r="Z231" s="131"/>
      <c r="AA231" s="131"/>
      <c r="AB231" s="131"/>
      <c r="AC231" s="131"/>
      <c r="AD231" s="131"/>
      <c r="AE231" s="131"/>
      <c r="AF231" s="131"/>
      <c r="AG231" s="131"/>
      <c r="AH231" s="131"/>
      <c r="AI231" s="131"/>
      <c r="AJ231" s="131"/>
      <c r="AK231" s="131"/>
      <c r="AL231" s="131"/>
      <c r="AM231" s="131"/>
      <c r="AN231" s="131"/>
      <c r="AO231" s="131"/>
      <c r="AP231" s="131"/>
      <c r="AQ231" s="131"/>
      <c r="AR231" s="131"/>
      <c r="AS231" s="131"/>
      <c r="AT231" s="131"/>
      <c r="AU231" s="131"/>
      <c r="AV231" s="131"/>
      <c r="AW231" s="131"/>
      <c r="AX231" s="131"/>
      <c r="BA231" s="131"/>
      <c r="BD231" s="6"/>
      <c r="BF231" s="6"/>
      <c r="BJ231" s="6"/>
    </row>
    <row r="232" spans="1:62" x14ac:dyDescent="0.25">
      <c r="E232" s="6"/>
      <c r="I232" s="6"/>
      <c r="T232" s="224"/>
      <c r="U232" s="131"/>
      <c r="W232" s="131"/>
      <c r="X232" s="131"/>
      <c r="Y232" s="131"/>
      <c r="Z232" s="131"/>
      <c r="AA232" s="131"/>
      <c r="AB232" s="131"/>
      <c r="AC232" s="131"/>
      <c r="AD232" s="131"/>
      <c r="AE232" s="131"/>
      <c r="AF232" s="131"/>
      <c r="AG232" s="131"/>
      <c r="AH232" s="131"/>
      <c r="AI232" s="131"/>
      <c r="AJ232" s="131"/>
      <c r="AK232" s="131"/>
      <c r="AL232" s="131"/>
      <c r="AM232" s="131"/>
      <c r="AN232" s="131"/>
      <c r="AO232" s="131"/>
      <c r="AP232" s="131"/>
      <c r="AQ232" s="131"/>
      <c r="AR232" s="131"/>
      <c r="AS232" s="131"/>
      <c r="AT232" s="131"/>
      <c r="AU232" s="131"/>
      <c r="AV232" s="131"/>
      <c r="AW232" s="131"/>
      <c r="AX232" s="131"/>
      <c r="BA232" s="131"/>
      <c r="BD232" s="6"/>
      <c r="BF232" s="6"/>
      <c r="BG232" s="187" t="str">
        <f ca="1">CELL("filename")</f>
        <v>O:\Fin_Ops\Engysvc\PowerPlants\TVA Plants\TVA Draw Schedules\[TVADraw011100.xls]New Albany</v>
      </c>
      <c r="BJ232" s="6"/>
    </row>
    <row r="233" spans="1:62" x14ac:dyDescent="0.25">
      <c r="AY233" s="45"/>
      <c r="BD233" s="6"/>
      <c r="BF233" s="6"/>
      <c r="BH233" s="8"/>
      <c r="BI233" s="8"/>
    </row>
    <row r="234" spans="1:62" x14ac:dyDescent="0.25">
      <c r="AY234" s="45"/>
      <c r="BD234" s="6"/>
      <c r="BF234" s="6"/>
      <c r="BH234" s="8"/>
      <c r="BI234" s="8"/>
    </row>
    <row r="235" spans="1:62" x14ac:dyDescent="0.25">
      <c r="B235" s="41" t="s">
        <v>474</v>
      </c>
      <c r="E235" s="6"/>
      <c r="I235" s="6"/>
      <c r="T235" s="224"/>
      <c r="U235" s="131"/>
      <c r="W235" s="131"/>
      <c r="X235" s="131"/>
      <c r="Y235" s="131"/>
      <c r="Z235" s="131"/>
      <c r="AA235" s="131"/>
      <c r="AB235" s="131"/>
      <c r="AC235" s="131"/>
      <c r="AD235" s="131"/>
      <c r="AE235" s="131"/>
      <c r="AF235" s="131"/>
      <c r="AG235" s="131"/>
      <c r="AH235" s="131"/>
      <c r="AI235" s="131"/>
      <c r="AJ235" s="131"/>
      <c r="AK235" s="131"/>
      <c r="AL235" s="131"/>
      <c r="AM235" s="131"/>
      <c r="AN235" s="131"/>
      <c r="AO235" s="131"/>
      <c r="AP235" s="131"/>
      <c r="AQ235" s="131"/>
      <c r="AR235" s="131"/>
      <c r="AS235" s="131"/>
      <c r="AT235" s="131"/>
      <c r="AU235" s="131"/>
      <c r="AV235" s="131"/>
      <c r="AW235" s="131"/>
      <c r="AX235" s="131"/>
      <c r="BA235" s="131"/>
      <c r="BD235" s="6"/>
      <c r="BF235" s="6"/>
      <c r="BJ235" s="6"/>
    </row>
    <row r="236" spans="1:62" x14ac:dyDescent="0.25">
      <c r="E236" s="6"/>
      <c r="I236" s="6"/>
      <c r="T236" s="224"/>
      <c r="U236" s="131"/>
      <c r="W236" s="131"/>
      <c r="X236" s="131"/>
      <c r="Y236" s="131"/>
      <c r="Z236" s="131"/>
      <c r="AA236" s="131"/>
      <c r="AB236" s="131"/>
      <c r="AC236" s="131"/>
      <c r="AD236" s="131"/>
      <c r="AE236" s="131"/>
      <c r="AF236" s="131"/>
      <c r="AG236" s="131"/>
      <c r="AH236" s="131"/>
      <c r="AI236" s="131"/>
      <c r="AJ236" s="131"/>
      <c r="AK236" s="131"/>
      <c r="AL236" s="131"/>
      <c r="AM236" s="131"/>
      <c r="AN236" s="131"/>
      <c r="AO236" s="131"/>
      <c r="AP236" s="131"/>
      <c r="AQ236" s="131"/>
      <c r="AR236" s="131"/>
      <c r="AS236" s="131"/>
      <c r="AT236" s="131"/>
      <c r="AU236" s="131"/>
      <c r="AV236" s="131"/>
      <c r="AW236" s="131"/>
      <c r="AX236" s="131"/>
      <c r="BA236" s="131"/>
      <c r="BD236" s="6"/>
      <c r="BF236" s="6"/>
      <c r="BJ236" s="6"/>
    </row>
    <row r="237" spans="1:62" x14ac:dyDescent="0.25">
      <c r="B237" s="6" t="s">
        <v>475</v>
      </c>
      <c r="E237" s="6"/>
      <c r="I237" s="6"/>
      <c r="T237" s="224"/>
      <c r="U237" s="131"/>
      <c r="W237" s="131"/>
      <c r="X237" s="131"/>
      <c r="Y237" s="131"/>
      <c r="Z237" s="131"/>
      <c r="AA237" s="131"/>
      <c r="AB237" s="131"/>
      <c r="AC237" s="131"/>
      <c r="AD237" s="131"/>
      <c r="AE237" s="131"/>
      <c r="AF237" s="131"/>
      <c r="AG237" s="131"/>
      <c r="AH237" s="131"/>
      <c r="AI237" s="131"/>
      <c r="AJ237" s="131"/>
      <c r="AK237" s="131"/>
      <c r="AL237" s="131"/>
      <c r="AM237" s="131"/>
      <c r="AN237" s="131"/>
      <c r="AO237" s="131"/>
      <c r="AP237" s="131"/>
      <c r="AQ237" s="131"/>
      <c r="AR237" s="131"/>
      <c r="AS237" s="131"/>
      <c r="AT237" s="131"/>
      <c r="AU237" s="131"/>
      <c r="AV237" s="131"/>
      <c r="AW237" s="131"/>
      <c r="AX237" s="131"/>
      <c r="BA237" s="131"/>
      <c r="BD237" s="6"/>
      <c r="BE237" s="8">
        <f>7557137.38+138816653</f>
        <v>146373790.38</v>
      </c>
      <c r="BF237" s="6"/>
      <c r="BJ237" s="6"/>
    </row>
    <row r="238" spans="1:62" x14ac:dyDescent="0.25">
      <c r="E238" s="6"/>
      <c r="I238" s="6"/>
      <c r="T238" s="224"/>
      <c r="U238" s="131"/>
      <c r="W238" s="131"/>
      <c r="X238" s="131"/>
      <c r="Y238" s="131"/>
      <c r="Z238" s="131"/>
      <c r="AA238" s="131"/>
      <c r="AB238" s="131"/>
      <c r="AC238" s="131"/>
      <c r="AD238" s="131"/>
      <c r="AE238" s="131"/>
      <c r="AF238" s="131"/>
      <c r="AG238" s="131"/>
      <c r="AH238" s="131"/>
      <c r="AI238" s="131"/>
      <c r="AJ238" s="131"/>
      <c r="AK238" s="131"/>
      <c r="AL238" s="131"/>
      <c r="AM238" s="131"/>
      <c r="AN238" s="131"/>
      <c r="AO238" s="131"/>
      <c r="AP238" s="131"/>
      <c r="AQ238" s="131"/>
      <c r="AR238" s="131"/>
      <c r="AS238" s="131"/>
      <c r="AT238" s="131"/>
      <c r="AU238" s="131"/>
      <c r="AV238" s="131"/>
      <c r="AW238" s="131"/>
      <c r="AX238" s="131"/>
      <c r="BA238" s="131"/>
      <c r="BD238" s="6"/>
      <c r="BF238" s="6"/>
      <c r="BJ238" s="6"/>
    </row>
    <row r="239" spans="1:62" x14ac:dyDescent="0.25">
      <c r="E239" s="6"/>
      <c r="I239" s="6"/>
      <c r="T239" s="224"/>
      <c r="U239" s="131"/>
      <c r="W239" s="131"/>
      <c r="X239" s="131"/>
      <c r="Y239" s="131"/>
      <c r="Z239" s="131"/>
      <c r="AA239" s="131"/>
      <c r="AB239" s="131"/>
      <c r="AC239" s="131"/>
      <c r="AD239" s="131"/>
      <c r="AE239" s="131"/>
      <c r="AF239" s="131"/>
      <c r="AG239" s="131"/>
      <c r="AH239" s="131"/>
      <c r="AI239" s="131"/>
      <c r="AJ239" s="131"/>
      <c r="AK239" s="131"/>
      <c r="AL239" s="131"/>
      <c r="AM239" s="131"/>
      <c r="AN239" s="131"/>
      <c r="AO239" s="131"/>
      <c r="AP239" s="131"/>
      <c r="AQ239" s="131"/>
      <c r="AR239" s="131"/>
      <c r="AS239" s="131"/>
      <c r="AT239" s="131"/>
      <c r="AU239" s="131"/>
      <c r="AV239" s="131"/>
      <c r="AW239" s="131"/>
      <c r="AX239" s="131"/>
      <c r="BA239" s="131"/>
      <c r="BD239" s="6"/>
      <c r="BF239" s="6"/>
      <c r="BJ239" s="6"/>
    </row>
    <row r="240" spans="1:62" x14ac:dyDescent="0.25">
      <c r="E240" s="6"/>
      <c r="I240" s="6"/>
      <c r="T240" s="224"/>
      <c r="U240" s="131"/>
      <c r="W240" s="131"/>
      <c r="X240" s="131"/>
      <c r="Y240" s="131"/>
      <c r="Z240" s="131"/>
      <c r="AA240" s="131"/>
      <c r="AB240" s="131"/>
      <c r="AC240" s="131"/>
      <c r="AD240" s="131"/>
      <c r="AE240" s="131"/>
      <c r="AF240" s="131"/>
      <c r="AG240" s="131"/>
      <c r="AH240" s="131"/>
      <c r="AI240" s="131"/>
      <c r="AJ240" s="131"/>
      <c r="AK240" s="131"/>
      <c r="AL240" s="131"/>
      <c r="AM240" s="131"/>
      <c r="AN240" s="131"/>
      <c r="AO240" s="131"/>
      <c r="AP240" s="131"/>
      <c r="AQ240" s="131"/>
      <c r="AR240" s="131"/>
      <c r="AS240" s="131"/>
      <c r="AT240" s="131"/>
      <c r="AU240" s="131"/>
      <c r="AV240" s="131"/>
      <c r="AW240" s="131"/>
      <c r="AX240" s="131"/>
      <c r="BA240" s="131"/>
      <c r="BD240" s="6"/>
      <c r="BF240" s="6"/>
      <c r="BJ240" s="6"/>
    </row>
    <row r="241" spans="2:62" x14ac:dyDescent="0.25">
      <c r="B241" s="6" t="s">
        <v>476</v>
      </c>
      <c r="E241" s="6"/>
      <c r="I241" s="6"/>
      <c r="T241" s="224"/>
      <c r="U241" s="131"/>
      <c r="W241" s="131"/>
      <c r="X241" s="131"/>
      <c r="Y241" s="131"/>
      <c r="Z241" s="131"/>
      <c r="AA241" s="131"/>
      <c r="AB241" s="131"/>
      <c r="AC241" s="131"/>
      <c r="AD241" s="131"/>
      <c r="AE241" s="131"/>
      <c r="AF241" s="131"/>
      <c r="AG241" s="131"/>
      <c r="AH241" s="131"/>
      <c r="AI241" s="131"/>
      <c r="AJ241" s="131"/>
      <c r="AK241" s="131"/>
      <c r="AL241" s="131"/>
      <c r="AM241" s="131"/>
      <c r="AN241" s="131"/>
      <c r="AO241" s="131"/>
      <c r="AP241" s="131"/>
      <c r="AQ241" s="131"/>
      <c r="AR241" s="131"/>
      <c r="AS241" s="131"/>
      <c r="AT241" s="131"/>
      <c r="AU241" s="131"/>
      <c r="AV241" s="131"/>
      <c r="AW241" s="131"/>
      <c r="AX241" s="131"/>
      <c r="BA241" s="131"/>
      <c r="BD241" s="6"/>
      <c r="BE241" s="8">
        <f>+AY228-AE145-AC145-AA145-AG145-AI145-AY149-AK145-AY227-AM145-AO145</f>
        <v>146373790.15333331</v>
      </c>
      <c r="BF241" s="6"/>
      <c r="BJ241" s="6"/>
    </row>
    <row r="242" spans="2:62" x14ac:dyDescent="0.25">
      <c r="E242" s="6"/>
      <c r="I242" s="6"/>
      <c r="T242" s="224"/>
      <c r="U242" s="131"/>
      <c r="W242" s="131"/>
      <c r="X242" s="131"/>
      <c r="Y242" s="131"/>
      <c r="Z242" s="131"/>
      <c r="AA242" s="131"/>
      <c r="AB242" s="131"/>
      <c r="AC242" s="131"/>
      <c r="AD242" s="131"/>
      <c r="AE242" s="131"/>
      <c r="AF242" s="131"/>
      <c r="AG242" s="131"/>
      <c r="AH242" s="131"/>
      <c r="AI242" s="131"/>
      <c r="AJ242" s="131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BA242" s="131"/>
      <c r="BD242" s="6"/>
      <c r="BF242" s="6"/>
      <c r="BJ242" s="6"/>
    </row>
    <row r="243" spans="2:62" x14ac:dyDescent="0.25">
      <c r="E243" s="6"/>
      <c r="I243" s="6"/>
      <c r="T243" s="224"/>
      <c r="U243" s="131"/>
      <c r="W243" s="131"/>
      <c r="X243" s="131"/>
      <c r="Y243" s="131"/>
      <c r="Z243" s="131"/>
      <c r="AA243" s="131"/>
      <c r="AB243" s="131"/>
      <c r="AC243" s="131"/>
      <c r="AD243" s="131"/>
      <c r="AE243" s="131"/>
      <c r="AF243" s="131"/>
      <c r="AG243" s="131"/>
      <c r="AH243" s="131"/>
      <c r="AI243" s="131"/>
      <c r="AJ243" s="131"/>
      <c r="AK243" s="131"/>
      <c r="AL243" s="131"/>
      <c r="AM243" s="131"/>
      <c r="AN243" s="131"/>
      <c r="AO243" s="131"/>
      <c r="AP243" s="131"/>
      <c r="AQ243" s="131"/>
      <c r="AR243" s="131"/>
      <c r="AS243" s="131"/>
      <c r="AT243" s="131"/>
      <c r="AU243" s="131"/>
      <c r="AV243" s="131"/>
      <c r="AW243" s="131"/>
      <c r="AX243" s="131"/>
      <c r="BA243" s="131"/>
      <c r="BD243" s="6"/>
      <c r="BF243" s="6"/>
      <c r="BJ243" s="6"/>
    </row>
    <row r="244" spans="2:62" x14ac:dyDescent="0.25">
      <c r="B244" s="6" t="s">
        <v>477</v>
      </c>
      <c r="E244" s="6"/>
      <c r="I244" s="6"/>
      <c r="T244" s="224"/>
      <c r="U244" s="131"/>
      <c r="W244" s="131"/>
      <c r="X244" s="131"/>
      <c r="Y244" s="131"/>
      <c r="Z244" s="131"/>
      <c r="AA244" s="131"/>
      <c r="AB244" s="131"/>
      <c r="AC244" s="131"/>
      <c r="AD244" s="131"/>
      <c r="AE244" s="131"/>
      <c r="AF244" s="131"/>
      <c r="AG244" s="131"/>
      <c r="AH244" s="131"/>
      <c r="AI244" s="131"/>
      <c r="AJ244" s="131"/>
      <c r="AK244" s="131"/>
      <c r="AL244" s="131"/>
      <c r="AM244" s="131"/>
      <c r="AN244" s="131"/>
      <c r="AO244" s="131"/>
      <c r="AP244" s="131"/>
      <c r="AQ244" s="131"/>
      <c r="AR244" s="131"/>
      <c r="AS244" s="131"/>
      <c r="AT244" s="131"/>
      <c r="AU244" s="131"/>
      <c r="AV244" s="131"/>
      <c r="AW244" s="131"/>
      <c r="AX244" s="131"/>
      <c r="BA244" s="131"/>
      <c r="BD244" s="6"/>
      <c r="BE244" s="8">
        <f>+BE237-BE241</f>
        <v>0.22666668891906738</v>
      </c>
      <c r="BF244" s="6"/>
      <c r="BJ244" s="6"/>
    </row>
    <row r="245" spans="2:62" x14ac:dyDescent="0.25">
      <c r="E245" s="6"/>
      <c r="T245" s="229"/>
      <c r="U245" s="157"/>
      <c r="V245" s="157"/>
      <c r="W245" s="157"/>
      <c r="X245" s="157"/>
      <c r="Y245" s="157"/>
      <c r="Z245" s="157"/>
      <c r="AA245" s="157"/>
      <c r="AB245" s="6"/>
      <c r="AC245" s="157"/>
      <c r="AD245" s="6"/>
      <c r="AE245" s="157"/>
      <c r="AF245" s="157"/>
      <c r="AG245" s="157"/>
      <c r="AH245" s="157"/>
      <c r="AI245" s="157"/>
      <c r="AJ245" s="157"/>
      <c r="AK245" s="157"/>
      <c r="AL245" s="157"/>
      <c r="AM245" s="157"/>
      <c r="AN245" s="157"/>
      <c r="AO245" s="157"/>
      <c r="AP245" s="157"/>
      <c r="AQ245" s="157"/>
      <c r="AS245" s="157"/>
      <c r="AU245" s="157"/>
      <c r="AW245" s="157"/>
      <c r="AY245" s="6"/>
      <c r="BA245" s="157"/>
      <c r="BC245" s="6"/>
      <c r="BD245" s="6"/>
      <c r="BE245" s="6"/>
      <c r="BF245" s="6"/>
      <c r="BJ245" s="6"/>
    </row>
    <row r="246" spans="2:62" x14ac:dyDescent="0.25">
      <c r="AY246" s="45"/>
    </row>
    <row r="247" spans="2:62" x14ac:dyDescent="0.25">
      <c r="AY247" s="45"/>
    </row>
    <row r="248" spans="2:62" x14ac:dyDescent="0.25">
      <c r="AY248" s="45"/>
    </row>
    <row r="249" spans="2:62" x14ac:dyDescent="0.25">
      <c r="AY249" s="45"/>
    </row>
    <row r="250" spans="2:62" x14ac:dyDescent="0.25">
      <c r="AY250" s="45"/>
    </row>
    <row r="251" spans="2:62" x14ac:dyDescent="0.25">
      <c r="AY251" s="45"/>
    </row>
    <row r="252" spans="2:62" x14ac:dyDescent="0.25">
      <c r="AY252" s="45"/>
    </row>
    <row r="253" spans="2:62" x14ac:dyDescent="0.25">
      <c r="AY253" s="45"/>
    </row>
    <row r="254" spans="2:62" x14ac:dyDescent="0.25">
      <c r="AY254" s="45"/>
    </row>
    <row r="255" spans="2:62" x14ac:dyDescent="0.25">
      <c r="AY255" s="45"/>
    </row>
    <row r="256" spans="2:62" x14ac:dyDescent="0.25">
      <c r="AY256" s="45"/>
    </row>
    <row r="257" spans="51:51" x14ac:dyDescent="0.25">
      <c r="AY257" s="45"/>
    </row>
    <row r="258" spans="51:51" x14ac:dyDescent="0.25">
      <c r="AY258" s="45"/>
    </row>
    <row r="259" spans="51:51" x14ac:dyDescent="0.25">
      <c r="AY259" s="45"/>
    </row>
    <row r="260" spans="51:51" x14ac:dyDescent="0.25">
      <c r="AY260" s="45"/>
    </row>
    <row r="261" spans="51:51" x14ac:dyDescent="0.25">
      <c r="AY261" s="45"/>
    </row>
    <row r="262" spans="51:51" x14ac:dyDescent="0.25">
      <c r="AY262" s="45"/>
    </row>
    <row r="263" spans="51:51" x14ac:dyDescent="0.25">
      <c r="AY263" s="45"/>
    </row>
    <row r="264" spans="51:51" x14ac:dyDescent="0.25">
      <c r="AY264" s="45"/>
    </row>
    <row r="265" spans="51:51" x14ac:dyDescent="0.25">
      <c r="AY265" s="45"/>
    </row>
    <row r="266" spans="51:51" x14ac:dyDescent="0.25">
      <c r="AY266" s="45"/>
    </row>
    <row r="267" spans="51:51" x14ac:dyDescent="0.25">
      <c r="AY267" s="45"/>
    </row>
    <row r="268" spans="51:51" x14ac:dyDescent="0.25">
      <c r="AY268" s="45"/>
    </row>
    <row r="269" spans="51:51" x14ac:dyDescent="0.25">
      <c r="AY269" s="45"/>
    </row>
    <row r="270" spans="51:51" x14ac:dyDescent="0.25">
      <c r="AY270" s="45"/>
    </row>
    <row r="271" spans="51:51" x14ac:dyDescent="0.25">
      <c r="AY271" s="45"/>
    </row>
    <row r="272" spans="51:51" x14ac:dyDescent="0.25">
      <c r="AY272" s="45"/>
    </row>
    <row r="273" spans="51:51" x14ac:dyDescent="0.25">
      <c r="AY273" s="45"/>
    </row>
    <row r="274" spans="51:51" x14ac:dyDescent="0.25">
      <c r="AY274" s="45"/>
    </row>
    <row r="275" spans="51:51" x14ac:dyDescent="0.25">
      <c r="AY275" s="45"/>
    </row>
    <row r="276" spans="51:51" x14ac:dyDescent="0.25">
      <c r="AY276" s="45"/>
    </row>
    <row r="277" spans="51:51" x14ac:dyDescent="0.25">
      <c r="AY277" s="45"/>
    </row>
    <row r="278" spans="51:51" x14ac:dyDescent="0.25">
      <c r="AY278" s="45"/>
    </row>
    <row r="279" spans="51:51" x14ac:dyDescent="0.25">
      <c r="AY279" s="45"/>
    </row>
    <row r="280" spans="51:51" x14ac:dyDescent="0.25">
      <c r="AY280" s="45"/>
    </row>
    <row r="281" spans="51:51" x14ac:dyDescent="0.25">
      <c r="AY281" s="45"/>
    </row>
    <row r="282" spans="51:51" x14ac:dyDescent="0.25">
      <c r="AY282" s="45"/>
    </row>
    <row r="283" spans="51:51" x14ac:dyDescent="0.25">
      <c r="AY283" s="45"/>
    </row>
    <row r="284" spans="51:51" x14ac:dyDescent="0.25">
      <c r="AY284" s="45"/>
    </row>
    <row r="285" spans="51:51" x14ac:dyDescent="0.25">
      <c r="AY285" s="45"/>
    </row>
    <row r="286" spans="51:51" x14ac:dyDescent="0.25">
      <c r="AY286" s="45"/>
    </row>
    <row r="287" spans="51:51" x14ac:dyDescent="0.25">
      <c r="AY287" s="45"/>
    </row>
    <row r="288" spans="51:51" x14ac:dyDescent="0.25">
      <c r="AY288" s="45"/>
    </row>
    <row r="289" spans="51:51" x14ac:dyDescent="0.25">
      <c r="AY289" s="45"/>
    </row>
    <row r="290" spans="51:51" x14ac:dyDescent="0.25">
      <c r="AY290" s="45"/>
    </row>
    <row r="291" spans="51:51" x14ac:dyDescent="0.25">
      <c r="AY291" s="45"/>
    </row>
    <row r="292" spans="51:51" x14ac:dyDescent="0.25">
      <c r="AY292" s="45"/>
    </row>
    <row r="293" spans="51:51" x14ac:dyDescent="0.25">
      <c r="AY293" s="45"/>
    </row>
  </sheetData>
  <printOptions horizontalCentered="1"/>
  <pageMargins left="0.25" right="0.25" top="0.25" bottom="0.25" header="0.5" footer="0.5"/>
  <pageSetup scale="52" fitToHeight="3" orientation="landscape" horizontalDpi="300" verticalDpi="300" r:id="rId1"/>
  <headerFooter alignWithMargins="0"/>
  <rowBreaks count="1" manualBreakCount="1">
    <brk id="143" max="52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3"/>
  <sheetViews>
    <sheetView zoomScaleNormal="100" workbookViewId="0"/>
  </sheetViews>
  <sheetFormatPr defaultRowHeight="13.2" x14ac:dyDescent="0.25"/>
  <cols>
    <col min="1" max="1" width="45.88671875" bestFit="1" customWidth="1"/>
    <col min="2" max="2" width="16.5546875" style="249" customWidth="1"/>
    <col min="3" max="3" width="1.6640625" style="249" customWidth="1"/>
    <col min="4" max="4" width="16.33203125" style="249" customWidth="1"/>
    <col min="5" max="5" width="53.44140625" bestFit="1" customWidth="1"/>
  </cols>
  <sheetData>
    <row r="1" spans="1:5" x14ac:dyDescent="0.25">
      <c r="B1" s="248"/>
      <c r="C1" s="248"/>
    </row>
    <row r="2" spans="1:5" s="11" customFormat="1" x14ac:dyDescent="0.25">
      <c r="B2" s="252" t="s">
        <v>281</v>
      </c>
      <c r="C2" s="252"/>
      <c r="D2" s="252" t="s">
        <v>281</v>
      </c>
    </row>
    <row r="3" spans="1:5" s="253" customFormat="1" x14ac:dyDescent="0.25">
      <c r="B3" s="254" t="s">
        <v>339</v>
      </c>
      <c r="C3" s="254"/>
      <c r="D3" s="254" t="s">
        <v>434</v>
      </c>
    </row>
    <row r="4" spans="1:5" s="253" customFormat="1" x14ac:dyDescent="0.25">
      <c r="B4" s="254"/>
      <c r="C4" s="254"/>
      <c r="D4" s="254"/>
    </row>
    <row r="5" spans="1:5" x14ac:dyDescent="0.25">
      <c r="A5" t="s">
        <v>435</v>
      </c>
      <c r="B5" s="249">
        <v>5000000</v>
      </c>
      <c r="D5" s="249">
        <v>5000000</v>
      </c>
    </row>
    <row r="6" spans="1:5" x14ac:dyDescent="0.25">
      <c r="A6" t="s">
        <v>437</v>
      </c>
      <c r="B6" s="249">
        <v>359700</v>
      </c>
      <c r="D6" s="249">
        <v>359700</v>
      </c>
    </row>
    <row r="7" spans="1:5" x14ac:dyDescent="0.25">
      <c r="A7" t="s">
        <v>438</v>
      </c>
      <c r="B7" s="249">
        <v>1126671.1499999999</v>
      </c>
      <c r="D7" s="249">
        <v>1126671.1499999999</v>
      </c>
    </row>
    <row r="8" spans="1:5" x14ac:dyDescent="0.25">
      <c r="D8" s="249">
        <v>-1013887.05</v>
      </c>
      <c r="E8" t="s">
        <v>439</v>
      </c>
    </row>
    <row r="9" spans="1:5" x14ac:dyDescent="0.25">
      <c r="A9" t="s">
        <v>437</v>
      </c>
      <c r="B9" s="249">
        <v>943800</v>
      </c>
      <c r="D9" s="249">
        <v>943800</v>
      </c>
    </row>
    <row r="10" spans="1:5" x14ac:dyDescent="0.25">
      <c r="A10" t="s">
        <v>436</v>
      </c>
      <c r="B10" s="249">
        <v>3111381.03</v>
      </c>
      <c r="D10" s="248">
        <v>3111381.03</v>
      </c>
    </row>
    <row r="11" spans="1:5" x14ac:dyDescent="0.25">
      <c r="A11" t="s">
        <v>433</v>
      </c>
      <c r="B11" s="251">
        <v>161700</v>
      </c>
      <c r="D11" s="249">
        <v>161700</v>
      </c>
      <c r="E11" s="41" t="s">
        <v>441</v>
      </c>
    </row>
    <row r="12" spans="1:5" x14ac:dyDescent="0.25">
      <c r="A12" t="s">
        <v>440</v>
      </c>
      <c r="D12" s="249">
        <v>198000</v>
      </c>
      <c r="E12" t="s">
        <v>439</v>
      </c>
    </row>
    <row r="13" spans="1:5" x14ac:dyDescent="0.25">
      <c r="A13" t="s">
        <v>457</v>
      </c>
      <c r="D13" s="249">
        <v>1082508.47</v>
      </c>
      <c r="E13" t="s">
        <v>439</v>
      </c>
    </row>
    <row r="15" spans="1:5" x14ac:dyDescent="0.25">
      <c r="A15" t="s">
        <v>442</v>
      </c>
      <c r="B15" s="255">
        <f>SUM(B5:B14)</f>
        <v>10703252.18</v>
      </c>
      <c r="C15" s="256"/>
      <c r="D15" s="255">
        <f>SUM(D5:D14)</f>
        <v>10969873.600000001</v>
      </c>
    </row>
    <row r="17" spans="1:5" x14ac:dyDescent="0.25">
      <c r="A17" t="s">
        <v>458</v>
      </c>
      <c r="B17" s="249">
        <v>4391315.49</v>
      </c>
    </row>
    <row r="18" spans="1:5" x14ac:dyDescent="0.25">
      <c r="A18" t="s">
        <v>459</v>
      </c>
      <c r="B18" s="249">
        <v>886191.12</v>
      </c>
      <c r="E18" t="s">
        <v>465</v>
      </c>
    </row>
    <row r="19" spans="1:5" x14ac:dyDescent="0.25">
      <c r="A19" t="s">
        <v>461</v>
      </c>
      <c r="B19" s="255">
        <f>SUM(B17:B18)</f>
        <v>5277506.6100000003</v>
      </c>
    </row>
    <row r="21" spans="1:5" ht="13.8" thickBot="1" x14ac:dyDescent="0.3">
      <c r="A21" t="s">
        <v>460</v>
      </c>
      <c r="B21" s="257">
        <f>+B19-B15</f>
        <v>-5425745.5699999994</v>
      </c>
    </row>
    <row r="22" spans="1:5" ht="13.8" thickTop="1" x14ac:dyDescent="0.25"/>
    <row r="23" spans="1:5" x14ac:dyDescent="0.25">
      <c r="A23" t="s">
        <v>462</v>
      </c>
      <c r="B23" s="249">
        <v>2000000</v>
      </c>
    </row>
    <row r="24" spans="1:5" ht="13.8" thickBot="1" x14ac:dyDescent="0.3">
      <c r="A24" t="s">
        <v>463</v>
      </c>
      <c r="B24" s="257">
        <f>+B23+B19</f>
        <v>7277506.6100000003</v>
      </c>
    </row>
    <row r="25" spans="1:5" ht="13.8" thickTop="1" x14ac:dyDescent="0.25"/>
    <row r="27" spans="1:5" x14ac:dyDescent="0.25">
      <c r="B27" s="252" t="s">
        <v>443</v>
      </c>
      <c r="D27" s="252" t="s">
        <v>443</v>
      </c>
    </row>
    <row r="28" spans="1:5" x14ac:dyDescent="0.25">
      <c r="B28" s="254" t="s">
        <v>339</v>
      </c>
      <c r="D28" s="254" t="s">
        <v>449</v>
      </c>
    </row>
    <row r="29" spans="1:5" x14ac:dyDescent="0.25">
      <c r="A29" s="8" t="s">
        <v>450</v>
      </c>
      <c r="B29" s="249">
        <v>13392698</v>
      </c>
      <c r="D29" s="249">
        <v>13392698</v>
      </c>
    </row>
    <row r="30" spans="1:5" x14ac:dyDescent="0.25">
      <c r="A30" s="8" t="s">
        <v>451</v>
      </c>
      <c r="B30" s="249">
        <v>9374889</v>
      </c>
      <c r="D30" s="249">
        <v>9374889</v>
      </c>
    </row>
    <row r="31" spans="1:5" x14ac:dyDescent="0.25">
      <c r="A31" s="8" t="s">
        <v>452</v>
      </c>
      <c r="D31" s="249">
        <v>2678540</v>
      </c>
      <c r="E31" t="s">
        <v>439</v>
      </c>
    </row>
    <row r="32" spans="1:5" x14ac:dyDescent="0.25">
      <c r="A32" s="8" t="s">
        <v>453</v>
      </c>
      <c r="D32" s="249">
        <v>1339270</v>
      </c>
      <c r="E32" t="s">
        <v>439</v>
      </c>
    </row>
    <row r="33" spans="1:5" x14ac:dyDescent="0.25">
      <c r="A33" t="s">
        <v>466</v>
      </c>
      <c r="B33" s="249">
        <v>652369.63</v>
      </c>
      <c r="D33" s="249">
        <v>652369.63</v>
      </c>
      <c r="E33" t="s">
        <v>467</v>
      </c>
    </row>
    <row r="35" spans="1:5" x14ac:dyDescent="0.25">
      <c r="A35" t="s">
        <v>445</v>
      </c>
      <c r="B35" s="249">
        <v>5400</v>
      </c>
      <c r="D35" s="249">
        <v>5400</v>
      </c>
    </row>
    <row r="36" spans="1:5" x14ac:dyDescent="0.25">
      <c r="A36" t="s">
        <v>446</v>
      </c>
      <c r="B36" s="249">
        <v>-167</v>
      </c>
      <c r="D36" s="249">
        <v>-167</v>
      </c>
    </row>
    <row r="37" spans="1:5" x14ac:dyDescent="0.25">
      <c r="A37" t="s">
        <v>448</v>
      </c>
      <c r="B37" s="249">
        <v>10246.5</v>
      </c>
      <c r="D37" s="249">
        <v>10246.5</v>
      </c>
    </row>
    <row r="38" spans="1:5" x14ac:dyDescent="0.25">
      <c r="A38" t="s">
        <v>447</v>
      </c>
      <c r="B38" s="250">
        <v>123281.75</v>
      </c>
      <c r="D38" s="250">
        <v>123281.75</v>
      </c>
    </row>
    <row r="39" spans="1:5" x14ac:dyDescent="0.25">
      <c r="A39" t="s">
        <v>444</v>
      </c>
      <c r="B39" s="250">
        <v>-113214.39999999999</v>
      </c>
      <c r="D39" s="250">
        <v>-113214.39999999999</v>
      </c>
    </row>
    <row r="40" spans="1:5" x14ac:dyDescent="0.25">
      <c r="B40" s="250"/>
      <c r="D40" s="250"/>
    </row>
    <row r="41" spans="1:5" x14ac:dyDescent="0.25">
      <c r="A41" t="s">
        <v>454</v>
      </c>
      <c r="B41" s="250"/>
      <c r="D41" s="250">
        <v>0</v>
      </c>
      <c r="E41" t="s">
        <v>455</v>
      </c>
    </row>
    <row r="43" spans="1:5" x14ac:dyDescent="0.25">
      <c r="A43" t="s">
        <v>456</v>
      </c>
      <c r="B43" s="255">
        <f>SUM(B29:B42)</f>
        <v>23445503.48</v>
      </c>
      <c r="D43" s="255">
        <f>SUM(D29:D42)</f>
        <v>27463313.48</v>
      </c>
    </row>
  </sheetData>
  <printOptions horizontalCentered="1"/>
  <pageMargins left="0.25" right="0.25" top="0.75" bottom="0.75" header="0.5" footer="0.5"/>
  <pageSetup scale="7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Sheet2</vt:lpstr>
      <vt:lpstr>NA Mquip</vt:lpstr>
      <vt:lpstr>EECC</vt:lpstr>
      <vt:lpstr>To Update</vt:lpstr>
      <vt:lpstr>Summary</vt:lpstr>
      <vt:lpstr>Brownsville</vt:lpstr>
      <vt:lpstr>Caledonia</vt:lpstr>
      <vt:lpstr>NewAlbany</vt:lpstr>
      <vt:lpstr>Parts_Refurb $s</vt:lpstr>
      <vt:lpstr>Brownsville!Print_Area</vt:lpstr>
      <vt:lpstr>Caledonia!Print_Area</vt:lpstr>
      <vt:lpstr>NewAlbany!Print_Area</vt:lpstr>
      <vt:lpstr>Summary!Print_Area</vt:lpstr>
      <vt:lpstr>Brownsville!Print_Titles</vt:lpstr>
      <vt:lpstr>Caledonia!Print_Titles</vt:lpstr>
      <vt:lpstr>NewAlbany!Print_Titles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2000-01-11T19:22:43Z</cp:lastPrinted>
  <dcterms:created xsi:type="dcterms:W3CDTF">1998-11-04T14:40:39Z</dcterms:created>
  <dcterms:modified xsi:type="dcterms:W3CDTF">2023-09-10T11:57:27Z</dcterms:modified>
</cp:coreProperties>
</file>