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912" windowWidth="15336" windowHeight="3972" activeTab="1"/>
  </bookViews>
  <sheets>
    <sheet name="Preset Scenarios" sheetId="1" r:id="rId1"/>
    <sheet name="Assumptions" sheetId="2" r:id="rId2"/>
    <sheet name="Power Price Assumption" sheetId="3" r:id="rId3"/>
    <sheet name="IS" sheetId="4" r:id="rId4"/>
    <sheet name="CF" sheetId="5" r:id="rId5"/>
    <sheet name="IRR" sheetId="18" r:id="rId6"/>
    <sheet name="Debt" sheetId="6" r:id="rId7"/>
    <sheet name="Depreciation" sheetId="7" r:id="rId8"/>
    <sheet name="Tax" sheetId="8" r:id="rId9"/>
    <sheet name="Brownsville" sheetId="9" r:id="rId10"/>
    <sheet name="Caledonia" sheetId="10" r:id="rId11"/>
    <sheet name="New Albany" sheetId="11" r:id="rId12"/>
    <sheet name="Calvert" sheetId="12" r:id="rId13"/>
    <sheet name="Wheatland" sheetId="13" r:id="rId14"/>
    <sheet name="Wilton" sheetId="14" r:id="rId15"/>
    <sheet name="EGC Start Charge Matrix" sheetId="15" r:id="rId16"/>
    <sheet name="Allocation" sheetId="16" r:id="rId17"/>
  </sheets>
  <externalReferences>
    <externalReference r:id="rId18"/>
  </externalReferences>
  <definedNames>
    <definedName name="blm_share" localSheetId="12">Calvert!#REF!</definedName>
    <definedName name="blm_share" localSheetId="11">'New Albany'!#REF!</definedName>
    <definedName name="blm_share" localSheetId="13">Wheatland!#REF!</definedName>
    <definedName name="coso" localSheetId="12">Calvert!#REF!</definedName>
    <definedName name="coso" localSheetId="11">'New Albany'!#REF!</definedName>
    <definedName name="coso" localSheetId="13">Wheatland!#REF!</definedName>
    <definedName name="Coso_Distributable_Cash" localSheetId="12">Calvert!$I$520:$Z$520</definedName>
    <definedName name="Coso_Distributable_Cash" localSheetId="11">'New Albany'!$I$520:$Z$520</definedName>
    <definedName name="Coso_Distributable_Cash" localSheetId="13">Wheatland!$I$522:$Z$522</definedName>
    <definedName name="Coso_Net_ATCash" localSheetId="12">Calvert!$I$521:$Z$521</definedName>
    <definedName name="Coso_Net_ATCash" localSheetId="11">'New Albany'!$I$521:$Z$521</definedName>
    <definedName name="Coso_Net_ATCash" localSheetId="13">Wheatland!$I$523:$Z$523</definedName>
    <definedName name="Coso_Net_Income" localSheetId="12">Calvert!$I$519:$Z$519</definedName>
    <definedName name="Coso_Net_Income" localSheetId="11">'New Albany'!$I$519:$Z$519</definedName>
    <definedName name="Coso_Net_Income" localSheetId="13">Wheatland!$I$521:$Z$521</definedName>
    <definedName name="Distributable_Cash" localSheetId="12">Calvert!#REF!</definedName>
    <definedName name="Distributable_Cash" localSheetId="11">'New Albany'!#REF!</definedName>
    <definedName name="Distributable_Cash" localSheetId="13">Wheatland!#REF!</definedName>
    <definedName name="Energy_Credit_Coso" localSheetId="12">Calvert!$I$514:$Z$514</definedName>
    <definedName name="Energy_Credit_Coso" localSheetId="11">'New Albany'!$I$514:$Z$514</definedName>
    <definedName name="Energy_Credit_Coso" localSheetId="13">Wheatland!$I$516:$Z$516</definedName>
    <definedName name="Energy_Credit_Imperial" localSheetId="12">Calvert!#REF!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Calvert!$I$461:$S$461</definedName>
    <definedName name="FPOC_Distributable_Cash" localSheetId="11">'New Albany'!$I$461:$S$461</definedName>
    <definedName name="FPOC_Distributable_Cash" localSheetId="13">Wheatland!$I$463:$S$463</definedName>
    <definedName name="FPOC_Net_ATCash" localSheetId="12">Calvert!$I$463:$S$463</definedName>
    <definedName name="FPOC_Net_ATCash" localSheetId="11">'New Albany'!$I$463:$S$463</definedName>
    <definedName name="FPOC_Net_ATCash" localSheetId="13">Wheatland!$I$465:$S$465</definedName>
    <definedName name="FPOC_Net_Income" localSheetId="12">Calvert!$I$463:$S$463</definedName>
    <definedName name="FPOC_Net_Income" localSheetId="11">'New Albany'!$I$463:$S$463</definedName>
    <definedName name="FPOC_Net_Income" localSheetId="13">Wheatland!$I$465:$S$465</definedName>
    <definedName name="FSGC_ATCash" localSheetId="12">Calvert!$I$298:$M$298</definedName>
    <definedName name="FSGC_ATCash" localSheetId="11">'New Albany'!$I$298:$M$298</definedName>
    <definedName name="FSGC_ATCash" localSheetId="13">Wheatland!$I$300:$M$300</definedName>
    <definedName name="FSGC_Distributable_Cash" localSheetId="12">Calvert!$H$296:$M$296</definedName>
    <definedName name="FSGC_Distributable_Cash" localSheetId="11">'New Albany'!$H$296:$M$296</definedName>
    <definedName name="FSGC_Distributable_Cash" localSheetId="13">Wheatland!$H$298:$M$298</definedName>
    <definedName name="FSGC_Net_Income" localSheetId="12">Calvert!$I$298:$M$298</definedName>
    <definedName name="FSGC_Net_Income" localSheetId="11">'New Albany'!$I$298:$M$298</definedName>
    <definedName name="FSGC_Net_Income" localSheetId="13">Wheatland!$I$300:$M$300</definedName>
    <definedName name="Imperial_Distributable_Cash" localSheetId="12">Calvert!$E$76:$Z$76</definedName>
    <definedName name="Imperial_Distributable_Cash" localSheetId="11">'New Albany'!$E$76:$Z$76</definedName>
    <definedName name="Imperial_Distributable_Cash" localSheetId="13">Wheatland!$E$76:$Z$76</definedName>
    <definedName name="Imperial_Geothermal" localSheetId="12">Calvert!#REF!</definedName>
    <definedName name="Imperial_Geothermal" localSheetId="11">'New Albany'!#REF!</definedName>
    <definedName name="Imperial_Geothermal" localSheetId="13">Wheatland!#REF!</definedName>
    <definedName name="Imperial_Net_ATCash" localSheetId="12">Calvert!#REF!</definedName>
    <definedName name="Imperial_Net_ATCash" localSheetId="11">'New Albany'!#REF!</definedName>
    <definedName name="Imperial_Net_ATCash" localSheetId="13">Wheatland!#REF!</definedName>
    <definedName name="Imperial_Net_Income" localSheetId="12">Calvert!$E$75:$Z$75</definedName>
    <definedName name="Imperial_Net_Income" localSheetId="11">'New Albany'!$E$75:$Z$75</definedName>
    <definedName name="Imperial_Net_Income" localSheetId="13">Wheatland!$E$75:$Z$75</definedName>
    <definedName name="Minerals" localSheetId="12">Calvert!#REF!</definedName>
    <definedName name="Minerals" localSheetId="11">'New Albany'!#REF!</definedName>
    <definedName name="Minerals" localSheetId="13">Wheatland!#REF!</definedName>
    <definedName name="Minerals_Distributable_Cash" localSheetId="12">Calvert!$I$197:$Z$197</definedName>
    <definedName name="Minerals_Distributable_Cash" localSheetId="11">'New Albany'!$I$197:$Z$197</definedName>
    <definedName name="Minerals_Distributable_Cash" localSheetId="13">Wheatland!$I$199:$Z$199</definedName>
    <definedName name="Minerals_Net_ATCash" localSheetId="12">Calvert!$I$198:$Z$198</definedName>
    <definedName name="Minerals_Net_ATCash" localSheetId="11">'New Albany'!$I$198:$Z$198</definedName>
    <definedName name="Minerals_Net_ATCash" localSheetId="13">Wheatland!$I$200:$Z$200</definedName>
    <definedName name="Minerals_Net_Income" localSheetId="12">Calvert!$I$196:$Z$196</definedName>
    <definedName name="Minerals_Net_Income" localSheetId="11">'New Albany'!$I$196:$Z$196</definedName>
    <definedName name="Minerals_Net_Income" localSheetId="13">Wheatland!$I$198:$Z$198</definedName>
    <definedName name="navyi_share" localSheetId="12">Calvert!#REF!</definedName>
    <definedName name="navyi_share" localSheetId="11">'New Albany'!#REF!</definedName>
    <definedName name="navyi_share" localSheetId="13">Wheatland!#REF!</definedName>
    <definedName name="navyII_share" localSheetId="12">Calvert!#REF!</definedName>
    <definedName name="navyII_share" localSheetId="11">'New Albany'!#REF!</definedName>
    <definedName name="navyII_share" localSheetId="13">Wheatland!#REF!</definedName>
    <definedName name="Net_ATCash" localSheetId="12">Calvert!#REF!</definedName>
    <definedName name="Net_ATCash" localSheetId="11">'New Albany'!#REF!</definedName>
    <definedName name="Net_ATCash" localSheetId="13">Wheatland!#REF!</definedName>
    <definedName name="Net_Income_Unlevered" localSheetId="12">Calvert!#REF!</definedName>
    <definedName name="Net_Income_Unlevered" localSheetId="11">'New Albany'!#REF!</definedName>
    <definedName name="Net_Income_Unlevered" localSheetId="13">Wheatland!#REF!</definedName>
    <definedName name="Norcon_Distributable_Cash" localSheetId="12">Calvert!$F$562:$Q$562</definedName>
    <definedName name="Norcon_Distributable_Cash" localSheetId="11">'New Albany'!$F$562:$Q$562</definedName>
    <definedName name="Norcon_Distributable_Cash" localSheetId="13">Wheatland!$F$564:$Q$564</definedName>
    <definedName name="Norcon_Net_ATCash" localSheetId="12">Calvert!$F$563:$Q$563</definedName>
    <definedName name="Norcon_Net_ATCash" localSheetId="11">'New Albany'!$F$563:$Q$563</definedName>
    <definedName name="Norcon_Net_ATCash" localSheetId="13">Wheatland!$F$565:$Q$565</definedName>
    <definedName name="Norcon_Net_Income" localSheetId="12">Calvert!$F$561:$Q$561</definedName>
    <definedName name="Norcon_Net_Income" localSheetId="11">'New Albany'!$F$561:$Q$561</definedName>
    <definedName name="Norcon_Net_Income" localSheetId="13">Wheatland!$F$563:$Q$563</definedName>
    <definedName name="PRI_Cash_Taxes" localSheetId="12">Calvert!$I$241:$M$241</definedName>
    <definedName name="PRI_Cash_Taxes" localSheetId="11">'New Albany'!$I$241:$M$241</definedName>
    <definedName name="PRI_Cash_Taxes" localSheetId="13">Wheatland!$I$243:$M$243</definedName>
    <definedName name="PRI_Net_ATCash" localSheetId="12">Calvert!$I$249:$M$249</definedName>
    <definedName name="PRI_Net_ATCash" localSheetId="11">'New Albany'!$I$249:$M$249</definedName>
    <definedName name="PRI_Net_ATCash" localSheetId="13">Wheatland!$I$251:$M$251</definedName>
    <definedName name="PRI_Net_Income" localSheetId="12">Calvert!$I$248:$M$248</definedName>
    <definedName name="PRI_Net_Income" localSheetId="11">'New Albany'!$I$248:$M$248</definedName>
    <definedName name="PRI_Net_Income" localSheetId="13">Wheatland!$I$250:$M$250</definedName>
    <definedName name="_xlnm.Print_Area" localSheetId="1">Assumptions!$A$2:$U$92</definedName>
    <definedName name="_xlnm.Print_Area" localSheetId="9">Brownsville!$A$2:$Z$79</definedName>
    <definedName name="_xlnm.Print_Area" localSheetId="10">Caledonia!$A$2:$Z$76</definedName>
    <definedName name="_xlnm.Print_Area" localSheetId="12">Calvert!$A$2:$Z$79</definedName>
    <definedName name="_xlnm.Print_Area" localSheetId="4">CF!$A$1:$AA$55</definedName>
    <definedName name="_xlnm.Print_Area" localSheetId="6">Debt!$A$13:$V$119</definedName>
    <definedName name="_xlnm.Print_Area" localSheetId="7">Depreciation!$A$2:$AE$80</definedName>
    <definedName name="_xlnm.Print_Area" localSheetId="15">'EGC Start Charge Matrix'!$A$2:$AM$35</definedName>
    <definedName name="_xlnm.Print_Area" localSheetId="5">IRR!$A$1:$AU$50</definedName>
    <definedName name="_xlnm.Print_Area" localSheetId="3">IS!$A$2:$Z$68</definedName>
    <definedName name="_xlnm.Print_Area" localSheetId="11">'New Albany'!$A$2:$Z$79</definedName>
    <definedName name="_xlnm.Print_Area" localSheetId="0">'Preset Scenarios'!$A$1:$M$57</definedName>
    <definedName name="_xlnm.Print_Area" localSheetId="8">Tax!$A$2:$Y$48</definedName>
    <definedName name="_xlnm.Print_Area" localSheetId="13">Wheatland!$A$2:$Z$91</definedName>
    <definedName name="_xlnm.Print_Area" localSheetId="14">Wilton!$A$2:$Z$79</definedName>
    <definedName name="_xlnm.Print_Titles" localSheetId="9">Brownsville!$A:$B</definedName>
    <definedName name="_xlnm.Print_Titles" localSheetId="10">Caledonia!$A:$A</definedName>
    <definedName name="_xlnm.Print_Titles" localSheetId="12">Calvert!$A:$B</definedName>
    <definedName name="_xlnm.Print_Titles" localSheetId="4">CF!$A:$B</definedName>
    <definedName name="_xlnm.Print_Titles" localSheetId="6">Debt!$A:$A</definedName>
    <definedName name="_xlnm.Print_Titles" localSheetId="7">Depreciation!$A:$A</definedName>
    <definedName name="_xlnm.Print_Titles" localSheetId="5">IRR!$A:$B</definedName>
    <definedName name="_xlnm.Print_Titles" localSheetId="3">IS!$A:$A</definedName>
    <definedName name="_xlnm.Print_Titles" localSheetId="11">'New Albany'!$A:$B</definedName>
    <definedName name="_xlnm.Print_Titles" localSheetId="8">Tax!$A:$C</definedName>
    <definedName name="_xlnm.Print_Titles" localSheetId="13">Wheatland!$A:$B</definedName>
    <definedName name="_xlnm.Print_Titles" localSheetId="14">Wilton!$A:$B</definedName>
    <definedName name="Saranac_Distributable_Cash" localSheetId="12">Calvert!$I$416:$S$416</definedName>
    <definedName name="Saranac_Distributable_Cash" localSheetId="11">'New Albany'!$I$416:$S$416</definedName>
    <definedName name="Saranac_Distributable_Cash" localSheetId="13">Wheatland!$I$418:$S$418</definedName>
    <definedName name="Saranac_Net_ATCash" localSheetId="12">Calvert!$I$417:$S$417</definedName>
    <definedName name="Saranac_Net_ATCash" localSheetId="11">'New Albany'!$I$417:$S$417</definedName>
    <definedName name="Saranac_Net_ATCash" localSheetId="13">Wheatland!$I$419:$S$419</definedName>
    <definedName name="Saranac_Net_Income" localSheetId="12">Calvert!$I$415:$S$415</definedName>
    <definedName name="Saranac_Net_Income" localSheetId="11">'New Albany'!$I$415:$S$415</definedName>
    <definedName name="Saranac_Net_Income" localSheetId="13">Wheatland!$I$417:$S$417</definedName>
    <definedName name="Tax_Depreciation" localSheetId="12">Calvert!#REF!</definedName>
    <definedName name="Tax_Depreciation" localSheetId="11">'New Albany'!#REF!</definedName>
    <definedName name="Tax_Depreciation" localSheetId="13">Wheatland!#REF!</definedName>
    <definedName name="Taxable_Income" localSheetId="12">Calvert!#REF!</definedName>
    <definedName name="Taxable_Income" localSheetId="11">'New Albany'!#REF!</definedName>
    <definedName name="Taxable_Income" localSheetId="13">Wheatland!#REF!</definedName>
    <definedName name="Yuma_Distributable_Cash" localSheetId="12">Calvert!$I$378:$Z$378</definedName>
    <definedName name="Yuma_Distributable_Cash" localSheetId="11">'New Albany'!$I$378:$Z$378</definedName>
    <definedName name="Yuma_Distributable_Cash" localSheetId="13">Wheatland!$I$380:$Z$380</definedName>
    <definedName name="Yuma_Net_ATCash" localSheetId="12">Calvert!$I$379:$Z$379</definedName>
    <definedName name="Yuma_Net_ATCash" localSheetId="11">'New Albany'!$I$379:$Z$379</definedName>
    <definedName name="Yuma_Net_ATCash" localSheetId="13">Wheatland!$I$381:$Z$381</definedName>
    <definedName name="Yuma_Net_Income" localSheetId="12">Calvert!$I$377:$Z$377</definedName>
    <definedName name="Yuma_Net_Income" localSheetId="11">'New Albany'!$I$377:$Z$377</definedName>
    <definedName name="Yuma_Net_Income" localSheetId="13">Wheatland!$I$379:$Z$379</definedName>
    <definedName name="zinc" localSheetId="12">Calvert!$AC$21</definedName>
    <definedName name="zinc" localSheetId="11">'New Albany'!$AC$21</definedName>
    <definedName name="zinc" localSheetId="13">Wheatland!$AC$19</definedName>
    <definedName name="Zinc_Distributable_Cash" localSheetId="12">Calvert!$I$142:$Z$142</definedName>
    <definedName name="Zinc_Distributable_Cash" localSheetId="11">'New Albany'!$I$142:$Z$142</definedName>
    <definedName name="Zinc_Distributable_Cash" localSheetId="13">Wheatland!$I$144:$Z$144</definedName>
    <definedName name="Zinc_Net_ATCash" localSheetId="12">Calvert!$I$143:$Z$143</definedName>
    <definedName name="Zinc_Net_ATCash" localSheetId="11">'New Albany'!$I$143:$Z$143</definedName>
    <definedName name="Zinc_Net_ATCash" localSheetId="13">Wheatland!$I$145:$Z$145</definedName>
    <definedName name="Zinc_Net_Income" localSheetId="12">Calvert!$I$141:$Z$141</definedName>
    <definedName name="Zinc_Net_Income" localSheetId="11">'New Albany'!$I$141:$Z$141</definedName>
    <definedName name="Zinc_Net_Income" localSheetId="13">Wheatland!$I$143:$Z$143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7" i="16" l="1"/>
  <c r="E7" i="16"/>
  <c r="G7" i="16"/>
  <c r="K7" i="16"/>
  <c r="C8" i="16"/>
  <c r="E8" i="16"/>
  <c r="G8" i="16"/>
  <c r="K8" i="16"/>
  <c r="C9" i="16"/>
  <c r="E9" i="16"/>
  <c r="G9" i="16"/>
  <c r="K9" i="16"/>
  <c r="E10" i="16"/>
  <c r="I10" i="16"/>
  <c r="K10" i="16"/>
  <c r="C12" i="16"/>
  <c r="E12" i="16"/>
  <c r="G12" i="16"/>
  <c r="K12" i="16"/>
  <c r="C13" i="16"/>
  <c r="E13" i="16"/>
  <c r="G13" i="16"/>
  <c r="K13" i="16"/>
  <c r="C14" i="16"/>
  <c r="E14" i="16"/>
  <c r="G14" i="16"/>
  <c r="K14" i="16"/>
  <c r="E15" i="16"/>
  <c r="I15" i="16"/>
  <c r="K15" i="16"/>
  <c r="C17" i="16"/>
  <c r="E17" i="16"/>
  <c r="G17" i="16"/>
  <c r="I17" i="16"/>
  <c r="B8" i="2"/>
  <c r="C8" i="2"/>
  <c r="F8" i="2"/>
  <c r="G8" i="2"/>
  <c r="B9" i="2"/>
  <c r="C9" i="2"/>
  <c r="F9" i="2"/>
  <c r="G9" i="2"/>
  <c r="M10" i="2"/>
  <c r="N10" i="2"/>
  <c r="P10" i="2"/>
  <c r="Q10" i="2"/>
  <c r="R10" i="2"/>
  <c r="B11" i="2"/>
  <c r="C11" i="2"/>
  <c r="F11" i="2"/>
  <c r="F12" i="2"/>
  <c r="G12" i="2"/>
  <c r="C13" i="2"/>
  <c r="B14" i="2"/>
  <c r="C14" i="2"/>
  <c r="F14" i="2"/>
  <c r="G14" i="2"/>
  <c r="L14" i="2"/>
  <c r="M14" i="2"/>
  <c r="N14" i="2"/>
  <c r="P14" i="2"/>
  <c r="Q14" i="2"/>
  <c r="R14" i="2"/>
  <c r="L16" i="2"/>
  <c r="M16" i="2"/>
  <c r="N16" i="2"/>
  <c r="L17" i="2"/>
  <c r="M17" i="2"/>
  <c r="N17" i="2"/>
  <c r="P17" i="2"/>
  <c r="Q17" i="2"/>
  <c r="R17" i="2"/>
  <c r="L19" i="2"/>
  <c r="M19" i="2"/>
  <c r="N19" i="2"/>
  <c r="P19" i="2"/>
  <c r="Q19" i="2"/>
  <c r="R19" i="2"/>
  <c r="B22" i="2"/>
  <c r="C22" i="2"/>
  <c r="D22" i="2"/>
  <c r="E22" i="2"/>
  <c r="B23" i="2"/>
  <c r="C23" i="2"/>
  <c r="D23" i="2"/>
  <c r="B25" i="2"/>
  <c r="C25" i="2"/>
  <c r="D25" i="2"/>
  <c r="M25" i="2"/>
  <c r="N25" i="2"/>
  <c r="P25" i="2"/>
  <c r="Q25" i="2"/>
  <c r="R25" i="2"/>
  <c r="L26" i="2"/>
  <c r="M26" i="2"/>
  <c r="N26" i="2"/>
  <c r="P26" i="2"/>
  <c r="Q26" i="2"/>
  <c r="R26" i="2"/>
  <c r="L27" i="2"/>
  <c r="M27" i="2"/>
  <c r="N27" i="2"/>
  <c r="P27" i="2"/>
  <c r="Q27" i="2"/>
  <c r="R27" i="2"/>
  <c r="B28" i="2"/>
  <c r="C28" i="2"/>
  <c r="D28" i="2"/>
  <c r="E28" i="2"/>
  <c r="B29" i="2"/>
  <c r="C29" i="2"/>
  <c r="D29" i="2"/>
  <c r="E29" i="2"/>
  <c r="M29" i="2"/>
  <c r="N29" i="2"/>
  <c r="B30" i="2"/>
  <c r="C30" i="2"/>
  <c r="D30" i="2"/>
  <c r="E30" i="2"/>
  <c r="L30" i="2"/>
  <c r="M30" i="2"/>
  <c r="N30" i="2"/>
  <c r="B32" i="2"/>
  <c r="L33" i="2"/>
  <c r="M33" i="2"/>
  <c r="N33" i="2"/>
  <c r="P33" i="2"/>
  <c r="Q33" i="2"/>
  <c r="R33" i="2"/>
  <c r="L34" i="2"/>
  <c r="M34" i="2"/>
  <c r="N34" i="2"/>
  <c r="P34" i="2"/>
  <c r="Q34" i="2"/>
  <c r="R34" i="2"/>
  <c r="M35" i="2"/>
  <c r="N35" i="2"/>
  <c r="P35" i="2"/>
  <c r="Q35" i="2"/>
  <c r="R35" i="2"/>
  <c r="M36" i="2"/>
  <c r="N36" i="2"/>
  <c r="P36" i="2"/>
  <c r="Q36" i="2"/>
  <c r="R36" i="2"/>
  <c r="L39" i="2"/>
  <c r="M39" i="2"/>
  <c r="N39" i="2"/>
  <c r="P39" i="2"/>
  <c r="Q39" i="2"/>
  <c r="R39" i="2"/>
  <c r="B41" i="2"/>
  <c r="C41" i="2"/>
  <c r="B42" i="2"/>
  <c r="C42" i="2"/>
  <c r="B45" i="2"/>
  <c r="C45" i="2"/>
  <c r="B46" i="2"/>
  <c r="C46" i="2"/>
  <c r="M50" i="2"/>
  <c r="N50" i="2"/>
  <c r="P50" i="2"/>
  <c r="Q50" i="2"/>
  <c r="R50" i="2"/>
  <c r="D52" i="2"/>
  <c r="E52" i="2"/>
  <c r="L52" i="2"/>
  <c r="M52" i="2"/>
  <c r="N52" i="2"/>
  <c r="P52" i="2"/>
  <c r="Q52" i="2"/>
  <c r="R52" i="2"/>
  <c r="D53" i="2"/>
  <c r="E53" i="2"/>
  <c r="D56" i="2"/>
  <c r="E56" i="2"/>
  <c r="F56" i="2"/>
  <c r="L56" i="2"/>
  <c r="M56" i="2"/>
  <c r="N56" i="2"/>
  <c r="P56" i="2"/>
  <c r="Q56" i="2"/>
  <c r="R56" i="2"/>
  <c r="D58" i="2"/>
  <c r="E58" i="2"/>
  <c r="F58" i="2"/>
  <c r="M58" i="2"/>
  <c r="N58" i="2"/>
  <c r="L59" i="2"/>
  <c r="M59" i="2"/>
  <c r="N59" i="2"/>
  <c r="P59" i="2"/>
  <c r="Q59" i="2"/>
  <c r="R59" i="2"/>
  <c r="D60" i="2"/>
  <c r="L60" i="2"/>
  <c r="M60" i="2"/>
  <c r="N60" i="2"/>
  <c r="P60" i="2"/>
  <c r="Q60" i="2"/>
  <c r="R60" i="2"/>
  <c r="D62" i="2"/>
  <c r="L62" i="2"/>
  <c r="M62" i="2"/>
  <c r="N62" i="2"/>
  <c r="P62" i="2"/>
  <c r="Q62" i="2"/>
  <c r="R62" i="2"/>
  <c r="D63" i="2"/>
  <c r="L63" i="2"/>
  <c r="M63" i="2"/>
  <c r="N63" i="2"/>
  <c r="P63" i="2"/>
  <c r="Q63" i="2"/>
  <c r="R63" i="2"/>
  <c r="D64" i="2"/>
  <c r="L64" i="2"/>
  <c r="M64" i="2"/>
  <c r="N64" i="2"/>
  <c r="P64" i="2"/>
  <c r="Q64" i="2"/>
  <c r="R64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A73" i="2"/>
  <c r="L77" i="2"/>
  <c r="M77" i="2"/>
  <c r="N77" i="2"/>
  <c r="P77" i="2"/>
  <c r="Q77" i="2"/>
  <c r="R77" i="2"/>
  <c r="L78" i="2"/>
  <c r="M78" i="2"/>
  <c r="N78" i="2"/>
  <c r="P78" i="2"/>
  <c r="Q78" i="2"/>
  <c r="R78" i="2"/>
  <c r="L80" i="2"/>
  <c r="M80" i="2"/>
  <c r="N80" i="2"/>
  <c r="P80" i="2"/>
  <c r="Q80" i="2"/>
  <c r="R80" i="2"/>
  <c r="L89" i="2"/>
  <c r="M89" i="2"/>
  <c r="N89" i="2"/>
  <c r="P89" i="2"/>
  <c r="Q89" i="2"/>
  <c r="R89" i="2"/>
  <c r="L91" i="2"/>
  <c r="M91" i="2"/>
  <c r="N91" i="2"/>
  <c r="P91" i="2"/>
  <c r="Q91" i="2"/>
  <c r="R91" i="2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E11" i="9"/>
  <c r="F11" i="9"/>
  <c r="G11" i="9"/>
  <c r="H11" i="9"/>
  <c r="I11" i="9"/>
  <c r="E12" i="9"/>
  <c r="F12" i="9"/>
  <c r="G12" i="9"/>
  <c r="H12" i="9"/>
  <c r="I12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E31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C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8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C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C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E11" i="10"/>
  <c r="F11" i="10"/>
  <c r="G11" i="10"/>
  <c r="H11" i="10"/>
  <c r="I11" i="10"/>
  <c r="E12" i="10"/>
  <c r="F12" i="10"/>
  <c r="G12" i="10"/>
  <c r="H12" i="10"/>
  <c r="I12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C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C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B55" i="10"/>
  <c r="C60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C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C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F12" i="12"/>
  <c r="G12" i="12"/>
  <c r="H12" i="12"/>
  <c r="I12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C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B55" i="12"/>
  <c r="C60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C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C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E12" i="5"/>
  <c r="G12" i="5"/>
  <c r="AB12" i="5"/>
  <c r="C13" i="5"/>
  <c r="D13" i="5"/>
  <c r="E13" i="5"/>
  <c r="AB13" i="5"/>
  <c r="E14" i="5"/>
  <c r="G14" i="5"/>
  <c r="AB14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E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D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D25" i="5"/>
  <c r="E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C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D50" i="5"/>
  <c r="F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D53" i="5"/>
  <c r="B55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A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D62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A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D68" i="5"/>
  <c r="B77" i="5"/>
  <c r="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D79" i="5"/>
  <c r="B81" i="5"/>
  <c r="D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D83" i="5"/>
  <c r="B85" i="5"/>
  <c r="D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D87" i="5"/>
  <c r="F7" i="6"/>
  <c r="L7" i="6"/>
  <c r="R7" i="6"/>
  <c r="F9" i="6"/>
  <c r="L9" i="6"/>
  <c r="R9" i="6"/>
  <c r="R10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F21" i="6"/>
  <c r="A22" i="6"/>
  <c r="B23" i="6"/>
  <c r="L23" i="6"/>
  <c r="A24" i="6"/>
  <c r="B25" i="6"/>
  <c r="V25" i="6"/>
  <c r="A26" i="6"/>
  <c r="A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A51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C54" i="6"/>
  <c r="D54" i="6"/>
  <c r="E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4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C77" i="6"/>
  <c r="D77" i="6"/>
  <c r="E77" i="6"/>
  <c r="F77" i="6"/>
  <c r="G77" i="6"/>
  <c r="H77" i="6"/>
  <c r="I77" i="6"/>
  <c r="J77" i="6"/>
  <c r="K77" i="6"/>
  <c r="M77" i="6"/>
  <c r="N77" i="6"/>
  <c r="O77" i="6"/>
  <c r="P77" i="6"/>
  <c r="Q77" i="6"/>
  <c r="R77" i="6"/>
  <c r="S77" i="6"/>
  <c r="T77" i="6"/>
  <c r="U77" i="6"/>
  <c r="V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C102" i="6"/>
  <c r="C103" i="6"/>
  <c r="D103" i="6"/>
  <c r="B104" i="6"/>
  <c r="C104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F113" i="6"/>
  <c r="B114" i="6"/>
  <c r="C114" i="6"/>
  <c r="D114" i="6"/>
  <c r="E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E118" i="6"/>
  <c r="J118" i="6"/>
  <c r="E119" i="6"/>
  <c r="J119" i="6"/>
  <c r="B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B131" i="6"/>
  <c r="B132" i="6"/>
  <c r="B133" i="6"/>
  <c r="B136" i="6"/>
  <c r="C136" i="6"/>
  <c r="D136" i="6"/>
  <c r="B138" i="6"/>
  <c r="C138" i="6"/>
  <c r="C140" i="6"/>
  <c r="D140" i="6"/>
  <c r="E140" i="6"/>
  <c r="F140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6" i="6"/>
  <c r="X146" i="6"/>
  <c r="Y146" i="6"/>
  <c r="Z146" i="6"/>
  <c r="AA146" i="6"/>
  <c r="AB146" i="6"/>
  <c r="AC146" i="6"/>
  <c r="AD146" i="6"/>
  <c r="B149" i="6"/>
  <c r="B150" i="6"/>
  <c r="B151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C157" i="6"/>
  <c r="D157" i="6"/>
  <c r="E157" i="6"/>
  <c r="F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C161" i="6"/>
  <c r="D161" i="6"/>
  <c r="E161" i="6"/>
  <c r="C162" i="6"/>
  <c r="D162" i="6"/>
  <c r="C163" i="6"/>
  <c r="D163" i="6"/>
  <c r="A164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B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A187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G190" i="6"/>
  <c r="H190" i="6"/>
  <c r="I190" i="6"/>
  <c r="J190" i="6"/>
  <c r="K190" i="6"/>
  <c r="L190" i="6"/>
  <c r="C191" i="6"/>
  <c r="D191" i="6"/>
  <c r="E191" i="6"/>
  <c r="F191" i="6"/>
  <c r="G191" i="6"/>
  <c r="H191" i="6"/>
  <c r="I191" i="6"/>
  <c r="J191" i="6"/>
  <c r="K191" i="6"/>
  <c r="L191" i="6"/>
  <c r="N191" i="6"/>
  <c r="O191" i="6"/>
  <c r="P191" i="6"/>
  <c r="Q191" i="6"/>
  <c r="R191" i="6"/>
  <c r="S191" i="6"/>
  <c r="T191" i="6"/>
  <c r="U191" i="6"/>
  <c r="V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F195" i="6"/>
  <c r="G195" i="6"/>
  <c r="H195" i="6"/>
  <c r="I195" i="6"/>
  <c r="J195" i="6"/>
  <c r="K195" i="6"/>
  <c r="L195" i="6"/>
  <c r="C196" i="6"/>
  <c r="D196" i="6"/>
  <c r="E196" i="6"/>
  <c r="F196" i="6"/>
  <c r="G196" i="6"/>
  <c r="H196" i="6"/>
  <c r="I196" i="6"/>
  <c r="J196" i="6"/>
  <c r="K196" i="6"/>
  <c r="L196" i="6"/>
  <c r="N196" i="6"/>
  <c r="O196" i="6"/>
  <c r="P196" i="6"/>
  <c r="Q196" i="6"/>
  <c r="R196" i="6"/>
  <c r="S196" i="6"/>
  <c r="T196" i="6"/>
  <c r="U196" i="6"/>
  <c r="V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B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A210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M213" i="6"/>
  <c r="N213" i="6"/>
  <c r="O213" i="6"/>
  <c r="P213" i="6"/>
  <c r="Q213" i="6"/>
  <c r="R213" i="6"/>
  <c r="S213" i="6"/>
  <c r="T213" i="6"/>
  <c r="U213" i="6"/>
  <c r="V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M218" i="6"/>
  <c r="N218" i="6"/>
  <c r="O218" i="6"/>
  <c r="P218" i="6"/>
  <c r="Q218" i="6"/>
  <c r="R218" i="6"/>
  <c r="S218" i="6"/>
  <c r="T218" i="6"/>
  <c r="U218" i="6"/>
  <c r="V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B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C238" i="6"/>
  <c r="C239" i="6"/>
  <c r="D239" i="6"/>
  <c r="C240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B248" i="6"/>
  <c r="B250" i="6"/>
  <c r="C250" i="6"/>
  <c r="D250" i="6"/>
  <c r="E250" i="6"/>
  <c r="F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E254" i="6"/>
  <c r="J254" i="6"/>
  <c r="E255" i="6"/>
  <c r="J255" i="6"/>
  <c r="C258" i="6"/>
  <c r="D258" i="6"/>
  <c r="E258" i="6"/>
  <c r="F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G5" i="7"/>
  <c r="H7" i="7"/>
  <c r="B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B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B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B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B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B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B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B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G31" i="7"/>
  <c r="B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B39" i="7"/>
  <c r="C39" i="7"/>
  <c r="B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B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B43" i="7"/>
  <c r="B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B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B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B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B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B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B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B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B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B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B72" i="7"/>
  <c r="C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B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B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B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B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G10" i="15"/>
  <c r="H10" i="15"/>
  <c r="I10" i="15"/>
  <c r="J10" i="15"/>
  <c r="K10" i="15"/>
  <c r="L10" i="15"/>
  <c r="N10" i="15"/>
  <c r="O10" i="15"/>
  <c r="P10" i="15"/>
  <c r="Q10" i="15"/>
  <c r="R10" i="15"/>
  <c r="S10" i="15"/>
  <c r="AA10" i="15"/>
  <c r="AB10" i="15"/>
  <c r="AC10" i="15"/>
  <c r="AD10" i="15"/>
  <c r="AE10" i="15"/>
  <c r="AF10" i="15"/>
  <c r="AH10" i="15"/>
  <c r="AI10" i="15"/>
  <c r="AJ10" i="15"/>
  <c r="AK10" i="15"/>
  <c r="AL10" i="15"/>
  <c r="AM10" i="15"/>
  <c r="G11" i="15"/>
  <c r="H11" i="15"/>
  <c r="I11" i="15"/>
  <c r="J11" i="15"/>
  <c r="K11" i="15"/>
  <c r="L11" i="15"/>
  <c r="N11" i="15"/>
  <c r="O11" i="15"/>
  <c r="P11" i="15"/>
  <c r="Q11" i="15"/>
  <c r="R11" i="15"/>
  <c r="S11" i="15"/>
  <c r="AA11" i="15"/>
  <c r="AB11" i="15"/>
  <c r="AC11" i="15"/>
  <c r="AD11" i="15"/>
  <c r="AE11" i="15"/>
  <c r="AF11" i="15"/>
  <c r="AH11" i="15"/>
  <c r="AI11" i="15"/>
  <c r="AJ11" i="15"/>
  <c r="AK11" i="15"/>
  <c r="AL11" i="15"/>
  <c r="AM11" i="15"/>
  <c r="A12" i="15"/>
  <c r="G12" i="15"/>
  <c r="H12" i="15"/>
  <c r="I12" i="15"/>
  <c r="J12" i="15"/>
  <c r="K12" i="15"/>
  <c r="L12" i="15"/>
  <c r="N12" i="15"/>
  <c r="O12" i="15"/>
  <c r="P12" i="15"/>
  <c r="Q12" i="15"/>
  <c r="R12" i="15"/>
  <c r="S12" i="15"/>
  <c r="U12" i="15"/>
  <c r="AA12" i="15"/>
  <c r="AB12" i="15"/>
  <c r="AC12" i="15"/>
  <c r="AD12" i="15"/>
  <c r="AE12" i="15"/>
  <c r="AF12" i="15"/>
  <c r="AH12" i="15"/>
  <c r="AI12" i="15"/>
  <c r="AJ12" i="15"/>
  <c r="AK12" i="15"/>
  <c r="AL12" i="15"/>
  <c r="AM12" i="15"/>
  <c r="A13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U13" i="15"/>
  <c r="AA13" i="15"/>
  <c r="AB13" i="15"/>
  <c r="AC13" i="15"/>
  <c r="AD13" i="15"/>
  <c r="AE13" i="15"/>
  <c r="AF13" i="15"/>
  <c r="AH13" i="15"/>
  <c r="AI13" i="15"/>
  <c r="AJ13" i="15"/>
  <c r="AK13" i="15"/>
  <c r="AL13" i="15"/>
  <c r="AM13" i="15"/>
  <c r="A14" i="15"/>
  <c r="G14" i="15"/>
  <c r="H14" i="15"/>
  <c r="I14" i="15"/>
  <c r="J14" i="15"/>
  <c r="K14" i="15"/>
  <c r="L14" i="15"/>
  <c r="N14" i="15"/>
  <c r="O14" i="15"/>
  <c r="P14" i="15"/>
  <c r="Q14" i="15"/>
  <c r="R14" i="15"/>
  <c r="S14" i="15"/>
  <c r="U14" i="15"/>
  <c r="AA14" i="15"/>
  <c r="AB14" i="15"/>
  <c r="AC14" i="15"/>
  <c r="AD14" i="15"/>
  <c r="AE14" i="15"/>
  <c r="AF14" i="15"/>
  <c r="AH14" i="15"/>
  <c r="AI14" i="15"/>
  <c r="AJ14" i="15"/>
  <c r="AK14" i="15"/>
  <c r="AL14" i="15"/>
  <c r="AM14" i="15"/>
  <c r="A15" i="15"/>
  <c r="G15" i="15"/>
  <c r="H15" i="15"/>
  <c r="I15" i="15"/>
  <c r="J15" i="15"/>
  <c r="K15" i="15"/>
  <c r="L15" i="15"/>
  <c r="N15" i="15"/>
  <c r="O15" i="15"/>
  <c r="P15" i="15"/>
  <c r="Q15" i="15"/>
  <c r="R15" i="15"/>
  <c r="S15" i="15"/>
  <c r="U15" i="15"/>
  <c r="AA15" i="15"/>
  <c r="AB15" i="15"/>
  <c r="AC15" i="15"/>
  <c r="AD15" i="15"/>
  <c r="AE15" i="15"/>
  <c r="AF15" i="15"/>
  <c r="AH15" i="15"/>
  <c r="AI15" i="15"/>
  <c r="AJ15" i="15"/>
  <c r="AK15" i="15"/>
  <c r="AL15" i="15"/>
  <c r="AM15" i="15"/>
  <c r="A16" i="15"/>
  <c r="G16" i="15"/>
  <c r="H16" i="15"/>
  <c r="I16" i="15"/>
  <c r="J16" i="15"/>
  <c r="K16" i="15"/>
  <c r="L16" i="15"/>
  <c r="N16" i="15"/>
  <c r="O16" i="15"/>
  <c r="P16" i="15"/>
  <c r="Q16" i="15"/>
  <c r="R16" i="15"/>
  <c r="S16" i="15"/>
  <c r="U16" i="15"/>
  <c r="AA16" i="15"/>
  <c r="AB16" i="15"/>
  <c r="AC16" i="15"/>
  <c r="AD16" i="15"/>
  <c r="AE16" i="15"/>
  <c r="AF16" i="15"/>
  <c r="AH16" i="15"/>
  <c r="AI16" i="15"/>
  <c r="AJ16" i="15"/>
  <c r="AK16" i="15"/>
  <c r="AL16" i="15"/>
  <c r="AM16" i="15"/>
  <c r="A17" i="15"/>
  <c r="G17" i="15"/>
  <c r="H17" i="15"/>
  <c r="I17" i="15"/>
  <c r="J17" i="15"/>
  <c r="K17" i="15"/>
  <c r="L17" i="15"/>
  <c r="N17" i="15"/>
  <c r="O17" i="15"/>
  <c r="P17" i="15"/>
  <c r="Q17" i="15"/>
  <c r="R17" i="15"/>
  <c r="S17" i="15"/>
  <c r="U17" i="15"/>
  <c r="AA17" i="15"/>
  <c r="AB17" i="15"/>
  <c r="AC17" i="15"/>
  <c r="AD17" i="15"/>
  <c r="AE17" i="15"/>
  <c r="AF17" i="15"/>
  <c r="AH17" i="15"/>
  <c r="AI17" i="15"/>
  <c r="AJ17" i="15"/>
  <c r="AK17" i="15"/>
  <c r="AL17" i="15"/>
  <c r="AM17" i="15"/>
  <c r="A18" i="15"/>
  <c r="G18" i="15"/>
  <c r="H18" i="15"/>
  <c r="I18" i="15"/>
  <c r="J18" i="15"/>
  <c r="K18" i="15"/>
  <c r="L18" i="15"/>
  <c r="N18" i="15"/>
  <c r="O18" i="15"/>
  <c r="P18" i="15"/>
  <c r="Q18" i="15"/>
  <c r="R18" i="15"/>
  <c r="S18" i="15"/>
  <c r="U18" i="15"/>
  <c r="AA18" i="15"/>
  <c r="AB18" i="15"/>
  <c r="AC18" i="15"/>
  <c r="AD18" i="15"/>
  <c r="AE18" i="15"/>
  <c r="AF18" i="15"/>
  <c r="AH18" i="15"/>
  <c r="AI18" i="15"/>
  <c r="AJ18" i="15"/>
  <c r="AK18" i="15"/>
  <c r="AL18" i="15"/>
  <c r="AM18" i="15"/>
  <c r="A19" i="15"/>
  <c r="G19" i="15"/>
  <c r="H19" i="15"/>
  <c r="I19" i="15"/>
  <c r="J19" i="15"/>
  <c r="K19" i="15"/>
  <c r="L19" i="15"/>
  <c r="N19" i="15"/>
  <c r="O19" i="15"/>
  <c r="P19" i="15"/>
  <c r="Q19" i="15"/>
  <c r="R19" i="15"/>
  <c r="S19" i="15"/>
  <c r="U19" i="15"/>
  <c r="AA19" i="15"/>
  <c r="AB19" i="15"/>
  <c r="AC19" i="15"/>
  <c r="AD19" i="15"/>
  <c r="AE19" i="15"/>
  <c r="AF19" i="15"/>
  <c r="AH19" i="15"/>
  <c r="AI19" i="15"/>
  <c r="AJ19" i="15"/>
  <c r="AK19" i="15"/>
  <c r="AL19" i="15"/>
  <c r="AM19" i="15"/>
  <c r="A20" i="15"/>
  <c r="G20" i="15"/>
  <c r="H20" i="15"/>
  <c r="I20" i="15"/>
  <c r="J20" i="15"/>
  <c r="K20" i="15"/>
  <c r="L20" i="15"/>
  <c r="N20" i="15"/>
  <c r="O20" i="15"/>
  <c r="P20" i="15"/>
  <c r="Q20" i="15"/>
  <c r="R20" i="15"/>
  <c r="S20" i="15"/>
  <c r="U20" i="15"/>
  <c r="AA20" i="15"/>
  <c r="AB20" i="15"/>
  <c r="AC20" i="15"/>
  <c r="AD20" i="15"/>
  <c r="AE20" i="15"/>
  <c r="AF20" i="15"/>
  <c r="AH20" i="15"/>
  <c r="AI20" i="15"/>
  <c r="AJ20" i="15"/>
  <c r="AK20" i="15"/>
  <c r="AL20" i="15"/>
  <c r="AM20" i="15"/>
  <c r="A21" i="15"/>
  <c r="G21" i="15"/>
  <c r="H21" i="15"/>
  <c r="I21" i="15"/>
  <c r="J21" i="15"/>
  <c r="K21" i="15"/>
  <c r="L21" i="15"/>
  <c r="N21" i="15"/>
  <c r="O21" i="15"/>
  <c r="P21" i="15"/>
  <c r="Q21" i="15"/>
  <c r="R21" i="15"/>
  <c r="S21" i="15"/>
  <c r="U21" i="15"/>
  <c r="AA21" i="15"/>
  <c r="AB21" i="15"/>
  <c r="AC21" i="15"/>
  <c r="AD21" i="15"/>
  <c r="AE21" i="15"/>
  <c r="AF21" i="15"/>
  <c r="AH21" i="15"/>
  <c r="AI21" i="15"/>
  <c r="AJ21" i="15"/>
  <c r="AK21" i="15"/>
  <c r="AL21" i="15"/>
  <c r="AM21" i="15"/>
  <c r="A22" i="15"/>
  <c r="G22" i="15"/>
  <c r="H22" i="15"/>
  <c r="I22" i="15"/>
  <c r="J22" i="15"/>
  <c r="K22" i="15"/>
  <c r="L22" i="15"/>
  <c r="N22" i="15"/>
  <c r="O22" i="15"/>
  <c r="P22" i="15"/>
  <c r="Q22" i="15"/>
  <c r="R22" i="15"/>
  <c r="S22" i="15"/>
  <c r="U22" i="15"/>
  <c r="AA22" i="15"/>
  <c r="AB22" i="15"/>
  <c r="AC22" i="15"/>
  <c r="AD22" i="15"/>
  <c r="AE22" i="15"/>
  <c r="AF22" i="15"/>
  <c r="AH22" i="15"/>
  <c r="AI22" i="15"/>
  <c r="AJ22" i="15"/>
  <c r="AK22" i="15"/>
  <c r="AL22" i="15"/>
  <c r="AM22" i="15"/>
  <c r="A23" i="15"/>
  <c r="G23" i="15"/>
  <c r="H23" i="15"/>
  <c r="I23" i="15"/>
  <c r="J23" i="15"/>
  <c r="K23" i="15"/>
  <c r="L23" i="15"/>
  <c r="N23" i="15"/>
  <c r="O23" i="15"/>
  <c r="P23" i="15"/>
  <c r="Q23" i="15"/>
  <c r="R23" i="15"/>
  <c r="S23" i="15"/>
  <c r="U23" i="15"/>
  <c r="AA23" i="15"/>
  <c r="AB23" i="15"/>
  <c r="AC23" i="15"/>
  <c r="AD23" i="15"/>
  <c r="AE23" i="15"/>
  <c r="AF23" i="15"/>
  <c r="AH23" i="15"/>
  <c r="AI23" i="15"/>
  <c r="AJ23" i="15"/>
  <c r="AK23" i="15"/>
  <c r="AL23" i="15"/>
  <c r="AM23" i="15"/>
  <c r="A24" i="15"/>
  <c r="G24" i="15"/>
  <c r="H24" i="15"/>
  <c r="I24" i="15"/>
  <c r="J24" i="15"/>
  <c r="K24" i="15"/>
  <c r="L24" i="15"/>
  <c r="N24" i="15"/>
  <c r="O24" i="15"/>
  <c r="P24" i="15"/>
  <c r="Q24" i="15"/>
  <c r="R24" i="15"/>
  <c r="S24" i="15"/>
  <c r="U24" i="15"/>
  <c r="AA24" i="15"/>
  <c r="AB24" i="15"/>
  <c r="AC24" i="15"/>
  <c r="AD24" i="15"/>
  <c r="AE24" i="15"/>
  <c r="AF24" i="15"/>
  <c r="AH24" i="15"/>
  <c r="AI24" i="15"/>
  <c r="AJ24" i="15"/>
  <c r="AK24" i="15"/>
  <c r="AL24" i="15"/>
  <c r="AM24" i="15"/>
  <c r="A25" i="15"/>
  <c r="G25" i="15"/>
  <c r="H25" i="15"/>
  <c r="I25" i="15"/>
  <c r="J25" i="15"/>
  <c r="K25" i="15"/>
  <c r="L25" i="15"/>
  <c r="N25" i="15"/>
  <c r="O25" i="15"/>
  <c r="P25" i="15"/>
  <c r="Q25" i="15"/>
  <c r="R25" i="15"/>
  <c r="S25" i="15"/>
  <c r="U25" i="15"/>
  <c r="AA25" i="15"/>
  <c r="AB25" i="15"/>
  <c r="AC25" i="15"/>
  <c r="AD25" i="15"/>
  <c r="AE25" i="15"/>
  <c r="AF25" i="15"/>
  <c r="AH25" i="15"/>
  <c r="AI25" i="15"/>
  <c r="AJ25" i="15"/>
  <c r="AK25" i="15"/>
  <c r="AL25" i="15"/>
  <c r="AM25" i="15"/>
  <c r="A26" i="15"/>
  <c r="G26" i="15"/>
  <c r="H26" i="15"/>
  <c r="I26" i="15"/>
  <c r="J26" i="15"/>
  <c r="K26" i="15"/>
  <c r="L26" i="15"/>
  <c r="N26" i="15"/>
  <c r="O26" i="15"/>
  <c r="P26" i="15"/>
  <c r="Q26" i="15"/>
  <c r="R26" i="15"/>
  <c r="S26" i="15"/>
  <c r="U26" i="15"/>
  <c r="AA26" i="15"/>
  <c r="AB26" i="15"/>
  <c r="AC26" i="15"/>
  <c r="AD26" i="15"/>
  <c r="AE26" i="15"/>
  <c r="AF26" i="15"/>
  <c r="AH26" i="15"/>
  <c r="AI26" i="15"/>
  <c r="AJ26" i="15"/>
  <c r="AK26" i="15"/>
  <c r="AL26" i="15"/>
  <c r="AM26" i="15"/>
  <c r="A27" i="15"/>
  <c r="G27" i="15"/>
  <c r="H27" i="15"/>
  <c r="I27" i="15"/>
  <c r="J27" i="15"/>
  <c r="K27" i="15"/>
  <c r="L27" i="15"/>
  <c r="N27" i="15"/>
  <c r="O27" i="15"/>
  <c r="P27" i="15"/>
  <c r="Q27" i="15"/>
  <c r="R27" i="15"/>
  <c r="S27" i="15"/>
  <c r="U27" i="15"/>
  <c r="AA27" i="15"/>
  <c r="AB27" i="15"/>
  <c r="AC27" i="15"/>
  <c r="AD27" i="15"/>
  <c r="AE27" i="15"/>
  <c r="AF27" i="15"/>
  <c r="AH27" i="15"/>
  <c r="AI27" i="15"/>
  <c r="AJ27" i="15"/>
  <c r="AK27" i="15"/>
  <c r="AL27" i="15"/>
  <c r="AM27" i="15"/>
  <c r="A28" i="15"/>
  <c r="G28" i="15"/>
  <c r="H28" i="15"/>
  <c r="I28" i="15"/>
  <c r="J28" i="15"/>
  <c r="K28" i="15"/>
  <c r="L28" i="15"/>
  <c r="N28" i="15"/>
  <c r="O28" i="15"/>
  <c r="P28" i="15"/>
  <c r="Q28" i="15"/>
  <c r="R28" i="15"/>
  <c r="S28" i="15"/>
  <c r="U28" i="15"/>
  <c r="AA28" i="15"/>
  <c r="AB28" i="15"/>
  <c r="AC28" i="15"/>
  <c r="AD28" i="15"/>
  <c r="AE28" i="15"/>
  <c r="AF28" i="15"/>
  <c r="AH28" i="15"/>
  <c r="AI28" i="15"/>
  <c r="AJ28" i="15"/>
  <c r="AK28" i="15"/>
  <c r="AL28" i="15"/>
  <c r="AM28" i="15"/>
  <c r="A29" i="15"/>
  <c r="G29" i="15"/>
  <c r="H29" i="15"/>
  <c r="I29" i="15"/>
  <c r="J29" i="15"/>
  <c r="K29" i="15"/>
  <c r="L29" i="15"/>
  <c r="N29" i="15"/>
  <c r="O29" i="15"/>
  <c r="P29" i="15"/>
  <c r="Q29" i="15"/>
  <c r="R29" i="15"/>
  <c r="S29" i="15"/>
  <c r="U29" i="15"/>
  <c r="AA29" i="15"/>
  <c r="AB29" i="15"/>
  <c r="AC29" i="15"/>
  <c r="AD29" i="15"/>
  <c r="AE29" i="15"/>
  <c r="AF29" i="15"/>
  <c r="AH29" i="15"/>
  <c r="AI29" i="15"/>
  <c r="AJ29" i="15"/>
  <c r="AK29" i="15"/>
  <c r="AL29" i="15"/>
  <c r="AM29" i="15"/>
  <c r="A30" i="15"/>
  <c r="G30" i="15"/>
  <c r="H30" i="15"/>
  <c r="I30" i="15"/>
  <c r="J30" i="15"/>
  <c r="K30" i="15"/>
  <c r="L30" i="15"/>
  <c r="N30" i="15"/>
  <c r="O30" i="15"/>
  <c r="P30" i="15"/>
  <c r="Q30" i="15"/>
  <c r="R30" i="15"/>
  <c r="S30" i="15"/>
  <c r="U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31" i="15"/>
  <c r="G31" i="15"/>
  <c r="H31" i="15"/>
  <c r="I31" i="15"/>
  <c r="J31" i="15"/>
  <c r="K31" i="15"/>
  <c r="L31" i="15"/>
  <c r="N31" i="15"/>
  <c r="O31" i="15"/>
  <c r="P31" i="15"/>
  <c r="Q31" i="15"/>
  <c r="R31" i="15"/>
  <c r="S31" i="15"/>
  <c r="U31" i="15"/>
  <c r="AA31" i="15"/>
  <c r="AB31" i="15"/>
  <c r="AC31" i="15"/>
  <c r="AD31" i="15"/>
  <c r="AE31" i="15"/>
  <c r="AF31" i="15"/>
  <c r="AH31" i="15"/>
  <c r="AI31" i="15"/>
  <c r="AJ31" i="15"/>
  <c r="AK31" i="15"/>
  <c r="AL31" i="15"/>
  <c r="AM31" i="15"/>
  <c r="A32" i="15"/>
  <c r="G32" i="15"/>
  <c r="H32" i="15"/>
  <c r="I32" i="15"/>
  <c r="J32" i="15"/>
  <c r="K32" i="15"/>
  <c r="L32" i="15"/>
  <c r="N32" i="15"/>
  <c r="O32" i="15"/>
  <c r="P32" i="15"/>
  <c r="Q32" i="15"/>
  <c r="R32" i="15"/>
  <c r="S32" i="15"/>
  <c r="U32" i="15"/>
  <c r="AA32" i="15"/>
  <c r="AB32" i="15"/>
  <c r="AC32" i="15"/>
  <c r="AD32" i="15"/>
  <c r="AE32" i="15"/>
  <c r="AF32" i="15"/>
  <c r="AH32" i="15"/>
  <c r="AI32" i="15"/>
  <c r="AJ32" i="15"/>
  <c r="AK32" i="15"/>
  <c r="AL32" i="15"/>
  <c r="AM32" i="15"/>
  <c r="A33" i="15"/>
  <c r="G33" i="15"/>
  <c r="H33" i="15"/>
  <c r="I33" i="15"/>
  <c r="J33" i="15"/>
  <c r="K33" i="15"/>
  <c r="L33" i="15"/>
  <c r="N33" i="15"/>
  <c r="O33" i="15"/>
  <c r="P33" i="15"/>
  <c r="Q33" i="15"/>
  <c r="R33" i="15"/>
  <c r="S33" i="15"/>
  <c r="U33" i="15"/>
  <c r="AA33" i="15"/>
  <c r="AB33" i="15"/>
  <c r="AC33" i="15"/>
  <c r="AD33" i="15"/>
  <c r="AE33" i="15"/>
  <c r="AF33" i="15"/>
  <c r="AH33" i="15"/>
  <c r="AI33" i="15"/>
  <c r="AJ33" i="15"/>
  <c r="AK33" i="15"/>
  <c r="AL33" i="15"/>
  <c r="AM33" i="15"/>
  <c r="A34" i="15"/>
  <c r="G34" i="15"/>
  <c r="H34" i="15"/>
  <c r="I34" i="15"/>
  <c r="J34" i="15"/>
  <c r="K34" i="15"/>
  <c r="L34" i="15"/>
  <c r="N34" i="15"/>
  <c r="O34" i="15"/>
  <c r="P34" i="15"/>
  <c r="Q34" i="15"/>
  <c r="R34" i="15"/>
  <c r="S34" i="15"/>
  <c r="U34" i="15"/>
  <c r="AA34" i="15"/>
  <c r="AB34" i="15"/>
  <c r="AC34" i="15"/>
  <c r="AD34" i="15"/>
  <c r="AE34" i="15"/>
  <c r="AF34" i="15"/>
  <c r="AH34" i="15"/>
  <c r="AI34" i="15"/>
  <c r="AJ34" i="15"/>
  <c r="AK34" i="15"/>
  <c r="AL34" i="15"/>
  <c r="AM34" i="15"/>
  <c r="A35" i="15"/>
  <c r="G35" i="15"/>
  <c r="H35" i="15"/>
  <c r="I35" i="15"/>
  <c r="J35" i="15"/>
  <c r="K35" i="15"/>
  <c r="L35" i="15"/>
  <c r="N35" i="15"/>
  <c r="O35" i="15"/>
  <c r="P35" i="15"/>
  <c r="Q35" i="15"/>
  <c r="R35" i="15"/>
  <c r="S35" i="15"/>
  <c r="U35" i="15"/>
  <c r="AA35" i="15"/>
  <c r="AB35" i="15"/>
  <c r="AC35" i="15"/>
  <c r="AD35" i="15"/>
  <c r="AE35" i="15"/>
  <c r="AF35" i="15"/>
  <c r="AH35" i="15"/>
  <c r="AI35" i="15"/>
  <c r="AJ35" i="15"/>
  <c r="AK35" i="15"/>
  <c r="AL35" i="15"/>
  <c r="AM35" i="15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D8" i="18"/>
  <c r="E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E10" i="18"/>
  <c r="AV10" i="18"/>
  <c r="D11" i="18"/>
  <c r="E11" i="18"/>
  <c r="AV11" i="18"/>
  <c r="E12" i="18"/>
  <c r="G12" i="18"/>
  <c r="AV12" i="18"/>
  <c r="E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V13" i="18"/>
  <c r="E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V14" i="18"/>
  <c r="D16" i="18"/>
  <c r="E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V18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D23" i="18"/>
  <c r="E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E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E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B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D44" i="18"/>
  <c r="E44" i="18"/>
  <c r="F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D47" i="18"/>
  <c r="B50" i="18"/>
  <c r="C56" i="18"/>
  <c r="C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B60" i="18"/>
  <c r="D60" i="18"/>
  <c r="D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D62" i="18"/>
  <c r="B64" i="18"/>
  <c r="D64" i="18"/>
  <c r="D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D66" i="18"/>
  <c r="B68" i="18"/>
  <c r="D68" i="18"/>
  <c r="D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D70" i="18"/>
  <c r="B75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B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AT79" i="18"/>
  <c r="AU79" i="18"/>
  <c r="D80" i="18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8" i="4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E11" i="11"/>
  <c r="F11" i="11"/>
  <c r="G11" i="11"/>
  <c r="H11" i="11"/>
  <c r="I11" i="11"/>
  <c r="E12" i="11"/>
  <c r="F12" i="11"/>
  <c r="G12" i="11"/>
  <c r="H12" i="11"/>
  <c r="I12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C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C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B55" i="11"/>
  <c r="C60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C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C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C6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F23" i="3"/>
  <c r="G23" i="3"/>
  <c r="H23" i="3"/>
  <c r="I23" i="3"/>
  <c r="C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F42" i="3"/>
  <c r="G42" i="3"/>
  <c r="H42" i="3"/>
  <c r="I42" i="3"/>
  <c r="C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F61" i="3"/>
  <c r="G61" i="3"/>
  <c r="H61" i="3"/>
  <c r="I61" i="3"/>
  <c r="C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46" i="1"/>
  <c r="C46" i="1"/>
  <c r="D46" i="1"/>
  <c r="F46" i="1"/>
  <c r="B54" i="1"/>
  <c r="C54" i="1"/>
  <c r="D54" i="1"/>
  <c r="F54" i="1"/>
  <c r="G54" i="1"/>
  <c r="B55" i="1"/>
  <c r="C55" i="1"/>
  <c r="D55" i="1"/>
  <c r="F55" i="1"/>
  <c r="G55" i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W20" i="8"/>
  <c r="X20" i="8"/>
  <c r="Y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F12" i="13"/>
  <c r="G12" i="13"/>
  <c r="H12" i="13"/>
  <c r="I12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C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C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B55" i="13"/>
  <c r="C60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C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C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C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C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B55" i="14"/>
  <c r="C60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C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C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<sst xmlns="http://schemas.openxmlformats.org/spreadsheetml/2006/main" count="1161" uniqueCount="516">
  <si>
    <t>NOTES</t>
  </si>
  <si>
    <t>2. All cells with blue font and yellow shading are input cells</t>
  </si>
  <si>
    <t>3. To run custom capacity price scenarios, please input the custom prices in yellow shaded rows provided  in "Power Price Assumptions"</t>
  </si>
  <si>
    <t>4. You can run preset scenarios in the "Preset Scenarios" section below.</t>
  </si>
  <si>
    <t>5. Please direct all questions concerning the model to:</t>
  </si>
  <si>
    <t>Reda Khatim</t>
  </si>
  <si>
    <t>- CSFB</t>
  </si>
  <si>
    <t>(212) 325-9142</t>
  </si>
  <si>
    <t>Clement Lau</t>
  </si>
  <si>
    <t>- Enron</t>
  </si>
  <si>
    <t>(713) 853-9446</t>
  </si>
  <si>
    <t>Grant Zimmerman</t>
  </si>
  <si>
    <t>(713) 853-6210</t>
  </si>
  <si>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</si>
  <si>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</si>
  <si>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</si>
  <si>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</si>
  <si>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</si>
  <si>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</si>
  <si>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EQUITY</t>
  </si>
  <si>
    <t>DSCR</t>
  </si>
  <si>
    <t>PARTNER'S</t>
  </si>
  <si>
    <t>FIXED PRICE PERIOD</t>
  </si>
  <si>
    <t>MARKET PRICE PERIOD</t>
  </si>
  <si>
    <t>IRR</t>
  </si>
  <si>
    <t>MIN</t>
  </si>
  <si>
    <t>AVGE</t>
  </si>
  <si>
    <t>AVG</t>
  </si>
  <si>
    <t>Sensitivity Selections:</t>
  </si>
  <si>
    <t>Choices</t>
  </si>
  <si>
    <t>Annual Escalator (%)</t>
  </si>
  <si>
    <t>Increase in Operating Expense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</si>
  <si>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</si>
  <si>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</si>
  <si>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</si>
  <si>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</si>
  <si>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</si>
  <si>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</si>
  <si>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</si>
  <si>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</si>
  <si>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</si>
  <si>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</si>
  <si>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</si>
  <si>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</si>
  <si>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</si>
  <si>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</si>
  <si>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</si>
  <si>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</si>
  <si>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</si>
  <si>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</si>
  <si>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</si>
  <si>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Calvert</t>
  </si>
  <si>
    <t>Wheatland</t>
  </si>
  <si>
    <t>Wilton</t>
  </si>
  <si>
    <t>Bond Proceeds</t>
  </si>
  <si>
    <t>2000 Uses</t>
  </si>
  <si>
    <t>Nominal Capacity (MW)</t>
  </si>
  <si>
    <t>Degradation Factor</t>
  </si>
  <si>
    <t>Total Sources</t>
  </si>
  <si>
    <t>Transactions Costs</t>
  </si>
  <si>
    <t>Number of Turbines</t>
  </si>
  <si>
    <t>Heat Rate Btu/ kWh</t>
  </si>
  <si>
    <t>Equity Partner's Share</t>
  </si>
  <si>
    <t xml:space="preserve"> Total Uses</t>
  </si>
  <si>
    <t>Permitted Hours</t>
  </si>
  <si>
    <t>Enron's Share</t>
  </si>
  <si>
    <t>Annual Operating Hours</t>
  </si>
  <si>
    <t>Annual Generation (MWh)</t>
  </si>
  <si>
    <t>CAPITAL MARKET DEBT ASSUMPTIONS: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</si>
  <si>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</si>
  <si>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</si>
  <si>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</si>
  <si>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</si>
  <si>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</si>
  <si>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</si>
  <si>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</si>
  <si>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Evaporative Cooler (MW) (only from 6/1/2000 onwards)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</si>
  <si>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</si>
  <si>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</si>
  <si>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</si>
  <si>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</si>
  <si>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</si>
  <si>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</si>
  <si>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</si>
  <si>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Energy Charge ($/MWh)</t>
  </si>
  <si>
    <t>Treasury Rate (%)</t>
  </si>
  <si>
    <t>Block Charge ($/start/turbine)</t>
  </si>
  <si>
    <t>Spread (%)</t>
  </si>
  <si>
    <t>Contractual Capacity</t>
  </si>
  <si>
    <t>All In Coupon Rate (%)</t>
  </si>
  <si>
    <t>Debt Service Reserve LOC Fee</t>
  </si>
  <si>
    <t>Market Period</t>
  </si>
  <si>
    <t>Interest Income Rate</t>
  </si>
  <si>
    <t>Degraded Capacity (used during market price period)</t>
  </si>
  <si>
    <t>Annual Degraded Generation (MWh)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</si>
  <si>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</si>
  <si>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</si>
  <si>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</si>
  <si>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</si>
  <si>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</si>
  <si>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</si>
  <si>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</si>
  <si>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End of Fixed Price Period</t>
  </si>
  <si>
    <t>Federal &amp; State Tax Depreciation</t>
  </si>
  <si>
    <t>Annual Escalator (Variable Rate Only)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</si>
  <si>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</si>
  <si>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</si>
  <si>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</si>
  <si>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</si>
  <si>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</si>
  <si>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</si>
  <si>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</si>
  <si>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</si>
  <si>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</si>
  <si>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</si>
  <si>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N/A</t>
  </si>
  <si>
    <t>SUMMARY OUTPUT:</t>
  </si>
  <si>
    <t>OPERATING COSTS ASSUMPTIONS:</t>
  </si>
  <si>
    <t>Variable O&amp;M ($/MWh)</t>
  </si>
  <si>
    <t>Min</t>
  </si>
  <si>
    <t>Avg.</t>
  </si>
  <si>
    <t>Marketing Fee ($/kW -m in 2003 $)</t>
  </si>
  <si>
    <t>CPI Escalator</t>
  </si>
  <si>
    <t>1999 Projects</t>
  </si>
  <si>
    <t>2000 Projects</t>
  </si>
  <si>
    <t>1999 &amp; 2000 Projects</t>
  </si>
  <si>
    <t>Average Heat Rate (average) (Btu/kWh)</t>
  </si>
  <si>
    <t>Escalated Costs (1999 $):</t>
  </si>
  <si>
    <t>Fixed O&amp;M</t>
  </si>
  <si>
    <t>Total Nominal Capacity for 1999 &amp; 2000 Projects (MW)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</si>
  <si>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</si>
  <si>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</si>
  <si>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</si>
  <si>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</si>
  <si>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</si>
  <si>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</si>
  <si>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</si>
  <si>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</si>
  <si>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Non-Escalated Costs (1999 $):</t>
  </si>
  <si>
    <t>Property Taxes &amp; Other (4yr Avg.)</t>
  </si>
  <si>
    <t>EGC EBITDA (000 $)</t>
  </si>
  <si>
    <t>EGC Net Income (000 $)</t>
  </si>
  <si>
    <t>EGC Pre-Tax Cashflow (000 $)</t>
  </si>
  <si>
    <t>EGC After-Tax Cashflow (000 $)</t>
  </si>
  <si>
    <t>POWER PRICE ASSUMPTIONS</t>
  </si>
  <si>
    <t>Kaiser Capacity Price Escalator</t>
  </si>
  <si>
    <t>TVA Capacity Curves:</t>
  </si>
  <si>
    <t>(for Caledonia, New Albany, Brownsville and Calvert City)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</si>
  <si>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</si>
  <si>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</si>
  <si>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</si>
  <si>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</si>
  <si>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</si>
  <si>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</si>
  <si>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</si>
  <si>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</si>
  <si>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PPA Fixed Price ($/kW-month)</t>
  </si>
  <si>
    <t>Kaiser Scenario after 2003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</si>
  <si>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</si>
  <si>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</si>
  <si>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</si>
  <si>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</si>
  <si>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</si>
  <si>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EGC INCOME STATEMENT</t>
  </si>
  <si>
    <t>('000 $)</t>
  </si>
  <si>
    <t>Revenue</t>
  </si>
  <si>
    <t>PPA Period:</t>
  </si>
  <si>
    <t>Demand Payment</t>
  </si>
  <si>
    <t>Energy Payment</t>
  </si>
  <si>
    <t>Block Payment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</si>
  <si>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</si>
  <si>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</si>
  <si>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</si>
  <si>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</si>
  <si>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</si>
  <si>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</si>
  <si>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</si>
  <si>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</si>
  <si>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</si>
  <si>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</si>
  <si>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</si>
  <si>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</si>
  <si>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</si>
  <si>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</si>
  <si>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</si>
  <si>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</si>
  <si>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</si>
  <si>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</si>
  <si>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</si>
  <si>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</si>
  <si>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</si>
  <si>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</si>
  <si>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Capital Expenditures</t>
  </si>
  <si>
    <t>Debt Service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</si>
  <si>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</si>
  <si>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</si>
  <si>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</si>
  <si>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</si>
  <si>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</si>
  <si>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</si>
  <si>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</si>
  <si>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</si>
  <si>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</si>
  <si>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50% Equity on 12/99, 50% on 3/00</t>
  </si>
  <si>
    <t>Distributable After Tax Cash to Equity Partner</t>
  </si>
  <si>
    <t>Equity Contributions from Equity Partner</t>
  </si>
  <si>
    <t>Equity Partner's Cashflow Stream</t>
  </si>
  <si>
    <t>Actual IRR</t>
  </si>
  <si>
    <t>Required Equity Investment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</si>
  <si>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</si>
  <si>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</si>
  <si>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</si>
  <si>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</si>
  <si>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</si>
  <si>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</si>
  <si>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</si>
  <si>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</si>
  <si>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IRR Calculation</t>
  </si>
  <si>
    <t>Equity Partner's Contribution discounted @</t>
  </si>
  <si>
    <t>Equity Partner's Cashflow with No Residual Value</t>
  </si>
  <si>
    <t xml:space="preserve">   IRR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</si>
  <si>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</si>
  <si>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</si>
  <si>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</si>
  <si>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</si>
  <si>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</si>
  <si>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</si>
  <si>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</si>
  <si>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</si>
  <si>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EGC SENIOR DEBT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</si>
  <si>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</si>
  <si>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</si>
  <si>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</si>
  <si>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</si>
  <si>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</si>
  <si>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</si>
  <si>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</si>
  <si>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</si>
  <si>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</si>
  <si>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NA</t>
  </si>
  <si>
    <t xml:space="preserve">DSCR Market Price Period </t>
  </si>
  <si>
    <t>EGC DEPRECIATION SCHEDULE</t>
  </si>
  <si>
    <t>1999 PPA Fixed Price (Months)</t>
  </si>
  <si>
    <t>1999 PPA Market Price (Months)</t>
  </si>
  <si>
    <t>2000 PPA Fixed Price (Months)</t>
  </si>
  <si>
    <t>2000 PPA Market Price (Months)</t>
  </si>
  <si>
    <t>15 Year MACRS Table</t>
  </si>
  <si>
    <t>Half-Year Convention</t>
  </si>
  <si>
    <t>US FEDERAL TAX DEPRECIATION &amp; AMORTIZATION</t>
  </si>
  <si>
    <t>Depr. %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</si>
  <si>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</si>
  <si>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</si>
  <si>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</si>
  <si>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</si>
  <si>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</si>
  <si>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</si>
  <si>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</si>
  <si>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</si>
  <si>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</si>
  <si>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</si>
  <si>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</si>
  <si>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Total Ending Book Value</t>
  </si>
  <si>
    <t>EGC TAXES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</si>
  <si>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</si>
  <si>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</si>
  <si>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</si>
  <si>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</si>
  <si>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</si>
  <si>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</si>
  <si>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Weighted Average State Income Tax Rate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</si>
  <si>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</si>
  <si>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</si>
  <si>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</si>
  <si>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</si>
  <si>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</si>
  <si>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</si>
  <si>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</si>
  <si>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r>
      <t>Plus: Supplemental Tax</t>
    </r>
    <r>
      <rPr>
        <b/>
        <vertAlign val="superscript"/>
        <sz val="10"/>
        <rFont val="Times New Roman"/>
        <family val="1"/>
      </rPr>
      <t>(1)</t>
    </r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</si>
  <si>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</si>
  <si>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</si>
  <si>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</si>
  <si>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</si>
  <si>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</si>
  <si>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</si>
  <si>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</si>
  <si>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</si>
  <si>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</si>
  <si>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Utility Start Up Power</t>
  </si>
  <si>
    <t>Property, Other Taxes</t>
  </si>
  <si>
    <t>Debt Service L/C Fee</t>
  </si>
  <si>
    <t>Brownsville Net Income</t>
  </si>
  <si>
    <t>CASH FLOW BROWNSVILLE</t>
  </si>
  <si>
    <t>Investor Interest</t>
  </si>
  <si>
    <t>Investor Net Income</t>
  </si>
  <si>
    <t>Investor Distributable Cash</t>
  </si>
  <si>
    <t>Demand Revenue</t>
  </si>
  <si>
    <t>Caledonia Net Income</t>
  </si>
  <si>
    <t>CASH FLOW CALEDONIA</t>
  </si>
  <si>
    <t>New Albany Net Income</t>
  </si>
  <si>
    <t>CASH FLOW  NEW ALBANY</t>
  </si>
  <si>
    <t>Calvert Net Income</t>
  </si>
  <si>
    <t>CASH FLOW CALVERT</t>
  </si>
  <si>
    <t>INCOME STATEMENT - WHEATLAND</t>
  </si>
  <si>
    <t>Wheatland Net Income</t>
  </si>
  <si>
    <t>CASH FLOW - WHEATLAND</t>
  </si>
  <si>
    <t>INCOME/ GROSS RECEIPTS TAX - WHEATLAND (SPECIFIC TO WHEATLAND ONLY)</t>
  </si>
  <si>
    <t>Adjusted Gross Income Tax</t>
  </si>
  <si>
    <t xml:space="preserve">   Book Income</t>
  </si>
  <si>
    <t xml:space="preserve">   Adjusted Gross Income Rate</t>
  </si>
  <si>
    <t xml:space="preserve">   State Adjusted Gross Income Tax</t>
  </si>
  <si>
    <t>State Gross Receipts Taxes</t>
  </si>
  <si>
    <t xml:space="preserve">   Gross Receipts on non TVA hours ONLY</t>
  </si>
  <si>
    <t xml:space="preserve">   Gross Receipts Tax Rate</t>
  </si>
  <si>
    <t xml:space="preserve">   Gross Receipts Tax Liability</t>
  </si>
  <si>
    <t xml:space="preserve">   Greater of Adjusted or Gross Receipts</t>
  </si>
  <si>
    <t>Wilton Net Income</t>
  </si>
  <si>
    <t>CASH FLOW WILTON</t>
  </si>
  <si>
    <t>EGC BLOCK CHARGE MATRIX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</si>
  <si>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</si>
  <si>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</si>
  <si>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</si>
  <si>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</si>
  <si>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</si>
  <si>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</si>
  <si>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</si>
  <si>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</si>
  <si>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</si>
  <si>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</si>
  <si>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</si>
  <si>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</si>
  <si>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</si>
  <si>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ALLOCATION</t>
  </si>
  <si>
    <t>Project</t>
  </si>
  <si>
    <t>Capacity (MW)</t>
  </si>
  <si>
    <t xml:space="preserve">   Sub Total</t>
  </si>
  <si>
    <t>Land as a Percentage of Total Project Cost (%)</t>
  </si>
  <si>
    <t>1999 Land/ Total 1999 Cost</t>
  </si>
  <si>
    <t>2000 Land/ Total 2000 Cost</t>
  </si>
  <si>
    <t>Variable O&amp;M (1998$/MWh)</t>
  </si>
  <si>
    <t>Heat Rate (BTU/kWh)</t>
  </si>
  <si>
    <t xml:space="preserve">FUEL </t>
  </si>
  <si>
    <t>(de-escalate at 3% to 1998 $, and using nominal MW)</t>
  </si>
  <si>
    <r>
      <t>Fixed O&amp;M (1998$/ kWyr)</t>
    </r>
    <r>
      <rPr>
        <b/>
        <vertAlign val="superscript"/>
        <sz val="9"/>
        <rFont val="Times New Roman"/>
        <family val="1"/>
      </rPr>
      <t>*</t>
    </r>
  </si>
  <si>
    <t>* Include Fixed O&amp;M, Insurance, SG&amp;A, Property Tax, Admin Fees, O&amp;M Fees, and Utilities Start Power</t>
  </si>
  <si>
    <t>* If include Major Maintenance, the average Fixed O&amp;M (1998$/ kWyr) would be $8.39/ kWyr</t>
  </si>
  <si>
    <r>
      <t>Fixed O&amp;M (1998$/ kWyr)</t>
    </r>
    <r>
      <rPr>
        <b/>
        <vertAlign val="superscript"/>
        <sz val="9"/>
        <rFont val="Times New Roman"/>
        <family val="1"/>
      </rPr>
      <t>**</t>
    </r>
  </si>
  <si>
    <r>
      <t>Variable O&amp;M (1998$/MWh)</t>
    </r>
    <r>
      <rPr>
        <b/>
        <vertAlign val="superscript"/>
        <sz val="9"/>
        <rFont val="Times New Roman"/>
        <family val="1"/>
      </rPr>
      <t>**</t>
    </r>
  </si>
  <si>
    <t>Capital Costs (1998$/kW-m)</t>
  </si>
  <si>
    <t>INCOME STATEMENT - BROWNSVILLE</t>
  </si>
  <si>
    <t>INCOME STATEMENT - CALEDONIA</t>
  </si>
  <si>
    <t>INCOME STATEMENT - NEW ALBANY</t>
  </si>
  <si>
    <t>INCOME STATEMENT - CALVERT</t>
  </si>
  <si>
    <t>INCOME STATEMENT - WILTON</t>
  </si>
  <si>
    <t>Less Interest Payments</t>
  </si>
  <si>
    <t>Less Principal Payments</t>
  </si>
  <si>
    <t>Cash Interest Expense</t>
  </si>
  <si>
    <t>Accrued Interest Expense</t>
  </si>
  <si>
    <t>Tranch 1 Principal</t>
  </si>
  <si>
    <t>Tranche 2 Principal</t>
  </si>
  <si>
    <t>Tranche 3 Principal</t>
  </si>
  <si>
    <t>Average Life</t>
  </si>
  <si>
    <r>
      <t xml:space="preserve">Equity Partner's IRR w After-Tax Cashflow &amp; w/o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</si>
  <si>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After-Tax Cashflow &amp; 5x EBITDA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</si>
  <si>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 -Tax Cashflow &amp; 25% Before-Tax Total Cost Residual Value (20 yrs) </t>
    </r>
    <r>
      <rPr>
        <vertAlign val="superscript"/>
        <sz val="12"/>
        <rFont val="Times New Roman"/>
        <family val="1"/>
      </rPr>
      <t>(1)</t>
    </r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</si>
  <si>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</si>
  <si>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</si>
  <si>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</si>
  <si>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</si>
  <si>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</si>
  <si>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Interest Accrued</t>
  </si>
  <si>
    <t>Principal Accrued</t>
  </si>
  <si>
    <t>Accrued Principal</t>
  </si>
  <si>
    <t>Total Accrued Principal</t>
  </si>
  <si>
    <t>Cash Principal Payments</t>
  </si>
  <si>
    <t>Accrued DS Reserve For 1999</t>
  </si>
  <si>
    <t>Jan. 31</t>
  </si>
  <si>
    <t>Jul. 31</t>
  </si>
  <si>
    <t>Dec. 31</t>
  </si>
  <si>
    <t>Enron's Undertaking For LOC Fee</t>
  </si>
  <si>
    <t>11 Months</t>
  </si>
  <si>
    <t>Plus Capitalized Interest</t>
  </si>
  <si>
    <t>Capitalized Interest</t>
  </si>
  <si>
    <t xml:space="preserve"> State Cash Taxes Benefit (Expense)</t>
  </si>
  <si>
    <t xml:space="preserve"> Federal Cash Taxes Benefit (Expense)</t>
  </si>
  <si>
    <t>Accrual</t>
  </si>
  <si>
    <t>Cost Allocation Among Projects</t>
  </si>
  <si>
    <t>Debt Allocation Among Projects</t>
  </si>
  <si>
    <t>Debt Allocation Within the 1999 &amp; 2000 Projects</t>
  </si>
  <si>
    <t xml:space="preserve">State Tax </t>
  </si>
  <si>
    <t>3 Months</t>
  </si>
  <si>
    <t>Cash</t>
  </si>
  <si>
    <t>Current (Semi-Annual)</t>
  </si>
  <si>
    <t>Current (Annual)</t>
  </si>
  <si>
    <t>Unhide Sub Debt, 1999 Columns</t>
  </si>
  <si>
    <t>Mark Bernstein</t>
  </si>
  <si>
    <t>(713) 853-7516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</si>
  <si>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</si>
  <si>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</si>
  <si>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>(2) Interest Expense for 1999 and 2000 is shown net of capitalized interest associated with the 2000 facilities.</t>
  </si>
  <si>
    <t>(1) This line item includes property tax, franchise tax and gross receipts tax.</t>
  </si>
  <si>
    <t>Average DSCR (Market Price Period) (2003-2019)</t>
  </si>
  <si>
    <t>Minimum DSCR (Market Price Period) (2003-2019)</t>
  </si>
  <si>
    <t>Enron's Undertaking</t>
  </si>
  <si>
    <t>EGC CASH FLOW</t>
  </si>
  <si>
    <t>Fixed Price Period (2000 - 2002)</t>
  </si>
  <si>
    <t>Market Price Period (2003 - 2019)</t>
  </si>
  <si>
    <t>Average DSCR (Fixed Price Period) (2000-2002)</t>
  </si>
  <si>
    <t>Minimum DSCR (Fixed Price Period) (2000-2002)</t>
  </si>
  <si>
    <t>Net Pre Tax Cash Flow</t>
  </si>
  <si>
    <t>Repayment of Enron's Undertaking</t>
  </si>
  <si>
    <t xml:space="preserve">    fron 6/2003 onward</t>
  </si>
  <si>
    <t xml:space="preserve">    from 6/1/2000 to 5/31/2003</t>
  </si>
  <si>
    <t>Equity Contr.</t>
  </si>
  <si>
    <t>Days to EOY 2/15</t>
  </si>
  <si>
    <t>Days to EOY 8/15</t>
  </si>
  <si>
    <t>Semiannual CF compounded to End of Year</t>
  </si>
  <si>
    <t xml:space="preserve">     Less Capitalized Interest</t>
  </si>
  <si>
    <t>USING XIRR</t>
  </si>
  <si>
    <t>ANNUAL CASH FLOW AND IRR</t>
  </si>
  <si>
    <t>SEMIANNUAL CASH FLOW AND IRR</t>
  </si>
  <si>
    <t xml:space="preserve">      Less Enron Undertaking</t>
  </si>
  <si>
    <t xml:space="preserve">  In order to calculate the IRR correctly you must change these cells to the respective values in cells D62, D66, and D70 and then recalculate.</t>
  </si>
  <si>
    <t>1.  Please note that in the "IRR" page, cells B60, B64, and B68 must be updated by hand each time you run a scenario on this page.</t>
  </si>
  <si>
    <t>Prop Taxes Updated for Bvll GR tax and Wheat Tax</t>
  </si>
  <si>
    <t>Semi-annual Distributions</t>
  </si>
  <si>
    <t>No XIRRs</t>
  </si>
  <si>
    <t>3 year Treasury (as of April 26)</t>
  </si>
  <si>
    <t>8 year Treasury (as of April 26)</t>
  </si>
  <si>
    <t>30 year Treasury (as of April 26)</t>
  </si>
  <si>
    <t>Equity Closed</t>
  </si>
  <si>
    <t xml:space="preserve">    from 1/1/2000 till 5/31/2000 only</t>
  </si>
  <si>
    <t xml:space="preserve">* Includes 2/3 Major Maintenance to Fixed O&amp;M, 1/3 Major Maintenance to Variable O&amp;M  </t>
  </si>
  <si>
    <t>Interest Income from Enron</t>
  </si>
  <si>
    <t>Retained Cash Flow</t>
  </si>
  <si>
    <t xml:space="preserve">       Less Retained Cash Flow</t>
  </si>
  <si>
    <t>Market period MIN and AVG coverage to the left do not include 8/15/03.</t>
  </si>
  <si>
    <t>Property Tax Update (Semi-Annual)</t>
  </si>
  <si>
    <t>Property Tax Update (Annual)</t>
  </si>
  <si>
    <t>Resize Equity (Semi-Annual)</t>
  </si>
  <si>
    <t>Resize Equity (Annual)</t>
  </si>
  <si>
    <t>Increase Mkt Period Var Costs for ISO (Semi-Annual)</t>
  </si>
  <si>
    <t>Increase Mkt Period Var Costs for ISO (Annual)</t>
  </si>
  <si>
    <t>Re amortize for 2.09 covg 2/15/04 (Semi-Annual)</t>
  </si>
  <si>
    <t>Re amortize for 2.09 covg 2/15/04 (Annual)</t>
  </si>
  <si>
    <t>Take Debt to 750 total (Semi-Annual)</t>
  </si>
  <si>
    <t>Take Debt to 750 total (Annual)</t>
  </si>
  <si>
    <t>Equity at $457.3MM (Semi-Annual)</t>
  </si>
  <si>
    <t>Equity at $457.3 MM (Annual)</t>
  </si>
  <si>
    <t>Equity at $525 MM (Semi-Annual)</t>
  </si>
  <si>
    <t>Equity at $525 MM (Annual)</t>
  </si>
  <si>
    <t>Taking Debt Down $2MM and getting 2/04 up to 2.0 (Semi-Annual)</t>
  </si>
  <si>
    <t>Taking Debt Down $2MM and getting 2/04 up to 2.0 (Annual)</t>
  </si>
  <si>
    <t>Adding Capitalized Interest to the Sources (Semi-Annual)</t>
  </si>
  <si>
    <t>Adding Capitalized Interest to the Sources (Annual)</t>
  </si>
  <si>
    <t>IRR Model OctStart4 (Semi-Annual)</t>
  </si>
  <si>
    <t>IRR Model OctStart4 Current (Annual)</t>
  </si>
  <si>
    <t>Allocate Enron Undertakings to 1999 Projects (Semi-Annual)</t>
  </si>
  <si>
    <t>Allocate Enron Undertakings to 1999 Projects (Annual)</t>
  </si>
  <si>
    <t>Semi-Annual EBITDA Alloc for 7/1 Start at CC/ Wheat (Semi-Annual)</t>
  </si>
  <si>
    <t>Semi-Annual EBITDA Alloc for 7/1 Start at CC/ Wheat (Annual)</t>
  </si>
  <si>
    <t>Start Tranche 1 Amort 2/15/00 (Semi-Annual)</t>
  </si>
  <si>
    <t>Start Tranche 1 Amort 2/15/00 (Annual)</t>
  </si>
  <si>
    <t>Fix Cap Int and Add 2/15/00 Tax to IRR (Semi-Annual)</t>
  </si>
  <si>
    <t>Fix Cap Int and Add 2/15/00 Tax to IRR (Annual)</t>
  </si>
  <si>
    <t>Add DSLOC to 99 and Start CC and Wheat 7/1 (Semi-Annual)</t>
  </si>
  <si>
    <t>Add DSLOC to 99 and Start CC and Wheat 7/1 (Annual)</t>
  </si>
  <si>
    <t>Fix Depreciation Book and Tax (IS and CF, IRR) (Semi-Annual)</t>
  </si>
  <si>
    <t>Fix Depreciation Book and Tax (IS and CF, IRR) (Annual)</t>
  </si>
  <si>
    <t>August Debt (Semi-Annual)</t>
  </si>
  <si>
    <t>August Debt (Annual)</t>
  </si>
  <si>
    <t>D&amp;E at 525 and 775 with old rates (Semi-Annual)</t>
  </si>
  <si>
    <t>D&amp;E at 525 and 775 with old rates (Annual)</t>
  </si>
  <si>
    <t>Operating Months in the 1st yr.*</t>
  </si>
  <si>
    <t>*Operations for 1999 projects not included in EGC results until 1/1/2000.</t>
  </si>
  <si>
    <t>Use 7/20 Rates at Old Covgs (Semi-Annual)</t>
  </si>
  <si>
    <t>Use 7/20 Rates at Old Covgs (Annual)</t>
  </si>
  <si>
    <t>Average Life Tranche 3</t>
  </si>
  <si>
    <t>Misc Changes Include New Debt Amortization Schedules (Semi-Annual)</t>
  </si>
  <si>
    <t>Misc Changes Include New Debt Amortization Schedules (Annual)</t>
  </si>
  <si>
    <t>Property, Other Taxes, &amp; Tax Benefits</t>
  </si>
  <si>
    <t>Debt Assumptions and PPA Start Date</t>
  </si>
  <si>
    <t>Capitalized Interest Calculation</t>
  </si>
  <si>
    <t>Residual Value Calculation</t>
  </si>
  <si>
    <t>No Change</t>
  </si>
  <si>
    <t>Zero Dispatch Scenario</t>
  </si>
  <si>
    <t>Links For ICF Low Case For Wheatland</t>
  </si>
  <si>
    <t>Base Model Sent to People</t>
  </si>
  <si>
    <t>Remove Wheatland Supplemental Tax Double Counting</t>
  </si>
  <si>
    <t>Changes To Brownsville Gross Receipts Tax</t>
  </si>
  <si>
    <t>Latest ISO MWs in the Market Period</t>
  </si>
  <si>
    <t>Change Weighted State Tax Calculation</t>
  </si>
  <si>
    <t>Changes to the Debt &amp; IRR Page, Semi-Annual Distributions</t>
  </si>
  <si>
    <t>Change Debt Start Date, PPA, Transfer, etc. to 10/1/99</t>
  </si>
  <si>
    <t>Changed Capitalized Interest Calculation</t>
  </si>
  <si>
    <t>Remove Undertakings and Interest Income for 1999 but add ECT Loan with No Repayment</t>
  </si>
  <si>
    <t>Resize Debt &amp; Equity to fit Old DSCR (with minor adjustment), and 12.08% Equity Returns (Based On Semi-Annual Distributions)</t>
  </si>
  <si>
    <t>Update Rates as of 7-20-99</t>
  </si>
  <si>
    <t>Base Model Sent to All Equity Investors in April</t>
  </si>
  <si>
    <t>Change # of Months for Wilton &amp; Calvert (Annual)</t>
  </si>
  <si>
    <t>Change # of Months for Wilton &amp; Calvert (Semi-Annual)</t>
  </si>
  <si>
    <t>Switch Allocation Between Wheatland &amp; Wilton (Semi-Annual)</t>
  </si>
  <si>
    <t>Switch Allocation Between Wheatland &amp; Wilton (Annual)</t>
  </si>
  <si>
    <t>Remove 1 month Depr for Wheatland &amp; Wilton (Semi-Annual)</t>
  </si>
  <si>
    <t>Remove 1 month Depr for Wheatland &amp; Wilton (Annual)</t>
  </si>
  <si>
    <t>Calvert and Wheatland start 7/1, Wilton 6/1</t>
  </si>
  <si>
    <t>Coverage</t>
  </si>
  <si>
    <t xml:space="preserve">      Less Interest Income</t>
  </si>
  <si>
    <t xml:space="preserve">      Less ECT's Undertakings</t>
  </si>
  <si>
    <t xml:space="preserve">      Less Capitalized Interest</t>
  </si>
  <si>
    <t>Average DSCR (Fixed Price Period) (2000-2003)</t>
  </si>
  <si>
    <t>Average DSCR (Market Price Period) (2004-2019)</t>
  </si>
  <si>
    <t>Minimum DSCR (Fixed Price Period) (2000-2003)</t>
  </si>
  <si>
    <t>Minimum DSCR (Market Price Period) (2004-2019)</t>
  </si>
  <si>
    <t>Debt has New Int Rts. 8/23 Spreads 7/20</t>
  </si>
  <si>
    <t>Maximum DSR Amount (12mths) (000 $)</t>
  </si>
  <si>
    <t>50%Equity0830-Oct PPA, 12MDSCR-730Debt.xls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</si>
</sst>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5" formatCode="#,##0.000_);[Red]\(#,##0.00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86" formatCode="mmmm\-yy"/>
    <numFmt numFmtId="311" formatCode="yyyy"/>
    <numFmt numFmtId="313" formatCode="mmmm\ d\,\ yyyy"/>
    <numFmt numFmtId="316" formatCode="0.0000\x_);\(0.0000\x\)"/>
  </numFmts>
  <fonts count="8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b/>
      <i/>
      <sz val="10"/>
      <color indexed="10"/>
      <name val="Times New Roman"/>
      <family val="1"/>
    </font>
    <font>
      <sz val="10"/>
      <name val="Times New Roman"/>
    </font>
    <font>
      <sz val="12"/>
      <color indexed="8"/>
      <name val="Arial MT"/>
    </font>
    <font>
      <b/>
      <u/>
      <sz val="10"/>
      <name val="Arial"/>
      <family val="2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i/>
      <sz val="10"/>
      <name val="Arial"/>
      <family val="2"/>
    </font>
    <font>
      <b/>
      <sz val="10"/>
      <color indexed="10"/>
      <name val="Arial"/>
      <family val="2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name val="Arial"/>
      <family val="2"/>
    </font>
    <font>
      <i/>
      <sz val="10"/>
      <color indexed="9"/>
      <name val="Times New Roman"/>
      <family val="1"/>
    </font>
    <font>
      <u/>
      <sz val="10"/>
      <name val="Arial"/>
    </font>
    <font>
      <sz val="10"/>
      <color indexed="8"/>
      <name val="Arial"/>
    </font>
    <font>
      <sz val="12"/>
      <color indexed="8"/>
      <name val="Times New Roman"/>
    </font>
    <font>
      <sz val="10"/>
      <color indexed="8"/>
      <name val="Times New Roman"/>
    </font>
    <font>
      <sz val="12"/>
      <name val="Times New Roman"/>
    </font>
    <font>
      <b/>
      <sz val="12"/>
      <color indexed="8"/>
      <name val="Times New Roman"/>
      <family val="1"/>
    </font>
    <font>
      <b/>
      <sz val="10"/>
      <name val="Arial"/>
    </font>
    <font>
      <b/>
      <sz val="10"/>
      <color indexed="12"/>
      <name val="Times New Roman"/>
    </font>
    <font>
      <sz val="8"/>
      <color indexed="81"/>
      <name val="Tahoma"/>
    </font>
    <font>
      <b/>
      <vertAlign val="superscript"/>
      <sz val="9"/>
      <name val="Times New Roman"/>
      <family val="1"/>
    </font>
    <font>
      <b/>
      <i/>
      <u/>
      <sz val="10"/>
      <name val="Arial"/>
      <family val="2"/>
    </font>
    <font>
      <b/>
      <u/>
      <sz val="10"/>
      <color indexed="10"/>
      <name val="Arial"/>
      <family val="2"/>
    </font>
    <font>
      <b/>
      <sz val="18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Arial"/>
    </font>
    <font>
      <b/>
      <sz val="10"/>
      <color indexed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0" fontId="1" fillId="0" borderId="0"/>
    <xf numFmtId="0" fontId="37" fillId="0" borderId="0"/>
    <xf numFmtId="0" fontId="3" fillId="0" borderId="0"/>
    <xf numFmtId="9" fontId="1" fillId="0" borderId="0" applyFont="0" applyFill="0" applyBorder="0" applyAlignment="0" applyProtection="0"/>
  </cellStyleXfs>
  <cellXfs count="891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43" fontId="5" fillId="0" borderId="0" xfId="1" applyFont="1" applyFill="1" applyAlignment="1">
      <alignment horizontal="left"/>
    </xf>
    <xf numFmtId="168" fontId="2" fillId="0" borderId="0" xfId="1" applyNumberFormat="1" applyFont="1" applyFill="1"/>
    <xf numFmtId="6" fontId="0" fillId="0" borderId="0" xfId="0" applyNumberFormat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/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10" fontId="3" fillId="0" borderId="0" xfId="0" applyNumberFormat="1" applyFont="1" applyFill="1" applyBorder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0" fontId="12" fillId="0" borderId="0" xfId="0" applyFont="1" applyBorder="1"/>
    <xf numFmtId="169" fontId="21" fillId="0" borderId="0" xfId="0" applyNumberFormat="1" applyFont="1" applyProtection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>
      <protection locked="0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8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8" applyFont="1" applyFill="1" applyProtection="1"/>
    <xf numFmtId="0" fontId="18" fillId="0" borderId="0" xfId="0" applyFont="1" applyProtection="1"/>
    <xf numFmtId="172" fontId="18" fillId="0" borderId="0" xfId="0" applyNumberFormat="1" applyFont="1" applyProtection="1"/>
    <xf numFmtId="0" fontId="23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Border="1"/>
    <xf numFmtId="0" fontId="31" fillId="0" borderId="0" xfId="0" applyFont="1"/>
    <xf numFmtId="0" fontId="3" fillId="0" borderId="0" xfId="0" applyFont="1" applyFill="1" applyAlignment="1">
      <alignment horizontal="center"/>
    </xf>
    <xf numFmtId="10" fontId="32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" fillId="5" borderId="0" xfId="0" applyNumberFormat="1" applyFont="1" applyFill="1"/>
    <xf numFmtId="3" fontId="12" fillId="0" borderId="0" xfId="0" applyNumberFormat="1" applyFont="1"/>
    <xf numFmtId="3" fontId="31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6" xfId="0" applyFont="1" applyBorder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7" xfId="0" applyFont="1" applyBorder="1"/>
    <xf numFmtId="179" fontId="19" fillId="0" borderId="8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8" xfId="0" applyNumberFormat="1" applyFont="1" applyBorder="1" applyAlignment="1">
      <alignment horizontal="center"/>
    </xf>
    <xf numFmtId="0" fontId="29" fillId="0" borderId="9" xfId="0" applyFont="1" applyBorder="1"/>
    <xf numFmtId="0" fontId="19" fillId="0" borderId="10" xfId="0" applyFont="1" applyBorder="1"/>
    <xf numFmtId="4" fontId="2" fillId="0" borderId="11" xfId="0" applyNumberFormat="1" applyFont="1" applyBorder="1" applyAlignment="1">
      <alignment horizontal="center"/>
    </xf>
    <xf numFmtId="0" fontId="29" fillId="0" borderId="6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3" fontId="33" fillId="0" borderId="0" xfId="0" applyNumberFormat="1" applyFont="1"/>
    <xf numFmtId="0" fontId="10" fillId="0" borderId="0" xfId="0" applyFont="1" applyFill="1"/>
    <xf numFmtId="0" fontId="35" fillId="0" borderId="0" xfId="0" applyFont="1"/>
    <xf numFmtId="43" fontId="10" fillId="0" borderId="0" xfId="1" applyFont="1" applyFill="1"/>
    <xf numFmtId="0" fontId="10" fillId="0" borderId="7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3" fontId="3" fillId="5" borderId="13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3" fontId="2" fillId="0" borderId="11" xfId="0" applyNumberFormat="1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Fill="1" applyBorder="1"/>
    <xf numFmtId="0" fontId="3" fillId="0" borderId="6" xfId="0" applyFont="1" applyBorder="1"/>
    <xf numFmtId="179" fontId="19" fillId="0" borderId="11" xfId="0" applyNumberFormat="1" applyFont="1" applyBorder="1"/>
    <xf numFmtId="166" fontId="17" fillId="0" borderId="0" xfId="1" applyNumberFormat="1" applyFont="1"/>
    <xf numFmtId="9" fontId="15" fillId="6" borderId="0" xfId="0" applyNumberFormat="1" applyFont="1" applyFill="1" applyAlignment="1">
      <alignment horizontal="center"/>
    </xf>
    <xf numFmtId="38" fontId="3" fillId="0" borderId="0" xfId="1" applyNumberFormat="1" applyFont="1"/>
    <xf numFmtId="6" fontId="3" fillId="0" borderId="0" xfId="0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7" fontId="2" fillId="5" borderId="1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15" xfId="0" applyFont="1" applyBorder="1" applyAlignment="1">
      <alignment horizontal="left"/>
    </xf>
    <xf numFmtId="0" fontId="30" fillId="0" borderId="0" xfId="0" applyFont="1" applyFill="1" applyBorder="1"/>
    <xf numFmtId="166" fontId="3" fillId="0" borderId="0" xfId="1" applyNumberFormat="1" applyFont="1" applyFill="1"/>
    <xf numFmtId="0" fontId="0" fillId="0" borderId="0" xfId="0" applyBorder="1"/>
    <xf numFmtId="0" fontId="6" fillId="0" borderId="0" xfId="0" applyFont="1"/>
    <xf numFmtId="0" fontId="2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/>
    <xf numFmtId="166" fontId="20" fillId="0" borderId="0" xfId="1" applyNumberFormat="1" applyFont="1" applyFill="1" applyBorder="1"/>
    <xf numFmtId="166" fontId="3" fillId="0" borderId="0" xfId="1" applyNumberFormat="1" applyFont="1" applyFill="1" applyBorder="1"/>
    <xf numFmtId="166" fontId="4" fillId="0" borderId="0" xfId="0" applyNumberFormat="1" applyFont="1" applyFill="1"/>
    <xf numFmtId="166" fontId="4" fillId="0" borderId="0" xfId="1" applyNumberFormat="1" applyFont="1" applyFill="1"/>
    <xf numFmtId="166" fontId="4" fillId="0" borderId="0" xfId="1" applyNumberFormat="1" applyFont="1" applyFill="1" applyBorder="1"/>
    <xf numFmtId="0" fontId="4" fillId="0" borderId="0" xfId="0" applyFont="1" applyFill="1" applyBorder="1"/>
    <xf numFmtId="6" fontId="17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0" fontId="15" fillId="6" borderId="0" xfId="8" applyNumberFormat="1" applyFont="1" applyFill="1" applyAlignment="1">
      <alignment horizontal="center"/>
    </xf>
    <xf numFmtId="0" fontId="10" fillId="0" borderId="0" xfId="0" applyFont="1" applyFill="1" applyBorder="1"/>
    <xf numFmtId="9" fontId="3" fillId="0" borderId="0" xfId="0" applyNumberFormat="1" applyFont="1" applyFill="1"/>
    <xf numFmtId="9" fontId="15" fillId="6" borderId="0" xfId="0" applyNumberFormat="1" applyFont="1" applyFill="1"/>
    <xf numFmtId="166" fontId="2" fillId="0" borderId="0" xfId="1" applyNumberFormat="1" applyFont="1" applyFill="1" applyBorder="1"/>
    <xf numFmtId="166" fontId="14" fillId="0" borderId="0" xfId="1" applyNumberFormat="1" applyFont="1" applyFill="1"/>
    <xf numFmtId="38" fontId="2" fillId="0" borderId="0" xfId="1" applyNumberFormat="1" applyFont="1" applyFill="1"/>
    <xf numFmtId="38" fontId="3" fillId="0" borderId="0" xfId="1" applyNumberFormat="1" applyFont="1" applyFill="1"/>
    <xf numFmtId="168" fontId="3" fillId="0" borderId="0" xfId="1" applyNumberFormat="1" applyFont="1" applyFill="1"/>
    <xf numFmtId="43" fontId="3" fillId="0" borderId="0" xfId="1" applyFont="1" applyFill="1" applyBorder="1"/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45" fillId="0" borderId="0" xfId="0" applyFont="1" applyFill="1" applyBorder="1"/>
    <xf numFmtId="37" fontId="31" fillId="0" borderId="0" xfId="0" applyNumberFormat="1" applyFont="1" applyFill="1" applyBorder="1"/>
    <xf numFmtId="43" fontId="46" fillId="0" borderId="0" xfId="1" applyFont="1" applyFill="1" applyBorder="1"/>
    <xf numFmtId="9" fontId="46" fillId="0" borderId="0" xfId="8" applyFont="1" applyFill="1" applyBorder="1"/>
    <xf numFmtId="0" fontId="37" fillId="0" borderId="0" xfId="0" applyFont="1" applyFill="1" applyBorder="1"/>
    <xf numFmtId="37" fontId="37" fillId="0" borderId="0" xfId="0" applyNumberFormat="1" applyFont="1" applyFill="1" applyBorder="1"/>
    <xf numFmtId="43" fontId="2" fillId="0" borderId="0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2" fillId="0" borderId="0" xfId="1" applyFont="1" applyFill="1" applyBorder="1"/>
    <xf numFmtId="43" fontId="5" fillId="0" borderId="0" xfId="1" applyFont="1" applyFill="1" applyBorder="1" applyAlignment="1">
      <alignment horizontal="left"/>
    </xf>
    <xf numFmtId="43" fontId="20" fillId="0" borderId="0" xfId="1" applyFont="1" applyFill="1" applyBorder="1" applyAlignment="1">
      <alignment horizontal="left"/>
    </xf>
    <xf numFmtId="168" fontId="3" fillId="0" borderId="0" xfId="1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9" fontId="2" fillId="0" borderId="0" xfId="8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8" applyFont="1" applyFill="1" applyBorder="1"/>
    <xf numFmtId="9" fontId="2" fillId="0" borderId="0" xfId="0" applyNumberFormat="1" applyFont="1" applyFill="1" applyBorder="1"/>
    <xf numFmtId="0" fontId="19" fillId="0" borderId="0" xfId="7" applyFont="1" applyFill="1" applyBorder="1" applyAlignment="1" applyProtection="1">
      <alignment horizontal="left"/>
    </xf>
    <xf numFmtId="0" fontId="19" fillId="0" borderId="0" xfId="7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190" fontId="16" fillId="0" borderId="0" xfId="0" applyNumberFormat="1" applyFont="1" applyFill="1" applyBorder="1"/>
    <xf numFmtId="0" fontId="20" fillId="0" borderId="0" xfId="7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20" fillId="0" borderId="0" xfId="0" applyNumberFormat="1" applyFont="1" applyFill="1" applyBorder="1" applyProtection="1"/>
    <xf numFmtId="166" fontId="16" fillId="0" borderId="0" xfId="1" applyNumberFormat="1" applyFont="1" applyFill="1" applyBorder="1"/>
    <xf numFmtId="166" fontId="3" fillId="0" borderId="0" xfId="0" applyNumberFormat="1" applyFont="1" applyFill="1" applyBorder="1"/>
    <xf numFmtId="41" fontId="16" fillId="0" borderId="0" xfId="0" applyNumberFormat="1" applyFont="1" applyFill="1" applyBorder="1"/>
    <xf numFmtId="41" fontId="2" fillId="0" borderId="0" xfId="0" applyNumberFormat="1" applyFont="1" applyFill="1" applyBorder="1"/>
    <xf numFmtId="41" fontId="20" fillId="0" borderId="0" xfId="0" applyNumberFormat="1" applyFont="1" applyFill="1" applyBorder="1"/>
    <xf numFmtId="0" fontId="16" fillId="0" borderId="0" xfId="0" applyFont="1" applyFill="1" applyBorder="1"/>
    <xf numFmtId="37" fontId="16" fillId="0" borderId="0" xfId="0" applyNumberFormat="1" applyFont="1" applyFill="1" applyBorder="1"/>
    <xf numFmtId="10" fontId="16" fillId="0" borderId="0" xfId="0" applyNumberFormat="1" applyFont="1" applyFill="1" applyBorder="1"/>
    <xf numFmtId="0" fontId="8" fillId="0" borderId="0" xfId="5" applyFont="1" applyFill="1" applyBorder="1"/>
    <xf numFmtId="0" fontId="2" fillId="0" borderId="0" xfId="5" applyFont="1" applyFill="1" applyBorder="1"/>
    <xf numFmtId="0" fontId="3" fillId="0" borderId="0" xfId="5" applyFont="1" applyFill="1" applyBorder="1"/>
    <xf numFmtId="0" fontId="2" fillId="0" borderId="0" xfId="5" applyFont="1" applyFill="1" applyBorder="1" applyAlignment="1">
      <alignment horizontal="center"/>
    </xf>
    <xf numFmtId="0" fontId="2" fillId="0" borderId="0" xfId="6" applyFont="1" applyFill="1" applyBorder="1"/>
    <xf numFmtId="0" fontId="3" fillId="0" borderId="0" xfId="6" applyFont="1" applyFill="1" applyBorder="1"/>
    <xf numFmtId="164" fontId="2" fillId="0" borderId="0" xfId="8" applyNumberFormat="1" applyFont="1" applyFill="1" applyBorder="1"/>
    <xf numFmtId="0" fontId="2" fillId="0" borderId="0" xfId="5" applyFont="1" applyFill="1" applyBorder="1" applyAlignment="1">
      <alignment horizontal="left"/>
    </xf>
    <xf numFmtId="41" fontId="3" fillId="0" borderId="0" xfId="5" applyNumberFormat="1" applyFont="1" applyFill="1" applyBorder="1"/>
    <xf numFmtId="0" fontId="3" fillId="0" borderId="0" xfId="5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left"/>
    </xf>
    <xf numFmtId="168" fontId="3" fillId="0" borderId="0" xfId="1" applyNumberFormat="1" applyFont="1" applyFill="1" applyBorder="1" applyAlignment="1">
      <alignment horizontal="left"/>
    </xf>
    <xf numFmtId="37" fontId="3" fillId="0" borderId="0" xfId="5" applyNumberFormat="1" applyFont="1" applyFill="1" applyBorder="1" applyProtection="1"/>
    <xf numFmtId="37" fontId="42" fillId="0" borderId="0" xfId="5" applyNumberFormat="1" applyFont="1" applyFill="1" applyBorder="1" applyProtection="1"/>
    <xf numFmtId="10" fontId="3" fillId="0" borderId="0" xfId="8" applyNumberFormat="1" applyFont="1" applyFill="1" applyBorder="1"/>
    <xf numFmtId="9" fontId="3" fillId="0" borderId="0" xfId="5" applyNumberFormat="1" applyFont="1" applyFill="1" applyBorder="1"/>
    <xf numFmtId="43" fontId="4" fillId="0" borderId="0" xfId="1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0" xfId="5" applyFont="1" applyFill="1" applyBorder="1"/>
    <xf numFmtId="0" fontId="20" fillId="0" borderId="0" xfId="5" applyFont="1" applyFill="1" applyBorder="1" applyAlignment="1">
      <alignment horizontal="left"/>
    </xf>
    <xf numFmtId="43" fontId="47" fillId="0" borderId="0" xfId="1" applyFont="1" applyFill="1" applyBorder="1"/>
    <xf numFmtId="0" fontId="47" fillId="0" borderId="0" xfId="5" applyFont="1" applyFill="1" applyBorder="1"/>
    <xf numFmtId="10" fontId="3" fillId="0" borderId="0" xfId="5" applyNumberFormat="1" applyFont="1" applyFill="1" applyBorder="1"/>
    <xf numFmtId="0" fontId="2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6" fontId="2" fillId="0" borderId="0" xfId="1" applyNumberFormat="1" applyFont="1" applyFill="1"/>
    <xf numFmtId="38" fontId="17" fillId="0" borderId="0" xfId="0" applyNumberFormat="1" applyFont="1" applyFill="1"/>
    <xf numFmtId="0" fontId="0" fillId="0" borderId="6" xfId="0" applyBorder="1"/>
    <xf numFmtId="37" fontId="0" fillId="0" borderId="0" xfId="0" applyNumberFormat="1"/>
    <xf numFmtId="10" fontId="49" fillId="0" borderId="0" xfId="8" applyNumberFormat="1" applyFont="1"/>
    <xf numFmtId="187" fontId="0" fillId="0" borderId="0" xfId="0" applyNumberFormat="1"/>
    <xf numFmtId="0" fontId="19" fillId="0" borderId="9" xfId="0" applyFont="1" applyBorder="1"/>
    <xf numFmtId="38" fontId="3" fillId="0" borderId="0" xfId="2" applyNumberFormat="1" applyFont="1" applyBorder="1" applyProtection="1"/>
    <xf numFmtId="38" fontId="3" fillId="0" borderId="0" xfId="0" applyNumberFormat="1" applyFont="1"/>
    <xf numFmtId="166" fontId="3" fillId="0" borderId="0" xfId="0" applyNumberFormat="1" applyFont="1"/>
    <xf numFmtId="0" fontId="29" fillId="0" borderId="0" xfId="0" applyFont="1" applyFill="1"/>
    <xf numFmtId="0" fontId="29" fillId="0" borderId="0" xfId="0" applyFont="1" applyFill="1" applyBorder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8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7" fillId="0" borderId="0" xfId="0" applyNumberFormat="1" applyFont="1"/>
    <xf numFmtId="38" fontId="34" fillId="0" borderId="0" xfId="0" applyNumberFormat="1" applyFont="1"/>
    <xf numFmtId="38" fontId="6" fillId="0" borderId="0" xfId="0" applyNumberFormat="1" applyFont="1"/>
    <xf numFmtId="38" fontId="28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6" xfId="1" applyNumberFormat="1" applyFont="1" applyFill="1" applyBorder="1"/>
    <xf numFmtId="38" fontId="3" fillId="0" borderId="0" xfId="1" applyNumberFormat="1" applyFont="1" applyFill="1" applyBorder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10" fillId="0" borderId="0" xfId="0" applyNumberFormat="1" applyFont="1" applyFill="1"/>
    <xf numFmtId="38" fontId="17" fillId="0" borderId="0" xfId="1" applyNumberFormat="1" applyFont="1" applyFill="1"/>
    <xf numFmtId="38" fontId="2" fillId="0" borderId="0" xfId="1" applyNumberFormat="1" applyFont="1" applyFill="1" applyBorder="1"/>
    <xf numFmtId="38" fontId="10" fillId="0" borderId="0" xfId="1" applyNumberFormat="1" applyFont="1" applyFill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" fontId="3" fillId="0" borderId="0" xfId="0" applyNumberFormat="1" applyFont="1" applyFill="1"/>
    <xf numFmtId="166" fontId="3" fillId="0" borderId="4" xfId="1" applyNumberFormat="1" applyFont="1" applyFill="1" applyBorder="1"/>
    <xf numFmtId="0" fontId="52" fillId="0" borderId="0" xfId="0" applyFont="1"/>
    <xf numFmtId="0" fontId="3" fillId="0" borderId="17" xfId="0" applyFont="1" applyBorder="1"/>
    <xf numFmtId="10" fontId="3" fillId="0" borderId="0" xfId="8" applyNumberFormat="1" applyFont="1"/>
    <xf numFmtId="164" fontId="3" fillId="0" borderId="0" xfId="0" applyNumberFormat="1" applyFont="1"/>
    <xf numFmtId="0" fontId="39" fillId="0" borderId="0" xfId="0" applyFont="1"/>
    <xf numFmtId="40" fontId="4" fillId="0" borderId="0" xfId="1" applyNumberFormat="1" applyFont="1" applyFill="1"/>
    <xf numFmtId="166" fontId="53" fillId="0" borderId="0" xfId="1" applyNumberFormat="1" applyFont="1"/>
    <xf numFmtId="166" fontId="3" fillId="0" borderId="0" xfId="0" applyNumberFormat="1" applyFont="1" applyFill="1"/>
    <xf numFmtId="0" fontId="31" fillId="0" borderId="0" xfId="0" applyFont="1" applyFill="1" applyBorder="1"/>
    <xf numFmtId="38" fontId="3" fillId="0" borderId="0" xfId="0" applyNumberFormat="1" applyFont="1" applyBorder="1"/>
    <xf numFmtId="38" fontId="54" fillId="0" borderId="0" xfId="0" applyNumberFormat="1" applyFont="1"/>
    <xf numFmtId="0" fontId="54" fillId="0" borderId="0" xfId="0" applyFont="1"/>
    <xf numFmtId="0" fontId="12" fillId="0" borderId="5" xfId="0" applyFont="1" applyBorder="1"/>
    <xf numFmtId="38" fontId="3" fillId="0" borderId="6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37" fontId="2" fillId="5" borderId="0" xfId="0" applyNumberFormat="1" applyFont="1" applyFill="1" applyBorder="1" applyAlignment="1">
      <alignment horizontal="center"/>
    </xf>
    <xf numFmtId="190" fontId="3" fillId="0" borderId="0" xfId="0" applyNumberFormat="1" applyFont="1"/>
    <xf numFmtId="43" fontId="3" fillId="0" borderId="0" xfId="1" applyFont="1"/>
    <xf numFmtId="179" fontId="36" fillId="0" borderId="0" xfId="0" applyNumberFormat="1" applyFont="1" applyBorder="1" applyAlignment="1">
      <alignment horizontal="right"/>
    </xf>
    <xf numFmtId="0" fontId="8" fillId="0" borderId="0" xfId="0" applyFont="1"/>
    <xf numFmtId="38" fontId="0" fillId="0" borderId="0" xfId="0" applyNumberFormat="1" applyFill="1"/>
    <xf numFmtId="38" fontId="27" fillId="0" borderId="0" xfId="0" applyNumberFormat="1" applyFont="1" applyFill="1"/>
    <xf numFmtId="0" fontId="0" fillId="0" borderId="0" xfId="0" applyFill="1" applyBorder="1"/>
    <xf numFmtId="38" fontId="0" fillId="0" borderId="0" xfId="0" applyNumberFormat="1" applyFill="1" applyBorder="1"/>
    <xf numFmtId="38" fontId="27" fillId="0" borderId="0" xfId="0" applyNumberFormat="1" applyFont="1" applyFill="1" applyBorder="1"/>
    <xf numFmtId="38" fontId="34" fillId="0" borderId="0" xfId="0" applyNumberFormat="1" applyFont="1" applyFill="1" applyBorder="1"/>
    <xf numFmtId="38" fontId="54" fillId="0" borderId="0" xfId="0" applyNumberFormat="1" applyFont="1" applyFill="1" applyBorder="1"/>
    <xf numFmtId="38" fontId="6" fillId="0" borderId="0" xfId="0" applyNumberFormat="1" applyFont="1" applyFill="1" applyBorder="1"/>
    <xf numFmtId="38" fontId="28" fillId="0" borderId="0" xfId="0" applyNumberFormat="1" applyFont="1" applyFill="1" applyBorder="1"/>
    <xf numFmtId="14" fontId="31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66" fontId="29" fillId="0" borderId="0" xfId="1" applyNumberFormat="1" applyFont="1" applyFill="1" applyBorder="1"/>
    <xf numFmtId="0" fontId="15" fillId="0" borderId="0" xfId="0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8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1" fillId="0" borderId="0" xfId="0" applyNumberFormat="1" applyFont="1" applyFill="1" applyBorder="1"/>
    <xf numFmtId="3" fontId="31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6" fillId="0" borderId="0" xfId="1" applyNumberFormat="1" applyFont="1" applyFill="1" applyBorder="1" applyProtection="1"/>
    <xf numFmtId="166" fontId="50" fillId="0" borderId="0" xfId="1" applyNumberFormat="1" applyFont="1" applyFill="1" applyBorder="1"/>
    <xf numFmtId="166" fontId="51" fillId="0" borderId="0" xfId="1" applyNumberFormat="1" applyFont="1" applyFill="1" applyBorder="1"/>
    <xf numFmtId="10" fontId="50" fillId="0" borderId="0" xfId="1" applyNumberFormat="1" applyFont="1" applyFill="1" applyBorder="1"/>
    <xf numFmtId="166" fontId="50" fillId="0" borderId="0" xfId="1" applyNumberFormat="1" applyFont="1" applyFill="1" applyBorder="1" applyProtection="1"/>
    <xf numFmtId="166" fontId="5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6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9" fontId="3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24" fillId="0" borderId="18" xfId="0" applyFont="1" applyFill="1" applyBorder="1"/>
    <xf numFmtId="0" fontId="24" fillId="0" borderId="18" xfId="0" applyFont="1" applyFill="1" applyBorder="1" applyAlignment="1" applyProtection="1">
      <alignment horizontal="left"/>
    </xf>
    <xf numFmtId="0" fontId="25" fillId="0" borderId="18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55" fillId="0" borderId="5" xfId="0" applyFont="1" applyBorder="1" applyAlignment="1" applyProtection="1">
      <alignment horizontal="left"/>
    </xf>
    <xf numFmtId="0" fontId="55" fillId="0" borderId="0" xfId="0" applyFont="1" applyBorder="1" applyAlignment="1">
      <alignment horizontal="center"/>
    </xf>
    <xf numFmtId="0" fontId="29" fillId="0" borderId="0" xfId="0" applyFont="1" applyBorder="1"/>
    <xf numFmtId="0" fontId="55" fillId="0" borderId="0" xfId="0" applyFont="1" applyBorder="1" applyAlignment="1" applyProtection="1">
      <alignment horizontal="left"/>
    </xf>
    <xf numFmtId="0" fontId="29" fillId="0" borderId="5" xfId="0" applyFont="1" applyBorder="1" applyAlignment="1" applyProtection="1">
      <alignment horizontal="left"/>
    </xf>
    <xf numFmtId="10" fontId="56" fillId="0" borderId="0" xfId="0" applyNumberFormat="1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10" fontId="56" fillId="0" borderId="0" xfId="8" applyNumberFormat="1" applyFont="1" applyBorder="1" applyAlignment="1">
      <alignment horizontal="center"/>
    </xf>
    <xf numFmtId="38" fontId="29" fillId="0" borderId="0" xfId="1" applyNumberFormat="1" applyFont="1" applyBorder="1"/>
    <xf numFmtId="10" fontId="58" fillId="0" borderId="0" xfId="8" applyNumberFormat="1" applyFont="1" applyBorder="1" applyAlignment="1">
      <alignment horizontal="center"/>
    </xf>
    <xf numFmtId="10" fontId="29" fillId="0" borderId="5" xfId="0" applyNumberFormat="1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0" fontId="55" fillId="0" borderId="5" xfId="0" applyNumberFormat="1" applyFont="1" applyBorder="1" applyAlignment="1">
      <alignment horizontal="left"/>
    </xf>
    <xf numFmtId="10" fontId="58" fillId="0" borderId="0" xfId="0" applyNumberFormat="1" applyFont="1" applyBorder="1" applyAlignment="1" applyProtection="1">
      <alignment horizontal="center"/>
    </xf>
    <xf numFmtId="38" fontId="55" fillId="0" borderId="0" xfId="1" applyNumberFormat="1" applyFont="1" applyBorder="1"/>
    <xf numFmtId="0" fontId="29" fillId="0" borderId="5" xfId="0" applyFont="1" applyBorder="1"/>
    <xf numFmtId="0" fontId="29" fillId="0" borderId="4" xfId="0" applyFont="1" applyBorder="1"/>
    <xf numFmtId="0" fontId="29" fillId="0" borderId="19" xfId="0" applyFont="1" applyBorder="1"/>
    <xf numFmtId="0" fontId="29" fillId="0" borderId="1" xfId="0" applyFont="1" applyBorder="1"/>
    <xf numFmtId="0" fontId="55" fillId="0" borderId="5" xfId="0" applyFont="1" applyBorder="1"/>
    <xf numFmtId="0" fontId="29" fillId="0" borderId="5" xfId="0" applyFont="1" applyBorder="1" applyAlignment="1">
      <alignment horizontal="left"/>
    </xf>
    <xf numFmtId="37" fontId="29" fillId="0" borderId="0" xfId="0" applyNumberFormat="1" applyFont="1" applyFill="1" applyBorder="1" applyAlignment="1">
      <alignment horizontal="center"/>
    </xf>
    <xf numFmtId="2" fontId="59" fillId="0" borderId="0" xfId="0" applyNumberFormat="1" applyFont="1" applyBorder="1" applyAlignment="1">
      <alignment horizontal="center"/>
    </xf>
    <xf numFmtId="0" fontId="59" fillId="0" borderId="5" xfId="0" applyFont="1" applyBorder="1"/>
    <xf numFmtId="173" fontId="29" fillId="0" borderId="0" xfId="0" applyNumberFormat="1" applyFont="1" applyFill="1" applyBorder="1" applyAlignment="1">
      <alignment horizontal="center"/>
    </xf>
    <xf numFmtId="173" fontId="55" fillId="0" borderId="0" xfId="0" applyNumberFormat="1" applyFont="1" applyFill="1" applyBorder="1" applyAlignment="1">
      <alignment horizontal="center"/>
    </xf>
    <xf numFmtId="173" fontId="29" fillId="0" borderId="0" xfId="0" applyNumberFormat="1" applyFont="1" applyBorder="1" applyAlignment="1">
      <alignment horizontal="center"/>
    </xf>
    <xf numFmtId="0" fontId="55" fillId="0" borderId="0" xfId="0" applyFont="1" applyBorder="1"/>
    <xf numFmtId="212" fontId="29" fillId="0" borderId="0" xfId="1" applyNumberFormat="1" applyFont="1" applyBorder="1" applyAlignment="1">
      <alignment horizontal="center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0" fontId="29" fillId="0" borderId="2" xfId="0" applyFont="1" applyFill="1" applyBorder="1"/>
    <xf numFmtId="0" fontId="24" fillId="0" borderId="2" xfId="0" applyFont="1" applyFill="1" applyBorder="1" applyAlignment="1">
      <alignment horizontal="centerContinuous"/>
    </xf>
    <xf numFmtId="0" fontId="24" fillId="0" borderId="3" xfId="0" applyFont="1" applyFill="1" applyBorder="1" applyAlignment="1">
      <alignment horizontal="centerContinuous"/>
    </xf>
    <xf numFmtId="0" fontId="29" fillId="0" borderId="4" xfId="0" applyFont="1" applyFill="1" applyBorder="1"/>
    <xf numFmtId="0" fontId="55" fillId="0" borderId="5" xfId="0" applyFont="1" applyFill="1" applyBorder="1"/>
    <xf numFmtId="10" fontId="57" fillId="0" borderId="0" xfId="0" applyNumberFormat="1" applyFont="1" applyFill="1" applyBorder="1"/>
    <xf numFmtId="0" fontId="29" fillId="0" borderId="5" xfId="0" applyFont="1" applyFill="1" applyBorder="1"/>
    <xf numFmtId="10" fontId="10" fillId="0" borderId="0" xfId="8" applyNumberFormat="1" applyFont="1" applyFill="1" applyBorder="1" applyAlignment="1">
      <alignment horizontal="center"/>
    </xf>
    <xf numFmtId="10" fontId="57" fillId="0" borderId="0" xfId="8" applyNumberFormat="1" applyFont="1" applyFill="1" applyBorder="1" applyAlignment="1">
      <alignment horizontal="center"/>
    </xf>
    <xf numFmtId="10" fontId="57" fillId="0" borderId="4" xfId="8" applyNumberFormat="1" applyFont="1" applyFill="1" applyBorder="1" applyAlignment="1">
      <alignment horizontal="center"/>
    </xf>
    <xf numFmtId="0" fontId="29" fillId="0" borderId="19" xfId="0" applyFont="1" applyFill="1" applyBorder="1"/>
    <xf numFmtId="0" fontId="57" fillId="3" borderId="0" xfId="0" applyFont="1" applyFill="1" applyBorder="1"/>
    <xf numFmtId="0" fontId="60" fillId="0" borderId="0" xfId="0" applyFont="1" applyBorder="1"/>
    <xf numFmtId="10" fontId="10" fillId="0" borderId="4" xfId="8" applyNumberFormat="1" applyFont="1" applyFill="1" applyBorder="1"/>
    <xf numFmtId="0" fontId="10" fillId="0" borderId="5" xfId="0" applyFont="1" applyBorder="1"/>
    <xf numFmtId="38" fontId="59" fillId="0" borderId="0" xfId="0" applyNumberFormat="1" applyFont="1" applyFill="1" applyBorder="1"/>
    <xf numFmtId="0" fontId="29" fillId="0" borderId="2" xfId="0" applyFont="1" applyBorder="1"/>
    <xf numFmtId="0" fontId="29" fillId="0" borderId="3" xfId="0" applyFont="1" applyBorder="1"/>
    <xf numFmtId="0" fontId="57" fillId="3" borderId="4" xfId="0" applyFont="1" applyFill="1" applyBorder="1"/>
    <xf numFmtId="10" fontId="57" fillId="3" borderId="0" xfId="0" applyNumberFormat="1" applyFont="1" applyFill="1" applyBorder="1"/>
    <xf numFmtId="10" fontId="57" fillId="3" borderId="4" xfId="0" applyNumberFormat="1" applyFont="1" applyFill="1" applyBorder="1"/>
    <xf numFmtId="0" fontId="24" fillId="0" borderId="2" xfId="0" applyFont="1" applyBorder="1" applyAlignment="1">
      <alignment horizontal="centerContinuous"/>
    </xf>
    <xf numFmtId="0" fontId="24" fillId="0" borderId="3" xfId="0" applyFont="1" applyBorder="1" applyAlignment="1">
      <alignment horizontal="centerContinuous"/>
    </xf>
    <xf numFmtId="0" fontId="44" fillId="4" borderId="0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38" fontId="57" fillId="3" borderId="0" xfId="0" applyNumberFormat="1" applyFont="1" applyFill="1" applyBorder="1"/>
    <xf numFmtId="38" fontId="57" fillId="3" borderId="4" xfId="0" applyNumberFormat="1" applyFont="1" applyFill="1" applyBorder="1"/>
    <xf numFmtId="10" fontId="57" fillId="3" borderId="0" xfId="8" applyNumberFormat="1" applyFont="1" applyFill="1" applyBorder="1"/>
    <xf numFmtId="10" fontId="57" fillId="3" borderId="4" xfId="8" applyNumberFormat="1" applyFont="1" applyFill="1" applyBorder="1"/>
    <xf numFmtId="10" fontId="57" fillId="3" borderId="1" xfId="8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Continuous"/>
    </xf>
    <xf numFmtId="0" fontId="29" fillId="0" borderId="22" xfId="0" applyFont="1" applyBorder="1" applyAlignment="1">
      <alignment horizontal="centerContinuous"/>
    </xf>
    <xf numFmtId="0" fontId="10" fillId="0" borderId="18" xfId="0" applyFont="1" applyBorder="1" applyAlignment="1">
      <alignment horizontal="centerContinuous"/>
    </xf>
    <xf numFmtId="0" fontId="29" fillId="0" borderId="2" xfId="0" applyFont="1" applyBorder="1" applyAlignment="1">
      <alignment horizontal="centerContinuous"/>
    </xf>
    <xf numFmtId="0" fontId="29" fillId="0" borderId="3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29" fillId="0" borderId="24" xfId="0" applyFont="1" applyBorder="1"/>
    <xf numFmtId="0" fontId="29" fillId="0" borderId="25" xfId="0" applyFont="1" applyBorder="1" applyAlignment="1">
      <alignment horizontal="centerContinuous"/>
    </xf>
    <xf numFmtId="0" fontId="29" fillId="0" borderId="26" xfId="0" applyFont="1" applyBorder="1" applyAlignment="1">
      <alignment horizontal="centerContinuous"/>
    </xf>
    <xf numFmtId="0" fontId="29" fillId="0" borderId="27" xfId="0" applyFont="1" applyBorder="1" applyAlignment="1">
      <alignment horizontal="centerContinuous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3" fontId="29" fillId="0" borderId="5" xfId="0" applyNumberFormat="1" applyFont="1" applyBorder="1"/>
    <xf numFmtId="3" fontId="29" fillId="0" borderId="0" xfId="0" applyNumberFormat="1" applyFont="1" applyBorder="1"/>
    <xf numFmtId="3" fontId="29" fillId="0" borderId="4" xfId="0" applyNumberFormat="1" applyFont="1" applyBorder="1"/>
    <xf numFmtId="3" fontId="29" fillId="0" borderId="19" xfId="0" applyNumberFormat="1" applyFont="1" applyBorder="1"/>
    <xf numFmtId="3" fontId="29" fillId="0" borderId="1" xfId="0" applyNumberFormat="1" applyFont="1" applyBorder="1"/>
    <xf numFmtId="3" fontId="29" fillId="0" borderId="17" xfId="0" applyNumberFormat="1" applyFont="1" applyBorder="1"/>
    <xf numFmtId="4" fontId="29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13" xfId="0" applyFont="1" applyBorder="1"/>
    <xf numFmtId="9" fontId="57" fillId="3" borderId="0" xfId="0" applyNumberFormat="1" applyFont="1" applyFill="1" applyBorder="1" applyAlignment="1">
      <alignment horizontal="center"/>
    </xf>
    <xf numFmtId="38" fontId="27" fillId="0" borderId="6" xfId="0" applyNumberFormat="1" applyFont="1" applyBorder="1"/>
    <xf numFmtId="166" fontId="12" fillId="0" borderId="0" xfId="1" applyNumberFormat="1" applyFont="1" applyFill="1" applyBorder="1"/>
    <xf numFmtId="38" fontId="2" fillId="0" borderId="0" xfId="0" applyNumberFormat="1" applyFont="1"/>
    <xf numFmtId="166" fontId="3" fillId="0" borderId="6" xfId="1" applyNumberFormat="1" applyFont="1" applyBorder="1"/>
    <xf numFmtId="38" fontId="3" fillId="0" borderId="6" xfId="1" applyNumberFormat="1" applyFont="1" applyBorder="1"/>
    <xf numFmtId="3" fontId="29" fillId="0" borderId="5" xfId="0" applyNumberFormat="1" applyFont="1" applyFill="1" applyBorder="1"/>
    <xf numFmtId="3" fontId="29" fillId="0" borderId="0" xfId="0" applyNumberFormat="1" applyFont="1" applyFill="1" applyBorder="1"/>
    <xf numFmtId="3" fontId="29" fillId="0" borderId="4" xfId="0" applyNumberFormat="1" applyFont="1" applyFill="1" applyBorder="1"/>
    <xf numFmtId="3" fontId="29" fillId="0" borderId="19" xfId="0" applyNumberFormat="1" applyFont="1" applyFill="1" applyBorder="1"/>
    <xf numFmtId="3" fontId="29" fillId="0" borderId="1" xfId="0" applyNumberFormat="1" applyFont="1" applyFill="1" applyBorder="1"/>
    <xf numFmtId="3" fontId="29" fillId="0" borderId="17" xfId="0" applyNumberFormat="1" applyFont="1" applyFill="1" applyBorder="1"/>
    <xf numFmtId="6" fontId="55" fillId="0" borderId="0" xfId="0" quotePrefix="1" applyNumberFormat="1" applyFont="1" applyBorder="1" applyAlignment="1">
      <alignment horizontal="center"/>
    </xf>
    <xf numFmtId="0" fontId="55" fillId="0" borderId="4" xfId="0" quotePrefix="1" applyFont="1" applyBorder="1" applyAlignment="1">
      <alignment horizontal="center"/>
    </xf>
    <xf numFmtId="0" fontId="61" fillId="0" borderId="0" xfId="0" applyFont="1"/>
    <xf numFmtId="0" fontId="62" fillId="0" borderId="0" xfId="0" applyFont="1"/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43" fontId="3" fillId="0" borderId="0" xfId="1" applyFont="1" applyFill="1"/>
    <xf numFmtId="9" fontId="3" fillId="0" borderId="34" xfId="0" applyNumberFormat="1" applyFont="1" applyBorder="1"/>
    <xf numFmtId="10" fontId="57" fillId="3" borderId="0" xfId="0" applyNumberFormat="1" applyFont="1" applyFill="1" applyBorder="1" applyAlignment="1">
      <alignment horizontal="center"/>
    </xf>
    <xf numFmtId="10" fontId="57" fillId="3" borderId="1" xfId="0" applyNumberFormat="1" applyFont="1" applyFill="1" applyBorder="1" applyAlignment="1">
      <alignment horizontal="center"/>
    </xf>
    <xf numFmtId="7" fontId="29" fillId="0" borderId="0" xfId="1" applyNumberFormat="1" applyFont="1" applyBorder="1"/>
    <xf numFmtId="44" fontId="29" fillId="0" borderId="0" xfId="2" applyFont="1" applyFill="1" applyBorder="1"/>
    <xf numFmtId="0" fontId="10" fillId="4" borderId="0" xfId="3" applyFont="1" applyFill="1" applyBorder="1"/>
    <xf numFmtId="0" fontId="29" fillId="4" borderId="0" xfId="0" applyFont="1" applyFill="1"/>
    <xf numFmtId="0" fontId="40" fillId="0" borderId="0" xfId="0" applyFont="1" applyBorder="1"/>
    <xf numFmtId="2" fontId="29" fillId="0" borderId="0" xfId="0" applyNumberFormat="1" applyFont="1" applyBorder="1"/>
    <xf numFmtId="43" fontId="29" fillId="0" borderId="0" xfId="0" applyNumberFormat="1" applyFont="1" applyBorder="1"/>
    <xf numFmtId="0" fontId="29" fillId="0" borderId="0" xfId="0" applyFont="1" applyBorder="1" applyAlignment="1">
      <alignment horizontal="right"/>
    </xf>
    <xf numFmtId="0" fontId="24" fillId="0" borderId="0" xfId="1" applyNumberFormat="1" applyFont="1" applyBorder="1" applyAlignment="1">
      <alignment horizontal="right"/>
    </xf>
    <xf numFmtId="2" fontId="57" fillId="0" borderId="0" xfId="1" applyNumberFormat="1" applyFont="1" applyFill="1" applyBorder="1" applyAlignment="1">
      <alignment horizontal="right"/>
    </xf>
    <xf numFmtId="43" fontId="29" fillId="0" borderId="0" xfId="1" applyNumberFormat="1" applyFont="1" applyBorder="1" applyAlignment="1">
      <alignment horizontal="right"/>
    </xf>
    <xf numFmtId="44" fontId="29" fillId="0" borderId="0" xfId="2" applyFont="1" applyBorder="1" applyAlignment="1">
      <alignment horizontal="right"/>
    </xf>
    <xf numFmtId="44" fontId="29" fillId="0" borderId="0" xfId="2" applyFont="1" applyAlignment="1">
      <alignment horizontal="right"/>
    </xf>
    <xf numFmtId="9" fontId="57" fillId="0" borderId="0" xfId="0" applyNumberFormat="1" applyFont="1" applyBorder="1"/>
    <xf numFmtId="40" fontId="29" fillId="0" borderId="0" xfId="1" applyNumberFormat="1" applyFont="1" applyFill="1" applyBorder="1" applyAlignment="1">
      <alignment horizontal="right"/>
    </xf>
    <xf numFmtId="40" fontId="29" fillId="0" borderId="0" xfId="1" applyNumberFormat="1" applyFont="1" applyBorder="1" applyAlignment="1">
      <alignment horizontal="right"/>
    </xf>
    <xf numFmtId="40" fontId="55" fillId="0" borderId="0" xfId="1" applyNumberFormat="1" applyFont="1" applyBorder="1" applyAlignment="1">
      <alignment horizontal="right"/>
    </xf>
    <xf numFmtId="0" fontId="10" fillId="0" borderId="0" xfId="0" applyFont="1" applyBorder="1"/>
    <xf numFmtId="40" fontId="29" fillId="7" borderId="0" xfId="1" applyNumberFormat="1" applyFont="1" applyFill="1" applyBorder="1" applyAlignment="1">
      <alignment horizontal="right"/>
    </xf>
    <xf numFmtId="1" fontId="57" fillId="0" borderId="0" xfId="1" applyNumberFormat="1" applyFont="1" applyFill="1" applyBorder="1" applyAlignment="1">
      <alignment horizontal="right"/>
    </xf>
    <xf numFmtId="43" fontId="55" fillId="0" borderId="0" xfId="1" applyNumberFormat="1" applyFont="1" applyBorder="1" applyAlignment="1">
      <alignment horizontal="right"/>
    </xf>
    <xf numFmtId="7" fontId="29" fillId="0" borderId="0" xfId="1" applyNumberFormat="1" applyFont="1" applyBorder="1" applyAlignment="1">
      <alignment horizontal="right"/>
    </xf>
    <xf numFmtId="43" fontId="29" fillId="0" borderId="0" xfId="1" applyFont="1" applyBorder="1" applyAlignment="1">
      <alignment horizontal="right"/>
    </xf>
    <xf numFmtId="7" fontId="29" fillId="0" borderId="0" xfId="0" applyNumberFormat="1" applyFont="1" applyBorder="1"/>
    <xf numFmtId="7" fontId="55" fillId="0" borderId="0" xfId="2" applyNumberFormat="1" applyFont="1" applyBorder="1"/>
    <xf numFmtId="166" fontId="26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8" applyFont="1" applyFill="1" applyProtection="1"/>
    <xf numFmtId="0" fontId="29" fillId="0" borderId="31" xfId="0" applyFont="1" applyBorder="1" applyAlignment="1">
      <alignment horizontal="right"/>
    </xf>
    <xf numFmtId="0" fontId="29" fillId="0" borderId="32" xfId="0" applyFont="1" applyBorder="1" applyAlignment="1">
      <alignment horizontal="right"/>
    </xf>
    <xf numFmtId="0" fontId="29" fillId="0" borderId="33" xfId="0" applyFont="1" applyBorder="1" applyAlignment="1">
      <alignment horizontal="right"/>
    </xf>
    <xf numFmtId="40" fontId="57" fillId="3" borderId="0" xfId="0" applyNumberFormat="1" applyFont="1" applyFill="1" applyBorder="1"/>
    <xf numFmtId="10" fontId="57" fillId="3" borderId="17" xfId="8" applyNumberFormat="1" applyFont="1" applyFill="1" applyBorder="1"/>
    <xf numFmtId="166" fontId="2" fillId="0" borderId="6" xfId="1" applyNumberFormat="1" applyFont="1" applyBorder="1"/>
    <xf numFmtId="43" fontId="10" fillId="0" borderId="0" xfId="1" applyFont="1" applyFill="1" applyAlignment="1">
      <alignment horizontal="left"/>
    </xf>
    <xf numFmtId="38" fontId="14" fillId="0" borderId="0" xfId="1" applyNumberFormat="1" applyFont="1" applyFill="1"/>
    <xf numFmtId="0" fontId="29" fillId="0" borderId="5" xfId="0" applyFont="1" applyBorder="1" applyAlignment="1">
      <alignment horizontal="center"/>
    </xf>
    <xf numFmtId="3" fontId="29" fillId="0" borderId="5" xfId="0" applyNumberFormat="1" applyFont="1" applyBorder="1" applyAlignment="1">
      <alignment horizontal="center"/>
    </xf>
    <xf numFmtId="3" fontId="29" fillId="0" borderId="5" xfId="0" applyNumberFormat="1" applyFont="1" applyFill="1" applyBorder="1" applyAlignment="1">
      <alignment horizontal="center"/>
    </xf>
    <xf numFmtId="3" fontId="29" fillId="0" borderId="19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57" fillId="0" borderId="0" xfId="8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166" fontId="3" fillId="0" borderId="0" xfId="1" applyNumberFormat="1" applyFont="1" applyBorder="1" applyAlignment="1" applyProtection="1">
      <alignment horizontal="left"/>
    </xf>
    <xf numFmtId="166" fontId="17" fillId="0" borderId="0" xfId="1" applyNumberFormat="1" applyFont="1" applyBorder="1"/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4" fillId="0" borderId="0" xfId="0" applyFont="1" applyBorder="1"/>
    <xf numFmtId="37" fontId="29" fillId="0" borderId="1" xfId="0" applyNumberFormat="1" applyFont="1" applyBorder="1"/>
    <xf numFmtId="0" fontId="24" fillId="0" borderId="0" xfId="0" applyFont="1" applyBorder="1" applyAlignment="1" applyProtection="1">
      <alignment horizontal="left"/>
    </xf>
    <xf numFmtId="0" fontId="63" fillId="0" borderId="0" xfId="0" applyFont="1" applyBorder="1"/>
    <xf numFmtId="43" fontId="55" fillId="0" borderId="0" xfId="1" applyFont="1" applyBorder="1" applyAlignment="1">
      <alignment horizontal="right"/>
    </xf>
    <xf numFmtId="1" fontId="57" fillId="3" borderId="34" xfId="1" applyNumberFormat="1" applyFont="1" applyFill="1" applyBorder="1" applyAlignment="1">
      <alignment horizontal="right"/>
    </xf>
    <xf numFmtId="9" fontId="57" fillId="0" borderId="1" xfId="0" applyNumberFormat="1" applyFont="1" applyFill="1" applyBorder="1" applyAlignment="1">
      <alignment horizontal="center"/>
    </xf>
    <xf numFmtId="10" fontId="31" fillId="0" borderId="0" xfId="8" applyNumberFormat="1" applyFont="1"/>
    <xf numFmtId="0" fontId="17" fillId="0" borderId="0" xfId="0" applyFont="1"/>
    <xf numFmtId="38" fontId="64" fillId="0" borderId="0" xfId="0" applyNumberFormat="1" applyFont="1"/>
    <xf numFmtId="1" fontId="57" fillId="0" borderId="0" xfId="0" applyNumberFormat="1" applyFont="1" applyFill="1" applyBorder="1"/>
    <xf numFmtId="38" fontId="57" fillId="0" borderId="0" xfId="0" applyNumberFormat="1" applyFont="1" applyFill="1" applyBorder="1"/>
    <xf numFmtId="10" fontId="57" fillId="3" borderId="1" xfId="8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57" fillId="3" borderId="17" xfId="8" applyNumberFormat="1" applyFont="1" applyFill="1" applyBorder="1" applyAlignment="1">
      <alignment horizontal="right"/>
    </xf>
    <xf numFmtId="0" fontId="2" fillId="0" borderId="4" xfId="0" applyFont="1" applyBorder="1"/>
    <xf numFmtId="40" fontId="3" fillId="0" borderId="4" xfId="0" applyNumberFormat="1" applyFont="1" applyBorder="1"/>
    <xf numFmtId="43" fontId="57" fillId="0" borderId="0" xfId="1" applyFont="1" applyFill="1" applyBorder="1" applyAlignment="1">
      <alignment horizontal="center"/>
    </xf>
    <xf numFmtId="0" fontId="24" fillId="0" borderId="5" xfId="0" applyFont="1" applyFill="1" applyBorder="1"/>
    <xf numFmtId="286" fontId="57" fillId="3" borderId="0" xfId="0" applyNumberFormat="1" applyFont="1" applyFill="1" applyBorder="1"/>
    <xf numFmtId="0" fontId="10" fillId="0" borderId="0" xfId="0" applyFont="1" applyBorder="1" applyAlignment="1" applyProtection="1">
      <alignment horizontal="left"/>
    </xf>
    <xf numFmtId="166" fontId="3" fillId="0" borderId="0" xfId="1" applyNumberFormat="1" applyFont="1" applyFill="1" applyBorder="1" applyProtection="1"/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0" fontId="2" fillId="0" borderId="14" xfId="0" applyFont="1" applyBorder="1"/>
    <xf numFmtId="166" fontId="3" fillId="0" borderId="15" xfId="1" applyNumberFormat="1" applyFont="1" applyBorder="1" applyProtection="1"/>
    <xf numFmtId="166" fontId="3" fillId="0" borderId="16" xfId="1" applyNumberFormat="1" applyFont="1" applyBorder="1" applyProtection="1"/>
    <xf numFmtId="0" fontId="68" fillId="0" borderId="0" xfId="0" applyFont="1"/>
    <xf numFmtId="166" fontId="3" fillId="0" borderId="14" xfId="1" applyNumberFormat="1" applyFont="1" applyBorder="1" applyProtection="1"/>
    <xf numFmtId="0" fontId="69" fillId="0" borderId="0" xfId="0" applyFont="1" applyBorder="1" applyAlignment="1">
      <alignment horizontal="center"/>
    </xf>
    <xf numFmtId="37" fontId="42" fillId="0" borderId="0" xfId="4" applyFont="1" applyBorder="1" applyAlignment="1"/>
    <xf numFmtId="37" fontId="42" fillId="0" borderId="0" xfId="4" applyFont="1" applyBorder="1" applyAlignment="1">
      <alignment horizontal="right"/>
    </xf>
    <xf numFmtId="0" fontId="11" fillId="0" borderId="0" xfId="0" applyFont="1" applyBorder="1"/>
    <xf numFmtId="0" fontId="15" fillId="0" borderId="0" xfId="0" applyFont="1" applyBorder="1"/>
    <xf numFmtId="0" fontId="31" fillId="0" borderId="0" xfId="0" applyFont="1" applyBorder="1"/>
    <xf numFmtId="0" fontId="2" fillId="0" borderId="0" xfId="0" applyFont="1" applyBorder="1" applyAlignment="1">
      <alignment horizontal="center"/>
    </xf>
    <xf numFmtId="165" fontId="11" fillId="0" borderId="0" xfId="2" applyNumberFormat="1" applyFont="1" applyBorder="1" applyProtection="1"/>
    <xf numFmtId="0" fontId="26" fillId="0" borderId="0" xfId="0" applyFont="1" applyBorder="1"/>
    <xf numFmtId="0" fontId="11" fillId="0" borderId="0" xfId="0" applyFont="1" applyBorder="1" applyAlignment="1" applyProtection="1">
      <alignment horizontal="left"/>
    </xf>
    <xf numFmtId="10" fontId="17" fillId="0" borderId="0" xfId="8" applyNumberFormat="1" applyFont="1" applyBorder="1"/>
    <xf numFmtId="313" fontId="2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9" fontId="29" fillId="0" borderId="0" xfId="0" applyNumberFormat="1" applyFont="1" applyFill="1" applyBorder="1" applyAlignment="1">
      <alignment horizontal="center"/>
    </xf>
    <xf numFmtId="173" fontId="29" fillId="0" borderId="0" xfId="8" applyNumberFormat="1" applyFont="1" applyFill="1" applyBorder="1" applyAlignment="1">
      <alignment horizontal="center"/>
    </xf>
    <xf numFmtId="173" fontId="55" fillId="0" borderId="0" xfId="8" applyNumberFormat="1" applyFont="1" applyFill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57" fillId="3" borderId="0" xfId="1" applyNumberFormat="1" applyFont="1" applyFill="1" applyBorder="1" applyAlignment="1" applyProtection="1">
      <alignment horizontal="center"/>
    </xf>
    <xf numFmtId="38" fontId="29" fillId="0" borderId="0" xfId="1" applyNumberFormat="1" applyFont="1" applyBorder="1" applyAlignment="1">
      <alignment horizontal="center"/>
    </xf>
    <xf numFmtId="38" fontId="24" fillId="0" borderId="0" xfId="1" applyNumberFormat="1" applyFont="1" applyBorder="1" applyAlignment="1" applyProtection="1">
      <alignment horizontal="center"/>
    </xf>
    <xf numFmtId="38" fontId="55" fillId="0" borderId="0" xfId="1" applyNumberFormat="1" applyFont="1" applyBorder="1" applyAlignment="1">
      <alignment horizontal="center"/>
    </xf>
    <xf numFmtId="38" fontId="29" fillId="0" borderId="0" xfId="1" applyNumberFormat="1" applyFont="1" applyFill="1" applyBorder="1" applyAlignment="1" applyProtection="1">
      <alignment horizontal="center"/>
    </xf>
    <xf numFmtId="38" fontId="29" fillId="0" borderId="1" xfId="1" applyNumberFormat="1" applyFont="1" applyFill="1" applyBorder="1" applyAlignment="1" applyProtection="1">
      <alignment horizontal="center"/>
    </xf>
    <xf numFmtId="38" fontId="29" fillId="0" borderId="4" xfId="1" applyNumberFormat="1" applyFont="1" applyBorder="1" applyAlignment="1">
      <alignment horizontal="center"/>
    </xf>
    <xf numFmtId="38" fontId="57" fillId="3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0" fontId="59" fillId="0" borderId="5" xfId="0" applyFont="1" applyFill="1" applyBorder="1" applyAlignment="1" applyProtection="1">
      <alignment horizontal="left"/>
    </xf>
    <xf numFmtId="0" fontId="17" fillId="0" borderId="13" xfId="0" applyFont="1" applyBorder="1"/>
    <xf numFmtId="190" fontId="18" fillId="0" borderId="0" xfId="0" applyNumberFormat="1" applyFont="1"/>
    <xf numFmtId="3" fontId="29" fillId="3" borderId="5" xfId="0" applyNumberFormat="1" applyFont="1" applyFill="1" applyBorder="1"/>
    <xf numFmtId="3" fontId="29" fillId="3" borderId="0" xfId="0" applyNumberFormat="1" applyFont="1" applyFill="1" applyBorder="1"/>
    <xf numFmtId="3" fontId="29" fillId="3" borderId="4" xfId="0" applyNumberFormat="1" applyFont="1" applyFill="1" applyBorder="1"/>
    <xf numFmtId="166" fontId="29" fillId="0" borderId="0" xfId="1" applyNumberFormat="1" applyFont="1"/>
    <xf numFmtId="0" fontId="17" fillId="0" borderId="0" xfId="0" applyFont="1" applyFill="1"/>
    <xf numFmtId="38" fontId="0" fillId="0" borderId="6" xfId="0" applyNumberFormat="1" applyBorder="1"/>
    <xf numFmtId="179" fontId="19" fillId="0" borderId="6" xfId="0" applyNumberFormat="1" applyFont="1" applyBorder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0" fontId="3" fillId="5" borderId="0" xfId="8" applyNumberFormat="1" applyFont="1" applyFill="1" applyAlignment="1">
      <alignment horizontal="right"/>
    </xf>
    <xf numFmtId="10" fontId="3" fillId="0" borderId="0" xfId="8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57" fillId="3" borderId="1" xfId="0" applyNumberFormat="1" applyFont="1" applyFill="1" applyBorder="1"/>
    <xf numFmtId="0" fontId="55" fillId="0" borderId="0" xfId="0" applyFont="1" applyFill="1" applyBorder="1" applyAlignment="1">
      <alignment horizontal="center"/>
    </xf>
    <xf numFmtId="9" fontId="29" fillId="0" borderId="0" xfId="8" applyFont="1" applyBorder="1" applyAlignment="1">
      <alignment horizontal="center"/>
    </xf>
    <xf numFmtId="9" fontId="24" fillId="0" borderId="0" xfId="8" applyFont="1" applyFill="1" applyBorder="1" applyAlignment="1">
      <alignment horizontal="center"/>
    </xf>
    <xf numFmtId="9" fontId="29" fillId="0" borderId="0" xfId="8" applyFont="1" applyFill="1" applyBorder="1" applyAlignment="1">
      <alignment horizontal="center"/>
    </xf>
    <xf numFmtId="9" fontId="57" fillId="3" borderId="0" xfId="8" applyFont="1" applyFill="1" applyBorder="1" applyAlignment="1">
      <alignment horizontal="center"/>
    </xf>
    <xf numFmtId="9" fontId="24" fillId="0" borderId="0" xfId="0" applyNumberFormat="1" applyFont="1" applyBorder="1" applyAlignment="1" applyProtection="1">
      <alignment horizontal="center"/>
    </xf>
    <xf numFmtId="43" fontId="57" fillId="3" borderId="0" xfId="1" applyFont="1" applyFill="1" applyBorder="1"/>
    <xf numFmtId="43" fontId="57" fillId="3" borderId="4" xfId="1" applyFont="1" applyFill="1" applyBorder="1"/>
    <xf numFmtId="40" fontId="29" fillId="0" borderId="0" xfId="0" applyNumberFormat="1" applyFont="1" applyBorder="1"/>
    <xf numFmtId="40" fontId="29" fillId="0" borderId="4" xfId="0" applyNumberFormat="1" applyFont="1" applyBorder="1"/>
    <xf numFmtId="37" fontId="3" fillId="0" borderId="0" xfId="4" applyFont="1" applyAlignment="1"/>
    <xf numFmtId="38" fontId="29" fillId="0" borderId="0" xfId="0" applyNumberFormat="1" applyFont="1" applyFill="1" applyBorder="1" applyAlignment="1">
      <alignment horizontal="center"/>
    </xf>
    <xf numFmtId="10" fontId="29" fillId="0" borderId="0" xfId="8" applyNumberFormat="1" applyFont="1" applyFill="1" applyBorder="1" applyAlignment="1">
      <alignment horizontal="center"/>
    </xf>
    <xf numFmtId="38" fontId="29" fillId="0" borderId="1" xfId="0" applyNumberFormat="1" applyFont="1" applyFill="1" applyBorder="1" applyAlignment="1">
      <alignment horizontal="center"/>
    </xf>
    <xf numFmtId="38" fontId="57" fillId="3" borderId="1" xfId="0" applyNumberFormat="1" applyFont="1" applyFill="1" applyBorder="1" applyAlignment="1">
      <alignment horizontal="center"/>
    </xf>
    <xf numFmtId="43" fontId="57" fillId="0" borderId="1" xfId="1" applyFont="1" applyFill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73" fontId="18" fillId="0" borderId="0" xfId="8" applyNumberFormat="1" applyFont="1" applyProtection="1"/>
    <xf numFmtId="205" fontId="18" fillId="0" borderId="0" xfId="2" applyNumberFormat="1" applyFont="1" applyProtection="1"/>
    <xf numFmtId="251" fontId="18" fillId="0" borderId="0" xfId="1" applyNumberFormat="1" applyFont="1" applyProtection="1"/>
    <xf numFmtId="37" fontId="70" fillId="0" borderId="0" xfId="0" applyNumberFormat="1" applyFont="1"/>
    <xf numFmtId="166" fontId="0" fillId="0" borderId="0" xfId="1" applyNumberFormat="1" applyFont="1" applyFill="1" applyBorder="1"/>
    <xf numFmtId="9" fontId="29" fillId="0" borderId="0" xfId="0" applyNumberFormat="1" applyFont="1" applyBorder="1" applyAlignment="1" applyProtection="1">
      <alignment horizontal="center"/>
    </xf>
    <xf numFmtId="9" fontId="29" fillId="0" borderId="0" xfId="0" applyNumberFormat="1" applyFont="1" applyBorder="1" applyAlignment="1">
      <alignment horizontal="center"/>
    </xf>
    <xf numFmtId="10" fontId="49" fillId="0" borderId="0" xfId="8" applyNumberFormat="1" applyFont="1" applyFill="1"/>
    <xf numFmtId="10" fontId="48" fillId="0" borderId="0" xfId="0" applyNumberFormat="1" applyFont="1" applyFill="1"/>
    <xf numFmtId="37" fontId="0" fillId="0" borderId="0" xfId="0" applyNumberFormat="1" applyFill="1"/>
    <xf numFmtId="9" fontId="29" fillId="0" borderId="1" xfId="8" applyFont="1" applyBorder="1" applyAlignment="1">
      <alignment horizontal="center"/>
    </xf>
    <xf numFmtId="173" fontId="0" fillId="0" borderId="0" xfId="0" applyNumberFormat="1"/>
    <xf numFmtId="0" fontId="23" fillId="0" borderId="0" xfId="3" applyFont="1" applyFill="1" applyBorder="1"/>
    <xf numFmtId="10" fontId="71" fillId="0" borderId="1" xfId="0" applyNumberFormat="1" applyFont="1" applyFill="1" applyBorder="1"/>
    <xf numFmtId="10" fontId="59" fillId="0" borderId="1" xfId="0" applyNumberFormat="1" applyFont="1" applyFill="1" applyBorder="1"/>
    <xf numFmtId="10" fontId="59" fillId="0" borderId="17" xfId="0" applyNumberFormat="1" applyFont="1" applyFill="1" applyBorder="1"/>
    <xf numFmtId="10" fontId="72" fillId="0" borderId="0" xfId="0" applyNumberFormat="1" applyFont="1" applyFill="1" applyBorder="1"/>
    <xf numFmtId="10" fontId="73" fillId="0" borderId="0" xfId="0" applyNumberFormat="1" applyFont="1" applyFill="1" applyBorder="1"/>
    <xf numFmtId="10" fontId="72" fillId="0" borderId="4" xfId="0" applyNumberFormat="1" applyFont="1" applyFill="1" applyBorder="1"/>
    <xf numFmtId="38" fontId="72" fillId="0" borderId="0" xfId="0" applyNumberFormat="1" applyFont="1" applyFill="1" applyBorder="1"/>
    <xf numFmtId="0" fontId="72" fillId="0" borderId="0" xfId="0" applyFont="1" applyFill="1" applyBorder="1"/>
    <xf numFmtId="38" fontId="72" fillId="0" borderId="4" xfId="0" applyNumberFormat="1" applyFont="1" applyFill="1" applyBorder="1"/>
    <xf numFmtId="38" fontId="59" fillId="0" borderId="4" xfId="0" applyNumberFormat="1" applyFont="1" applyFill="1" applyBorder="1"/>
    <xf numFmtId="10" fontId="72" fillId="0" borderId="0" xfId="8" applyNumberFormat="1" applyFont="1" applyFill="1" applyBorder="1"/>
    <xf numFmtId="10" fontId="72" fillId="0" borderId="4" xfId="8" applyNumberFormat="1" applyFont="1" applyFill="1" applyBorder="1"/>
    <xf numFmtId="166" fontId="74" fillId="0" borderId="0" xfId="1" applyNumberFormat="1" applyFont="1" applyFill="1" applyBorder="1"/>
    <xf numFmtId="38" fontId="74" fillId="0" borderId="0" xfId="0" applyNumberFormat="1" applyFont="1" applyFill="1" applyBorder="1"/>
    <xf numFmtId="38" fontId="74" fillId="0" borderId="4" xfId="0" applyNumberFormat="1" applyFont="1" applyFill="1" applyBorder="1"/>
    <xf numFmtId="166" fontId="74" fillId="0" borderId="4" xfId="1" applyNumberFormat="1" applyFont="1" applyFill="1" applyBorder="1"/>
    <xf numFmtId="38" fontId="74" fillId="0" borderId="1" xfId="0" applyNumberFormat="1" applyFont="1" applyFill="1" applyBorder="1"/>
    <xf numFmtId="166" fontId="74" fillId="0" borderId="1" xfId="1" applyNumberFormat="1" applyFont="1" applyBorder="1"/>
    <xf numFmtId="38" fontId="74" fillId="0" borderId="17" xfId="0" applyNumberFormat="1" applyFont="1" applyFill="1" applyBorder="1"/>
    <xf numFmtId="40" fontId="74" fillId="0" borderId="0" xfId="0" applyNumberFormat="1" applyFont="1" applyBorder="1"/>
    <xf numFmtId="40" fontId="37" fillId="0" borderId="0" xfId="0" applyNumberFormat="1" applyFont="1" applyBorder="1"/>
    <xf numFmtId="40" fontId="74" fillId="0" borderId="4" xfId="0" applyNumberFormat="1" applyFont="1" applyBorder="1"/>
    <xf numFmtId="40" fontId="74" fillId="0" borderId="0" xfId="0" applyNumberFormat="1" applyFont="1" applyFill="1" applyBorder="1"/>
    <xf numFmtId="38" fontId="74" fillId="0" borderId="0" xfId="0" applyNumberFormat="1" applyFont="1" applyBorder="1"/>
    <xf numFmtId="0" fontId="37" fillId="0" borderId="0" xfId="0" applyFont="1" applyBorder="1"/>
    <xf numFmtId="38" fontId="74" fillId="0" borderId="4" xfId="0" applyNumberFormat="1" applyFont="1" applyBorder="1"/>
    <xf numFmtId="10" fontId="59" fillId="0" borderId="0" xfId="0" applyNumberFormat="1" applyFont="1" applyFill="1" applyBorder="1"/>
    <xf numFmtId="10" fontId="71" fillId="0" borderId="0" xfId="0" applyNumberFormat="1" applyFont="1" applyFill="1" applyBorder="1"/>
    <xf numFmtId="10" fontId="59" fillId="0" borderId="4" xfId="0" applyNumberFormat="1" applyFont="1" applyFill="1" applyBorder="1"/>
    <xf numFmtId="0" fontId="71" fillId="0" borderId="0" xfId="0" applyFont="1" applyFill="1" applyBorder="1"/>
    <xf numFmtId="40" fontId="59" fillId="0" borderId="0" xfId="0" applyNumberFormat="1" applyFont="1" applyFill="1" applyBorder="1"/>
    <xf numFmtId="40" fontId="59" fillId="0" borderId="4" xfId="0" applyNumberFormat="1" applyFont="1" applyFill="1" applyBorder="1"/>
    <xf numFmtId="9" fontId="75" fillId="0" borderId="34" xfId="8" applyFont="1" applyFill="1" applyBorder="1" applyAlignment="1">
      <alignment horizontal="right"/>
    </xf>
    <xf numFmtId="43" fontId="29" fillId="3" borderId="0" xfId="1" applyFont="1" applyFill="1" applyBorder="1" applyAlignment="1">
      <alignment horizontal="right"/>
    </xf>
    <xf numFmtId="1" fontId="57" fillId="3" borderId="0" xfId="0" applyNumberFormat="1" applyFont="1" applyFill="1" applyBorder="1"/>
    <xf numFmtId="1" fontId="3" fillId="0" borderId="0" xfId="0" applyNumberFormat="1" applyFont="1" applyBorder="1"/>
    <xf numFmtId="1" fontId="57" fillId="3" borderId="4" xfId="0" applyNumberFormat="1" applyFont="1" applyFill="1" applyBorder="1"/>
    <xf numFmtId="1" fontId="57" fillId="3" borderId="1" xfId="0" applyNumberFormat="1" applyFont="1" applyFill="1" applyBorder="1"/>
    <xf numFmtId="1" fontId="3" fillId="0" borderId="1" xfId="0" applyNumberFormat="1" applyFont="1" applyBorder="1"/>
    <xf numFmtId="1" fontId="57" fillId="3" borderId="17" xfId="0" applyNumberFormat="1" applyFont="1" applyFill="1" applyBorder="1"/>
    <xf numFmtId="166" fontId="0" fillId="0" borderId="0" xfId="0" applyNumberFormat="1"/>
    <xf numFmtId="10" fontId="77" fillId="8" borderId="34" xfId="0" applyNumberFormat="1" applyFont="1" applyFill="1" applyBorder="1"/>
    <xf numFmtId="0" fontId="29" fillId="0" borderId="6" xfId="0" applyFont="1" applyFill="1" applyBorder="1" applyAlignment="1">
      <alignment horizontal="centerContinuous"/>
    </xf>
    <xf numFmtId="0" fontId="55" fillId="0" borderId="6" xfId="0" applyFont="1" applyFill="1" applyBorder="1" applyAlignment="1">
      <alignment horizontal="centerContinuous"/>
    </xf>
    <xf numFmtId="9" fontId="2" fillId="0" borderId="34" xfId="0" applyNumberFormat="1" applyFont="1" applyFill="1" applyBorder="1" applyAlignment="1">
      <alignment horizontal="center"/>
    </xf>
    <xf numFmtId="0" fontId="10" fillId="0" borderId="0" xfId="3" applyFont="1" applyFill="1" applyBorder="1"/>
    <xf numFmtId="0" fontId="24" fillId="0" borderId="0" xfId="0" applyFont="1" applyBorder="1" applyAlignment="1">
      <alignment horizontal="centerContinuous"/>
    </xf>
    <xf numFmtId="0" fontId="29" fillId="0" borderId="1" xfId="0" applyFont="1" applyFill="1" applyBorder="1"/>
    <xf numFmtId="10" fontId="29" fillId="0" borderId="0" xfId="8" applyNumberFormat="1" applyFont="1" applyFill="1" applyBorder="1"/>
    <xf numFmtId="40" fontId="29" fillId="0" borderId="0" xfId="0" applyNumberFormat="1" applyFont="1" applyFill="1" applyBorder="1"/>
    <xf numFmtId="1" fontId="29" fillId="0" borderId="0" xfId="0" applyNumberFormat="1" applyFont="1" applyFill="1" applyBorder="1"/>
    <xf numFmtId="43" fontId="29" fillId="0" borderId="0" xfId="1" applyFont="1" applyFill="1" applyBorder="1"/>
    <xf numFmtId="38" fontId="29" fillId="0" borderId="0" xfId="0" applyNumberFormat="1" applyFont="1" applyFill="1" applyBorder="1"/>
    <xf numFmtId="38" fontId="29" fillId="0" borderId="1" xfId="0" applyNumberFormat="1" applyFont="1" applyFill="1" applyBorder="1"/>
    <xf numFmtId="40" fontId="29" fillId="0" borderId="4" xfId="0" applyNumberFormat="1" applyFont="1" applyFill="1" applyBorder="1"/>
    <xf numFmtId="43" fontId="29" fillId="0" borderId="0" xfId="0" applyNumberFormat="1" applyFont="1" applyFill="1" applyBorder="1"/>
    <xf numFmtId="43" fontId="0" fillId="0" borderId="0" xfId="0" applyNumberFormat="1"/>
    <xf numFmtId="193" fontId="3" fillId="0" borderId="0" xfId="0" applyNumberFormat="1" applyFont="1"/>
    <xf numFmtId="43" fontId="3" fillId="0" borderId="0" xfId="1" applyNumberFormat="1" applyFont="1"/>
    <xf numFmtId="38" fontId="29" fillId="0" borderId="0" xfId="0" applyNumberFormat="1" applyFont="1"/>
    <xf numFmtId="0" fontId="60" fillId="0" borderId="5" xfId="0" applyFont="1" applyBorder="1"/>
    <xf numFmtId="166" fontId="29" fillId="0" borderId="0" xfId="0" applyNumberFormat="1" applyFont="1" applyFill="1" applyBorder="1"/>
    <xf numFmtId="43" fontId="3" fillId="0" borderId="0" xfId="0" applyNumberFormat="1" applyFont="1" applyBorder="1"/>
    <xf numFmtId="0" fontId="24" fillId="0" borderId="0" xfId="0" applyFont="1" applyBorder="1" applyAlignment="1">
      <alignment horizontal="center"/>
    </xf>
    <xf numFmtId="43" fontId="29" fillId="0" borderId="4" xfId="1" applyFont="1" applyFill="1" applyBorder="1"/>
    <xf numFmtId="166" fontId="29" fillId="0" borderId="4" xfId="0" applyNumberFormat="1" applyFont="1" applyFill="1" applyBorder="1"/>
    <xf numFmtId="38" fontId="29" fillId="0" borderId="17" xfId="0" applyNumberFormat="1" applyFont="1" applyFill="1" applyBorder="1"/>
    <xf numFmtId="166" fontId="0" fillId="0" borderId="0" xfId="1" applyNumberFormat="1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Continuous"/>
    </xf>
    <xf numFmtId="9" fontId="10" fillId="0" borderId="0" xfId="8" applyFont="1" applyFill="1" applyBorder="1" applyAlignment="1">
      <alignment horizontal="left"/>
    </xf>
    <xf numFmtId="0" fontId="10" fillId="0" borderId="7" xfId="0" applyFont="1" applyBorder="1"/>
    <xf numFmtId="0" fontId="10" fillId="0" borderId="9" xfId="0" quotePrefix="1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12" xfId="0" applyFont="1" applyBorder="1"/>
    <xf numFmtId="0" fontId="10" fillId="0" borderId="0" xfId="0" quotePrefix="1" applyFont="1" applyBorder="1"/>
    <xf numFmtId="0" fontId="10" fillId="0" borderId="13" xfId="0" applyFont="1" applyBorder="1"/>
    <xf numFmtId="0" fontId="10" fillId="0" borderId="10" xfId="0" applyFont="1" applyBorder="1"/>
    <xf numFmtId="0" fontId="10" fillId="0" borderId="6" xfId="0" quotePrefix="1" applyFont="1" applyBorder="1"/>
    <xf numFmtId="0" fontId="10" fillId="0" borderId="6" xfId="0" applyFont="1" applyBorder="1"/>
    <xf numFmtId="0" fontId="10" fillId="0" borderId="11" xfId="0" applyFont="1" applyBorder="1"/>
    <xf numFmtId="0" fontId="3" fillId="8" borderId="0" xfId="0" applyFont="1" applyFill="1"/>
    <xf numFmtId="0" fontId="10" fillId="8" borderId="0" xfId="0" applyFont="1" applyFill="1"/>
    <xf numFmtId="0" fontId="29" fillId="0" borderId="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Continuous"/>
    </xf>
    <xf numFmtId="0" fontId="29" fillId="0" borderId="35" xfId="0" applyFont="1" applyBorder="1"/>
    <xf numFmtId="0" fontId="29" fillId="0" borderId="6" xfId="0" applyFont="1" applyBorder="1" applyAlignment="1">
      <alignment horizontal="center"/>
    </xf>
    <xf numFmtId="10" fontId="29" fillId="0" borderId="0" xfId="0" applyNumberFormat="1" applyFont="1" applyBorder="1"/>
    <xf numFmtId="0" fontId="10" fillId="0" borderId="18" xfId="0" applyFont="1" applyBorder="1"/>
    <xf numFmtId="0" fontId="55" fillId="0" borderId="5" xfId="0" applyFont="1" applyBorder="1" applyAlignment="1">
      <alignment horizontal="center"/>
    </xf>
    <xf numFmtId="0" fontId="55" fillId="0" borderId="4" xfId="0" applyFont="1" applyBorder="1"/>
    <xf numFmtId="166" fontId="29" fillId="0" borderId="0" xfId="1" applyNumberFormat="1" applyFont="1" applyBorder="1"/>
    <xf numFmtId="164" fontId="29" fillId="0" borderId="0" xfId="0" applyNumberFormat="1" applyFont="1" applyBorder="1"/>
    <xf numFmtId="9" fontId="29" fillId="0" borderId="0" xfId="0" applyNumberFormat="1" applyFont="1" applyBorder="1"/>
    <xf numFmtId="0" fontId="29" fillId="0" borderId="4" xfId="0" applyFont="1" applyBorder="1" applyAlignment="1">
      <alignment horizontal="right"/>
    </xf>
    <xf numFmtId="0" fontId="29" fillId="0" borderId="19" xfId="0" applyFont="1" applyBorder="1" applyAlignment="1">
      <alignment horizontal="center"/>
    </xf>
    <xf numFmtId="9" fontId="29" fillId="0" borderId="1" xfId="8" applyFont="1" applyBorder="1"/>
    <xf numFmtId="164" fontId="29" fillId="0" borderId="1" xfId="8" applyNumberFormat="1" applyFont="1" applyBorder="1"/>
    <xf numFmtId="166" fontId="29" fillId="0" borderId="1" xfId="1" applyNumberFormat="1" applyFont="1" applyBorder="1"/>
    <xf numFmtId="166" fontId="29" fillId="0" borderId="17" xfId="1" applyNumberFormat="1" applyFont="1" applyBorder="1" applyAlignment="1">
      <alignment horizontal="right"/>
    </xf>
    <xf numFmtId="168" fontId="3" fillId="0" borderId="0" xfId="1" applyNumberFormat="1" applyFont="1"/>
    <xf numFmtId="3" fontId="2" fillId="0" borderId="0" xfId="0" applyNumberFormat="1" applyFont="1" applyFill="1"/>
    <xf numFmtId="3" fontId="3" fillId="0" borderId="0" xfId="0" applyNumberFormat="1" applyFont="1" applyFill="1"/>
    <xf numFmtId="179" fontId="19" fillId="0" borderId="9" xfId="0" applyNumberFormat="1" applyFont="1" applyBorder="1" applyAlignment="1">
      <alignment horizontal="right"/>
    </xf>
    <xf numFmtId="179" fontId="19" fillId="0" borderId="8" xfId="0" applyNumberFormat="1" applyFont="1" applyBorder="1" applyAlignment="1">
      <alignment horizontal="right"/>
    </xf>
    <xf numFmtId="0" fontId="8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0" fontId="0" fillId="0" borderId="0" xfId="8" applyNumberFormat="1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 applyBorder="1"/>
    <xf numFmtId="3" fontId="2" fillId="5" borderId="0" xfId="0" applyNumberFormat="1" applyFont="1" applyFill="1" applyBorder="1"/>
    <xf numFmtId="10" fontId="0" fillId="0" borderId="0" xfId="8" applyNumberFormat="1" applyFont="1"/>
    <xf numFmtId="179" fontId="19" fillId="0" borderId="11" xfId="0" applyNumberFormat="1" applyFont="1" applyBorder="1" applyAlignment="1">
      <alignment horizontal="right"/>
    </xf>
    <xf numFmtId="38" fontId="33" fillId="0" borderId="0" xfId="0" applyNumberFormat="1" applyFont="1" applyBorder="1"/>
    <xf numFmtId="14" fontId="2" fillId="0" borderId="0" xfId="0" applyNumberFormat="1" applyFont="1" applyAlignment="1">
      <alignment horizontal="center"/>
    </xf>
    <xf numFmtId="10" fontId="31" fillId="0" borderId="0" xfId="8" quotePrefix="1" applyNumberFormat="1" applyFont="1"/>
    <xf numFmtId="38" fontId="3" fillId="0" borderId="9" xfId="0" applyNumberFormat="1" applyFont="1" applyBorder="1"/>
    <xf numFmtId="2" fontId="3" fillId="0" borderId="6" xfId="0" applyNumberFormat="1" applyFont="1" applyBorder="1"/>
    <xf numFmtId="0" fontId="0" fillId="0" borderId="0" xfId="0" applyAlignment="1">
      <alignment horizontal="center"/>
    </xf>
    <xf numFmtId="10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37" fontId="34" fillId="0" borderId="0" xfId="0" applyNumberFormat="1" applyFont="1"/>
    <xf numFmtId="37" fontId="27" fillId="0" borderId="0" xfId="0" applyNumberFormat="1" applyFont="1"/>
    <xf numFmtId="37" fontId="6" fillId="0" borderId="36" xfId="0" applyNumberFormat="1" applyFont="1" applyBorder="1"/>
    <xf numFmtId="0" fontId="0" fillId="0" borderId="36" xfId="0" applyBorder="1"/>
    <xf numFmtId="0" fontId="27" fillId="0" borderId="0" xfId="0" applyFont="1"/>
    <xf numFmtId="10" fontId="27" fillId="0" borderId="0" xfId="8" applyNumberFormat="1" applyFont="1" applyAlignment="1">
      <alignment horizontal="right"/>
    </xf>
    <xf numFmtId="10" fontId="34" fillId="0" borderId="0" xfId="8" applyNumberFormat="1" applyFont="1" applyAlignment="1">
      <alignment horizontal="right"/>
    </xf>
    <xf numFmtId="0" fontId="27" fillId="0" borderId="0" xfId="0" applyFont="1" applyFill="1"/>
    <xf numFmtId="0" fontId="27" fillId="0" borderId="36" xfId="0" applyFont="1" applyBorder="1"/>
    <xf numFmtId="10" fontId="6" fillId="0" borderId="36" xfId="8" applyNumberFormat="1" applyFont="1" applyBorder="1" applyAlignment="1">
      <alignment horizontal="right"/>
    </xf>
    <xf numFmtId="10" fontId="49" fillId="0" borderId="36" xfId="8" applyNumberFormat="1" applyFont="1" applyFill="1" applyBorder="1"/>
    <xf numFmtId="10" fontId="81" fillId="0" borderId="0" xfId="8" applyNumberFormat="1" applyFont="1"/>
    <xf numFmtId="10" fontId="34" fillId="0" borderId="0" xfId="0" applyNumberFormat="1" applyFont="1"/>
    <xf numFmtId="10" fontId="6" fillId="0" borderId="36" xfId="8" applyNumberFormat="1" applyFont="1" applyBorder="1"/>
    <xf numFmtId="0" fontId="76" fillId="0" borderId="6" xfId="0" applyFont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3" fillId="3" borderId="0" xfId="1" applyNumberFormat="1" applyFont="1" applyFill="1"/>
    <xf numFmtId="166" fontId="3" fillId="3" borderId="0" xfId="1" applyNumberFormat="1" applyFont="1" applyFill="1"/>
    <xf numFmtId="166" fontId="2" fillId="3" borderId="0" xfId="1" applyNumberFormat="1" applyFont="1" applyFill="1"/>
    <xf numFmtId="38" fontId="2" fillId="3" borderId="0" xfId="0" applyNumberFormat="1" applyFont="1" applyFill="1"/>
    <xf numFmtId="38" fontId="3" fillId="3" borderId="6" xfId="1" applyNumberFormat="1" applyFont="1" applyFill="1" applyBorder="1"/>
    <xf numFmtId="166" fontId="17" fillId="3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3" fillId="0" borderId="9" xfId="0" applyNumberFormat="1" applyFont="1" applyFill="1" applyBorder="1"/>
    <xf numFmtId="38" fontId="3" fillId="0" borderId="6" xfId="0" applyNumberFormat="1" applyFont="1" applyFill="1" applyBorder="1"/>
    <xf numFmtId="2" fontId="3" fillId="0" borderId="6" xfId="0" applyNumberFormat="1" applyFont="1" applyFill="1" applyBorder="1"/>
    <xf numFmtId="14" fontId="3" fillId="0" borderId="0" xfId="0" applyNumberFormat="1" applyFont="1" applyFill="1"/>
    <xf numFmtId="166" fontId="3" fillId="3" borderId="0" xfId="1" applyNumberFormat="1" applyFont="1" applyFill="1" applyBorder="1"/>
    <xf numFmtId="166" fontId="3" fillId="3" borderId="9" xfId="1" applyNumberFormat="1" applyFont="1" applyFill="1" applyBorder="1"/>
    <xf numFmtId="166" fontId="3" fillId="3" borderId="6" xfId="1" applyNumberFormat="1" applyFont="1" applyFill="1" applyBorder="1"/>
    <xf numFmtId="173" fontId="3" fillId="0" borderId="0" xfId="0" applyNumberFormat="1" applyFont="1"/>
    <xf numFmtId="0" fontId="42" fillId="0" borderId="0" xfId="0" applyFont="1"/>
    <xf numFmtId="0" fontId="82" fillId="0" borderId="0" xfId="0" applyFont="1"/>
    <xf numFmtId="166" fontId="57" fillId="3" borderId="0" xfId="1" applyNumberFormat="1" applyFont="1" applyFill="1" applyBorder="1"/>
    <xf numFmtId="0" fontId="29" fillId="0" borderId="37" xfId="0" applyFont="1" applyBorder="1" applyAlignment="1">
      <alignment horizontal="center"/>
    </xf>
    <xf numFmtId="0" fontId="23" fillId="0" borderId="18" xfId="0" applyFont="1" applyFill="1" applyBorder="1" applyAlignment="1">
      <alignment horizontal="left"/>
    </xf>
    <xf numFmtId="0" fontId="10" fillId="0" borderId="5" xfId="0" applyFont="1" applyFill="1" applyBorder="1"/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179" fontId="10" fillId="0" borderId="4" xfId="1" applyNumberFormat="1" applyFont="1" applyFill="1" applyBorder="1"/>
    <xf numFmtId="0" fontId="10" fillId="0" borderId="19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7" xfId="1" applyNumberFormat="1" applyFont="1" applyFill="1" applyBorder="1"/>
    <xf numFmtId="0" fontId="24" fillId="0" borderId="1" xfId="0" applyFont="1" applyBorder="1"/>
    <xf numFmtId="38" fontId="24" fillId="0" borderId="17" xfId="1" applyNumberFormat="1" applyFont="1" applyBorder="1" applyAlignment="1">
      <alignment horizontal="center"/>
    </xf>
    <xf numFmtId="38" fontId="29" fillId="0" borderId="4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164" fontId="29" fillId="0" borderId="0" xfId="8" applyNumberFormat="1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75" fillId="0" borderId="2" xfId="0" applyFont="1" applyFill="1" applyBorder="1" applyAlignment="1" applyProtection="1">
      <alignment horizontal="right"/>
    </xf>
    <xf numFmtId="38" fontId="3" fillId="0" borderId="0" xfId="1" applyNumberFormat="1" applyFont="1" applyBorder="1"/>
    <xf numFmtId="3" fontId="83" fillId="0" borderId="0" xfId="0" applyNumberFormat="1" applyFont="1"/>
    <xf numFmtId="0" fontId="84" fillId="0" borderId="0" xfId="0" applyFont="1"/>
    <xf numFmtId="3" fontId="68" fillId="0" borderId="0" xfId="0" applyNumberFormat="1" applyFont="1"/>
    <xf numFmtId="8" fontId="3" fillId="0" borderId="0" xfId="0" applyNumberFormat="1" applyFont="1"/>
    <xf numFmtId="166" fontId="85" fillId="3" borderId="0" xfId="1" applyNumberFormat="1" applyFont="1" applyFill="1"/>
    <xf numFmtId="38" fontId="2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right"/>
    </xf>
    <xf numFmtId="0" fontId="25" fillId="0" borderId="5" xfId="0" applyFont="1" applyFill="1" applyBorder="1" applyAlignment="1" applyProtection="1">
      <alignment horizontal="left"/>
    </xf>
    <xf numFmtId="0" fontId="75" fillId="0" borderId="0" xfId="0" applyFont="1" applyFill="1" applyBorder="1" applyAlignment="1" applyProtection="1">
      <alignment horizontal="right"/>
    </xf>
    <xf numFmtId="313" fontId="57" fillId="3" borderId="2" xfId="0" applyNumberFormat="1" applyFont="1" applyFill="1" applyBorder="1" applyAlignment="1" applyProtection="1">
      <alignment horizontal="right"/>
    </xf>
    <xf numFmtId="313" fontId="57" fillId="3" borderId="0" xfId="0" applyNumberFormat="1" applyFont="1" applyFill="1" applyBorder="1" applyAlignment="1" applyProtection="1">
      <alignment horizontal="right"/>
    </xf>
    <xf numFmtId="0" fontId="2" fillId="0" borderId="7" xfId="0" applyFont="1" applyBorder="1" applyAlignment="1"/>
    <xf numFmtId="0" fontId="3" fillId="0" borderId="12" xfId="0" applyFont="1" applyBorder="1"/>
    <xf numFmtId="164" fontId="3" fillId="0" borderId="13" xfId="8" applyNumberFormat="1" applyFont="1" applyBorder="1"/>
    <xf numFmtId="164" fontId="17" fillId="0" borderId="13" xfId="8" applyNumberFormat="1" applyFont="1" applyBorder="1"/>
    <xf numFmtId="166" fontId="11" fillId="0" borderId="10" xfId="1" applyNumberFormat="1" applyFont="1" applyBorder="1"/>
    <xf numFmtId="164" fontId="3" fillId="0" borderId="11" xfId="8" applyNumberFormat="1" applyFont="1" applyBorder="1"/>
    <xf numFmtId="311" fontId="2" fillId="0" borderId="1" xfId="0" applyNumberFormat="1" applyFont="1" applyFill="1" applyBorder="1" applyAlignment="1">
      <alignment horizontal="right"/>
    </xf>
    <xf numFmtId="38" fontId="17" fillId="0" borderId="0" xfId="0" applyNumberFormat="1" applyFont="1" applyBorder="1"/>
    <xf numFmtId="10" fontId="29" fillId="0" borderId="0" xfId="0" applyNumberFormat="1" applyFont="1" applyFill="1" applyBorder="1"/>
    <xf numFmtId="179" fontId="29" fillId="0" borderId="0" xfId="1" applyNumberFormat="1" applyFont="1" applyFill="1" applyBorder="1"/>
    <xf numFmtId="10" fontId="29" fillId="0" borderId="1" xfId="0" applyNumberFormat="1" applyFont="1" applyFill="1" applyBorder="1"/>
    <xf numFmtId="179" fontId="29" fillId="0" borderId="1" xfId="1" applyNumberFormat="1" applyFont="1" applyFill="1" applyBorder="1"/>
    <xf numFmtId="179" fontId="29" fillId="0" borderId="17" xfId="1" applyNumberFormat="1" applyFont="1" applyFill="1" applyBorder="1"/>
    <xf numFmtId="179" fontId="29" fillId="0" borderId="4" xfId="1" applyNumberFormat="1" applyFont="1" applyFill="1" applyBorder="1"/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10" fontId="29" fillId="0" borderId="5" xfId="0" applyNumberFormat="1" applyFont="1" applyFill="1" applyBorder="1"/>
    <xf numFmtId="0" fontId="3" fillId="0" borderId="4" xfId="0" applyFont="1" applyFill="1" applyBorder="1"/>
    <xf numFmtId="0" fontId="29" fillId="0" borderId="18" xfId="0" applyFont="1" applyFill="1" applyBorder="1"/>
    <xf numFmtId="10" fontId="29" fillId="0" borderId="2" xfId="0" applyNumberFormat="1" applyFont="1" applyFill="1" applyBorder="1"/>
    <xf numFmtId="179" fontId="29" fillId="0" borderId="2" xfId="1" applyNumberFormat="1" applyFont="1" applyFill="1" applyBorder="1"/>
    <xf numFmtId="179" fontId="29" fillId="0" borderId="3" xfId="1" applyNumberFormat="1" applyFont="1" applyFill="1" applyBorder="1"/>
    <xf numFmtId="0" fontId="29" fillId="0" borderId="35" xfId="0" applyFont="1" applyFill="1" applyBorder="1"/>
    <xf numFmtId="10" fontId="29" fillId="0" borderId="6" xfId="0" applyNumberFormat="1" applyFont="1" applyFill="1" applyBorder="1"/>
    <xf numFmtId="179" fontId="29" fillId="0" borderId="6" xfId="1" applyNumberFormat="1" applyFont="1" applyFill="1" applyBorder="1"/>
    <xf numFmtId="179" fontId="29" fillId="0" borderId="37" xfId="1" applyNumberFormat="1" applyFont="1" applyFill="1" applyBorder="1"/>
    <xf numFmtId="10" fontId="0" fillId="0" borderId="0" xfId="8" applyNumberFormat="1" applyFont="1" applyFill="1"/>
    <xf numFmtId="0" fontId="0" fillId="0" borderId="7" xfId="0" applyBorder="1"/>
    <xf numFmtId="14" fontId="0" fillId="0" borderId="9" xfId="0" applyNumberFormat="1" applyBorder="1"/>
    <xf numFmtId="14" fontId="0" fillId="0" borderId="8" xfId="0" applyNumberFormat="1" applyBorder="1"/>
    <xf numFmtId="3" fontId="2" fillId="7" borderId="10" xfId="0" applyNumberFormat="1" applyFont="1" applyFill="1" applyBorder="1"/>
    <xf numFmtId="38" fontId="17" fillId="7" borderId="6" xfId="0" applyNumberFormat="1" applyFont="1" applyFill="1" applyBorder="1"/>
    <xf numFmtId="38" fontId="17" fillId="7" borderId="11" xfId="0" applyNumberFormat="1" applyFont="1" applyFill="1" applyBorder="1"/>
    <xf numFmtId="0" fontId="3" fillId="0" borderId="7" xfId="0" applyFont="1" applyBorder="1"/>
    <xf numFmtId="14" fontId="3" fillId="0" borderId="9" xfId="0" applyNumberFormat="1" applyFont="1" applyBorder="1"/>
    <xf numFmtId="14" fontId="3" fillId="0" borderId="8" xfId="0" applyNumberFormat="1" applyFont="1" applyBorder="1"/>
    <xf numFmtId="0" fontId="2" fillId="9" borderId="0" xfId="0" applyFont="1" applyFill="1"/>
    <xf numFmtId="0" fontId="3" fillId="9" borderId="0" xfId="0" applyFont="1" applyFill="1"/>
    <xf numFmtId="38" fontId="2" fillId="9" borderId="0" xfId="0" applyNumberFormat="1" applyFont="1" applyFill="1"/>
    <xf numFmtId="14" fontId="3" fillId="9" borderId="0" xfId="0" applyNumberFormat="1" applyFont="1" applyFill="1"/>
    <xf numFmtId="14" fontId="2" fillId="9" borderId="0" xfId="0" applyNumberFormat="1" applyFont="1" applyFill="1"/>
    <xf numFmtId="168" fontId="2" fillId="9" borderId="0" xfId="1" applyNumberFormat="1" applyFont="1" applyFill="1"/>
    <xf numFmtId="3" fontId="3" fillId="9" borderId="0" xfId="0" applyNumberFormat="1" applyFont="1" applyFill="1"/>
    <xf numFmtId="3" fontId="2" fillId="9" borderId="0" xfId="0" applyNumberFormat="1" applyFont="1" applyFill="1"/>
    <xf numFmtId="43" fontId="3" fillId="9" borderId="0" xfId="1" applyFont="1" applyFill="1"/>
    <xf numFmtId="0" fontId="0" fillId="9" borderId="0" xfId="0" applyFill="1"/>
    <xf numFmtId="0" fontId="76" fillId="9" borderId="0" xfId="0" applyFont="1" applyFill="1"/>
    <xf numFmtId="0" fontId="2" fillId="8" borderId="0" xfId="0" applyFont="1" applyFill="1"/>
    <xf numFmtId="43" fontId="2" fillId="8" borderId="0" xfId="1" applyNumberFormat="1" applyFont="1" applyFill="1"/>
    <xf numFmtId="0" fontId="2" fillId="10" borderId="0" xfId="0" applyFont="1" applyFill="1"/>
    <xf numFmtId="166" fontId="2" fillId="10" borderId="0" xfId="1" applyNumberFormat="1" applyFont="1" applyFill="1"/>
    <xf numFmtId="0" fontId="3" fillId="10" borderId="0" xfId="0" applyFont="1" applyFill="1"/>
    <xf numFmtId="43" fontId="2" fillId="0" borderId="0" xfId="1" applyNumberFormat="1" applyFont="1" applyFill="1"/>
    <xf numFmtId="166" fontId="2" fillId="3" borderId="18" xfId="1" applyNumberFormat="1" applyFont="1" applyFill="1" applyBorder="1"/>
    <xf numFmtId="166" fontId="2" fillId="3" borderId="2" xfId="1" applyNumberFormat="1" applyFont="1" applyFill="1" applyBorder="1"/>
    <xf numFmtId="166" fontId="2" fillId="3" borderId="3" xfId="1" applyNumberFormat="1" applyFont="1" applyFill="1" applyBorder="1"/>
    <xf numFmtId="3" fontId="2" fillId="11" borderId="5" xfId="0" applyNumberFormat="1" applyFont="1" applyFill="1" applyBorder="1"/>
    <xf numFmtId="3" fontId="2" fillId="11" borderId="0" xfId="0" applyNumberFormat="1" applyFont="1" applyFill="1" applyBorder="1"/>
    <xf numFmtId="3" fontId="2" fillId="11" borderId="4" xfId="0" applyNumberFormat="1" applyFont="1" applyFill="1" applyBorder="1"/>
    <xf numFmtId="179" fontId="2" fillId="8" borderId="19" xfId="0" applyNumberFormat="1" applyFont="1" applyFill="1" applyBorder="1"/>
    <xf numFmtId="179" fontId="2" fillId="8" borderId="1" xfId="0" applyNumberFormat="1" applyFont="1" applyFill="1" applyBorder="1"/>
    <xf numFmtId="0" fontId="2" fillId="8" borderId="17" xfId="0" applyFont="1" applyFill="1" applyBorder="1"/>
    <xf numFmtId="179" fontId="2" fillId="0" borderId="19" xfId="0" applyNumberFormat="1" applyFont="1" applyFill="1" applyBorder="1"/>
    <xf numFmtId="179" fontId="2" fillId="0" borderId="1" xfId="0" applyNumberFormat="1" applyFont="1" applyFill="1" applyBorder="1"/>
    <xf numFmtId="0" fontId="2" fillId="0" borderId="17" xfId="0" applyFont="1" applyFill="1" applyBorder="1"/>
    <xf numFmtId="3" fontId="3" fillId="12" borderId="0" xfId="0" applyNumberFormat="1" applyFont="1" applyFill="1"/>
    <xf numFmtId="3" fontId="3" fillId="11" borderId="0" xfId="0" applyNumberFormat="1" applyFont="1" applyFill="1"/>
    <xf numFmtId="3" fontId="3" fillId="12" borderId="0" xfId="0" applyNumberFormat="1" applyFont="1" applyFill="1" applyBorder="1"/>
    <xf numFmtId="166" fontId="3" fillId="12" borderId="0" xfId="1" applyNumberFormat="1" applyFont="1" applyFill="1"/>
    <xf numFmtId="3" fontId="3" fillId="13" borderId="0" xfId="0" applyNumberFormat="1" applyFont="1" applyFill="1" applyBorder="1"/>
    <xf numFmtId="3" fontId="3" fillId="13" borderId="0" xfId="0" applyNumberFormat="1" applyFont="1" applyFill="1"/>
    <xf numFmtId="3" fontId="3" fillId="8" borderId="0" xfId="0" applyNumberFormat="1" applyFont="1" applyFill="1"/>
    <xf numFmtId="38" fontId="33" fillId="0" borderId="0" xfId="0" applyNumberFormat="1" applyFont="1"/>
    <xf numFmtId="179" fontId="0" fillId="0" borderId="0" xfId="0" applyNumberFormat="1"/>
    <xf numFmtId="3" fontId="2" fillId="8" borderId="0" xfId="0" applyNumberFormat="1" applyFont="1" applyFill="1"/>
    <xf numFmtId="179" fontId="19" fillId="8" borderId="6" xfId="0" applyNumberFormat="1" applyFont="1" applyFill="1" applyBorder="1" applyAlignment="1">
      <alignment horizontal="right"/>
    </xf>
    <xf numFmtId="10" fontId="41" fillId="0" borderId="0" xfId="8" applyNumberFormat="1" applyFont="1" applyFill="1"/>
    <xf numFmtId="38" fontId="41" fillId="0" borderId="0" xfId="0" applyNumberFormat="1" applyFont="1" applyFill="1"/>
    <xf numFmtId="3" fontId="18" fillId="8" borderId="0" xfId="0" applyNumberFormat="1" applyFont="1" applyFill="1"/>
    <xf numFmtId="316" fontId="19" fillId="0" borderId="6" xfId="0" applyNumberFormat="1" applyFont="1" applyBorder="1" applyAlignment="1">
      <alignment horizontal="right"/>
    </xf>
    <xf numFmtId="194" fontId="2" fillId="8" borderId="0" xfId="1" applyNumberFormat="1" applyFont="1" applyFill="1"/>
  </cellXfs>
  <cellStyles count="9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Normal_IPP Summary" xfId="5"/>
    <cellStyle name="Normal_Summary" xfId="6"/>
    <cellStyle name="Normal_Yuma CE Strategic" xfId="7"/>
    <cellStyle name="Percent" xfId="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6" fmlaLink="$B$40" fmlaRange="$B$42:$B$45" noThreeD="1" sel="3" val="0"/>
</file>

<file path=xl/ctrlProps/ctrlProp2.xml><?xml version="1.0" encoding="utf-8"?>
<formControlPr xmlns="http://schemas.microsoft.com/office/spreadsheetml/2009/9/main" objectType="Drop" dropStyle="combo" dx="26" fmlaLink="$C$40" fmlaRange="$C$42:$C$43" noThreeD="1" sel="1" val="0"/>
</file>

<file path=xl/ctrlProps/ctrlProp3.xml><?xml version="1.0" encoding="utf-8"?>
<formControlPr xmlns="http://schemas.microsoft.com/office/spreadsheetml/2009/9/main" objectType="Drop" dropLines="2" dropStyle="combo" dx="26" fmlaLink="$D$40" fmlaRange="$D$42:$D$43" noThreeD="1" sel="2" val="0"/>
</file>

<file path=xl/ctrlProps/ctrlProp4.xml><?xml version="1.0" encoding="utf-8"?>
<formControlPr xmlns="http://schemas.microsoft.com/office/spreadsheetml/2009/9/main" objectType="Drop" dropLines="3" dropStyle="combo" dx="26" fmlaLink="$F$40" fmlaRange="$F$42:$F$4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45720</xdr:rowOff>
        </xdr:from>
        <xdr:to>
          <xdr:col>1</xdr:col>
          <xdr:colOff>1600200</xdr:colOff>
          <xdr:row>29</xdr:row>
          <xdr:rowOff>45720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7620</xdr:rowOff>
        </xdr:from>
        <xdr:to>
          <xdr:col>1</xdr:col>
          <xdr:colOff>1584960</xdr:colOff>
          <xdr:row>32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190500</xdr:rowOff>
        </xdr:from>
        <xdr:to>
          <xdr:col>1</xdr:col>
          <xdr:colOff>1584960</xdr:colOff>
          <xdr:row>34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182880</xdr:rowOff>
        </xdr:from>
        <xdr:to>
          <xdr:col>1</xdr:col>
          <xdr:colOff>1584960</xdr:colOff>
          <xdr:row>35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GenSvcs/Genco/Financing/Control/Equity%20Model%200428/Current/DebtScenario/DebtCoverage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t Scenarios"/>
      <sheetName val="Assumptions"/>
      <sheetName val="Power Price Assumption"/>
      <sheetName val="IS"/>
      <sheetName val="CF"/>
      <sheetName val="IRR"/>
      <sheetName val="Exposure"/>
      <sheetName val="Debt"/>
      <sheetName val="InterestIncome"/>
      <sheetName val="Depreciation"/>
      <sheetName val="Tax"/>
      <sheetName val="Brownsville"/>
      <sheetName val="Caledonia"/>
      <sheetName val="New Albany"/>
      <sheetName val="Calvert"/>
      <sheetName val="Wheatland"/>
      <sheetName val="Wilton"/>
      <sheetName val="EGC Start Charge Matrix"/>
      <sheetName val="Allocation"/>
    </sheetNames>
    <sheetDataSet>
      <sheetData sheetId="0"/>
      <sheetData sheetId="1">
        <row r="32">
          <cell r="B32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26"/>
  <sheetViews>
    <sheetView zoomScale="75" workbookViewId="0">
      <selection activeCell="A8" sqref="A8"/>
    </sheetView>
  </sheetViews>
  <sheetFormatPr defaultColWidth="9.109375" defaultRowHeight="13.2"/>
  <cols>
    <col min="1" max="1" width="74.5546875" style="22" customWidth="1"/>
    <col min="2" max="2" width="25" style="22" customWidth="1"/>
    <col min="3" max="3" width="24" style="22" customWidth="1"/>
    <col min="4" max="4" width="10.88671875" style="22" customWidth="1"/>
    <col min="5" max="5" width="6.109375" style="22" customWidth="1"/>
    <col min="6" max="6" width="23.44140625" style="22" customWidth="1"/>
    <col min="7" max="7" width="11.5546875" style="22" bestFit="1" customWidth="1"/>
    <col min="8" max="8" width="17.88671875" style="22" bestFit="1" customWidth="1"/>
    <col min="9" max="15" width="9.109375" style="22"/>
    <col min="16" max="16" width="23.109375" style="22" customWidth="1"/>
    <col min="17" max="17" width="38.5546875" style="22" customWidth="1"/>
    <col min="18" max="18" width="11.5546875" style="22" customWidth="1"/>
    <col min="19" max="19" width="22.6640625" style="22" customWidth="1"/>
    <col min="20" max="16384" width="9.109375" style="22"/>
  </cols>
  <sheetData>
    <row r="1" spans="1:12" ht="20.399999999999999">
      <c r="A1" s="65" t="s">
        <v>0</v>
      </c>
    </row>
    <row r="2" spans="1:12" ht="20.399999999999999">
      <c r="A2" s="65" t="s">
        <v>515</v>
      </c>
    </row>
    <row r="3" spans="1:12" ht="20.399999999999999">
      <c r="A3" s="65" t="s">
        <v>504</v>
      </c>
    </row>
    <row r="4" spans="1:12" ht="20.399999999999999">
      <c r="A4" s="65" t="s">
        <v>513</v>
      </c>
    </row>
    <row r="5" spans="1:12" ht="20.399999999999999">
      <c r="A5" s="65" t="s">
        <v>423</v>
      </c>
    </row>
    <row r="6" spans="1:12" ht="20.399999999999999">
      <c r="A6" s="65" t="s">
        <v>424</v>
      </c>
    </row>
    <row r="7" spans="1:12" ht="20.399999999999999">
      <c r="A7" s="65" t="s">
        <v>425</v>
      </c>
    </row>
    <row r="8" spans="1:12" ht="20.399999999999999">
      <c r="A8" s="65"/>
    </row>
    <row r="9" spans="1:12" ht="20.399999999999999">
      <c r="A9" s="65"/>
    </row>
    <row r="10" spans="1:12" ht="20.399999999999999">
      <c r="A10" s="65"/>
    </row>
    <row r="11" spans="1:12" ht="20.399999999999999">
      <c r="A11" s="65"/>
    </row>
    <row r="13" spans="1:12" ht="15.6">
      <c r="A13" s="47" t="s">
        <v>422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ht="15.6">
      <c r="A14" s="47" t="s">
        <v>421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15.6">
      <c r="A15" s="47" t="s">
        <v>1</v>
      </c>
      <c r="B15" s="47"/>
      <c r="C15" s="47"/>
      <c r="D15" s="47"/>
      <c r="E15" s="47"/>
      <c r="F15" s="47"/>
      <c r="G15" s="47"/>
      <c r="H15" s="47"/>
      <c r="I15" s="47"/>
      <c r="J15" s="77"/>
      <c r="K15" s="77"/>
      <c r="L15" s="77"/>
    </row>
    <row r="16" spans="1:12" ht="15.6">
      <c r="A16" s="47" t="s">
        <v>2</v>
      </c>
      <c r="B16" s="47"/>
      <c r="C16" s="47"/>
      <c r="D16" s="47"/>
      <c r="E16" s="47"/>
      <c r="F16" s="47"/>
      <c r="G16" s="47"/>
      <c r="H16" s="47"/>
      <c r="I16" s="47"/>
      <c r="J16" s="77"/>
      <c r="K16" s="77"/>
      <c r="L16" s="77"/>
    </row>
    <row r="17" spans="1:24" ht="15.6">
      <c r="A17" s="47" t="s">
        <v>3</v>
      </c>
      <c r="B17" s="47"/>
      <c r="C17" s="47"/>
      <c r="D17" s="47"/>
      <c r="E17" s="47"/>
      <c r="F17" s="47"/>
      <c r="G17" s="47"/>
      <c r="H17" s="47"/>
      <c r="I17" s="47"/>
      <c r="J17" s="77"/>
      <c r="K17" s="77"/>
      <c r="L17" s="77"/>
    </row>
    <row r="18" spans="1:24" ht="15.6">
      <c r="A18" s="47" t="s">
        <v>4</v>
      </c>
      <c r="B18" s="47"/>
      <c r="C18" s="47"/>
      <c r="D18" s="47"/>
      <c r="E18" s="47"/>
      <c r="F18" s="47"/>
      <c r="G18" s="47"/>
      <c r="H18" s="47"/>
      <c r="I18" s="47"/>
      <c r="J18" s="77"/>
      <c r="K18" s="77"/>
      <c r="L18" s="77"/>
    </row>
    <row r="19" spans="1:24" ht="15.6">
      <c r="A19" s="47"/>
      <c r="B19" s="47"/>
      <c r="C19" s="47"/>
      <c r="D19" s="47"/>
      <c r="E19" s="47"/>
      <c r="F19" s="47"/>
      <c r="G19" s="47"/>
      <c r="H19" s="47"/>
      <c r="I19" s="47"/>
      <c r="J19" s="77"/>
      <c r="K19" s="77"/>
      <c r="L19" s="77"/>
    </row>
    <row r="20" spans="1:24" ht="15.6">
      <c r="A20" s="47"/>
      <c r="B20" s="687" t="s">
        <v>394</v>
      </c>
      <c r="C20" s="688" t="s">
        <v>9</v>
      </c>
      <c r="D20" s="689" t="s">
        <v>395</v>
      </c>
      <c r="E20" s="689"/>
      <c r="F20" s="690"/>
      <c r="G20" s="47"/>
      <c r="H20" s="47"/>
      <c r="I20" s="47"/>
      <c r="J20" s="77"/>
      <c r="K20" s="77"/>
      <c r="L20" s="77"/>
    </row>
    <row r="21" spans="1:24" ht="15.6">
      <c r="A21" s="47"/>
      <c r="B21" s="691" t="s">
        <v>5</v>
      </c>
      <c r="C21" s="692" t="s">
        <v>6</v>
      </c>
      <c r="D21" s="692" t="s">
        <v>7</v>
      </c>
      <c r="E21" s="468"/>
      <c r="F21" s="693"/>
      <c r="G21" s="47"/>
      <c r="H21" s="47"/>
      <c r="I21" s="47"/>
      <c r="J21" s="77"/>
      <c r="K21" s="77"/>
      <c r="L21" s="77"/>
    </row>
    <row r="22" spans="1:24" ht="15.6">
      <c r="A22" s="47"/>
      <c r="B22" s="691" t="s">
        <v>8</v>
      </c>
      <c r="C22" s="692" t="s">
        <v>9</v>
      </c>
      <c r="D22" s="692" t="s">
        <v>10</v>
      </c>
      <c r="E22" s="468"/>
      <c r="F22" s="693"/>
      <c r="G22" s="47"/>
      <c r="H22" s="47"/>
      <c r="I22" s="47"/>
      <c r="J22" s="77"/>
      <c r="K22" s="77"/>
      <c r="L22" s="77"/>
    </row>
    <row r="23" spans="1:24" ht="15.6">
      <c r="A23" s="47"/>
      <c r="B23" s="694" t="s">
        <v>11</v>
      </c>
      <c r="C23" s="695" t="s">
        <v>9</v>
      </c>
      <c r="D23" s="695" t="s">
        <v>12</v>
      </c>
      <c r="E23" s="696"/>
      <c r="F23" s="697"/>
      <c r="G23" s="47"/>
      <c r="H23" s="47"/>
      <c r="I23" s="47"/>
      <c r="J23" s="77"/>
      <c r="K23" s="77"/>
      <c r="L23" s="77"/>
    </row>
    <row r="24" spans="1:24" ht="15.6">
      <c r="A24" s="47"/>
      <c r="B24" s="468"/>
      <c r="C24" s="692"/>
      <c r="D24" s="692"/>
      <c r="E24" s="468"/>
      <c r="F24" s="468"/>
      <c r="G24" s="47"/>
      <c r="H24" s="47"/>
      <c r="I24" s="47"/>
      <c r="J24" s="77"/>
      <c r="K24" s="77"/>
      <c r="L24" s="77"/>
    </row>
    <row r="25" spans="1:24" ht="15.6">
      <c r="A25" s="47"/>
      <c r="B25" s="468"/>
      <c r="C25" s="692"/>
      <c r="D25" s="692"/>
      <c r="E25" s="468"/>
      <c r="F25" s="468"/>
      <c r="G25" s="47"/>
      <c r="H25" s="47"/>
      <c r="I25" s="47"/>
      <c r="J25" s="77"/>
      <c r="K25" s="77"/>
      <c r="L25" s="77"/>
    </row>
    <row r="26" spans="1:24" ht="17.399999999999999">
      <c r="A26" s="292"/>
      <c r="B26" s="292"/>
      <c r="C26" s="292"/>
      <c r="D26" s="292"/>
      <c r="E26" s="292"/>
      <c r="F26" s="292"/>
      <c r="G26" s="292"/>
      <c r="H26" s="292"/>
      <c r="I26" s="292"/>
    </row>
    <row r="27" spans="1:24" ht="20.399999999999999">
      <c r="A27" s="65" t="s">
        <v>13</v>
      </c>
      <c r="B27" s="615"/>
      <c r="C27" s="615"/>
      <c r="D27" s="615"/>
      <c r="E27" s="615"/>
    </row>
    <row r="28" spans="1:24" ht="15.6">
      <c r="A28" s="698"/>
      <c r="B28" s="698"/>
      <c r="C28" s="698"/>
      <c r="D28" s="698"/>
      <c r="T28" s="77"/>
      <c r="U28" s="77"/>
    </row>
    <row r="29" spans="1:24" ht="15.6">
      <c r="A29" s="699" t="s">
        <v>14</v>
      </c>
      <c r="B29" s="699"/>
      <c r="C29" s="699"/>
      <c r="D29" s="699"/>
      <c r="E29" s="47"/>
      <c r="F29" s="77"/>
      <c r="G29" s="77"/>
      <c r="H29" s="77"/>
      <c r="I29" s="77"/>
      <c r="J29" s="77"/>
      <c r="K29" s="77"/>
      <c r="L29" s="77"/>
      <c r="M29" s="77"/>
      <c r="N29" s="77"/>
      <c r="T29" s="77"/>
      <c r="U29" s="77"/>
      <c r="V29" s="77"/>
      <c r="W29" s="77"/>
      <c r="X29" s="77"/>
    </row>
    <row r="30" spans="1:24" ht="15.6">
      <c r="A30" s="698" t="s">
        <v>15</v>
      </c>
      <c r="B30" s="699"/>
      <c r="C30" s="699"/>
      <c r="D30" s="699"/>
      <c r="E30" s="47"/>
      <c r="F30" s="77"/>
      <c r="G30" s="77"/>
      <c r="H30" s="77"/>
      <c r="I30" s="77"/>
      <c r="J30" s="77"/>
      <c r="K30" s="77"/>
      <c r="L30" s="77"/>
      <c r="M30" s="77"/>
      <c r="N30" s="77"/>
      <c r="T30" s="77"/>
      <c r="U30" s="77"/>
      <c r="V30" s="77"/>
      <c r="W30" s="77"/>
      <c r="X30" s="77"/>
    </row>
    <row r="31" spans="1:24" ht="15.6">
      <c r="A31" s="699"/>
      <c r="B31" s="699"/>
      <c r="C31" s="699"/>
      <c r="D31" s="699"/>
      <c r="E31" s="47"/>
      <c r="F31" s="77"/>
      <c r="G31" s="77"/>
      <c r="H31" s="77"/>
      <c r="I31" s="77"/>
      <c r="J31" s="77"/>
      <c r="K31" s="77"/>
      <c r="L31" s="77"/>
      <c r="M31" s="77"/>
      <c r="N31" s="77"/>
      <c r="T31" s="77"/>
      <c r="U31" s="77"/>
      <c r="V31" s="77"/>
      <c r="W31" s="77"/>
      <c r="X31" s="77"/>
    </row>
    <row r="32" spans="1:24" ht="15.6">
      <c r="A32" s="699" t="s">
        <v>16</v>
      </c>
      <c r="B32" s="699"/>
      <c r="C32" s="699"/>
      <c r="D32" s="699"/>
      <c r="E32" s="47"/>
      <c r="F32" s="77"/>
      <c r="G32" s="77"/>
      <c r="H32" s="77"/>
      <c r="I32" s="77"/>
      <c r="J32" s="77"/>
      <c r="K32" s="77"/>
      <c r="L32" s="77"/>
      <c r="M32" s="77"/>
      <c r="N32" s="77"/>
      <c r="T32" s="77"/>
      <c r="U32" s="77"/>
      <c r="V32" s="77"/>
      <c r="W32" s="77"/>
      <c r="X32" s="77"/>
    </row>
    <row r="33" spans="1:24" ht="15.6">
      <c r="A33" s="699"/>
      <c r="B33" s="699"/>
      <c r="C33" s="699"/>
      <c r="D33" s="699"/>
      <c r="E33" s="47"/>
      <c r="F33" s="77"/>
      <c r="G33" s="77"/>
      <c r="H33" s="77"/>
      <c r="I33" s="77"/>
      <c r="J33" s="77"/>
      <c r="K33" s="77"/>
      <c r="L33" s="77"/>
      <c r="M33" s="77"/>
      <c r="N33" s="77"/>
      <c r="T33" s="77"/>
      <c r="U33" s="77"/>
      <c r="V33" s="77"/>
      <c r="W33" s="77"/>
      <c r="X33" s="77"/>
    </row>
    <row r="34" spans="1:24" ht="15.6">
      <c r="A34" s="699" t="s">
        <v>17</v>
      </c>
      <c r="B34" s="699"/>
      <c r="C34" s="699"/>
      <c r="D34" s="699"/>
      <c r="E34" s="47"/>
      <c r="F34" s="77"/>
      <c r="G34" s="77"/>
      <c r="H34" s="77"/>
      <c r="I34" s="77"/>
      <c r="J34" s="77"/>
      <c r="K34" s="77"/>
      <c r="L34" s="77"/>
      <c r="M34" s="77"/>
      <c r="N34" s="77"/>
      <c r="T34" s="77"/>
      <c r="U34" s="77"/>
      <c r="V34" s="77"/>
      <c r="W34" s="77"/>
      <c r="X34" s="77"/>
    </row>
    <row r="35" spans="1:24" ht="15.6">
      <c r="A35" s="699"/>
      <c r="B35" s="699"/>
      <c r="C35" s="699"/>
      <c r="D35" s="699"/>
      <c r="E35" s="47"/>
      <c r="F35" s="77"/>
      <c r="G35" s="77"/>
      <c r="H35" s="77"/>
      <c r="I35" s="77"/>
      <c r="J35" s="77"/>
      <c r="K35" s="77"/>
      <c r="L35" s="77"/>
      <c r="M35" s="77"/>
      <c r="N35" s="77"/>
      <c r="T35" s="77"/>
      <c r="U35" s="77"/>
      <c r="V35" s="77"/>
      <c r="W35" s="77"/>
      <c r="X35" s="77"/>
    </row>
    <row r="36" spans="1:24" ht="15.6">
      <c r="A36" s="699" t="s">
        <v>18</v>
      </c>
      <c r="B36" s="699"/>
      <c r="C36" s="699"/>
      <c r="D36" s="699"/>
      <c r="E36" s="47"/>
      <c r="F36" s="77"/>
      <c r="G36" s="77"/>
      <c r="H36" s="77"/>
      <c r="I36" s="77"/>
      <c r="J36" s="77"/>
      <c r="K36" s="77"/>
      <c r="L36" s="77"/>
      <c r="M36" s="77"/>
      <c r="N36" s="77"/>
      <c r="T36" s="77"/>
      <c r="U36" s="77"/>
      <c r="V36" s="77"/>
      <c r="W36" s="77"/>
      <c r="X36" s="77"/>
    </row>
    <row r="37" spans="1:24" ht="15.6" hidden="1">
      <c r="A37" s="706" t="s">
        <v>28</v>
      </c>
      <c r="B37" s="67"/>
      <c r="C37" s="384"/>
      <c r="D37" s="384"/>
      <c r="E37" s="384"/>
      <c r="F37" s="385"/>
      <c r="G37" s="77"/>
      <c r="H37"/>
      <c r="I37"/>
      <c r="J37"/>
      <c r="K3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spans="1:24" ht="15.6" hidden="1">
      <c r="A38" s="351"/>
      <c r="B38" s="338"/>
      <c r="C38" s="338"/>
      <c r="D38" s="338"/>
      <c r="E38" s="338"/>
      <c r="F38" s="352"/>
      <c r="G38" s="77"/>
      <c r="H38"/>
      <c r="I38"/>
      <c r="J38"/>
      <c r="K38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spans="1:24" ht="15.6" hidden="1">
      <c r="A39" s="707" t="s">
        <v>29</v>
      </c>
      <c r="B39" s="363" t="s">
        <v>30</v>
      </c>
      <c r="C39" s="363" t="s">
        <v>31</v>
      </c>
      <c r="D39" s="363" t="s">
        <v>17</v>
      </c>
      <c r="E39" s="363"/>
      <c r="F39" s="708" t="s">
        <v>32</v>
      </c>
      <c r="G39" s="77"/>
      <c r="H39"/>
      <c r="I39"/>
      <c r="J39"/>
      <c r="K39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 spans="1:24" ht="15.6" hidden="1">
      <c r="A40" s="351"/>
      <c r="B40" s="338">
        <v>3</v>
      </c>
      <c r="C40" s="709">
        <v>1</v>
      </c>
      <c r="D40" s="338">
        <v>2</v>
      </c>
      <c r="E40" s="338"/>
      <c r="F40" s="352">
        <v>1</v>
      </c>
      <c r="G40" s="77"/>
      <c r="H40"/>
      <c r="I40"/>
      <c r="J40"/>
      <c r="K40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spans="1:24" ht="15.6" hidden="1">
      <c r="A41" s="351"/>
      <c r="B41" s="338"/>
      <c r="C41" s="709"/>
      <c r="D41" s="338"/>
      <c r="E41" s="338"/>
      <c r="F41" s="352"/>
      <c r="G41" s="77"/>
      <c r="H41"/>
      <c r="I41"/>
      <c r="J41"/>
      <c r="K41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spans="1:24" ht="15.6" hidden="1">
      <c r="A42" s="351">
        <v>1</v>
      </c>
      <c r="B42" s="710">
        <v>0</v>
      </c>
      <c r="C42" s="711">
        <v>1</v>
      </c>
      <c r="D42" s="338">
        <v>0</v>
      </c>
      <c r="E42" s="338"/>
      <c r="F42" s="712" t="s">
        <v>33</v>
      </c>
      <c r="G42" s="77"/>
      <c r="H42"/>
      <c r="I42"/>
      <c r="J42"/>
      <c r="K4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spans="1:24" ht="15.6" hidden="1">
      <c r="A43" s="351">
        <v>2</v>
      </c>
      <c r="B43" s="710">
        <v>1.4999999999999999E-2</v>
      </c>
      <c r="C43" s="711">
        <v>1.1000000000000001</v>
      </c>
      <c r="D43" s="338">
        <v>120</v>
      </c>
      <c r="E43" s="338"/>
      <c r="F43" s="712" t="s">
        <v>34</v>
      </c>
      <c r="G43" s="77"/>
      <c r="H43"/>
      <c r="I43"/>
      <c r="J43"/>
      <c r="K43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spans="1:24" ht="15.6" hidden="1">
      <c r="A44" s="351">
        <v>3</v>
      </c>
      <c r="B44" s="710">
        <v>0.03</v>
      </c>
      <c r="C44" s="338"/>
      <c r="D44" s="338"/>
      <c r="E44" s="338"/>
      <c r="F44" s="712" t="s">
        <v>35</v>
      </c>
      <c r="G44" s="77"/>
      <c r="H44"/>
      <c r="I44"/>
      <c r="J44"/>
      <c r="K44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spans="1:24" ht="15.6" hidden="1">
      <c r="A45" s="351">
        <v>4</v>
      </c>
      <c r="B45" s="710">
        <v>4.4999999999999998E-2</v>
      </c>
      <c r="C45" s="338"/>
      <c r="D45" s="338"/>
      <c r="E45" s="338"/>
      <c r="F45" s="712"/>
      <c r="G45" s="77"/>
      <c r="H45"/>
      <c r="I45"/>
      <c r="J45"/>
      <c r="K45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spans="1:24" ht="16.2" hidden="1" thickBot="1">
      <c r="A46" s="713" t="s">
        <v>36</v>
      </c>
      <c r="B46" s="714">
        <f>INDEX(B42:B45,B40)</f>
        <v>0.03</v>
      </c>
      <c r="C46" s="715">
        <f>INDEX(C42:C45,C40)</f>
        <v>1</v>
      </c>
      <c r="D46" s="716">
        <f>INDEX(D42:D45,D40)</f>
        <v>120</v>
      </c>
      <c r="E46" s="716"/>
      <c r="F46" s="717" t="str">
        <f>INDEX(F42:F45,F40)</f>
        <v>Base</v>
      </c>
      <c r="G46" s="77"/>
      <c r="H46"/>
      <c r="I46"/>
      <c r="J46"/>
      <c r="K4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 ht="15.6">
      <c r="A47" s="237"/>
      <c r="B47" s="237"/>
      <c r="C47" s="237"/>
      <c r="D47" s="237"/>
      <c r="E47" s="77"/>
      <c r="F47" s="77"/>
      <c r="G47" s="77"/>
      <c r="H47" s="77"/>
      <c r="I47" s="77"/>
      <c r="J47" s="77"/>
      <c r="K47" s="77"/>
      <c r="L47" s="77"/>
      <c r="M47" s="77"/>
      <c r="N47" s="77"/>
      <c r="T47" s="77"/>
      <c r="U47" s="77"/>
      <c r="V47" s="77"/>
      <c r="W47" s="77"/>
      <c r="X47" s="77"/>
    </row>
    <row r="48" spans="1:24" ht="15.6">
      <c r="A48" s="237"/>
      <c r="B48" s="237"/>
      <c r="C48" s="237"/>
      <c r="D48" s="237"/>
      <c r="E48" s="77"/>
      <c r="F48" s="77"/>
      <c r="G48" s="77"/>
      <c r="H48" s="77"/>
      <c r="I48" s="77"/>
      <c r="J48" s="77"/>
      <c r="K48" s="77"/>
      <c r="L48" s="77"/>
      <c r="M48" s="77"/>
      <c r="N48" s="77"/>
      <c r="T48" s="77"/>
      <c r="U48" s="77"/>
      <c r="V48" s="77"/>
      <c r="W48" s="77"/>
      <c r="X48" s="77"/>
    </row>
    <row r="49" spans="1:24" ht="15.6">
      <c r="A49" s="237"/>
      <c r="B49" s="237"/>
      <c r="C49" s="237"/>
      <c r="D49" s="237"/>
      <c r="E49" s="77"/>
      <c r="F49" s="77"/>
      <c r="G49" s="77"/>
      <c r="H49" s="77"/>
      <c r="I49" s="77"/>
      <c r="J49" s="77"/>
      <c r="K49" s="77"/>
      <c r="L49" s="77"/>
      <c r="M49" s="77"/>
      <c r="N49" s="77"/>
      <c r="T49" s="77"/>
      <c r="U49" s="77"/>
      <c r="V49" s="77"/>
      <c r="W49" s="77"/>
      <c r="X49" s="77"/>
    </row>
    <row r="50" spans="1:24" ht="16.2" thickBot="1">
      <c r="A50" s="237"/>
      <c r="B50" s="237"/>
      <c r="C50" s="237"/>
      <c r="D50" s="237"/>
      <c r="E50" s="77"/>
      <c r="F50" s="77"/>
      <c r="G50" s="77"/>
      <c r="H50" s="77"/>
      <c r="I50" s="77"/>
      <c r="J50" s="77"/>
      <c r="K50" s="77"/>
      <c r="L50" s="77"/>
      <c r="M50" s="77"/>
      <c r="N50" s="77"/>
      <c r="T50" s="77"/>
      <c r="U50" s="77"/>
      <c r="V50" s="77"/>
      <c r="W50" s="77"/>
      <c r="X50" s="77"/>
    </row>
    <row r="51" spans="1:24" ht="21" thickBot="1">
      <c r="A51" s="779"/>
      <c r="B51" s="700" t="s">
        <v>19</v>
      </c>
      <c r="C51" s="402" t="s">
        <v>20</v>
      </c>
      <c r="D51" s="402"/>
      <c r="E51" s="402"/>
      <c r="F51" s="402"/>
      <c r="G51" s="403"/>
      <c r="H51"/>
      <c r="I51"/>
      <c r="J51"/>
      <c r="K51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 spans="1:24" ht="16.2" thickBot="1">
      <c r="A52" s="351"/>
      <c r="B52" s="701" t="s">
        <v>21</v>
      </c>
      <c r="C52" s="402" t="s">
        <v>22</v>
      </c>
      <c r="D52" s="402"/>
      <c r="E52" s="702"/>
      <c r="F52" s="402" t="s">
        <v>23</v>
      </c>
      <c r="G52" s="403"/>
      <c r="H52"/>
      <c r="I52"/>
      <c r="J52"/>
      <c r="K52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 spans="1:24" ht="15.6">
      <c r="A53" s="703"/>
      <c r="B53" s="704" t="s">
        <v>24</v>
      </c>
      <c r="C53" s="704" t="s">
        <v>25</v>
      </c>
      <c r="D53" s="704" t="s">
        <v>26</v>
      </c>
      <c r="E53" s="704"/>
      <c r="F53" s="704" t="s">
        <v>25</v>
      </c>
      <c r="G53" s="778" t="s">
        <v>27</v>
      </c>
      <c r="H53"/>
      <c r="I53"/>
      <c r="J53"/>
      <c r="K53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4" ht="15.6">
      <c r="A54" s="780" t="s">
        <v>391</v>
      </c>
      <c r="B54" s="781">
        <f ca="1">IRR!D62</f>
        <v>0.12490847350272052</v>
      </c>
      <c r="C54" s="782">
        <f ca="1">MIN(IRR!G28:L28)</f>
        <v>1.0711441688312726</v>
      </c>
      <c r="D54" s="782">
        <f ca="1">AVERAGE(IRR!G28:L28)</f>
        <v>1.2419555648769627</v>
      </c>
      <c r="E54" s="782"/>
      <c r="F54" s="782">
        <f>MIN(IRR!N28:AS28)</f>
        <v>2.0204486234913537</v>
      </c>
      <c r="G54" s="783">
        <f>AVERAGE(IRR!M28:AS28)</f>
        <v>2.9028303952325771</v>
      </c>
      <c r="H54" t="s">
        <v>435</v>
      </c>
      <c r="I54"/>
      <c r="J54"/>
      <c r="K54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</row>
    <row r="55" spans="1:24" ht="16.2" thickBot="1">
      <c r="A55" s="784" t="s">
        <v>392</v>
      </c>
      <c r="B55" s="785">
        <f ca="1">CF!D79</f>
        <v>0.12921063170379621</v>
      </c>
      <c r="C55" s="786">
        <f ca="1">Debt!E119</f>
        <v>1.2888963749231688</v>
      </c>
      <c r="D55" s="786">
        <f ca="1">Debt!E118</f>
        <v>1.3927921351860328</v>
      </c>
      <c r="E55" s="786"/>
      <c r="F55" s="786">
        <f>Debt!J119</f>
        <v>2.0781278129521037</v>
      </c>
      <c r="G55" s="787">
        <f>Debt!J118</f>
        <v>2.9127350275434885</v>
      </c>
      <c r="H55"/>
      <c r="I55"/>
      <c r="J55"/>
      <c r="K55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 spans="1:24" ht="15.6">
      <c r="A56"/>
      <c r="B56"/>
      <c r="C56"/>
      <c r="D56"/>
      <c r="E56"/>
      <c r="F56"/>
      <c r="G56"/>
      <c r="H56"/>
      <c r="I56"/>
      <c r="J56"/>
      <c r="K56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 spans="1:24" ht="16.2" thickBot="1">
      <c r="A57"/>
      <c r="B57"/>
      <c r="C57"/>
      <c r="D57"/>
      <c r="E57"/>
      <c r="F57"/>
      <c r="G57"/>
      <c r="H57"/>
      <c r="I57"/>
      <c r="J57"/>
      <c r="K5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 spans="1:24" ht="15.6">
      <c r="A58" s="828" t="s">
        <v>502</v>
      </c>
      <c r="B58" s="829">
        <v>0.13232949332415878</v>
      </c>
      <c r="C58" s="830">
        <v>1.2464012319935738</v>
      </c>
      <c r="D58" s="830">
        <v>1.2940561939339235</v>
      </c>
      <c r="E58" s="830"/>
      <c r="F58" s="830">
        <v>2.0646021559674326</v>
      </c>
      <c r="G58" s="831">
        <v>2.879205848230455</v>
      </c>
      <c r="H58"/>
      <c r="I58"/>
      <c r="J58"/>
      <c r="K58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 spans="1:24" ht="16.2" thickBot="1">
      <c r="A59" s="832" t="s">
        <v>503</v>
      </c>
      <c r="B59" s="833">
        <v>0.13658368101242421</v>
      </c>
      <c r="C59" s="834">
        <v>1.3030656768255426</v>
      </c>
      <c r="D59" s="834">
        <v>1.4068446844101548</v>
      </c>
      <c r="E59" s="834"/>
      <c r="F59" s="834">
        <v>2.2181412002507113</v>
      </c>
      <c r="G59" s="835">
        <v>2.8956388153297334</v>
      </c>
      <c r="H59"/>
      <c r="I59"/>
      <c r="J59"/>
      <c r="K59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 spans="1:24" ht="15.6">
      <c r="A60" s="828" t="s">
        <v>500</v>
      </c>
      <c r="B60" s="829">
        <v>0.13232949332415878</v>
      </c>
      <c r="C60" s="830">
        <v>1.2464012319935738</v>
      </c>
      <c r="D60" s="830">
        <v>1.2940561939339235</v>
      </c>
      <c r="E60" s="830"/>
      <c r="F60" s="830">
        <v>2.0646021559674326</v>
      </c>
      <c r="G60" s="831">
        <v>2.879205848230455</v>
      </c>
      <c r="H60"/>
      <c r="I60"/>
      <c r="J60"/>
      <c r="K60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spans="1:24" ht="15.6">
      <c r="A61" s="832" t="s">
        <v>501</v>
      </c>
      <c r="B61" s="833">
        <v>0.13658368101242421</v>
      </c>
      <c r="C61" s="834">
        <v>1.3030656768255426</v>
      </c>
      <c r="D61" s="834">
        <v>1.4068446844101548</v>
      </c>
      <c r="E61" s="834"/>
      <c r="F61" s="834">
        <v>2.2181412002507113</v>
      </c>
      <c r="G61" s="835">
        <v>2.8956388153297334</v>
      </c>
      <c r="H61"/>
      <c r="I61"/>
      <c r="J61"/>
      <c r="K61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1:24" ht="15.6">
      <c r="A62" s="374" t="s">
        <v>499</v>
      </c>
      <c r="B62" s="818">
        <v>0.13245818061860221</v>
      </c>
      <c r="C62" s="819">
        <v>1.2604588169864372</v>
      </c>
      <c r="D62" s="819">
        <v>1.2963852744765421</v>
      </c>
      <c r="E62" s="819"/>
      <c r="F62" s="819">
        <v>2.0646021559674326</v>
      </c>
      <c r="G62" s="823">
        <v>2.879205848230455</v>
      </c>
      <c r="H62"/>
      <c r="I62"/>
      <c r="J62"/>
      <c r="K62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 spans="1:24" ht="15.6">
      <c r="A63" s="832" t="s">
        <v>498</v>
      </c>
      <c r="B63" s="833">
        <v>0.13671974613346927</v>
      </c>
      <c r="C63" s="834">
        <v>1.3030656768255426</v>
      </c>
      <c r="D63" s="834">
        <v>1.4120075801446399</v>
      </c>
      <c r="E63" s="834"/>
      <c r="F63" s="834">
        <v>2.2181412002507113</v>
      </c>
      <c r="G63" s="835">
        <v>2.8956388153297334</v>
      </c>
      <c r="H63"/>
      <c r="I63"/>
      <c r="J63"/>
      <c r="K63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spans="1:24" ht="15.6">
      <c r="A64" s="374" t="s">
        <v>477</v>
      </c>
      <c r="B64" s="818">
        <v>0.13202457872933371</v>
      </c>
      <c r="C64" s="819">
        <v>1.2355094427879594</v>
      </c>
      <c r="D64" s="819">
        <v>1.2859543564625955</v>
      </c>
      <c r="E64" s="819"/>
      <c r="F64" s="819">
        <v>2.0646021559674326</v>
      </c>
      <c r="G64" s="823">
        <v>2.879205848230455</v>
      </c>
      <c r="H64"/>
      <c r="I64"/>
      <c r="J64"/>
      <c r="K64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spans="1:24" ht="15.6">
      <c r="A65" s="832" t="s">
        <v>478</v>
      </c>
      <c r="B65" s="833">
        <v>0.13631015414192557</v>
      </c>
      <c r="C65" s="834">
        <v>1.3030656768255426</v>
      </c>
      <c r="D65" s="834">
        <v>1.3974104787325905</v>
      </c>
      <c r="E65" s="834"/>
      <c r="F65" s="834">
        <v>2.2181412002507113</v>
      </c>
      <c r="G65" s="835">
        <v>2.8956388153297334</v>
      </c>
      <c r="H65"/>
      <c r="I65"/>
      <c r="J65"/>
      <c r="K65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spans="1:24" ht="15.6">
      <c r="A66" s="374" t="s">
        <v>474</v>
      </c>
      <c r="B66" s="818">
        <v>0.13172310914753629</v>
      </c>
      <c r="C66" s="819">
        <v>1.2564373055539411</v>
      </c>
      <c r="D66" s="819">
        <v>1.3069745790147984</v>
      </c>
      <c r="E66" s="819"/>
      <c r="F66" s="819">
        <v>2.0898101959177295</v>
      </c>
      <c r="G66" s="823">
        <v>3.0270584056528631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spans="1:24" ht="15.6">
      <c r="A67" s="832" t="s">
        <v>475</v>
      </c>
      <c r="B67" s="833">
        <v>0.13565564507056163</v>
      </c>
      <c r="C67" s="834">
        <v>1.3139651606936185</v>
      </c>
      <c r="D67" s="834">
        <v>1.4133574415843657</v>
      </c>
      <c r="E67" s="834"/>
      <c r="F67" s="834">
        <v>2.2464547718006811</v>
      </c>
      <c r="G67" s="835">
        <v>3.04071161670009</v>
      </c>
      <c r="H67"/>
      <c r="I67"/>
      <c r="J67"/>
      <c r="K6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spans="1:24" ht="15.6">
      <c r="A68" s="374" t="s">
        <v>456</v>
      </c>
      <c r="B68" s="818">
        <v>0.1358401985589599</v>
      </c>
      <c r="C68" s="819">
        <v>1.2408758731339176</v>
      </c>
      <c r="D68" s="819">
        <v>1.2990966125251393</v>
      </c>
      <c r="E68" s="819"/>
      <c r="F68" s="819">
        <v>2.3762787433197117</v>
      </c>
      <c r="G68" s="823">
        <v>3.2749394314718843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spans="1:24" ht="15.6">
      <c r="A69" s="832" t="s">
        <v>457</v>
      </c>
      <c r="B69" s="833">
        <v>0.13959337757556034</v>
      </c>
      <c r="C69" s="834">
        <v>1.3103479729468777</v>
      </c>
      <c r="D69" s="834">
        <v>1.4049517624149868</v>
      </c>
      <c r="E69" s="834"/>
      <c r="F69" s="834">
        <v>2.4457218877997122</v>
      </c>
      <c r="G69" s="835">
        <v>3.2924967504666354</v>
      </c>
      <c r="H69"/>
      <c r="I69"/>
      <c r="J69"/>
      <c r="K69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 spans="1:24" ht="15.6">
      <c r="A70" s="374" t="s">
        <v>458</v>
      </c>
      <c r="B70" s="818">
        <v>0.1358401985589599</v>
      </c>
      <c r="C70" s="819">
        <v>1.2408758731339176</v>
      </c>
      <c r="D70" s="819">
        <v>1.2990966125251393</v>
      </c>
      <c r="E70" s="819"/>
      <c r="F70" s="819">
        <v>2.3762787433197117</v>
      </c>
      <c r="G70" s="823">
        <v>3.2749394314718843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spans="1:24" ht="15.6">
      <c r="A71" s="832" t="s">
        <v>459</v>
      </c>
      <c r="B71" s="833">
        <v>0.13959337757556034</v>
      </c>
      <c r="C71" s="834">
        <v>1.3103479729468777</v>
      </c>
      <c r="D71" s="834">
        <v>1.4049517624149868</v>
      </c>
      <c r="E71" s="834"/>
      <c r="F71" s="834">
        <v>2.4457218877997122</v>
      </c>
      <c r="G71" s="835">
        <v>3.2924967504666354</v>
      </c>
      <c r="H71"/>
      <c r="I71"/>
      <c r="J71"/>
      <c r="K71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 spans="1:24" ht="15.6">
      <c r="A72" s="374" t="s">
        <v>460</v>
      </c>
      <c r="B72" s="818">
        <v>0.13588105838289588</v>
      </c>
      <c r="C72" s="819">
        <v>1.2066232860126855</v>
      </c>
      <c r="D72" s="819">
        <v>1.3051027533445734</v>
      </c>
      <c r="E72" s="819"/>
      <c r="F72" s="819">
        <v>2.3762787433197117</v>
      </c>
      <c r="G72" s="823">
        <v>3.2749394314718843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 spans="1:24" ht="15.6">
      <c r="A73" s="832" t="s">
        <v>461</v>
      </c>
      <c r="B73" s="833">
        <v>0.13952908248092571</v>
      </c>
      <c r="C73" s="834">
        <v>1.3103479729468777</v>
      </c>
      <c r="D73" s="834">
        <v>1.4049671684619625</v>
      </c>
      <c r="E73" s="834"/>
      <c r="F73" s="834">
        <v>2.4457218877997122</v>
      </c>
      <c r="G73" s="835">
        <v>3.2924967504666354</v>
      </c>
      <c r="H73"/>
      <c r="I73"/>
      <c r="J73"/>
      <c r="K73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 ht="15.6">
      <c r="A74" s="374" t="s">
        <v>462</v>
      </c>
      <c r="B74" s="818">
        <v>0.13588105838289588</v>
      </c>
      <c r="C74" s="819">
        <v>1.2066232860126855</v>
      </c>
      <c r="D74" s="819">
        <v>1.3051027533445734</v>
      </c>
      <c r="E74" s="819"/>
      <c r="F74" s="819">
        <v>2.3762787433197117</v>
      </c>
      <c r="G74" s="823">
        <v>3.2749394314718843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 ht="15.6">
      <c r="A75" s="832" t="s">
        <v>463</v>
      </c>
      <c r="B75" s="833">
        <v>0.13952908248092571</v>
      </c>
      <c r="C75" s="834">
        <v>1.3103479729468777</v>
      </c>
      <c r="D75" s="834">
        <v>1.4049671684619625</v>
      </c>
      <c r="E75" s="834"/>
      <c r="F75" s="834">
        <v>2.4457218877997122</v>
      </c>
      <c r="G75" s="835">
        <v>3.2924967504666354</v>
      </c>
      <c r="H75"/>
      <c r="I75"/>
      <c r="J75"/>
      <c r="K75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 ht="15.6">
      <c r="A76" s="374" t="s">
        <v>464</v>
      </c>
      <c r="B76" s="818">
        <v>0.13557171233344545</v>
      </c>
      <c r="C76" s="819">
        <v>1.2066232860126855</v>
      </c>
      <c r="D76" s="819">
        <v>1.290999192481938</v>
      </c>
      <c r="E76" s="819"/>
      <c r="F76" s="819">
        <v>2.3762787433197117</v>
      </c>
      <c r="G76" s="823">
        <v>3.2749394314718843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 ht="15.6">
      <c r="A77" s="832" t="s">
        <v>465</v>
      </c>
      <c r="B77" s="833">
        <v>0.13921819840994332</v>
      </c>
      <c r="C77" s="834">
        <v>1.3103479729468777</v>
      </c>
      <c r="D77" s="834">
        <v>1.3756839481122871</v>
      </c>
      <c r="E77" s="834"/>
      <c r="F77" s="834">
        <v>2.4457218877997122</v>
      </c>
      <c r="G77" s="835">
        <v>3.2924967504666354</v>
      </c>
      <c r="H77"/>
      <c r="I77"/>
      <c r="J77"/>
      <c r="K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 ht="15.6">
      <c r="A78" s="374" t="s">
        <v>466</v>
      </c>
      <c r="B78" s="818">
        <v>0.13649251718594679</v>
      </c>
      <c r="C78" s="819">
        <v>1.2964365643742406</v>
      </c>
      <c r="D78" s="819">
        <v>1.315534341940817</v>
      </c>
      <c r="E78" s="819"/>
      <c r="F78" s="819">
        <v>2.3779294242516782</v>
      </c>
      <c r="G78" s="823">
        <v>3.2750369515279867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 ht="15.6">
      <c r="A79" s="832" t="s">
        <v>467</v>
      </c>
      <c r="B79" s="833">
        <v>0.14021136670450371</v>
      </c>
      <c r="C79" s="834">
        <v>1.3103479729468777</v>
      </c>
      <c r="D79" s="834">
        <v>1.4094078137478216</v>
      </c>
      <c r="E79" s="834"/>
      <c r="F79" s="834">
        <v>2.4457218877997122</v>
      </c>
      <c r="G79" s="835">
        <v>3.2926802113779221</v>
      </c>
      <c r="H79"/>
      <c r="I79"/>
      <c r="J79"/>
      <c r="K79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 ht="15.6">
      <c r="A80" s="374" t="s">
        <v>468</v>
      </c>
      <c r="B80" s="818">
        <v>0.1380915824532484</v>
      </c>
      <c r="C80" s="819">
        <v>1.2964365643742406</v>
      </c>
      <c r="D80" s="819">
        <v>1.315534341940817</v>
      </c>
      <c r="E80" s="819"/>
      <c r="F80" s="819">
        <v>2.3779294242516782</v>
      </c>
      <c r="G80" s="823">
        <v>3.2750369515279867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 ht="15.6">
      <c r="A81" s="832" t="s">
        <v>469</v>
      </c>
      <c r="B81" s="833">
        <v>0.14186438220787509</v>
      </c>
      <c r="C81" s="834">
        <v>1.3103479729468777</v>
      </c>
      <c r="D81" s="834">
        <v>1.4094078137478216</v>
      </c>
      <c r="E81" s="834"/>
      <c r="F81" s="834">
        <v>2.4457218877997122</v>
      </c>
      <c r="G81" s="835">
        <v>3.2926802113779221</v>
      </c>
      <c r="H81"/>
      <c r="I81"/>
      <c r="J81"/>
      <c r="K81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 ht="15.6">
      <c r="A82" s="374" t="s">
        <v>468</v>
      </c>
      <c r="B82" s="818">
        <v>0.13931259833881371</v>
      </c>
      <c r="C82" s="819">
        <v>1.2964365643742406</v>
      </c>
      <c r="D82" s="819">
        <v>1.315534341940817</v>
      </c>
      <c r="E82" s="819"/>
      <c r="F82" s="819">
        <v>2.3779294242516782</v>
      </c>
      <c r="G82" s="823">
        <v>3.2750369515279867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 ht="15.6">
      <c r="A83" s="832" t="s">
        <v>469</v>
      </c>
      <c r="B83" s="833">
        <v>0.14315266005846064</v>
      </c>
      <c r="C83" s="834">
        <v>1.3103479729468777</v>
      </c>
      <c r="D83" s="834">
        <v>1.4094050509407221</v>
      </c>
      <c r="E83" s="834"/>
      <c r="F83" s="834">
        <v>2.4457218877997122</v>
      </c>
      <c r="G83" s="835">
        <v>3.2926802113779221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 ht="15.6">
      <c r="A84" s="374" t="s">
        <v>470</v>
      </c>
      <c r="B84" s="818">
        <v>0.13808883531402558</v>
      </c>
      <c r="C84" s="819">
        <v>1.2964365643742406</v>
      </c>
      <c r="D84" s="819">
        <v>1.315534341940817</v>
      </c>
      <c r="E84" s="819"/>
      <c r="F84" s="819">
        <v>2.3779294242516782</v>
      </c>
      <c r="G84" s="823">
        <v>3.2750369515279867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 ht="15.6">
      <c r="A85" s="832" t="s">
        <v>471</v>
      </c>
      <c r="B85" s="833">
        <v>0.14265785385203072</v>
      </c>
      <c r="C85" s="834">
        <v>1.3103479729468777</v>
      </c>
      <c r="D85" s="834">
        <v>1.3705886404293264</v>
      </c>
      <c r="E85" s="834"/>
      <c r="F85" s="834">
        <v>2.4457218877997122</v>
      </c>
      <c r="G85" s="835">
        <v>3.2926802113779221</v>
      </c>
      <c r="H85"/>
      <c r="I85"/>
      <c r="J85"/>
      <c r="K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 ht="15.6">
      <c r="A86" s="374" t="s">
        <v>436</v>
      </c>
      <c r="B86" s="818">
        <v>0.15000614543248042</v>
      </c>
      <c r="C86" s="819">
        <v>1.3013742908713872</v>
      </c>
      <c r="D86" s="819">
        <v>1.3211505025583208</v>
      </c>
      <c r="E86" s="819"/>
      <c r="F86" s="819">
        <v>2.0856063448674056</v>
      </c>
      <c r="G86" s="823">
        <v>3.0143537817339134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 ht="15.6">
      <c r="A87" s="832" t="s">
        <v>437</v>
      </c>
      <c r="B87" s="833">
        <v>0.15560593250255927</v>
      </c>
      <c r="C87" s="834">
        <v>1.3139652878569008</v>
      </c>
      <c r="D87" s="834">
        <v>1.4129946771719293</v>
      </c>
      <c r="E87" s="834"/>
      <c r="F87" s="834">
        <v>2.2380813987846491</v>
      </c>
      <c r="G87" s="835">
        <v>3.0278710374689375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 ht="15.6">
      <c r="A88" s="374" t="s">
        <v>438</v>
      </c>
      <c r="B88" s="818">
        <v>0.15000614543248042</v>
      </c>
      <c r="C88" s="819">
        <v>1.3013742908713872</v>
      </c>
      <c r="D88" s="819">
        <v>1.3211505025583208</v>
      </c>
      <c r="E88" s="819"/>
      <c r="F88" s="819">
        <v>2.0856063448674056</v>
      </c>
      <c r="G88" s="823">
        <v>3.0143537817339134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</row>
    <row r="89" spans="1:24" ht="15.6">
      <c r="A89" s="832" t="s">
        <v>439</v>
      </c>
      <c r="B89" s="833">
        <v>0.15560593250255927</v>
      </c>
      <c r="C89" s="834">
        <v>1.3139652878569008</v>
      </c>
      <c r="D89" s="834">
        <v>1.4129946771719293</v>
      </c>
      <c r="E89" s="834"/>
      <c r="F89" s="834">
        <v>2.2380813987846491</v>
      </c>
      <c r="G89" s="835">
        <v>3.0278710374689375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 spans="1:24" ht="15.6">
      <c r="A90" s="374" t="s">
        <v>440</v>
      </c>
      <c r="B90" s="818">
        <v>0.14910522103309634</v>
      </c>
      <c r="C90" s="819">
        <v>1.3035793610927031</v>
      </c>
      <c r="D90" s="819">
        <v>1.32177295735958</v>
      </c>
      <c r="E90" s="819"/>
      <c r="F90" s="819">
        <v>1.6457832962002885</v>
      </c>
      <c r="G90" s="823">
        <v>3.0165813336823395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 ht="15.6">
      <c r="A91" s="832" t="s">
        <v>441</v>
      </c>
      <c r="B91" s="833">
        <v>0.15503206777888431</v>
      </c>
      <c r="C91" s="834">
        <v>1.313955822521935</v>
      </c>
      <c r="D91" s="834">
        <v>1.4138102288130121</v>
      </c>
      <c r="E91" s="834"/>
      <c r="F91" s="834">
        <v>2.2397275688954119</v>
      </c>
      <c r="G91" s="835">
        <v>3.0300917386349284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 ht="15.6">
      <c r="A92" s="374" t="s">
        <v>438</v>
      </c>
      <c r="B92" s="818">
        <v>0.14997929930686948</v>
      </c>
      <c r="C92" s="819">
        <v>1.3035793610927031</v>
      </c>
      <c r="D92" s="819">
        <v>1.3219475877019287</v>
      </c>
      <c r="E92" s="819"/>
      <c r="F92" s="819">
        <v>1.6519270838611071</v>
      </c>
      <c r="G92" s="823">
        <v>3.0332638301105139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 ht="15.6">
      <c r="A93" s="832" t="s">
        <v>439</v>
      </c>
      <c r="B93" s="833">
        <v>0.15590038692461874</v>
      </c>
      <c r="C93" s="834">
        <v>1.313955822521935</v>
      </c>
      <c r="D93" s="834">
        <v>1.4138102288130121</v>
      </c>
      <c r="E93" s="834"/>
      <c r="F93" s="834">
        <v>2.2506140871316425</v>
      </c>
      <c r="G93" s="835">
        <v>3.0470003845735416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 ht="15.6">
      <c r="A94" s="374" t="s">
        <v>442</v>
      </c>
      <c r="B94" s="818">
        <v>0.15011939406394958</v>
      </c>
      <c r="C94" s="819">
        <v>1.3026170313223251</v>
      </c>
      <c r="D94" s="819">
        <v>1.3209676666967838</v>
      </c>
      <c r="E94" s="819"/>
      <c r="F94" s="819">
        <v>1.6486843515559371</v>
      </c>
      <c r="G94" s="823">
        <v>3.0320682199852422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 ht="15.6">
      <c r="A95" s="832" t="s">
        <v>443</v>
      </c>
      <c r="B95" s="833">
        <v>0.15605261270428328</v>
      </c>
      <c r="C95" s="834">
        <v>1.3129833097718511</v>
      </c>
      <c r="D95" s="834">
        <v>1.4132362141497141</v>
      </c>
      <c r="E95" s="834"/>
      <c r="F95" s="834">
        <v>2.2466184934586315</v>
      </c>
      <c r="G95" s="835">
        <v>3.0454523067718342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 ht="15.6">
      <c r="A96" s="374" t="s">
        <v>444</v>
      </c>
      <c r="B96" s="818">
        <v>0.15010430216789244</v>
      </c>
      <c r="C96" s="819">
        <v>1.3035793610927031</v>
      </c>
      <c r="D96" s="819">
        <v>1.3219475877019287</v>
      </c>
      <c r="E96" s="819"/>
      <c r="F96" s="819">
        <v>1.6519270838611071</v>
      </c>
      <c r="G96" s="823">
        <v>3.0336142918199336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 ht="15.6">
      <c r="A97" s="832" t="s">
        <v>445</v>
      </c>
      <c r="B97" s="833">
        <v>0.1560621108878156</v>
      </c>
      <c r="C97" s="834">
        <v>1.313955822521935</v>
      </c>
      <c r="D97" s="834">
        <v>1.4138102288130121</v>
      </c>
      <c r="E97" s="834"/>
      <c r="F97" s="834">
        <v>2.2506140871316425</v>
      </c>
      <c r="G97" s="835">
        <v>3.0471410915520503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 ht="15.6">
      <c r="A98" s="374" t="s">
        <v>446</v>
      </c>
      <c r="B98" s="818">
        <v>0.14999396204948429</v>
      </c>
      <c r="C98" s="819">
        <v>1.3026170313223251</v>
      </c>
      <c r="D98" s="819">
        <v>1.3209676666967838</v>
      </c>
      <c r="E98" s="819"/>
      <c r="F98" s="819">
        <v>1.6486843515559371</v>
      </c>
      <c r="G98" s="823">
        <v>3.0320682199852422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 ht="15.6">
      <c r="A99" s="832" t="s">
        <v>447</v>
      </c>
      <c r="B99" s="833">
        <v>0.15595171030730834</v>
      </c>
      <c r="C99" s="834">
        <v>1.3129833097718511</v>
      </c>
      <c r="D99" s="834">
        <v>1.4132362141497141</v>
      </c>
      <c r="E99" s="834"/>
      <c r="F99" s="834">
        <v>2.2466184934586315</v>
      </c>
      <c r="G99" s="835">
        <v>3.0454523067718342</v>
      </c>
    </row>
    <row r="100" spans="1:24" ht="15.6">
      <c r="A100" s="374" t="s">
        <v>448</v>
      </c>
      <c r="B100" s="818">
        <v>0.13296330571174619</v>
      </c>
      <c r="C100" s="819">
        <v>1.3026170313223251</v>
      </c>
      <c r="D100" s="819">
        <v>1.3209676666967838</v>
      </c>
      <c r="E100" s="819"/>
      <c r="F100" s="819">
        <v>1.6486843515559371</v>
      </c>
      <c r="G100" s="823">
        <v>3.0320682199852422</v>
      </c>
    </row>
    <row r="101" spans="1:24" ht="15.6">
      <c r="A101" s="832" t="s">
        <v>449</v>
      </c>
      <c r="B101" s="833">
        <v>0.13755844843471984</v>
      </c>
      <c r="C101" s="834">
        <v>1.3129833097718511</v>
      </c>
      <c r="D101" s="834">
        <v>1.4128139224644107</v>
      </c>
      <c r="E101" s="834"/>
      <c r="F101" s="834">
        <v>2.2466184934586315</v>
      </c>
      <c r="G101" s="835">
        <v>3.0454523067718342</v>
      </c>
    </row>
    <row r="102" spans="1:24" ht="15.6">
      <c r="A102" s="374" t="s">
        <v>450</v>
      </c>
      <c r="B102" s="818">
        <v>0.12010421156883239</v>
      </c>
      <c r="C102" s="819">
        <v>1.3026170313223251</v>
      </c>
      <c r="D102" s="819">
        <v>1.3209676666967838</v>
      </c>
      <c r="E102" s="819"/>
      <c r="F102" s="819">
        <v>1.6486843515559371</v>
      </c>
      <c r="G102" s="823">
        <v>3.0282696007601864</v>
      </c>
    </row>
    <row r="103" spans="1:24" ht="15.6">
      <c r="A103" s="832" t="s">
        <v>451</v>
      </c>
      <c r="B103" s="833">
        <v>0.12378846450907924</v>
      </c>
      <c r="C103" s="834">
        <v>1.3129833097718511</v>
      </c>
      <c r="D103" s="834">
        <v>1.4132362141497141</v>
      </c>
      <c r="E103" s="834"/>
      <c r="F103" s="834">
        <v>2.2555467041185837</v>
      </c>
      <c r="G103" s="835">
        <v>3.0417696799233509</v>
      </c>
    </row>
    <row r="104" spans="1:24" ht="15.6">
      <c r="A104" s="374" t="s">
        <v>452</v>
      </c>
      <c r="B104" s="818">
        <v>0.11967359185218809</v>
      </c>
      <c r="C104" s="819">
        <v>1.3001239852553375</v>
      </c>
      <c r="D104" s="819">
        <v>1.3184290868457718</v>
      </c>
      <c r="E104" s="819"/>
      <c r="F104" s="819">
        <v>1.6403206024993324</v>
      </c>
      <c r="G104" s="823">
        <v>3.0286928501713359</v>
      </c>
    </row>
    <row r="105" spans="1:24" ht="15.6">
      <c r="A105" s="832" t="s">
        <v>453</v>
      </c>
      <c r="B105" s="833">
        <v>0.12340413431380218</v>
      </c>
      <c r="C105" s="834">
        <v>1.0624099072566211</v>
      </c>
      <c r="D105" s="834">
        <v>1.3232704114755061</v>
      </c>
      <c r="E105" s="834"/>
      <c r="F105" s="834">
        <v>2.2492014423104889</v>
      </c>
      <c r="G105" s="835">
        <v>3.0911957537522077</v>
      </c>
    </row>
    <row r="106" spans="1:24" ht="15.6">
      <c r="A106" s="374" t="s">
        <v>454</v>
      </c>
      <c r="B106" s="818">
        <v>0.12080112099647519</v>
      </c>
      <c r="C106" s="819">
        <v>1.3001239852553375</v>
      </c>
      <c r="D106" s="819">
        <v>1.3184290868457718</v>
      </c>
      <c r="E106" s="819"/>
      <c r="F106" s="819">
        <v>1.6403206024993324</v>
      </c>
      <c r="G106" s="823">
        <v>3.0286928501713359</v>
      </c>
    </row>
    <row r="107" spans="1:24" ht="16.2" thickBot="1">
      <c r="A107" s="378" t="s">
        <v>455</v>
      </c>
      <c r="B107" s="820">
        <v>0.12454309829586768</v>
      </c>
      <c r="C107" s="821">
        <v>1.0624099072566211</v>
      </c>
      <c r="D107" s="821">
        <v>1.3232704114755061</v>
      </c>
      <c r="E107" s="821"/>
      <c r="F107" s="821">
        <v>2.2492014423104889</v>
      </c>
      <c r="G107" s="822">
        <v>3.0911957537522077</v>
      </c>
    </row>
    <row r="108" spans="1:24" ht="15.6">
      <c r="A108" s="374" t="s">
        <v>496</v>
      </c>
      <c r="B108" s="781"/>
      <c r="C108" s="782"/>
      <c r="D108" s="782"/>
      <c r="E108" s="782"/>
      <c r="F108" s="782"/>
      <c r="G108" s="783"/>
    </row>
    <row r="109" spans="1:24" ht="15.6">
      <c r="A109" s="374" t="s">
        <v>495</v>
      </c>
      <c r="B109" s="781"/>
      <c r="C109" s="782"/>
      <c r="D109" s="782"/>
      <c r="E109" s="782"/>
      <c r="F109" s="782"/>
      <c r="G109" s="783"/>
    </row>
    <row r="110" spans="1:24" ht="15.6">
      <c r="A110" s="374" t="s">
        <v>494</v>
      </c>
      <c r="B110" s="781"/>
      <c r="C110" s="782"/>
      <c r="D110" s="782"/>
      <c r="E110" s="782"/>
      <c r="F110" s="782"/>
      <c r="G110" s="783"/>
    </row>
    <row r="111" spans="1:24" ht="15.6">
      <c r="A111" s="374" t="s">
        <v>493</v>
      </c>
      <c r="B111" s="8"/>
      <c r="C111" s="8"/>
      <c r="D111" s="8"/>
      <c r="E111" s="8"/>
      <c r="F111" s="8"/>
      <c r="G111" s="827"/>
    </row>
    <row r="112" spans="1:24" ht="15.6">
      <c r="A112" s="374" t="s">
        <v>492</v>
      </c>
      <c r="B112" s="818"/>
      <c r="C112" s="819"/>
      <c r="D112" s="8"/>
      <c r="E112" s="8"/>
      <c r="F112" s="8"/>
      <c r="G112" s="827"/>
    </row>
    <row r="113" spans="1:7" ht="15.6">
      <c r="A113" s="374" t="s">
        <v>491</v>
      </c>
      <c r="B113" s="818">
        <v>0.15854821955842494</v>
      </c>
      <c r="C113" s="819">
        <v>1.0359644567258741</v>
      </c>
      <c r="D113" s="819">
        <v>1.3199310407782459</v>
      </c>
      <c r="E113" s="819"/>
      <c r="F113" s="819">
        <v>2.4752807799428456</v>
      </c>
      <c r="G113" s="823">
        <v>3.3972814377272433</v>
      </c>
    </row>
    <row r="114" spans="1:7" ht="15.6">
      <c r="A114" s="374" t="s">
        <v>490</v>
      </c>
      <c r="B114" s="818">
        <v>0.13281783747181047</v>
      </c>
      <c r="C114" s="819">
        <v>1.2512551354112831</v>
      </c>
      <c r="D114" s="819">
        <v>1.3071131768290567</v>
      </c>
      <c r="E114" s="819"/>
      <c r="F114" s="819">
        <v>2.4840358300266807</v>
      </c>
      <c r="G114" s="823">
        <v>3.4062056382963952</v>
      </c>
    </row>
    <row r="115" spans="1:7" ht="15.6">
      <c r="A115" s="374" t="s">
        <v>489</v>
      </c>
      <c r="B115" s="818">
        <v>0.13271820097398807</v>
      </c>
      <c r="C115" s="819">
        <v>1.2512551354112831</v>
      </c>
      <c r="D115" s="819">
        <v>1.3071131768290567</v>
      </c>
      <c r="E115" s="819"/>
      <c r="F115" s="819">
        <v>2.4840358300266807</v>
      </c>
      <c r="G115" s="823">
        <v>3.4062056382963952</v>
      </c>
    </row>
    <row r="116" spans="1:7" ht="15.6">
      <c r="A116" s="374" t="s">
        <v>488</v>
      </c>
      <c r="B116" s="818">
        <v>0.11886232572810111</v>
      </c>
      <c r="C116" s="819">
        <v>1.2512551354112831</v>
      </c>
      <c r="D116" s="819">
        <v>1.3070976640813092</v>
      </c>
      <c r="E116" s="819"/>
      <c r="F116" s="819">
        <v>2.2585036675025831</v>
      </c>
      <c r="G116" s="823">
        <v>3.093460520403911</v>
      </c>
    </row>
    <row r="117" spans="1:7" ht="15.6">
      <c r="A117" s="374" t="s">
        <v>487</v>
      </c>
      <c r="B117" s="818">
        <v>0.11866457696269304</v>
      </c>
      <c r="C117" s="819">
        <v>1.2452752440007659</v>
      </c>
      <c r="D117" s="819">
        <v>1.3026162466542652</v>
      </c>
      <c r="E117" s="819"/>
      <c r="F117" s="819">
        <v>2.2585036675025831</v>
      </c>
      <c r="G117" s="823">
        <v>3.093460520403911</v>
      </c>
    </row>
    <row r="118" spans="1:7" ht="15.6">
      <c r="A118" s="780" t="s">
        <v>486</v>
      </c>
      <c r="B118" s="781">
        <v>0.11766315018865459</v>
      </c>
      <c r="C118" s="782">
        <v>1.2452752440007659</v>
      </c>
      <c r="D118" s="782">
        <v>1.3026162466542652</v>
      </c>
      <c r="E118" s="782"/>
      <c r="F118" s="782">
        <v>2.2585036675025831</v>
      </c>
      <c r="G118" s="783">
        <v>3.093460520403911</v>
      </c>
    </row>
    <row r="119" spans="1:7" ht="15.6">
      <c r="A119" s="374" t="s">
        <v>482</v>
      </c>
      <c r="B119" s="824" t="s">
        <v>483</v>
      </c>
      <c r="C119" s="825"/>
      <c r="D119" s="8"/>
      <c r="E119" s="8"/>
      <c r="F119" s="8"/>
      <c r="G119" s="827"/>
    </row>
    <row r="120" spans="1:7" ht="15.6">
      <c r="A120" s="374" t="s">
        <v>484</v>
      </c>
      <c r="B120" s="824" t="s">
        <v>483</v>
      </c>
      <c r="C120" s="825"/>
      <c r="D120" s="8"/>
      <c r="E120" s="8"/>
      <c r="F120" s="8"/>
      <c r="G120" s="827"/>
    </row>
    <row r="121" spans="1:7" ht="15.6">
      <c r="A121" s="374" t="s">
        <v>485</v>
      </c>
      <c r="B121" s="824" t="s">
        <v>483</v>
      </c>
      <c r="C121" s="825"/>
      <c r="D121" s="8"/>
      <c r="E121" s="8"/>
      <c r="F121" s="8"/>
      <c r="G121" s="827"/>
    </row>
    <row r="122" spans="1:7" ht="15.6">
      <c r="A122" s="374" t="s">
        <v>481</v>
      </c>
      <c r="B122" s="818">
        <v>0.11767071101266176</v>
      </c>
      <c r="C122" s="8"/>
      <c r="D122" s="8"/>
      <c r="E122" s="8"/>
      <c r="F122" s="8"/>
      <c r="G122" s="827"/>
    </row>
    <row r="123" spans="1:7" ht="15.6">
      <c r="A123" s="374" t="s">
        <v>480</v>
      </c>
      <c r="B123" s="818">
        <v>0.11862345989811715</v>
      </c>
      <c r="C123" s="8"/>
      <c r="D123" s="8"/>
      <c r="E123" s="8"/>
      <c r="F123" s="8"/>
      <c r="G123" s="827"/>
    </row>
    <row r="124" spans="1:7" ht="15.6">
      <c r="A124" s="374" t="s">
        <v>479</v>
      </c>
      <c r="B124" s="818">
        <v>0.12191575624055002</v>
      </c>
      <c r="C124" s="825"/>
      <c r="D124" s="8"/>
      <c r="E124" s="8"/>
      <c r="F124" s="8"/>
      <c r="G124" s="827"/>
    </row>
    <row r="125" spans="1:7" ht="15.6">
      <c r="A125" s="826" t="s">
        <v>180</v>
      </c>
      <c r="B125" s="818">
        <v>0.121128456216045</v>
      </c>
      <c r="C125" s="825"/>
      <c r="D125" s="825"/>
      <c r="E125" s="825"/>
      <c r="F125" s="8"/>
      <c r="G125" s="827"/>
    </row>
    <row r="126" spans="1:7" ht="16.2" thickBot="1">
      <c r="A126" s="784" t="s">
        <v>497</v>
      </c>
      <c r="B126" s="785">
        <v>0.1208</v>
      </c>
      <c r="C126" s="786">
        <v>1.3026759788846314</v>
      </c>
      <c r="D126" s="786">
        <v>1.3105435755627599</v>
      </c>
      <c r="E126" s="786"/>
      <c r="F126" s="786">
        <v>2.2492014423104889</v>
      </c>
      <c r="G126" s="787">
        <v>3.0884057415922563</v>
      </c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45720</xdr:rowOff>
                  </from>
                  <to>
                    <xdr:col>1</xdr:col>
                    <xdr:colOff>1600200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7620</xdr:rowOff>
                  </from>
                  <to>
                    <xdr:col>1</xdr:col>
                    <xdr:colOff>1584960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190500</xdr:rowOff>
                  </from>
                  <to>
                    <xdr:col>1</xdr:col>
                    <xdr:colOff>1584960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182880</xdr:rowOff>
                  </from>
                  <to>
                    <xdr:col>1</xdr:col>
                    <xdr:colOff>1584960</xdr:colOff>
                    <xdr:row>35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6" zoomScale="75" workbookViewId="0">
      <selection activeCell="I6" sqref="I6"/>
    </sheetView>
  </sheetViews>
  <sheetFormatPr defaultColWidth="9.109375" defaultRowHeight="13.2" outlineLevelRow="1" outlineLevelCol="1"/>
  <cols>
    <col min="1" max="1" width="53.44140625" style="7" customWidth="1"/>
    <col min="2" max="4" width="8.4414062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1" spans="1:60">
      <c r="F1" s="7">
        <v>12</v>
      </c>
    </row>
    <row r="2" spans="1:60" ht="17.399999999999999">
      <c r="A2" s="126" t="s">
        <v>348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6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6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60" ht="13.8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60">
      <c r="A6" s="3"/>
      <c r="B6" s="11"/>
      <c r="C6" s="11"/>
      <c r="D6" s="11"/>
      <c r="E6" s="11"/>
      <c r="F6" s="11"/>
      <c r="G6" s="11"/>
      <c r="H6" s="11"/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4"/>
      <c r="T6" s="684"/>
      <c r="U6" s="684"/>
      <c r="V6" s="684"/>
      <c r="W6" s="684"/>
      <c r="X6" s="684"/>
      <c r="Y6" s="684"/>
      <c r="Z6" s="684"/>
    </row>
    <row r="7" spans="1:60">
      <c r="A7" s="3"/>
      <c r="B7" s="10"/>
      <c r="C7" s="10"/>
      <c r="D7" s="683"/>
      <c r="E7" s="683"/>
      <c r="F7" s="683"/>
      <c r="G7" s="683"/>
      <c r="H7" s="683"/>
      <c r="I7" s="683"/>
      <c r="J7" s="683"/>
      <c r="K7" s="683"/>
      <c r="L7" s="683"/>
      <c r="M7" s="683"/>
      <c r="N7" s="683"/>
      <c r="O7" s="683"/>
      <c r="P7" s="683"/>
      <c r="Q7" s="683"/>
      <c r="R7" s="683"/>
      <c r="S7" s="683"/>
      <c r="T7" s="683"/>
      <c r="U7" s="683"/>
      <c r="V7" s="683"/>
      <c r="W7" s="683"/>
      <c r="X7" s="683"/>
      <c r="Y7" s="683"/>
      <c r="Z7" s="683"/>
    </row>
    <row r="8" spans="1:6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60">
      <c r="A9" s="575" t="s">
        <v>166</v>
      </c>
      <c r="B9" s="12"/>
      <c r="C9" s="12"/>
      <c r="D9" s="12"/>
      <c r="E9" s="12"/>
      <c r="F9" s="12"/>
      <c r="H9" s="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140"/>
      <c r="AB9" s="140"/>
      <c r="AC9" s="140"/>
    </row>
    <row r="10" spans="1:60">
      <c r="A10" s="4" t="s">
        <v>167</v>
      </c>
      <c r="B10" s="12"/>
      <c r="C10" s="12"/>
      <c r="D10" s="253"/>
      <c r="E10" s="253">
        <f>Assumptions!$L$29*Assumptions!L53*'Power Price Assumption'!E23</f>
        <v>0</v>
      </c>
      <c r="F10" s="253">
        <f>Assumptions!$L$30*12*'Power Price Assumption'!F23*$F$1/12</f>
        <v>21984</v>
      </c>
      <c r="G10" s="253">
        <f>Assumptions!$L$30*12*'Power Price Assumption'!G23</f>
        <v>21984</v>
      </c>
      <c r="H10" s="253">
        <f>Assumptions!$L$30*12*'Power Price Assumption'!H23</f>
        <v>21984</v>
      </c>
      <c r="I10" s="253">
        <f>Assumptions!$L$30*'Power Price Assumption'!I23*MONTH(Assumptions!$L$38)</f>
        <v>9160</v>
      </c>
      <c r="J10" s="253">
        <f>Assumptions!$L$30*12*'Power Price Assumption'!J23</f>
        <v>0</v>
      </c>
      <c r="K10" s="253">
        <f>Assumptions!$L$30*12*'Power Price Assumption'!K23</f>
        <v>0</v>
      </c>
      <c r="L10" s="253">
        <f>Assumptions!$L$30*12*'Power Price Assumption'!L23</f>
        <v>0</v>
      </c>
      <c r="M10" s="253">
        <f>Assumptions!$L$30*12*'Power Price Assumption'!M23</f>
        <v>0</v>
      </c>
      <c r="N10" s="253">
        <f>Assumptions!$L$30*12*'Power Price Assumption'!N23</f>
        <v>0</v>
      </c>
      <c r="O10" s="253">
        <f>Assumptions!$L$30*12*'Power Price Assumption'!O23</f>
        <v>0</v>
      </c>
      <c r="P10" s="253">
        <f>Assumptions!$L$30*12*'Power Price Assumption'!P23</f>
        <v>0</v>
      </c>
      <c r="Q10" s="253">
        <f>Assumptions!$L$30*12*'Power Price Assumption'!Q23</f>
        <v>0</v>
      </c>
      <c r="R10" s="253">
        <f>Assumptions!$L$30*12*'Power Price Assumption'!R23</f>
        <v>0</v>
      </c>
      <c r="S10" s="253">
        <f>Assumptions!$L$30*12*'Power Price Assumption'!S23</f>
        <v>0</v>
      </c>
      <c r="T10" s="253">
        <f>Assumptions!$L$30*12*'Power Price Assumption'!T23</f>
        <v>0</v>
      </c>
      <c r="U10" s="253">
        <f>Assumptions!$L$30*12*'Power Price Assumption'!U23</f>
        <v>0</v>
      </c>
      <c r="V10" s="253">
        <f>Assumptions!$L$30*12*'Power Price Assumption'!V23</f>
        <v>0</v>
      </c>
      <c r="W10" s="253">
        <f>Assumptions!$L$30*12*'Power Price Assumption'!W23</f>
        <v>0</v>
      </c>
      <c r="X10" s="253">
        <f>Assumptions!$L$30*12*'Power Price Assumption'!X23</f>
        <v>0</v>
      </c>
      <c r="Y10" s="253">
        <f>Assumptions!$L$30*12*'Power Price Assumption'!Y23</f>
        <v>0</v>
      </c>
      <c r="Z10" s="253">
        <f>Assumptions!$L$30*12*'Power Price Assumption'!Z23</f>
        <v>0</v>
      </c>
      <c r="AA10" s="14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A11" s="4" t="s">
        <v>168</v>
      </c>
      <c r="B11" s="12"/>
      <c r="C11" s="12"/>
      <c r="D11" s="253"/>
      <c r="E11" s="253">
        <f>Assumptions!L$26*Assumptions!L$30*Assumptions!L$14/1000*Assumptions!L$53/12</f>
        <v>0</v>
      </c>
      <c r="F11" s="253">
        <f>Assumptions!L$26*Assumptions!L$30*Assumptions!L$14/1000*(1+Assumptions!$L$39)*$F$1/12</f>
        <v>797.47544000000005</v>
      </c>
      <c r="G11" s="253">
        <f>F11*(1+Assumptions!$L$39)</f>
        <v>821.39970320000009</v>
      </c>
      <c r="H11" s="253">
        <f>G11*(1+Assumptions!$L$39)</f>
        <v>846.04169429600006</v>
      </c>
      <c r="I11" s="253">
        <f>(5/12*Assumptions!$L$26*Assumptions!$L$17/1000)*(1+Assumptions!$L$39)^(I5-$E$5)</f>
        <v>363.0928938020333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A12" s="4" t="s">
        <v>169</v>
      </c>
      <c r="B12" s="12"/>
      <c r="C12" s="12"/>
      <c r="D12" s="253"/>
      <c r="E12" s="253">
        <f>VLOOKUP(Assumptions!$L$19,'EGC Start Charge Matrix'!$A$10:$S$35,14)*Assumptions!L$53/12</f>
        <v>0</v>
      </c>
      <c r="F12" s="253">
        <f>VLOOKUP(Assumptions!$L$19,'EGC Start Charge Matrix'!$A$10:$S$35,14)*(1+Assumptions!$L$39)*$F$1/12</f>
        <v>2032.4784</v>
      </c>
      <c r="G12" s="253">
        <f>F12*(1+Assumptions!$L$39)</f>
        <v>2093.4527520000001</v>
      </c>
      <c r="H12" s="253">
        <f>G12*(1+Assumptions!$L$39)</f>
        <v>2156.2563345600001</v>
      </c>
      <c r="I12" s="253">
        <f>H12*(1+Assumptions!$L$39)*5/12</f>
        <v>925.39334358200006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A13" s="8"/>
      <c r="B13" s="12"/>
      <c r="C13" s="12"/>
      <c r="D13" s="12"/>
      <c r="E13" s="12"/>
      <c r="F13" s="12"/>
      <c r="H13" s="8"/>
      <c r="AA13" s="14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A14" s="575" t="s">
        <v>170</v>
      </c>
      <c r="B14" s="12"/>
      <c r="C14" s="12"/>
      <c r="D14" s="12"/>
      <c r="E14" s="12"/>
      <c r="F14" s="12"/>
      <c r="H14" s="8"/>
      <c r="AA14" s="14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IF(Assumptions!$L$19=120,Assumptions!$L$33*(1-Assumptions!$L$35)*'Power Price Assumption'!I25*(12-MONTH(Assumptions!$L$38)),Assumptions!$L$33*(1-Assumptions!$L$35)*'Power Price Assumption'!I25*(12-MONTH(Assumptions!$L$38))-7/12*VLOOKUP(120,'EGC Start Charge Matrix'!$U$10:$AK$35,14)*(1+Assumptions!$L$39)^(Brownsville!I5-Brownsville!$E$5)*2/3)</f>
        <v>19059.55960295206</v>
      </c>
      <c r="J15" s="253">
        <f>IF(Assumptions!$L$19=120,Assumptions!$L$33*(1-Assumptions!$L$35)*'Power Price Assumption'!J25*(12),Assumptions!$L$33*(1-Assumptions!$L$35)*'Power Price Assumption'!J25*(12)-2/3*VLOOKUP(120,'EGC Start Charge Matrix'!$U$10:$AK$35,14)*(1+Assumptions!$L$39)^(Brownsville!J5-Brownsville!$E$5))</f>
        <v>33083.334353908656</v>
      </c>
      <c r="K15" s="253">
        <f>IF(Assumptions!$L$19=120,Assumptions!$L$33*(1-Assumptions!$L$35)*'Power Price Assumption'!K25*(12),Assumptions!$L$33*(1-Assumptions!$L$35)*'Power Price Assumption'!K25*(12)-2/3*VLOOKUP(120,'EGC Start Charge Matrix'!$U$10:$AK$35,14)*(1+Assumptions!$L$39)^(Brownsville!K5-Brownsville!$E$5))</f>
        <v>33488.319998585815</v>
      </c>
      <c r="L15" s="253">
        <f>IF(Assumptions!$L$19=120,Assumptions!$L$33*(1-Assumptions!$L$35)*'Power Price Assumption'!L25*(12),Assumptions!$L$33*(1-Assumptions!$L$35)*'Power Price Assumption'!L25*(12)-2/3*VLOOKUP(120,'EGC Start Charge Matrix'!$U$10:$AK$35,14)*(1+Assumptions!$L$39)^(Brownsville!L5-Brownsville!$E$5))</f>
        <v>33887.829781025073</v>
      </c>
      <c r="M15" s="253">
        <f>IF(Assumptions!$L$19=120,Assumptions!$L$33*(1-Assumptions!$L$35)*'Power Price Assumption'!M25*(12),Assumptions!$L$33*(1-Assumptions!$L$35)*'Power Price Assumption'!M25*(12)-2/3*VLOOKUP(120,'EGC Start Charge Matrix'!$U$10:$AK$35,14)*(1+Assumptions!$L$39)^(Brownsville!M5-Brownsville!$E$5))</f>
        <v>34904.464674455827</v>
      </c>
      <c r="N15" s="253">
        <f>IF(Assumptions!$L$19=120,Assumptions!$L$33*(1-Assumptions!$L$35)*'Power Price Assumption'!N25*(12),Assumptions!$L$33*(1-Assumptions!$L$35)*'Power Price Assumption'!N25*(12)-2/3*VLOOKUP(120,'EGC Start Charge Matrix'!$U$10:$AK$35,14)*(1+Assumptions!$L$39)^(Brownsville!N5-Brownsville!$E$5))</f>
        <v>35309.605782284336</v>
      </c>
      <c r="O15" s="253">
        <f>IF(Assumptions!$L$19=120,Assumptions!$L$33*(1-Assumptions!$L$35)*'Power Price Assumption'!O25*(12),Assumptions!$L$33*(1-Assumptions!$L$35)*'Power Price Assumption'!O25*(12)-2/3*VLOOKUP(120,'EGC Start Charge Matrix'!$U$10:$AK$35,14)*(1+Assumptions!$L$39)^(Brownsville!O5-Brownsville!$E$5))</f>
        <v>36368.893955752872</v>
      </c>
      <c r="P15" s="253">
        <f>IF(Assumptions!$L$19=120,Assumptions!$L$33*(1-Assumptions!$L$35)*'Power Price Assumption'!P25*(12),Assumptions!$L$33*(1-Assumptions!$L$35)*'Power Price Assumption'!P25*(12)-2/3*VLOOKUP(120,'EGC Start Charge Matrix'!$U$10:$AK$35,14)*(1+Assumptions!$L$39)^(Brownsville!P5-Brownsville!$E$5))</f>
        <v>36778.87057852681</v>
      </c>
      <c r="Q15" s="253">
        <f>IF(Assumptions!$L$19=120,Assumptions!$L$33*(1-Assumptions!$L$35)*'Power Price Assumption'!Q25*(12),Assumptions!$L$33*(1-Assumptions!$L$35)*'Power Price Assumption'!Q25*(12)-2/3*VLOOKUP(120,'EGC Start Charge Matrix'!$U$10:$AK$35,14)*(1+Assumptions!$L$39)^(Brownsville!Q5-Brownsville!$E$5))</f>
        <v>37882.23669588261</v>
      </c>
      <c r="R15" s="253">
        <f>IF(Assumptions!$L$19=120,Assumptions!$L$33*(1-Assumptions!$L$35)*'Power Price Assumption'!R25*(12),Assumptions!$L$33*(1-Assumptions!$L$35)*'Power Price Assumption'!R25*(12)-2/3*VLOOKUP(120,'EGC Start Charge Matrix'!$U$10:$AK$35,14)*(1+Assumptions!$L$39)^(Brownsville!R5-Brownsville!$E$5))</f>
        <v>38296.135207930216</v>
      </c>
      <c r="S15" s="253">
        <f>IF(Assumptions!$L$19=120,Assumptions!$L$33*(1-Assumptions!$L$35)*'Power Price Assumption'!S25*(12),Assumptions!$L$33*(1-Assumptions!$L$35)*'Power Price Assumption'!S25*(12)-2/3*VLOOKUP(120,'EGC Start Charge Matrix'!$U$10:$AK$35,14)*(1+Assumptions!$L$39)^(Brownsville!S5-Brownsville!$E$5))</f>
        <v>38700.773617674393</v>
      </c>
      <c r="T15" s="253">
        <f>IF(Assumptions!$L$19=120,Assumptions!$L$33*(1-Assumptions!$L$35)*'Power Price Assumption'!T25*(12),Assumptions!$L$33*(1-Assumptions!$L$35)*'Power Price Assumption'!T25*(12)-2/3*VLOOKUP(120,'EGC Start Charge Matrix'!$U$10:$AK$35,14)*(1+Assumptions!$L$39)^(Brownsville!T5-Brownsville!$E$5))</f>
        <v>39095.223810316063</v>
      </c>
      <c r="U15" s="253">
        <f>IF(Assumptions!$L$19=120,Assumptions!$L$33*(1-Assumptions!$L$35)*'Power Price Assumption'!U25*(12),Assumptions!$L$33*(1-Assumptions!$L$35)*'Power Price Assumption'!U25*(12)-2/3*VLOOKUP(120,'EGC Start Charge Matrix'!$U$10:$AK$35,14)*(1+Assumptions!$L$39)^(Brownsville!U5-Brownsville!$E$5))</f>
        <v>39478.510318260334</v>
      </c>
      <c r="V15" s="253">
        <f>IF(Assumptions!$L$19=120,Assumptions!$L$33*(1-Assumptions!$L$35)*'Power Price Assumption'!V25*(12),Assumptions!$L$33*(1-Assumptions!$L$35)*'Power Price Assumption'!V25*(12)-2/3*VLOOKUP(120,'EGC Start Charge Matrix'!$U$10:$AK$35,14)*(1+Assumptions!$L$39)^(Brownsville!V5-Brownsville!$E$5))</f>
        <v>39849.608315251986</v>
      </c>
      <c r="W15" s="253">
        <f>IF(Assumptions!$L$19=120,Assumptions!$L$33*(1-Assumptions!$L$35)*'Power Price Assumption'!W25*(12),Assumptions!$L$33*(1-Assumptions!$L$35)*'Power Price Assumption'!W25*(12)-2/3*VLOOKUP(120,'EGC Start Charge Matrix'!$U$10:$AK$35,14)*(1+Assumptions!$L$39)^(Brownsville!W5-Brownsville!$E$5))</f>
        <v>40207.441532776698</v>
      </c>
      <c r="X15" s="253">
        <f>IF(Assumptions!$L$19=120,Assumptions!$L$33*(1-Assumptions!$L$35)*'Power Price Assumption'!X25*(12),Assumptions!$L$33*(1-Assumptions!$L$35)*'Power Price Assumption'!X25*(12)-2/3*VLOOKUP(120,'EGC Start Charge Matrix'!$U$10:$AK$35,14)*(1+Assumptions!$L$39)^(Brownsville!X5-Brownsville!$E$5))</f>
        <v>40550.880095869165</v>
      </c>
      <c r="Y15" s="253">
        <f>IF(Assumptions!$L$19=120,Assumptions!$L$33*(1-Assumptions!$L$35)*'Power Price Assumption'!Y25*(12),Assumptions!$L$33*(1-Assumptions!$L$35)*'Power Price Assumption'!Y25*(12)-2/3*VLOOKUP(120,'EGC Start Charge Matrix'!$U$10:$AK$35,14)*(1+Assumptions!$L$39)^(Brownsville!Y5-Brownsville!$E$5))</f>
        <v>40878.738275367672</v>
      </c>
      <c r="Z15" s="253">
        <f>IF(Assumptions!$L$19=120,Assumptions!$L$33*(1-Assumptions!$L$35)*'Power Price Assumption'!Z25*(12),Assumptions!$L$33*(1-Assumptions!$L$35)*'Power Price Assumption'!Z25*(12)-2/3*VLOOKUP(120,'EGC Start Charge Matrix'!$U$10:$AK$35,14)*(1+Assumptions!$L$39)^(Brownsville!Z5-Brownsville!$E$5))</f>
        <v>41189.77215354982</v>
      </c>
      <c r="AA15" s="14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A16" s="4" t="s">
        <v>171</v>
      </c>
      <c r="B16" s="12"/>
      <c r="C16" s="12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(7/12*Assumptions!$L$26*Assumptions!$L$34/1000)*(1+Assumptions!$L$39)^(I5-$E$5)+H12*(1+Assumptions!$L$39)*7/12*1/3</f>
        <v>972.86878634428763</v>
      </c>
      <c r="J16" s="253">
        <f>(Assumptions!$L$26*Assumptions!$L$34/1000)*(1+Assumptions!$L$39)^(J5-$E$5)+$F$12*(1+Assumptions!$L$39)^(J5-$F$5)*1/3</f>
        <v>1717.8083141736277</v>
      </c>
      <c r="K16" s="253">
        <f>J16*(1+Assumptions!$L$39)</f>
        <v>1769.3425635988365</v>
      </c>
      <c r="L16" s="253">
        <f>K16*(1+Assumptions!$L$39)</f>
        <v>1822.4228405068015</v>
      </c>
      <c r="M16" s="253">
        <f>L16*(1+Assumptions!$L$39)</f>
        <v>1877.0955257220057</v>
      </c>
      <c r="N16" s="253">
        <f>M16*(1+Assumptions!$L$39)</f>
        <v>1933.4083914936659</v>
      </c>
      <c r="O16" s="253">
        <f>N16*(1+Assumptions!$L$39)</f>
        <v>1991.410643238476</v>
      </c>
      <c r="P16" s="253">
        <f>O16*(1+Assumptions!$L$39)</f>
        <v>2051.1529625356302</v>
      </c>
      <c r="Q16" s="253">
        <f>P16*(1+Assumptions!$L$39)</f>
        <v>2112.6875514116991</v>
      </c>
      <c r="R16" s="253">
        <f>Q16*(1+Assumptions!$L$39)</f>
        <v>2176.06817795405</v>
      </c>
      <c r="S16" s="253">
        <f>R16*(1+Assumptions!$L$39)</f>
        <v>2241.3502232926717</v>
      </c>
      <c r="T16" s="253">
        <f>S16*(1+Assumptions!$L$39)</f>
        <v>2308.590729991452</v>
      </c>
      <c r="U16" s="253">
        <f>T16*(1+Assumptions!$L$39)</f>
        <v>2377.8484518911955</v>
      </c>
      <c r="V16" s="253">
        <f>U16*(1+Assumptions!$L$39)</f>
        <v>2449.1839054479315</v>
      </c>
      <c r="W16" s="253">
        <f>V16*(1+Assumptions!$L$39)</f>
        <v>2522.6594226113693</v>
      </c>
      <c r="X16" s="253">
        <f>W16*(1+Assumptions!$L$39)</f>
        <v>2598.3392052897107</v>
      </c>
      <c r="Y16" s="253">
        <f>X16*(1+Assumptions!$L$39)</f>
        <v>2676.2893814484019</v>
      </c>
      <c r="Z16" s="253">
        <f>Y16*(1+Assumptions!$L$39)</f>
        <v>2756.5780628918542</v>
      </c>
      <c r="AA16" s="14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Assumptions!$L$33*Assumptions!$L$35*Assumptions!$L$36/1000*Assumptions!$L$14*7/12</f>
        <v>6.8243279999999986</v>
      </c>
      <c r="J17" s="253">
        <f>Assumptions!$L$33*Assumptions!$L$35*Assumptions!$L$36/1000*Assumptions!$L$14</f>
        <v>11.698847999999998</v>
      </c>
      <c r="K17" s="253">
        <f>Assumptions!$L$33*Assumptions!$L$35*Assumptions!$L$36/1000*Assumptions!$L$14</f>
        <v>11.698847999999998</v>
      </c>
      <c r="L17" s="253">
        <f>Assumptions!$L$33*Assumptions!$L$35*Assumptions!$L$36/1000*Assumptions!$L$14</f>
        <v>11.698847999999998</v>
      </c>
      <c r="M17" s="253">
        <f>Assumptions!$L$33*Assumptions!$L$35*Assumptions!$L$36/1000*Assumptions!$L$14</f>
        <v>11.698847999999998</v>
      </c>
      <c r="N17" s="253">
        <f>Assumptions!$L$33*Assumptions!$L$35*Assumptions!$L$36/1000*Assumptions!$L$14</f>
        <v>11.698847999999998</v>
      </c>
      <c r="O17" s="253">
        <f>Assumptions!$L$33*Assumptions!$L$35*Assumptions!$L$36/1000*Assumptions!$L$14</f>
        <v>11.698847999999998</v>
      </c>
      <c r="P17" s="253">
        <f>Assumptions!$L$33*Assumptions!$L$35*Assumptions!$L$36/1000*Assumptions!$L$14</f>
        <v>11.698847999999998</v>
      </c>
      <c r="Q17" s="253">
        <f>Assumptions!$L$33*Assumptions!$L$35*Assumptions!$L$36/1000*Assumptions!$L$14</f>
        <v>11.698847999999998</v>
      </c>
      <c r="R17" s="253">
        <f>Assumptions!$L$33*Assumptions!$L$35*Assumptions!$L$36/1000*Assumptions!$L$14</f>
        <v>11.698847999999998</v>
      </c>
      <c r="S17" s="253">
        <f>Assumptions!$L$33*Assumptions!$L$35*Assumptions!$L$36/1000*Assumptions!$L$14</f>
        <v>11.698847999999998</v>
      </c>
      <c r="T17" s="253">
        <f>Assumptions!$L$33*Assumptions!$L$35*Assumptions!$L$36/1000*Assumptions!$L$14</f>
        <v>11.698847999999998</v>
      </c>
      <c r="U17" s="253">
        <f>Assumptions!$L$33*Assumptions!$L$35*Assumptions!$L$36/1000*Assumptions!$L$14</f>
        <v>11.698847999999998</v>
      </c>
      <c r="V17" s="253">
        <f>Assumptions!$L$33*Assumptions!$L$35*Assumptions!$L$36/1000*Assumptions!$L$14</f>
        <v>11.698847999999998</v>
      </c>
      <c r="W17" s="253">
        <f>Assumptions!$L$33*Assumptions!$L$35*Assumptions!$L$36/1000*Assumptions!$L$14</f>
        <v>11.698847999999998</v>
      </c>
      <c r="X17" s="253">
        <f>Assumptions!$L$33*Assumptions!$L$35*Assumptions!$L$36/1000*Assumptions!$L$14</f>
        <v>11.698847999999998</v>
      </c>
      <c r="Y17" s="253">
        <f>Assumptions!$L$33*Assumptions!$L$35*Assumptions!$L$36/1000*Assumptions!$L$14</f>
        <v>11.698847999999998</v>
      </c>
      <c r="Z17" s="253">
        <f>Assumptions!$L$33*Assumptions!$L$35*Assumptions!$L$36/1000*Assumptions!$L$14</f>
        <v>11.698847999999998</v>
      </c>
      <c r="AA17" s="14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240.96406916368628</v>
      </c>
      <c r="G19" s="254">
        <f>(SUM(G10:G17)-SUM(G25:G35))*Assumptions!$B$34/4</f>
        <v>240.83175823327844</v>
      </c>
      <c r="H19" s="254">
        <f>(SUM(H10:H17)-SUM(H25:H35))*Assumptions!$B$34/4</f>
        <v>239.34399816529319</v>
      </c>
      <c r="I19" s="254">
        <f>(SUM(I10:I17)-SUM(I25:I35))*Assumptions!$B$34/4</f>
        <v>302.39611441206449</v>
      </c>
      <c r="J19" s="254">
        <f>(SUM(J10:J17)-SUM(J25:J35))*Assumptions!$B$34/4</f>
        <v>352.91953369393207</v>
      </c>
      <c r="K19" s="254">
        <f>(SUM(K10:K17)-SUM(K25:K35))*Assumptions!$B$34/4</f>
        <v>356.62121038110104</v>
      </c>
      <c r="L19" s="254">
        <f>(SUM(L10:L17)-SUM(L25:L35))*Assumptions!$B$34/4</f>
        <v>360.21011064042608</v>
      </c>
      <c r="M19" s="254">
        <f>(SUM(M10:M17)-SUM(M25:M35))*Assumptions!$B$34/4</f>
        <v>371.46741679277858</v>
      </c>
      <c r="N19" s="254">
        <f>(SUM(N10:N17)-SUM(N25:N35))*Assumptions!$B$34/4</f>
        <v>375.03402289090587</v>
      </c>
      <c r="O19" s="254">
        <f>(SUM(O10:O17)-SUM(O25:O35))*Assumptions!$B$34/4</f>
        <v>386.72902874331044</v>
      </c>
      <c r="P19" s="254">
        <f>(SUM(P10:P17)-SUM(P25:P35))*Assumptions!$B$34/4</f>
        <v>390.72420132412731</v>
      </c>
      <c r="Q19" s="254">
        <f>(SUM(Q10:Q17)-SUM(Q25:Q35))*Assumptions!$B$34/4</f>
        <v>403.00834800771241</v>
      </c>
      <c r="R19" s="254">
        <f>(SUM(R10:R17)-SUM(R25:R35))*Assumptions!$B$34/4</f>
        <v>406.48935860469442</v>
      </c>
      <c r="S19" s="254">
        <f>(SUM(S10:S17)-SUM(S25:S35))*Assumptions!$B$34/4</f>
        <v>409.85436202484402</v>
      </c>
      <c r="T19" s="254">
        <f>(SUM(T10:T17)-SUM(T25:T35))*Assumptions!$B$34/4</f>
        <v>409.38212357675252</v>
      </c>
      <c r="U19" s="254">
        <f>(SUM(U10:U17)-SUM(U25:U35))*Assumptions!$B$34/4</f>
        <v>412.7988548331806</v>
      </c>
      <c r="V19" s="254">
        <f>(SUM(V10:V17)-SUM(V25:V35))*Assumptions!$B$34/4</f>
        <v>416.13886473765064</v>
      </c>
      <c r="W19" s="254">
        <f>(SUM(W10:W17)-SUM(W25:W35))*Assumptions!$B$34/4</f>
        <v>419.33704378687048</v>
      </c>
      <c r="X19" s="254">
        <f>(SUM(X10:X17)-SUM(X25:X35))*Assumptions!$B$34/4</f>
        <v>422.46488457735018</v>
      </c>
      <c r="Y19" s="254">
        <f>(SUM(Y10:Y17)-SUM(Y25:Y35))*Assumptions!$B$34/4</f>
        <v>425.32114483223933</v>
      </c>
      <c r="Z19" s="254">
        <f>(SUM(Z10:Z17)-SUM(Z25:Z35))*Assumptions!$B$34/4</f>
        <v>434.40887088279146</v>
      </c>
      <c r="AA19" s="14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25054.917909163683</v>
      </c>
      <c r="G20" s="253">
        <f t="shared" si="1"/>
        <v>25139.68421343328</v>
      </c>
      <c r="H20" s="253">
        <f t="shared" si="1"/>
        <v>25225.642027021291</v>
      </c>
      <c r="I20" s="253">
        <f t="shared" si="1"/>
        <v>30790.135069092445</v>
      </c>
      <c r="J20" s="253">
        <f t="shared" si="1"/>
        <v>35165.761049776214</v>
      </c>
      <c r="K20" s="253">
        <f t="shared" si="1"/>
        <v>35625.982620565752</v>
      </c>
      <c r="L20" s="253">
        <f t="shared" si="1"/>
        <v>36082.161580172295</v>
      </c>
      <c r="M20" s="253">
        <f t="shared" si="1"/>
        <v>37164.726464970612</v>
      </c>
      <c r="N20" s="253">
        <f t="shared" si="1"/>
        <v>37629.747044668904</v>
      </c>
      <c r="O20" s="253">
        <f t="shared" si="1"/>
        <v>38758.732475734665</v>
      </c>
      <c r="P20" s="253">
        <f t="shared" si="1"/>
        <v>39232.446590386564</v>
      </c>
      <c r="Q20" s="253">
        <f t="shared" si="1"/>
        <v>40409.631443302023</v>
      </c>
      <c r="R20" s="253">
        <f t="shared" si="1"/>
        <v>40890.391592488959</v>
      </c>
      <c r="S20" s="253">
        <f t="shared" si="1"/>
        <v>41363.677050991908</v>
      </c>
      <c r="T20" s="253">
        <f t="shared" si="1"/>
        <v>41824.895511884271</v>
      </c>
      <c r="U20" s="253">
        <f t="shared" si="1"/>
        <v>42280.856472984706</v>
      </c>
      <c r="V20" s="253">
        <f t="shared" si="1"/>
        <v>42726.629933437573</v>
      </c>
      <c r="W20" s="253">
        <f t="shared" si="1"/>
        <v>43161.136847174937</v>
      </c>
      <c r="X20" s="253">
        <f t="shared" si="1"/>
        <v>43583.383033736223</v>
      </c>
      <c r="Y20" s="253">
        <f t="shared" si="1"/>
        <v>43992.047649648317</v>
      </c>
      <c r="Z20" s="253">
        <f t="shared" si="1"/>
        <v>44392.457935324463</v>
      </c>
      <c r="AA20" s="14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 s="4" t="s">
        <v>128</v>
      </c>
      <c r="D25"/>
      <c r="E25" s="253">
        <f>Assumptions!L53/12*Assumptions!L56</f>
        <v>0</v>
      </c>
      <c r="F25" s="253">
        <f>Assumptions!L56*(1+Assumptions!$L$52)*$F$1/12</f>
        <v>722.49350000000004</v>
      </c>
      <c r="G25" s="253">
        <f>F25*(1+Assumptions!$L$52)</f>
        <v>744.16830500000003</v>
      </c>
      <c r="H25" s="187">
        <f>G25*(1+Assumptions!$L$52)</f>
        <v>766.49335415000007</v>
      </c>
      <c r="I25" s="253">
        <f>H25*(1+Assumptions!$L$52)</f>
        <v>789.48815477450012</v>
      </c>
      <c r="J25" s="253">
        <f>I25*(1+Assumptions!$L$52)</f>
        <v>813.17279941773518</v>
      </c>
      <c r="K25" s="253">
        <f>J25*(1+Assumptions!$L$52)</f>
        <v>837.56798340026728</v>
      </c>
      <c r="L25" s="253">
        <f>K25*(1+Assumptions!$L$52)</f>
        <v>862.69502290227535</v>
      </c>
      <c r="M25" s="253">
        <f>L25*(1+Assumptions!$L$52)</f>
        <v>888.57587358934359</v>
      </c>
      <c r="N25" s="253">
        <f>M25*(1+Assumptions!$L$52)</f>
        <v>915.23314979702388</v>
      </c>
      <c r="O25" s="253">
        <f>N25*(1+Assumptions!$L$52)</f>
        <v>942.69014429093465</v>
      </c>
      <c r="P25" s="253">
        <f>O25*(1+Assumptions!$L$52)</f>
        <v>970.97084861966277</v>
      </c>
      <c r="Q25" s="253">
        <f>P25*(1+Assumptions!$L$52)</f>
        <v>1000.0999740782527</v>
      </c>
      <c r="R25" s="253">
        <f>Q25*(1+Assumptions!$L$52)</f>
        <v>1030.1029733006003</v>
      </c>
      <c r="S25" s="253">
        <f>R25*(1+Assumptions!$L$52)</f>
        <v>1061.0060624996183</v>
      </c>
      <c r="T25" s="253">
        <f>S25*(1+Assumptions!$L$52)</f>
        <v>1092.8362443746068</v>
      </c>
      <c r="U25" s="253">
        <f>T25*(1+Assumptions!$L$52)</f>
        <v>1125.621331705845</v>
      </c>
      <c r="V25" s="253">
        <f>U25*(1+Assumptions!$L$52)</f>
        <v>1159.3899716570204</v>
      </c>
      <c r="W25" s="253">
        <f>V25*(1+Assumptions!$L$52)</f>
        <v>1194.1716708067311</v>
      </c>
      <c r="X25" s="253">
        <f>W25*(1+Assumptions!$L$52)</f>
        <v>1229.9968209309329</v>
      </c>
      <c r="Y25" s="253">
        <f>X25*(1+Assumptions!$L$52)</f>
        <v>1266.8967255588609</v>
      </c>
      <c r="Z25" s="253">
        <f>Y25*(1+Assumptions!$L$52)</f>
        <v>1304.9036273256268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 s="4" t="s">
        <v>177</v>
      </c>
      <c r="D26"/>
      <c r="E26" s="253">
        <f>Assumptions!L59*Assumptions!L$53/12</f>
        <v>0</v>
      </c>
      <c r="F26" s="253">
        <f>Assumptions!L59*(1+Assumptions!$L$52)*$F$1/12</f>
        <v>797.47544000000016</v>
      </c>
      <c r="G26" s="253">
        <f>F26*(1+Assumptions!$L$52)</f>
        <v>821.3997032000002</v>
      </c>
      <c r="H26" s="187">
        <f>G26*(1+Assumptions!$L$52)</f>
        <v>846.04169429600029</v>
      </c>
      <c r="I26" s="253">
        <f>5/12*Assumptions!L59*((1+Assumptions!$L$52)^(Brownsville!I5-Brownsville!$E$5))+7/12*Assumptions!$L$60*((1+Assumptions!$L$52)^(I5-$E$5))</f>
        <v>904.11145314138776</v>
      </c>
      <c r="J26" s="253">
        <f>Assumptions!$L$60*(1+Assumptions!$L$52)^(J5-$E$5)</f>
        <v>955.28419906205977</v>
      </c>
      <c r="K26" s="253">
        <f>J26*(1+Assumptions!$L$52)</f>
        <v>983.94272503392153</v>
      </c>
      <c r="L26" s="253">
        <f>K26*(1+Assumptions!$L$52)</f>
        <v>1013.4610067849392</v>
      </c>
      <c r="M26" s="253">
        <f>L26*(1+Assumptions!$L$52)</f>
        <v>1043.8648369884875</v>
      </c>
      <c r="N26" s="253">
        <f>M26*(1+Assumptions!$L$52)</f>
        <v>1075.1807820981421</v>
      </c>
      <c r="O26" s="253">
        <f>N26*(1+Assumptions!$L$52)</f>
        <v>1107.4362055610864</v>
      </c>
      <c r="P26" s="253">
        <f>O26*(1+Assumptions!$L$52)</f>
        <v>1140.659291727919</v>
      </c>
      <c r="Q26" s="253">
        <f>P26*(1+Assumptions!$L$52)</f>
        <v>1174.8790704797566</v>
      </c>
      <c r="R26" s="253">
        <f>Q26*(1+Assumptions!$L$52)</f>
        <v>1210.1254425941493</v>
      </c>
      <c r="S26" s="253">
        <f>R26*(1+Assumptions!$L$52)</f>
        <v>1246.4292058719739</v>
      </c>
      <c r="T26" s="253">
        <f>S26*(1+Assumptions!$L$52)</f>
        <v>1283.8220820481331</v>
      </c>
      <c r="U26" s="253">
        <f>T26*(1+Assumptions!$L$52)</f>
        <v>1322.3367445095771</v>
      </c>
      <c r="V26" s="253">
        <f>U26*(1+Assumptions!$L$52)</f>
        <v>1362.0068468448644</v>
      </c>
      <c r="W26" s="253">
        <f>V26*(1+Assumptions!$L$52)</f>
        <v>1402.8670522502105</v>
      </c>
      <c r="X26" s="253">
        <f>W26*(1+Assumptions!$L$52)</f>
        <v>1444.9530638177168</v>
      </c>
      <c r="Y26" s="253">
        <f>X26*(1+Assumptions!$L$52)</f>
        <v>1488.3016557322485</v>
      </c>
      <c r="Z26" s="253">
        <f>Y26*(1+Assumptions!$L$52)</f>
        <v>1532.950705404216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 s="4" t="s">
        <v>131</v>
      </c>
      <c r="D27"/>
      <c r="E27" s="253">
        <f>VLOOKUP(Assumptions!L19,'EGC Start Charge Matrix'!$U$10:$AM$35,14)*Assumptions!L$53/12</f>
        <v>0</v>
      </c>
      <c r="F27" s="253">
        <f>VLOOKUP(Assumptions!L19,'EGC Start Charge Matrix'!$U$10:$AM$35,14)*(1+Assumptions!$L$52)*$F$1/12</f>
        <v>2032.4784</v>
      </c>
      <c r="G27" s="253">
        <f>F27*(1+Assumptions!$L$52)</f>
        <v>2093.4527520000001</v>
      </c>
      <c r="H27" s="253">
        <f>G27*(1+Assumptions!$L$52)</f>
        <v>2156.2563345600001</v>
      </c>
      <c r="I27" s="253">
        <f>H27*(1+Assumptions!$L$52)</f>
        <v>2220.9440245968003</v>
      </c>
      <c r="J27" s="253">
        <f>I27*(1+Assumptions!$L$52)</f>
        <v>2287.5723453347046</v>
      </c>
      <c r="K27" s="253">
        <f>J27*(1+Assumptions!$L$52)</f>
        <v>2356.199515694746</v>
      </c>
      <c r="L27" s="253">
        <f>K27*(1+Assumptions!$L$52)</f>
        <v>2426.8855011655883</v>
      </c>
      <c r="M27" s="253">
        <f>L27*(1+Assumptions!$L$52)</f>
        <v>2499.6920662005559</v>
      </c>
      <c r="N27" s="253">
        <f>M27*(1+Assumptions!$L$52)</f>
        <v>2574.6828281865728</v>
      </c>
      <c r="O27" s="253">
        <f>N27*(1+Assumptions!$L$52)</f>
        <v>2651.92331303217</v>
      </c>
      <c r="P27" s="253">
        <f>O27*(1+Assumptions!$L$52)</f>
        <v>2731.4810124231353</v>
      </c>
      <c r="Q27" s="253">
        <f>P27*(1+Assumptions!$L$52)</f>
        <v>2813.4254427958294</v>
      </c>
      <c r="R27" s="253">
        <f>Q27*(1+Assumptions!$L$52)</f>
        <v>2897.8282060797046</v>
      </c>
      <c r="S27" s="253">
        <f>R27*(1+Assumptions!$L$52)</f>
        <v>2984.7630522620957</v>
      </c>
      <c r="T27" s="253">
        <f>S27*(1+Assumptions!$L$52)</f>
        <v>3074.3059438299588</v>
      </c>
      <c r="U27" s="253">
        <f>T27*(1+Assumptions!$L$52)</f>
        <v>3166.5351221448577</v>
      </c>
      <c r="V27" s="253">
        <f>U27*(1+Assumptions!$L$52)</f>
        <v>3261.5311758092034</v>
      </c>
      <c r="W27" s="253">
        <f>V27*(1+Assumptions!$L$52)</f>
        <v>3359.3771110834796</v>
      </c>
      <c r="X27" s="253">
        <f>W27*(1+Assumptions!$L$52)</f>
        <v>3460.158424415984</v>
      </c>
      <c r="Y27" s="253">
        <f>X27*(1+Assumptions!$L$52)</f>
        <v>3563.9631771484637</v>
      </c>
      <c r="Z27" s="253">
        <f>Y27*(1+Assumptions!$L$52)</f>
        <v>3670.8820724629177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 s="4" t="s">
        <v>133</v>
      </c>
      <c r="D28"/>
      <c r="E28" s="253">
        <f>Assumptions!L53/12*Assumptions!L62</f>
        <v>0</v>
      </c>
      <c r="F28" s="253">
        <f>Assumptions!L62*(1+Assumptions!$L$52)*$F$1/12</f>
        <v>230.47280000000001</v>
      </c>
      <c r="G28" s="253">
        <f>F28*(1+Assumptions!$L$52)</f>
        <v>237.38698400000001</v>
      </c>
      <c r="H28" s="187">
        <f>G28*(1+Assumptions!$L$52)</f>
        <v>244.50859352000001</v>
      </c>
      <c r="I28" s="253">
        <f>H28*(1+Assumptions!$L$52)</f>
        <v>251.84385132560001</v>
      </c>
      <c r="J28" s="253">
        <f>I28*(1+Assumptions!$L$52)</f>
        <v>259.39916686536804</v>
      </c>
      <c r="K28" s="253">
        <f>J28*(1+Assumptions!$L$52)</f>
        <v>267.18114187132909</v>
      </c>
      <c r="L28" s="253">
        <f>K28*(1+Assumptions!$L$52)</f>
        <v>275.19657612746897</v>
      </c>
      <c r="M28" s="253">
        <f>L28*(1+Assumptions!$L$52)</f>
        <v>283.45247341129306</v>
      </c>
      <c r="N28" s="253">
        <f>M28*(1+Assumptions!$L$52)</f>
        <v>291.95604761363188</v>
      </c>
      <c r="O28" s="253">
        <f>N28*(1+Assumptions!$L$52)</f>
        <v>300.71472904204086</v>
      </c>
      <c r="P28" s="253">
        <f>O28*(1+Assumptions!$L$52)</f>
        <v>309.73617091330209</v>
      </c>
      <c r="Q28" s="253">
        <f>P28*(1+Assumptions!$L$52)</f>
        <v>319.02825604070114</v>
      </c>
      <c r="R28" s="253">
        <f>Q28*(1+Assumptions!$L$52)</f>
        <v>328.59910372192218</v>
      </c>
      <c r="S28" s="253">
        <f>R28*(1+Assumptions!$L$52)</f>
        <v>338.45707683357983</v>
      </c>
      <c r="T28" s="253">
        <f>S28*(1+Assumptions!$L$52)</f>
        <v>348.61078913858722</v>
      </c>
      <c r="U28" s="253">
        <f>T28*(1+Assumptions!$L$52)</f>
        <v>359.06911281274483</v>
      </c>
      <c r="V28" s="253">
        <f>U28*(1+Assumptions!$L$52)</f>
        <v>369.84118619712717</v>
      </c>
      <c r="W28" s="253">
        <f>V28*(1+Assumptions!$L$52)</f>
        <v>380.936421783041</v>
      </c>
      <c r="X28" s="253">
        <f>W28*(1+Assumptions!$L$52)</f>
        <v>392.36451443653226</v>
      </c>
      <c r="Y28" s="253">
        <f>X28*(1+Assumptions!$L$52)</f>
        <v>404.13544986962825</v>
      </c>
      <c r="Z28" s="253">
        <f>Y28*(1+Assumptions!$L$52)</f>
        <v>416.25951336571711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 s="4" t="s">
        <v>134</v>
      </c>
      <c r="D29"/>
      <c r="E29" s="253">
        <f>Assumptions!L53/12*Assumptions!L63</f>
        <v>0</v>
      </c>
      <c r="F29" s="253">
        <f>Assumptions!L63*(1+Assumptions!$L$52)*$F$1/12</f>
        <v>353.24468000000002</v>
      </c>
      <c r="G29" s="253">
        <f>F29*(1+Assumptions!$L$52)</f>
        <v>363.84202040000002</v>
      </c>
      <c r="H29" s="187">
        <f>G29*(1+Assumptions!$L$52)</f>
        <v>374.75728101200002</v>
      </c>
      <c r="I29" s="253">
        <f>H29*(1+Assumptions!$L$52)</f>
        <v>385.99999944236004</v>
      </c>
      <c r="J29" s="253">
        <f>I29*(1+Assumptions!$L$52)</f>
        <v>397.57999942563083</v>
      </c>
      <c r="K29" s="253">
        <f>J29*(1+Assumptions!$L$52)</f>
        <v>409.50739940839975</v>
      </c>
      <c r="L29" s="253">
        <f>K29*(1+Assumptions!$L$52)</f>
        <v>421.79262139065173</v>
      </c>
      <c r="M29" s="253">
        <f>L29*(1+Assumptions!$L$52)</f>
        <v>434.44640003237129</v>
      </c>
      <c r="N29" s="253">
        <f>M29*(1+Assumptions!$L$52)</f>
        <v>447.47979203334245</v>
      </c>
      <c r="O29" s="253">
        <f>N29*(1+Assumptions!$L$52)</f>
        <v>460.90418579434271</v>
      </c>
      <c r="P29" s="253">
        <f>O29*(1+Assumptions!$L$52)</f>
        <v>474.73131136817301</v>
      </c>
      <c r="Q29" s="253">
        <f>P29*(1+Assumptions!$L$52)</f>
        <v>488.97325070921823</v>
      </c>
      <c r="R29" s="253">
        <f>Q29*(1+Assumptions!$L$52)</f>
        <v>503.64244823049478</v>
      </c>
      <c r="S29" s="253">
        <f>R29*(1+Assumptions!$L$52)</f>
        <v>518.75172167740959</v>
      </c>
      <c r="T29" s="253">
        <f>S29*(1+Assumptions!$L$52)</f>
        <v>534.31427332773194</v>
      </c>
      <c r="U29" s="253">
        <f>T29*(1+Assumptions!$L$52)</f>
        <v>550.34370152756389</v>
      </c>
      <c r="V29" s="253">
        <f>U29*(1+Assumptions!$L$52)</f>
        <v>566.85401257339083</v>
      </c>
      <c r="W29" s="253">
        <f>V29*(1+Assumptions!$L$52)</f>
        <v>583.85963295059253</v>
      </c>
      <c r="X29" s="253">
        <f>W29*(1+Assumptions!$L$52)</f>
        <v>601.37542193911031</v>
      </c>
      <c r="Y29" s="253">
        <f>X29*(1+Assumptions!$L$52)</f>
        <v>619.41668459728362</v>
      </c>
      <c r="Z29" s="253">
        <f>Y29*(1+Assumptions!$L$52)</f>
        <v>637.9991851352022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 s="4" t="s">
        <v>287</v>
      </c>
      <c r="D30"/>
      <c r="E30" s="253">
        <f>+Assumptions!L64*Assumptions!L53/12</f>
        <v>0</v>
      </c>
      <c r="F30" s="253">
        <f>+Assumptions!L64*(1+Assumptions!$L$52)*$F$1/12</f>
        <v>95.745709999999988</v>
      </c>
      <c r="G30" s="253">
        <f>F30*(1+Assumptions!$L$52)</f>
        <v>98.618081299999986</v>
      </c>
      <c r="H30" s="253">
        <f>G30*(1+Assumptions!$L$52)</f>
        <v>101.57662373899998</v>
      </c>
      <c r="I30" s="253">
        <f>H30*(1+Assumptions!$L$52)</f>
        <v>104.62392245116999</v>
      </c>
      <c r="J30" s="253">
        <f>I30*(1+Assumptions!$L$52)</f>
        <v>107.76264012470509</v>
      </c>
      <c r="K30" s="253">
        <f>J30*(1+Assumptions!$L$52)</f>
        <v>110.99551932844624</v>
      </c>
      <c r="L30" s="253">
        <f>K30*(1+Assumptions!$L$52)</f>
        <v>114.32538490829963</v>
      </c>
      <c r="M30" s="253">
        <f>L30*(1+Assumptions!$L$52)</f>
        <v>117.75514645554861</v>
      </c>
      <c r="N30" s="253">
        <f>M30*(1+Assumptions!$L$52)</f>
        <v>121.28780084921507</v>
      </c>
      <c r="O30" s="253">
        <f>N30*(1+Assumptions!$L$52)</f>
        <v>124.92643487469152</v>
      </c>
      <c r="P30" s="253">
        <f>O30*(1+Assumptions!$L$52)</f>
        <v>128.67422792093228</v>
      </c>
      <c r="Q30" s="253">
        <f>P30*(1+Assumptions!$L$52)</f>
        <v>132.53445475856026</v>
      </c>
      <c r="R30" s="253">
        <f>Q30*(1+Assumptions!$L$52)</f>
        <v>136.51048840131708</v>
      </c>
      <c r="S30" s="253">
        <f>R30*(1+Assumptions!$L$52)</f>
        <v>140.6058030533566</v>
      </c>
      <c r="T30" s="253">
        <f>S30*(1+Assumptions!$L$52)</f>
        <v>144.8239771449573</v>
      </c>
      <c r="U30" s="253">
        <f>T30*(1+Assumptions!$L$52)</f>
        <v>149.16869645930603</v>
      </c>
      <c r="V30" s="253">
        <f>U30*(1+Assumptions!$L$52)</f>
        <v>153.64375735308522</v>
      </c>
      <c r="W30" s="253">
        <f>V30*(1+Assumptions!$L$52)</f>
        <v>158.25307007367778</v>
      </c>
      <c r="X30" s="253">
        <f>W30*(1+Assumptions!$L$52)</f>
        <v>163.00066217588812</v>
      </c>
      <c r="Y30" s="253">
        <f>X30*(1+Assumptions!$L$52)</f>
        <v>167.89068204116478</v>
      </c>
      <c r="Z30" s="253">
        <f>Y30*(1+Assumptions!$L$52)</f>
        <v>172.92740250239973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 s="4" t="s">
        <v>288</v>
      </c>
      <c r="D31"/>
      <c r="E31" s="253">
        <f>0.5*312.773898109074*Assumptions!L$53/12</f>
        <v>0</v>
      </c>
      <c r="F31" s="253">
        <v>401.07184007499995</v>
      </c>
      <c r="G31" s="253">
        <v>540.36292012499996</v>
      </c>
      <c r="H31" s="187">
        <v>604.65400017499996</v>
      </c>
      <c r="I31" s="253">
        <v>643.94508022499997</v>
      </c>
      <c r="J31" s="253">
        <v>633.91217527499998</v>
      </c>
      <c r="K31" s="253">
        <v>624.555285325</v>
      </c>
      <c r="L31" s="253">
        <v>615.19839537500002</v>
      </c>
      <c r="M31" s="253">
        <v>605.84150542499992</v>
      </c>
      <c r="N31" s="253">
        <v>596.48461547499994</v>
      </c>
      <c r="O31" s="253">
        <v>587.12772552499996</v>
      </c>
      <c r="P31" s="253">
        <v>577.77083557499998</v>
      </c>
      <c r="Q31" s="253">
        <v>568.413945625</v>
      </c>
      <c r="R31" s="253">
        <v>559.0570556749999</v>
      </c>
      <c r="S31" s="253">
        <v>549.70016572499992</v>
      </c>
      <c r="T31" s="253">
        <v>832.67973634923089</v>
      </c>
      <c r="U31" s="253">
        <v>786.16218779506835</v>
      </c>
      <c r="V31" s="253">
        <v>739.64463924090569</v>
      </c>
      <c r="W31" s="253">
        <v>693.12709068674326</v>
      </c>
      <c r="X31" s="253">
        <v>646.60954213258071</v>
      </c>
      <c r="Y31" s="253">
        <v>600.14904089091829</v>
      </c>
      <c r="Z31" s="253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 s="4" t="s">
        <v>289</v>
      </c>
      <c r="D32"/>
      <c r="E32" s="253">
        <v>0</v>
      </c>
      <c r="F32" s="253">
        <f ca="1">Allocation!$I$7*IS!E31*7/12+Allocation!$K$7*IS!E31*5/12</f>
        <v>534.61410292006497</v>
      </c>
      <c r="G32" s="253">
        <f>Allocation!$I$7*IS!F31</f>
        <v>352.77224158539087</v>
      </c>
      <c r="H32" s="253">
        <f>Allocation!$I$7*IS!G31</f>
        <v>352.77224158539087</v>
      </c>
      <c r="I32" s="253">
        <f>Allocation!$I$7*IS!H31</f>
        <v>352.77224158539087</v>
      </c>
      <c r="J32" s="253">
        <f>Allocation!$I$7*IS!I31</f>
        <v>287.27834266431529</v>
      </c>
      <c r="K32" s="253">
        <f>Allocation!$I$7*IS!J31</f>
        <v>287.27834266431529</v>
      </c>
      <c r="L32" s="253">
        <f>Allocation!$I$7*IS!K31</f>
        <v>287.27834266431529</v>
      </c>
      <c r="M32" s="253">
        <f>Allocation!$I$7*IS!L31</f>
        <v>287.27834266431529</v>
      </c>
      <c r="N32" s="253">
        <f>Allocation!$I$7*IS!M31</f>
        <v>287.27834266431529</v>
      </c>
      <c r="O32" s="253">
        <f>Allocation!$I$7*IS!N31</f>
        <v>287.27834266431529</v>
      </c>
      <c r="P32" s="253">
        <f>Allocation!$I$7*IS!O31</f>
        <v>249.96211583993815</v>
      </c>
      <c r="Q32" s="253">
        <f>Allocation!$I$7*IS!P31</f>
        <v>238.80637738347656</v>
      </c>
      <c r="R32" s="253">
        <f>Allocation!$I$7*IS!Q31</f>
        <v>238.19951021480534</v>
      </c>
      <c r="S32" s="253">
        <f>Allocation!$I$7*IS!R31</f>
        <v>233.25167224707229</v>
      </c>
      <c r="T32" s="253">
        <f>Allocation!$I$7*IS!S31</f>
        <v>228.26622014039413</v>
      </c>
      <c r="U32" s="253">
        <f>Allocation!$I$7*IS!T31</f>
        <v>225.86957165398908</v>
      </c>
      <c r="V32" s="253">
        <f>Allocation!$I$7*IS!U31</f>
        <v>212.65625423750109</v>
      </c>
      <c r="W32" s="253">
        <f>Allocation!$I$7*IS!V31</f>
        <v>192.61578365593334</v>
      </c>
      <c r="X32" s="253">
        <f>Allocation!$I$7*IS!W31</f>
        <v>158.75161195965552</v>
      </c>
      <c r="Y32" s="253">
        <f>Allocation!$I$7*IS!X31</f>
        <v>125.76866160102659</v>
      </c>
      <c r="Z32" s="253">
        <f>Allocation!$I$7*IS!Y31</f>
        <v>125.76866160102659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Assumptions!$L$50*Assumptions!$L$33*7</f>
        <v>238.85147999999998</v>
      </c>
      <c r="J33" s="135">
        <f>Assumptions!$L$50*Assumptions!$L$33*12*(1+Assumptions!L52)</f>
        <v>421.74347039999998</v>
      </c>
      <c r="K33" s="135">
        <f>J33*(1+Assumptions!$L$52)</f>
        <v>434.395774512</v>
      </c>
      <c r="L33" s="135">
        <f>K33*(1+Assumptions!$L$52)</f>
        <v>447.42764774736003</v>
      </c>
      <c r="M33" s="135">
        <f>L33*(1+Assumptions!$L$52)</f>
        <v>460.85047717978085</v>
      </c>
      <c r="N33" s="135">
        <f>M33*(1+Assumptions!$L$52)</f>
        <v>474.67599149517429</v>
      </c>
      <c r="O33" s="135">
        <f>N33*(1+Assumptions!$L$52)</f>
        <v>488.91627124002952</v>
      </c>
      <c r="P33" s="135">
        <f>O33*(1+Assumptions!$L$52)</f>
        <v>503.58375937723042</v>
      </c>
      <c r="Q33" s="135">
        <f>P33*(1+Assumptions!$L$52)</f>
        <v>518.69127215854735</v>
      </c>
      <c r="R33" s="135">
        <f>Q33*(1+Assumptions!$L$52)</f>
        <v>534.25201032330381</v>
      </c>
      <c r="S33" s="135">
        <f>R33*(1+Assumptions!$L$52)</f>
        <v>550.27957063300289</v>
      </c>
      <c r="T33" s="135">
        <f>S33*(1+Assumptions!$L$52)</f>
        <v>566.78795775199296</v>
      </c>
      <c r="U33" s="135">
        <f>T33*(1+Assumptions!$L$52)</f>
        <v>583.79159648455277</v>
      </c>
      <c r="V33" s="135">
        <f>U33*(1+Assumptions!$L$52)</f>
        <v>601.30534437908932</v>
      </c>
      <c r="W33" s="135">
        <f>V33*(1+Assumptions!$L$52)</f>
        <v>619.34450471046205</v>
      </c>
      <c r="X33" s="135">
        <f>W33*(1+Assumptions!$L$52)</f>
        <v>637.92483985177591</v>
      </c>
      <c r="Y33" s="135">
        <f>X33*(1+Assumptions!$L$52)</f>
        <v>657.06258504732921</v>
      </c>
      <c r="Z33" s="135">
        <f>Y33*(1+Assumptions!$L$52)</f>
        <v>676.7744625987491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 s="4" t="s">
        <v>181</v>
      </c>
      <c r="D34"/>
      <c r="E34" s="253">
        <f>Assumptions!L53/12*Assumptions!L65</f>
        <v>0</v>
      </c>
      <c r="F34" s="253">
        <f>Assumptions!L65*(1+Assumptions!$L$52)*$F$1/12</f>
        <v>163.23183391003462</v>
      </c>
      <c r="G34" s="253">
        <f>F34*(1+Assumptions!$L$52)</f>
        <v>168.12878892733568</v>
      </c>
      <c r="H34" s="187">
        <f>G34*(1+Assumptions!$L$52)</f>
        <v>173.17265259515574</v>
      </c>
      <c r="I34" s="253">
        <f>H34*(1+Assumptions!$L$52)</f>
        <v>178.36783217301041</v>
      </c>
      <c r="J34" s="253">
        <f>I34*(1+Assumptions!$L$52)</f>
        <v>183.71886713820072</v>
      </c>
      <c r="K34" s="253">
        <f>J34*(1+Assumptions!$L$52)</f>
        <v>189.23043315234673</v>
      </c>
      <c r="L34" s="253">
        <f>K34*(1+Assumptions!$L$52)</f>
        <v>194.90734614691715</v>
      </c>
      <c r="M34" s="253">
        <f>L34*(1+Assumptions!$L$52)</f>
        <v>200.75456653132466</v>
      </c>
      <c r="N34" s="253">
        <f>M34*(1+Assumptions!$L$52)</f>
        <v>206.77720352726439</v>
      </c>
      <c r="O34" s="253">
        <f>N34*(1+Assumptions!$L$52)</f>
        <v>212.98051963308234</v>
      </c>
      <c r="P34" s="253">
        <f>O34*(1+Assumptions!$L$52)</f>
        <v>219.36993522207482</v>
      </c>
      <c r="Q34" s="253">
        <f>P34*(1+Assumptions!$L$52)</f>
        <v>225.95103327873707</v>
      </c>
      <c r="R34" s="253">
        <f>Q34*(1+Assumptions!$L$52)</f>
        <v>232.7295642770992</v>
      </c>
      <c r="S34" s="253">
        <f>R34*(1+Assumptions!$L$52)</f>
        <v>239.71145120541217</v>
      </c>
      <c r="T34" s="253">
        <f>S34*(1+Assumptions!$L$52)</f>
        <v>246.90279474157455</v>
      </c>
      <c r="U34" s="253">
        <f>T34*(1+Assumptions!$L$52)</f>
        <v>254.30987858382179</v>
      </c>
      <c r="V34" s="253">
        <f>U34*(1+Assumptions!$L$52)</f>
        <v>261.93917494133643</v>
      </c>
      <c r="W34" s="253">
        <f>V34*(1+Assumptions!$L$52)</f>
        <v>269.79735018957655</v>
      </c>
      <c r="X34" s="253">
        <f>W34*(1+Assumptions!$L$52)</f>
        <v>277.89127069526387</v>
      </c>
      <c r="Y34" s="253">
        <f>X34*(1+Assumptions!$L$52)</f>
        <v>286.22800881612181</v>
      </c>
      <c r="Z34" s="253">
        <f>Y34*(1+Assumptions!$L$52)</f>
        <v>294.81484908060548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 s="4" t="s">
        <v>182</v>
      </c>
      <c r="B35" s="8"/>
      <c r="C35" s="8"/>
      <c r="D35"/>
      <c r="E35" s="254">
        <f>Assumptions!L53/12*Assumptions!L66</f>
        <v>0</v>
      </c>
      <c r="F35" s="254">
        <f>Assumptions!L66*(1+Assumptions!$L$52)*$F$1/12</f>
        <v>206</v>
      </c>
      <c r="G35" s="254">
        <f>F35*(1+Assumptions!$L$52)</f>
        <v>212.18</v>
      </c>
      <c r="H35" s="254">
        <f>G35*(1+Assumptions!$L$52)</f>
        <v>218.5454</v>
      </c>
      <c r="I35" s="254">
        <f>H35*(1+Assumptions!$L$52)</f>
        <v>225.10176200000001</v>
      </c>
      <c r="J35" s="254">
        <f>I35*(1+Assumptions!$L$52)</f>
        <v>231.85481486</v>
      </c>
      <c r="K35" s="254">
        <f>J35*(1+Assumptions!$L$52)</f>
        <v>238.81045930580001</v>
      </c>
      <c r="L35" s="254">
        <f>K35*(1+Assumptions!$L$52)</f>
        <v>245.974773084974</v>
      </c>
      <c r="M35" s="254">
        <f>L35*(1+Assumptions!$L$52)</f>
        <v>253.35401627752324</v>
      </c>
      <c r="N35" s="254">
        <f>M35*(1+Assumptions!$L$52)</f>
        <v>260.95463676584893</v>
      </c>
      <c r="O35" s="254">
        <f>N35*(1+Assumptions!$L$52)</f>
        <v>268.78327586882443</v>
      </c>
      <c r="P35" s="254">
        <f>O35*(1+Assumptions!$L$52)</f>
        <v>276.8467741448892</v>
      </c>
      <c r="Q35" s="254">
        <f>P35*(1+Assumptions!$L$52)</f>
        <v>285.15217736923586</v>
      </c>
      <c r="R35" s="254">
        <f>Q35*(1+Assumptions!$L$52)</f>
        <v>293.70674269031292</v>
      </c>
      <c r="S35" s="254">
        <f>R35*(1+Assumptions!$L$52)</f>
        <v>302.5179449710223</v>
      </c>
      <c r="T35" s="254">
        <f>S35*(1+Assumptions!$L$52)</f>
        <v>311.59348332015298</v>
      </c>
      <c r="U35" s="254">
        <f>T35*(1+Assumptions!$L$52)</f>
        <v>320.94128781975758</v>
      </c>
      <c r="V35" s="254">
        <f>U35*(1+Assumptions!$L$52)</f>
        <v>330.5695264543503</v>
      </c>
      <c r="W35" s="254">
        <f>V35*(1+Assumptions!$L$52)</f>
        <v>340.48661224798082</v>
      </c>
      <c r="X35" s="254">
        <f>W35*(1+Assumptions!$L$52)</f>
        <v>350.70121061542022</v>
      </c>
      <c r="Y35" s="254">
        <f>X35*(1+Assumptions!$L$52)</f>
        <v>361.22224693388284</v>
      </c>
      <c r="Z35" s="254">
        <f>Y35*(1+Assumptions!$L$52)</f>
        <v>372.05891434189931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 s="4" t="s">
        <v>183</v>
      </c>
      <c r="B36" s="8"/>
      <c r="C36" s="8"/>
      <c r="D36" s="253"/>
      <c r="E36" s="253">
        <f>SUM(E24:E35)</f>
        <v>0</v>
      </c>
      <c r="F36" s="253">
        <f t="shared" ref="F36:Z36" ca="1" si="2">SUM(F24:F35)</f>
        <v>5536.8283069051004</v>
      </c>
      <c r="G36" s="253">
        <f t="shared" si="2"/>
        <v>5632.3117965377269</v>
      </c>
      <c r="H36" s="187">
        <f t="shared" si="2"/>
        <v>5838.7781756325467</v>
      </c>
      <c r="I36" s="253">
        <f t="shared" si="2"/>
        <v>6296.0498017152195</v>
      </c>
      <c r="J36" s="253">
        <f t="shared" si="2"/>
        <v>6579.2788205677207</v>
      </c>
      <c r="K36" s="253">
        <f t="shared" si="2"/>
        <v>6739.6645796965704</v>
      </c>
      <c r="L36" s="253">
        <f t="shared" si="2"/>
        <v>6905.1426182977893</v>
      </c>
      <c r="M36" s="253">
        <f t="shared" si="2"/>
        <v>7075.8657047555444</v>
      </c>
      <c r="N36" s="253">
        <f t="shared" si="2"/>
        <v>7251.9911905055314</v>
      </c>
      <c r="O36" s="253">
        <f t="shared" si="2"/>
        <v>7433.6811475265185</v>
      </c>
      <c r="P36" s="253">
        <f t="shared" si="2"/>
        <v>7583.7862831322564</v>
      </c>
      <c r="Q36" s="253">
        <f t="shared" si="2"/>
        <v>7765.9552546773148</v>
      </c>
      <c r="R36" s="253">
        <f t="shared" si="2"/>
        <v>7964.75354550871</v>
      </c>
      <c r="S36" s="253">
        <f t="shared" si="2"/>
        <v>8165.4737269795442</v>
      </c>
      <c r="T36" s="253">
        <f t="shared" si="2"/>
        <v>8664.9435021673198</v>
      </c>
      <c r="U36" s="253">
        <f t="shared" si="2"/>
        <v>8844.1492314970837</v>
      </c>
      <c r="V36" s="253">
        <f t="shared" si="2"/>
        <v>9019.3818896878747</v>
      </c>
      <c r="W36" s="253">
        <f t="shared" si="2"/>
        <v>9194.8363004384282</v>
      </c>
      <c r="X36" s="253">
        <f t="shared" si="2"/>
        <v>9363.7273829708611</v>
      </c>
      <c r="Y36" s="253">
        <f t="shared" si="2"/>
        <v>9541.03491823693</v>
      </c>
      <c r="Z36" s="253">
        <f t="shared" si="2"/>
        <v>9205.3393938183617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46" customFormat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19518.089602258584</v>
      </c>
      <c r="G39" s="259">
        <f t="shared" si="3"/>
        <v>19507.372416895552</v>
      </c>
      <c r="H39" s="260">
        <f t="shared" si="3"/>
        <v>19386.863851388745</v>
      </c>
      <c r="I39" s="259">
        <f t="shared" si="3"/>
        <v>24494.085267377224</v>
      </c>
      <c r="J39" s="259">
        <f t="shared" si="3"/>
        <v>28586.482229208494</v>
      </c>
      <c r="K39" s="259">
        <f t="shared" si="3"/>
        <v>28886.318040869181</v>
      </c>
      <c r="L39" s="259">
        <f t="shared" si="3"/>
        <v>29177.018961874506</v>
      </c>
      <c r="M39" s="259">
        <f t="shared" si="3"/>
        <v>30088.860760215066</v>
      </c>
      <c r="N39" s="259">
        <f t="shared" si="3"/>
        <v>30377.755854163373</v>
      </c>
      <c r="O39" s="259">
        <f t="shared" si="3"/>
        <v>31325.051328208145</v>
      </c>
      <c r="P39" s="259">
        <f t="shared" si="3"/>
        <v>31648.660307254308</v>
      </c>
      <c r="Q39" s="259">
        <f t="shared" si="3"/>
        <v>32643.676188624708</v>
      </c>
      <c r="R39" s="259">
        <f t="shared" si="3"/>
        <v>32925.638046980246</v>
      </c>
      <c r="S39" s="259">
        <f t="shared" si="3"/>
        <v>33198.203324012364</v>
      </c>
      <c r="T39" s="259">
        <f t="shared" si="3"/>
        <v>33159.952009716952</v>
      </c>
      <c r="U39" s="259">
        <f t="shared" si="3"/>
        <v>33436.707241487624</v>
      </c>
      <c r="V39" s="259">
        <f t="shared" si="3"/>
        <v>33707.2480437497</v>
      </c>
      <c r="W39" s="259">
        <f t="shared" si="3"/>
        <v>33966.300546736507</v>
      </c>
      <c r="X39" s="259">
        <f t="shared" si="3"/>
        <v>34219.655650765359</v>
      </c>
      <c r="Y39" s="259">
        <f t="shared" si="3"/>
        <v>34451.012731411385</v>
      </c>
      <c r="Z39" s="259">
        <f t="shared" si="3"/>
        <v>35187.118541506105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 s="4" t="s">
        <v>185</v>
      </c>
      <c r="D41" s="253"/>
      <c r="E41" s="253">
        <f>Allocation!$G$7/Allocation!$G$10*IS!D40</f>
        <v>0</v>
      </c>
      <c r="F41" s="253">
        <f>Allocation!$G$7*IS!E40</f>
        <v>3863.0079385649856</v>
      </c>
      <c r="G41" s="253">
        <f>Allocation!$G$7*IS!F40</f>
        <v>5310.6117649883035</v>
      </c>
      <c r="H41" s="253">
        <f>Allocation!$G$7*IS!G40</f>
        <v>5310.6117649883035</v>
      </c>
      <c r="I41" s="253">
        <f>Allocation!$G$7*IS!H40</f>
        <v>5310.6117649883035</v>
      </c>
      <c r="J41" s="253">
        <f>Allocation!$G$7*IS!I40</f>
        <v>5310.6117649883035</v>
      </c>
      <c r="K41" s="253">
        <f>Allocation!$G$7*IS!J40</f>
        <v>5310.6117649883035</v>
      </c>
      <c r="L41" s="253">
        <f>Allocation!$G$7*IS!K40</f>
        <v>5310.6117649883035</v>
      </c>
      <c r="M41" s="253">
        <f>Allocation!$G$7*IS!L40</f>
        <v>5310.6117649883035</v>
      </c>
      <c r="N41" s="253">
        <f>Allocation!$G$7*IS!M40</f>
        <v>5310.6117649883035</v>
      </c>
      <c r="O41" s="253">
        <f>Allocation!$G$7*IS!N40</f>
        <v>5310.6117649883035</v>
      </c>
      <c r="P41" s="253">
        <f>Allocation!$G$7*IS!O40</f>
        <v>5310.6117649883035</v>
      </c>
      <c r="Q41" s="253">
        <f>Allocation!$G$7*IS!P40</f>
        <v>5310.6117649883035</v>
      </c>
      <c r="R41" s="253">
        <f>Allocation!$G$7*IS!Q40</f>
        <v>5310.6117649883035</v>
      </c>
      <c r="S41" s="253">
        <f>Allocation!$G$7*IS!R40</f>
        <v>5310.6117649883035</v>
      </c>
      <c r="T41" s="253">
        <f>Allocation!$G$7*IS!S40</f>
        <v>5310.6117649883035</v>
      </c>
      <c r="U41" s="253">
        <f>Allocation!$G$7*IS!T40</f>
        <v>5310.6117649883035</v>
      </c>
      <c r="V41" s="253">
        <f>Allocation!$G$7*IS!U40</f>
        <v>5310.6117649883035</v>
      </c>
      <c r="W41" s="253">
        <f>Allocation!$G$7*IS!V40</f>
        <v>5310.6117649883035</v>
      </c>
      <c r="X41" s="253">
        <f>Allocation!$G$7*IS!W40</f>
        <v>5310.6117649883035</v>
      </c>
      <c r="Y41" s="253">
        <f>Allocation!$G$7*IS!X40</f>
        <v>5310.6117649883035</v>
      </c>
      <c r="Z41" s="253">
        <f>Allocation!$G$7*IS!Y40</f>
        <v>5174.1527027069878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ht="7.5" customHeight="1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8" customFormat="1">
      <c r="A43" s="1" t="s">
        <v>186</v>
      </c>
      <c r="B43" s="1"/>
      <c r="C43" s="1"/>
      <c r="D43" s="259"/>
      <c r="E43" s="259">
        <f t="shared" ref="E43:Z43" si="4">E39-E41</f>
        <v>0</v>
      </c>
      <c r="F43" s="259">
        <f t="shared" ca="1" si="4"/>
        <v>15655.081663693598</v>
      </c>
      <c r="G43" s="259">
        <f t="shared" si="4"/>
        <v>14196.760651907249</v>
      </c>
      <c r="H43" s="259">
        <f t="shared" si="4"/>
        <v>14076.252086400442</v>
      </c>
      <c r="I43" s="259">
        <f t="shared" si="4"/>
        <v>19183.473502388922</v>
      </c>
      <c r="J43" s="259">
        <f t="shared" si="4"/>
        <v>23275.870464220192</v>
      </c>
      <c r="K43" s="259">
        <f t="shared" si="4"/>
        <v>23575.706275880875</v>
      </c>
      <c r="L43" s="259">
        <f t="shared" si="4"/>
        <v>23866.407196886204</v>
      </c>
      <c r="M43" s="259">
        <f t="shared" si="4"/>
        <v>24778.248995226764</v>
      </c>
      <c r="N43" s="259">
        <f t="shared" si="4"/>
        <v>25067.144089175068</v>
      </c>
      <c r="O43" s="259">
        <f t="shared" si="4"/>
        <v>26014.439563219843</v>
      </c>
      <c r="P43" s="259">
        <f t="shared" si="4"/>
        <v>26338.048542266006</v>
      </c>
      <c r="Q43" s="259">
        <f t="shared" si="4"/>
        <v>27333.064423636402</v>
      </c>
      <c r="R43" s="259">
        <f t="shared" si="4"/>
        <v>27615.026281991944</v>
      </c>
      <c r="S43" s="259">
        <f t="shared" si="4"/>
        <v>27887.591559024062</v>
      </c>
      <c r="T43" s="259">
        <f t="shared" si="4"/>
        <v>27849.34024472865</v>
      </c>
      <c r="U43" s="259">
        <f t="shared" si="4"/>
        <v>28126.095476499322</v>
      </c>
      <c r="V43" s="259">
        <f t="shared" si="4"/>
        <v>28396.636278761398</v>
      </c>
      <c r="W43" s="259">
        <f t="shared" si="4"/>
        <v>28655.688781748206</v>
      </c>
      <c r="X43" s="259">
        <f t="shared" si="4"/>
        <v>28909.043885777057</v>
      </c>
      <c r="Y43" s="259">
        <f t="shared" si="4"/>
        <v>29140.400966423083</v>
      </c>
      <c r="Z43" s="259">
        <f t="shared" si="4"/>
        <v>30012.965838799115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38" customFormat="1">
      <c r="A44" s="1"/>
      <c r="B44" s="1"/>
      <c r="C44" s="1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 s="7" t="s">
        <v>187</v>
      </c>
      <c r="B45" s="755"/>
      <c r="C45" s="148"/>
      <c r="D45" s="253"/>
      <c r="E45" s="253">
        <f>Allocation!$K$7*(IS!$D$44)</f>
        <v>0</v>
      </c>
      <c r="F45" s="253">
        <f>Allocation!$I$7*(IS!$E$44-Debt!$C$136)</f>
        <v>11260.129561484338</v>
      </c>
      <c r="G45" s="253">
        <f>Allocation!$I$7*IS!F44</f>
        <v>11006.994093215868</v>
      </c>
      <c r="H45" s="253">
        <f>Allocation!$I$7*IS!G44</f>
        <v>10682.734251835087</v>
      </c>
      <c r="I45" s="253">
        <f>Allocation!$I$7*IS!H44</f>
        <v>10140.820591259098</v>
      </c>
      <c r="J45" s="253">
        <f>Allocation!$I$7*IS!I44</f>
        <v>9726.6402397773909</v>
      </c>
      <c r="K45" s="253">
        <f>Allocation!$I$7*IS!J44</f>
        <v>9341.2900477241838</v>
      </c>
      <c r="L45" s="253">
        <f>Allocation!$I$7*IS!K44</f>
        <v>8918.93005569651</v>
      </c>
      <c r="M45" s="253">
        <f>Allocation!$I$7*IS!L44</f>
        <v>8431.8439142304778</v>
      </c>
      <c r="N45" s="253">
        <f>Allocation!$I$7*IS!M44</f>
        <v>7876.4235778337425</v>
      </c>
      <c r="O45" s="253">
        <f>Allocation!$I$7*IS!N44</f>
        <v>7201.8308766259115</v>
      </c>
      <c r="P45" s="253">
        <f>Allocation!$I$7*IS!O44</f>
        <v>6606.6490481861083</v>
      </c>
      <c r="Q45" s="253">
        <f>Allocation!$I$7*IS!P44</f>
        <v>6035.9677706766424</v>
      </c>
      <c r="R45" s="253">
        <f>Allocation!$I$7*IS!Q44</f>
        <v>5405.5126211365287</v>
      </c>
      <c r="S45" s="253">
        <f>Allocation!$I$7*IS!R44</f>
        <v>4726.2622030557941</v>
      </c>
      <c r="T45" s="253">
        <f>Allocation!$I$7*IS!S44</f>
        <v>4000.8745785866226</v>
      </c>
      <c r="U45" s="253">
        <f>Allocation!$I$7*IS!T44</f>
        <v>3215.227614420492</v>
      </c>
      <c r="V45" s="253">
        <f>Allocation!$I$7*IS!U44</f>
        <v>2396.8736389594255</v>
      </c>
      <c r="W45" s="253">
        <f>Allocation!$I$7*IS!V44</f>
        <v>1586.0073594741611</v>
      </c>
      <c r="X45" s="253">
        <f>Allocation!$I$7*IS!W44</f>
        <v>844.99406921778052</v>
      </c>
      <c r="Y45" s="253">
        <f>Allocation!$I$7*IS!X44</f>
        <v>202.85659936034514</v>
      </c>
      <c r="Z45" s="253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6" customHeight="1">
      <c r="D46" s="253"/>
      <c r="E46" s="253"/>
      <c r="F46" s="156"/>
      <c r="G46" s="156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38" customFormat="1">
      <c r="A47" s="1" t="s">
        <v>188</v>
      </c>
      <c r="B47" s="259"/>
      <c r="D47" s="259"/>
      <c r="E47" s="259">
        <f t="shared" ref="E47:Z47" si="5">E43-E45</f>
        <v>0</v>
      </c>
      <c r="F47" s="259">
        <f t="shared" ca="1" si="5"/>
        <v>4394.9521022092595</v>
      </c>
      <c r="G47" s="259">
        <f t="shared" si="5"/>
        <v>3189.7665586913809</v>
      </c>
      <c r="H47" s="259">
        <f t="shared" si="5"/>
        <v>3393.5178345653549</v>
      </c>
      <c r="I47" s="259">
        <f t="shared" si="5"/>
        <v>9042.6529111298241</v>
      </c>
      <c r="J47" s="259">
        <f t="shared" si="5"/>
        <v>13549.230224442801</v>
      </c>
      <c r="K47" s="259">
        <f t="shared" si="5"/>
        <v>14234.416228156691</v>
      </c>
      <c r="L47" s="259">
        <f t="shared" si="5"/>
        <v>14947.477141189695</v>
      </c>
      <c r="M47" s="259">
        <f t="shared" si="5"/>
        <v>16346.405080996286</v>
      </c>
      <c r="N47" s="259">
        <f t="shared" si="5"/>
        <v>17190.720511341326</v>
      </c>
      <c r="O47" s="259">
        <f t="shared" si="5"/>
        <v>18812.608686593932</v>
      </c>
      <c r="P47" s="259">
        <f t="shared" si="5"/>
        <v>19731.399494079898</v>
      </c>
      <c r="Q47" s="259">
        <f t="shared" si="5"/>
        <v>21297.096652959761</v>
      </c>
      <c r="R47" s="259">
        <f t="shared" si="5"/>
        <v>22209.513660855417</v>
      </c>
      <c r="S47" s="259">
        <f t="shared" si="5"/>
        <v>23161.329355968268</v>
      </c>
      <c r="T47" s="259">
        <f t="shared" si="5"/>
        <v>23848.465666142027</v>
      </c>
      <c r="U47" s="259">
        <f t="shared" si="5"/>
        <v>24910.867862078831</v>
      </c>
      <c r="V47" s="259">
        <f t="shared" si="5"/>
        <v>25999.762639801971</v>
      </c>
      <c r="W47" s="259">
        <f t="shared" si="5"/>
        <v>27069.681422274043</v>
      </c>
      <c r="X47" s="259">
        <f t="shared" si="5"/>
        <v>28064.049816559276</v>
      </c>
      <c r="Y47" s="259">
        <f t="shared" si="5"/>
        <v>28937.544367062739</v>
      </c>
      <c r="Z47" s="259">
        <f t="shared" si="5"/>
        <v>30012.965838799115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38" customFormat="1">
      <c r="A48" s="1"/>
      <c r="B48" s="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 s="4" t="s">
        <v>189</v>
      </c>
      <c r="C49" s="149">
        <f>Assumptions!L$44</f>
        <v>0.06</v>
      </c>
      <c r="D49" s="253"/>
      <c r="E49" s="253">
        <f>E47*-$C$49</f>
        <v>0</v>
      </c>
      <c r="F49" s="253">
        <f t="shared" ref="F49:Z49" ca="1" si="6">F47*-$C$49</f>
        <v>-263.69712613255558</v>
      </c>
      <c r="G49" s="253">
        <f t="shared" si="6"/>
        <v>-191.38599352148285</v>
      </c>
      <c r="H49" s="187">
        <f t="shared" si="6"/>
        <v>-203.6110700739213</v>
      </c>
      <c r="I49" s="253">
        <f t="shared" si="6"/>
        <v>-542.55917466778942</v>
      </c>
      <c r="J49" s="253">
        <f t="shared" si="6"/>
        <v>-812.95381346656802</v>
      </c>
      <c r="K49" s="253">
        <f t="shared" si="6"/>
        <v>-854.06497368940143</v>
      </c>
      <c r="L49" s="253">
        <f t="shared" si="6"/>
        <v>-896.84862847138163</v>
      </c>
      <c r="M49" s="253">
        <f t="shared" si="6"/>
        <v>-980.78430485977719</v>
      </c>
      <c r="N49" s="253">
        <f t="shared" si="6"/>
        <v>-1031.4432306804795</v>
      </c>
      <c r="O49" s="253">
        <f t="shared" si="6"/>
        <v>-1128.756521195636</v>
      </c>
      <c r="P49" s="253">
        <f t="shared" si="6"/>
        <v>-1183.8839696447938</v>
      </c>
      <c r="Q49" s="253">
        <f t="shared" si="6"/>
        <v>-1277.8257991775856</v>
      </c>
      <c r="R49" s="253">
        <f t="shared" si="6"/>
        <v>-1332.5708196513249</v>
      </c>
      <c r="S49" s="253">
        <f t="shared" si="6"/>
        <v>-1389.6797613580961</v>
      </c>
      <c r="T49" s="253">
        <f t="shared" si="6"/>
        <v>-1430.9079399685215</v>
      </c>
      <c r="U49" s="253">
        <f t="shared" si="6"/>
        <v>-1494.6520717247297</v>
      </c>
      <c r="V49" s="253">
        <f t="shared" si="6"/>
        <v>-1559.9857583881183</v>
      </c>
      <c r="W49" s="253">
        <f t="shared" si="6"/>
        <v>-1624.1808853364425</v>
      </c>
      <c r="X49" s="253">
        <f t="shared" si="6"/>
        <v>-1683.8429889935564</v>
      </c>
      <c r="Y49" s="253">
        <f t="shared" si="6"/>
        <v>-1736.2526620237643</v>
      </c>
      <c r="Z49" s="253">
        <f t="shared" si="6"/>
        <v>-1800.7779503279469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 s="4" t="s">
        <v>190</v>
      </c>
      <c r="C50" s="149">
        <f>Assumptions!L$43</f>
        <v>0.35</v>
      </c>
      <c r="D50" s="228"/>
      <c r="E50" s="228">
        <f>(E47+E49)*-$C$50</f>
        <v>0</v>
      </c>
      <c r="F50" s="228">
        <f t="shared" ref="F50:Z50" ca="1" si="7">(F47+F49)*-$C$50</f>
        <v>-1445.9392416268463</v>
      </c>
      <c r="G50" s="228">
        <f t="shared" si="7"/>
        <v>-1049.4331978094642</v>
      </c>
      <c r="H50" s="228">
        <f t="shared" si="7"/>
        <v>-1116.4673675720016</v>
      </c>
      <c r="I50" s="228">
        <f t="shared" si="7"/>
        <v>-2975.0328077617119</v>
      </c>
      <c r="J50" s="228">
        <f t="shared" si="7"/>
        <v>-4457.6967438416814</v>
      </c>
      <c r="K50" s="228">
        <f t="shared" si="7"/>
        <v>-4683.1229390635517</v>
      </c>
      <c r="L50" s="228">
        <f t="shared" si="7"/>
        <v>-4917.719979451409</v>
      </c>
      <c r="M50" s="228">
        <f t="shared" si="7"/>
        <v>-5377.967271647778</v>
      </c>
      <c r="N50" s="228">
        <f t="shared" si="7"/>
        <v>-5655.7470482312956</v>
      </c>
      <c r="O50" s="228">
        <f t="shared" si="7"/>
        <v>-6189.3482578894036</v>
      </c>
      <c r="P50" s="228">
        <f t="shared" si="7"/>
        <v>-6491.6304335522864</v>
      </c>
      <c r="Q50" s="228">
        <f t="shared" si="7"/>
        <v>-7006.7447988237609</v>
      </c>
      <c r="R50" s="228">
        <f t="shared" si="7"/>
        <v>-7306.9299944214308</v>
      </c>
      <c r="S50" s="228">
        <f t="shared" si="7"/>
        <v>-7620.0773581135591</v>
      </c>
      <c r="T50" s="228">
        <f t="shared" si="7"/>
        <v>-7846.1452041607263</v>
      </c>
      <c r="U50" s="228">
        <f t="shared" si="7"/>
        <v>-8195.6755266239343</v>
      </c>
      <c r="V50" s="228">
        <f t="shared" si="7"/>
        <v>-8553.921908494849</v>
      </c>
      <c r="W50" s="228">
        <f t="shared" si="7"/>
        <v>-8905.9251879281601</v>
      </c>
      <c r="X50" s="228">
        <f t="shared" si="7"/>
        <v>-9233.0723896480013</v>
      </c>
      <c r="Y50" s="228">
        <f t="shared" si="7"/>
        <v>-9520.4520967636399</v>
      </c>
      <c r="Z50" s="228">
        <f t="shared" si="7"/>
        <v>-9874.2657609649086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6" customHeight="1">
      <c r="C51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50" customFormat="1" ht="15.6">
      <c r="A52" s="106" t="s">
        <v>290</v>
      </c>
      <c r="B52" s="106"/>
      <c r="C52" s="106"/>
      <c r="D52" s="261"/>
      <c r="E52" s="261">
        <f t="shared" ref="E52:Z52" si="8">SUM(E47:E50)</f>
        <v>0</v>
      </c>
      <c r="F52" s="261">
        <f t="shared" ca="1" si="8"/>
        <v>2685.3157344498577</v>
      </c>
      <c r="G52" s="261">
        <f t="shared" si="8"/>
        <v>1948.9473673604339</v>
      </c>
      <c r="H52" s="261">
        <f t="shared" si="8"/>
        <v>2073.4393969194316</v>
      </c>
      <c r="I52" s="261">
        <f t="shared" si="8"/>
        <v>5525.0609287003226</v>
      </c>
      <c r="J52" s="261">
        <f t="shared" si="8"/>
        <v>8278.5796671345524</v>
      </c>
      <c r="K52" s="261">
        <f t="shared" si="8"/>
        <v>8697.2283154037395</v>
      </c>
      <c r="L52" s="261">
        <f t="shared" si="8"/>
        <v>9132.9085332669038</v>
      </c>
      <c r="M52" s="261">
        <f t="shared" si="8"/>
        <v>9987.6535044887314</v>
      </c>
      <c r="N52" s="261">
        <f t="shared" si="8"/>
        <v>10503.530232429552</v>
      </c>
      <c r="O52" s="261">
        <f t="shared" si="8"/>
        <v>11494.503907508893</v>
      </c>
      <c r="P52" s="261">
        <f t="shared" si="8"/>
        <v>12055.885090882817</v>
      </c>
      <c r="Q52" s="261">
        <f t="shared" si="8"/>
        <v>13012.526054958413</v>
      </c>
      <c r="R52" s="261">
        <f t="shared" si="8"/>
        <v>13570.01284678266</v>
      </c>
      <c r="S52" s="261">
        <f t="shared" si="8"/>
        <v>14151.572236496613</v>
      </c>
      <c r="T52" s="261">
        <f t="shared" si="8"/>
        <v>14571.412522012779</v>
      </c>
      <c r="U52" s="261">
        <f t="shared" si="8"/>
        <v>15220.540263730167</v>
      </c>
      <c r="V52" s="261">
        <f t="shared" si="8"/>
        <v>15885.854972919005</v>
      </c>
      <c r="W52" s="261">
        <f t="shared" si="8"/>
        <v>16539.575349009443</v>
      </c>
      <c r="X52" s="261">
        <f t="shared" si="8"/>
        <v>17147.134437917717</v>
      </c>
      <c r="Y52" s="261">
        <f t="shared" si="8"/>
        <v>17680.839608275332</v>
      </c>
      <c r="Z52" s="261">
        <f t="shared" si="8"/>
        <v>18337.922127506259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46" customFormat="1">
      <c r="A53" s="5"/>
      <c r="B53" s="143">
        <f>SUM(I53:Z53)</f>
        <v>0</v>
      </c>
      <c r="C53" s="143"/>
      <c r="D53" s="5"/>
      <c r="E53" s="5"/>
      <c r="F53" s="144"/>
      <c r="G53" s="144"/>
      <c r="H53" s="145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 s="1"/>
      <c r="F54" s="135"/>
      <c r="G54" s="135"/>
      <c r="H54" s="142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 s="1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7.399999999999999">
      <c r="A56" s="132" t="s">
        <v>291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 s="1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2.75" customHeight="1">
      <c r="A58" s="1" t="s">
        <v>292</v>
      </c>
      <c r="B58" s="151"/>
      <c r="C58" s="123">
        <f>Assumptions!B13</f>
        <v>0.5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2.75" customHeight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3.8" thickBot="1">
      <c r="A60" s="422" t="s">
        <v>164</v>
      </c>
      <c r="B60" s="2"/>
      <c r="C60" s="2"/>
      <c r="D60" s="9"/>
      <c r="E60" s="9">
        <v>1999</v>
      </c>
      <c r="F60" s="9">
        <f>E60+1</f>
        <v>2000</v>
      </c>
      <c r="G60" s="9">
        <f t="shared" ref="G60:Z60" si="9">F60+1</f>
        <v>2001</v>
      </c>
      <c r="H60" s="9">
        <f t="shared" si="9"/>
        <v>2002</v>
      </c>
      <c r="I60" s="9">
        <f t="shared" si="9"/>
        <v>2003</v>
      </c>
      <c r="J60" s="9">
        <f t="shared" si="9"/>
        <v>2004</v>
      </c>
      <c r="K60" s="9">
        <f t="shared" si="9"/>
        <v>2005</v>
      </c>
      <c r="L60" s="9">
        <f t="shared" si="9"/>
        <v>2006</v>
      </c>
      <c r="M60" s="9">
        <f t="shared" si="9"/>
        <v>2007</v>
      </c>
      <c r="N60" s="9">
        <f t="shared" si="9"/>
        <v>2008</v>
      </c>
      <c r="O60" s="9">
        <f t="shared" si="9"/>
        <v>2009</v>
      </c>
      <c r="P60" s="9">
        <f t="shared" si="9"/>
        <v>2010</v>
      </c>
      <c r="Q60" s="9">
        <f t="shared" si="9"/>
        <v>2011</v>
      </c>
      <c r="R60" s="9">
        <f t="shared" si="9"/>
        <v>2012</v>
      </c>
      <c r="S60" s="9">
        <f t="shared" si="9"/>
        <v>2013</v>
      </c>
      <c r="T60" s="9">
        <f t="shared" si="9"/>
        <v>2014</v>
      </c>
      <c r="U60" s="9">
        <f t="shared" si="9"/>
        <v>2015</v>
      </c>
      <c r="V60" s="9">
        <f t="shared" si="9"/>
        <v>2016</v>
      </c>
      <c r="W60" s="9">
        <f t="shared" si="9"/>
        <v>2017</v>
      </c>
      <c r="X60" s="9">
        <f t="shared" si="9"/>
        <v>2018</v>
      </c>
      <c r="Y60" s="9">
        <f t="shared" si="9"/>
        <v>2019</v>
      </c>
      <c r="Z60" s="9">
        <f t="shared" si="9"/>
        <v>2020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 s="14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 s="15" t="s">
        <v>184</v>
      </c>
      <c r="D62" s="156"/>
      <c r="E62" s="156">
        <f t="shared" ref="E62:Z62" si="10">E39</f>
        <v>0</v>
      </c>
      <c r="F62" s="156">
        <f t="shared" ca="1" si="10"/>
        <v>19518.089602258584</v>
      </c>
      <c r="G62" s="156">
        <f t="shared" si="10"/>
        <v>19507.372416895552</v>
      </c>
      <c r="H62" s="156">
        <f t="shared" si="10"/>
        <v>19386.863851388745</v>
      </c>
      <c r="I62" s="156">
        <f t="shared" si="10"/>
        <v>24494.085267377224</v>
      </c>
      <c r="J62" s="156">
        <f t="shared" si="10"/>
        <v>28586.482229208494</v>
      </c>
      <c r="K62" s="156">
        <f t="shared" si="10"/>
        <v>28886.318040869181</v>
      </c>
      <c r="L62" s="156">
        <f t="shared" si="10"/>
        <v>29177.018961874506</v>
      </c>
      <c r="M62" s="156">
        <f t="shared" si="10"/>
        <v>30088.860760215066</v>
      </c>
      <c r="N62" s="156">
        <f t="shared" si="10"/>
        <v>30377.755854163373</v>
      </c>
      <c r="O62" s="156">
        <f t="shared" si="10"/>
        <v>31325.051328208145</v>
      </c>
      <c r="P62" s="156">
        <f t="shared" si="10"/>
        <v>31648.660307254308</v>
      </c>
      <c r="Q62" s="156">
        <f t="shared" si="10"/>
        <v>32643.676188624708</v>
      </c>
      <c r="R62" s="156">
        <f t="shared" si="10"/>
        <v>32925.638046980246</v>
      </c>
      <c r="S62" s="156">
        <f t="shared" si="10"/>
        <v>33198.203324012364</v>
      </c>
      <c r="T62" s="156">
        <f t="shared" si="10"/>
        <v>33159.952009716952</v>
      </c>
      <c r="U62" s="156">
        <f t="shared" si="10"/>
        <v>33436.707241487624</v>
      </c>
      <c r="V62" s="156">
        <f t="shared" si="10"/>
        <v>33707.2480437497</v>
      </c>
      <c r="W62" s="156">
        <f t="shared" si="10"/>
        <v>33966.300546736507</v>
      </c>
      <c r="X62" s="156">
        <f t="shared" si="10"/>
        <v>34219.655650765359</v>
      </c>
      <c r="Y62" s="156">
        <f t="shared" si="10"/>
        <v>34451.012731411385</v>
      </c>
      <c r="Z62" s="156">
        <f t="shared" si="10"/>
        <v>35187.118541506105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 s="15" t="s">
        <v>192</v>
      </c>
      <c r="D63" s="135"/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</row>
    <row r="64" spans="1:60">
      <c r="A64" s="15" t="s">
        <v>193</v>
      </c>
      <c r="D64" s="262"/>
      <c r="E64" s="262">
        <f>Allocation!$I$7*CF!D15</f>
        <v>0</v>
      </c>
      <c r="F64" s="262">
        <f>Allocation!$K$7*(CF!E16+CF!E15)+Allocation!$I$7*(CF!G15+CF!G16-CF!G14)</f>
        <v>-11552.015266831782</v>
      </c>
      <c r="G64" s="262">
        <f>Allocation!$I$7*(CF!H16+CF!H15)</f>
        <v>-14856.383814178722</v>
      </c>
      <c r="H64" s="262">
        <f>Allocation!$I$7*(CF!I16+CF!I15)</f>
        <v>-14779.233297150529</v>
      </c>
      <c r="I64" s="262">
        <f>Allocation!$I$7*(CF!J16+CF!J15)</f>
        <v>-17638.61207926954</v>
      </c>
      <c r="J64" s="262">
        <f>Allocation!$I$7*(CF!K16+CF!K15)</f>
        <v>-13279.971132779792</v>
      </c>
      <c r="K64" s="262">
        <f>Allocation!$I$7*(CF!L16+CF!L15)</f>
        <v>-13530.147513486898</v>
      </c>
      <c r="L64" s="262">
        <f>Allocation!$I$7*(CF!M16+CF!M15)</f>
        <v>-13606.377429370626</v>
      </c>
      <c r="M64" s="262">
        <f>Allocation!$I$7*(CF!N16+CF!N15)</f>
        <v>-13909.310508186749</v>
      </c>
      <c r="N64" s="262">
        <f>Allocation!$I$7*(CF!O16+CF!O15)</f>
        <v>-14056.129478707486</v>
      </c>
      <c r="O64" s="262">
        <f>Allocation!$I$7*(CF!P16+CF!P15)</f>
        <v>-14363.917133215764</v>
      </c>
      <c r="P64" s="262">
        <f>Allocation!$I$7*(CF!Q16+CF!Q15)</f>
        <v>-12498.105791996908</v>
      </c>
      <c r="Q64" s="262">
        <f>Allocation!$I$7*(CF!R16+CF!R15)</f>
        <v>-11940.318869173827</v>
      </c>
      <c r="R64" s="262">
        <f>Allocation!$I$7*(CF!S16+CF!S15)</f>
        <v>-11909.975510740267</v>
      </c>
      <c r="S64" s="262">
        <f>Allocation!$I$7*(CF!T16+CF!T15)</f>
        <v>-11662.583612353616</v>
      </c>
      <c r="T64" s="262">
        <f>Allocation!$I$7*(CF!U16+CF!U15)</f>
        <v>-11413.311007019705</v>
      </c>
      <c r="U64" s="262">
        <f>Allocation!$I$7*(CF!V16+CF!V15)</f>
        <v>-11293.478582699454</v>
      </c>
      <c r="V64" s="262">
        <f>Allocation!$I$7*(CF!W16+CF!W15)</f>
        <v>-10632.812711875056</v>
      </c>
      <c r="W64" s="262">
        <f>Allocation!$I$7*(CF!X16+CF!X15)</f>
        <v>-9630.7891827966687</v>
      </c>
      <c r="X64" s="262">
        <f>Allocation!$I$7*(CF!Y16+CF!Y15)</f>
        <v>-7937.5805979827755</v>
      </c>
      <c r="Y64" s="262">
        <f>Allocation!$I$7*(CF!Z16+CF!Z15)</f>
        <v>-6288.4330800513289</v>
      </c>
      <c r="Z64" s="262">
        <f>Allocation!$I$7*(CF!AA16+CF!AA15)</f>
        <v>0</v>
      </c>
    </row>
    <row r="65" spans="1:26" hidden="1">
      <c r="A65" s="15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</row>
    <row r="66" spans="1:26">
      <c r="A66" s="1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s="138" customFormat="1">
      <c r="A67" s="14" t="s">
        <v>194</v>
      </c>
      <c r="B67" s="1"/>
      <c r="C67" s="1"/>
      <c r="D67" s="263"/>
      <c r="E67" s="263">
        <f t="shared" ref="E67:Z67" si="11">SUM(E62:E64)</f>
        <v>0</v>
      </c>
      <c r="F67" s="263">
        <f t="shared" ca="1" si="11"/>
        <v>7966.0743354268016</v>
      </c>
      <c r="G67" s="263">
        <f t="shared" si="11"/>
        <v>4650.9886027168304</v>
      </c>
      <c r="H67" s="263">
        <f t="shared" si="11"/>
        <v>4607.6305542382161</v>
      </c>
      <c r="I67" s="263">
        <f t="shared" si="11"/>
        <v>6855.4731881076841</v>
      </c>
      <c r="J67" s="263">
        <f t="shared" si="11"/>
        <v>15306.511096428701</v>
      </c>
      <c r="K67" s="263">
        <f t="shared" si="11"/>
        <v>15356.170527382283</v>
      </c>
      <c r="L67" s="263">
        <f t="shared" si="11"/>
        <v>15570.64153250388</v>
      </c>
      <c r="M67" s="263">
        <f t="shared" si="11"/>
        <v>16179.550252028317</v>
      </c>
      <c r="N67" s="263">
        <f t="shared" si="11"/>
        <v>16321.626375455888</v>
      </c>
      <c r="O67" s="263">
        <f t="shared" si="11"/>
        <v>16961.134194992381</v>
      </c>
      <c r="P67" s="263">
        <f t="shared" si="11"/>
        <v>19150.554515257398</v>
      </c>
      <c r="Q67" s="263">
        <f t="shared" si="11"/>
        <v>20703.357319450879</v>
      </c>
      <c r="R67" s="263">
        <f t="shared" si="11"/>
        <v>21015.662536239979</v>
      </c>
      <c r="S67" s="263">
        <f t="shared" si="11"/>
        <v>21535.61971165875</v>
      </c>
      <c r="T67" s="263">
        <f t="shared" si="11"/>
        <v>21746.641002697244</v>
      </c>
      <c r="U67" s="263">
        <f t="shared" si="11"/>
        <v>22143.228658788168</v>
      </c>
      <c r="V67" s="263">
        <f t="shared" si="11"/>
        <v>23074.435331874643</v>
      </c>
      <c r="W67" s="263">
        <f t="shared" si="11"/>
        <v>24335.511363939841</v>
      </c>
      <c r="X67" s="263">
        <f t="shared" si="11"/>
        <v>26282.075052782584</v>
      </c>
      <c r="Y67" s="263">
        <f t="shared" si="11"/>
        <v>28162.579651360058</v>
      </c>
      <c r="Z67" s="263">
        <f t="shared" si="11"/>
        <v>35187.118541506105</v>
      </c>
    </row>
    <row r="68" spans="1:26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>
      <c r="A69" s="15" t="s">
        <v>382</v>
      </c>
      <c r="D69" s="255"/>
      <c r="E69" s="255">
        <v>0</v>
      </c>
      <c r="F69" s="255">
        <f ca="1">Allocation!$I$7*CF!G24*7/12+Allocation!$K$7*CF!G24*5/12</f>
        <v>0</v>
      </c>
      <c r="G69" s="255">
        <f>Allocation!$I$7*CF!H24</f>
        <v>0</v>
      </c>
      <c r="H69" s="255">
        <f>Allocation!$I$7*CF!I24</f>
        <v>0</v>
      </c>
      <c r="I69" s="255">
        <f>Allocation!$I$7*CF!J24</f>
        <v>0</v>
      </c>
      <c r="J69" s="255">
        <f ca="1">Allocation!$I$7*CF!K24</f>
        <v>0</v>
      </c>
      <c r="K69" s="255">
        <f ca="1">Allocation!$I$7*CF!L24</f>
        <v>0</v>
      </c>
      <c r="L69" s="255">
        <f ca="1">Allocation!$I$7*CF!M24</f>
        <v>-150.8817962344977</v>
      </c>
      <c r="M69" s="255">
        <f ca="1">Allocation!$I$7*CF!N24</f>
        <v>-686.07300026206337</v>
      </c>
      <c r="N69" s="255">
        <f ca="1">Allocation!$I$7*CF!O24</f>
        <v>-740.02934436240787</v>
      </c>
      <c r="O69" s="255">
        <f ca="1">Allocation!$I$7*CF!P24</f>
        <v>-824.78221441730545</v>
      </c>
      <c r="P69" s="255">
        <f ca="1">Allocation!$I$7*CF!Q24</f>
        <v>-869.859227484749</v>
      </c>
      <c r="Q69" s="255">
        <f ca="1">Allocation!$I$7*CF!R24</f>
        <v>-949.13712872961935</v>
      </c>
      <c r="R69" s="255">
        <f ca="1">Allocation!$I$7*CF!S24</f>
        <v>-1008.7982482610081</v>
      </c>
      <c r="S69" s="255">
        <f ca="1">Allocation!$I$7*CF!T24</f>
        <v>-1061.766885506034</v>
      </c>
      <c r="T69" s="255">
        <f ca="1">Allocation!$I$7*CF!U24</f>
        <v>-1122.8198665892753</v>
      </c>
      <c r="U69" s="255">
        <f ca="1">Allocation!$I$7*CF!V24</f>
        <v>-1676.5526402868691</v>
      </c>
      <c r="V69" s="255">
        <f ca="1">Allocation!$I$7*CF!W24</f>
        <v>-1953.4283845473446</v>
      </c>
      <c r="W69" s="255">
        <f>Allocation!$I$7*CF!X24</f>
        <v>-2020.936981144034</v>
      </c>
      <c r="X69" s="255">
        <f>Allocation!$I$7*CF!Y24</f>
        <v>-2081.6124721598057</v>
      </c>
      <c r="Y69" s="255">
        <f>Allocation!$I$7*CF!Z24</f>
        <v>-2113.8763085304554</v>
      </c>
      <c r="Z69" s="255">
        <f ca="1">Allocation!$I$7*CF!AA24</f>
        <v>-2163.7267648803791</v>
      </c>
    </row>
    <row r="70" spans="1:26">
      <c r="A70" s="15" t="s">
        <v>383</v>
      </c>
      <c r="D70" s="262"/>
      <c r="E70" s="262">
        <f>Allocation!$K$7*CF!D25</f>
        <v>0</v>
      </c>
      <c r="F70" s="262">
        <f ca="1">Allocation!$I$7*(-Tax!E39)*7/12+Allocation!$K$7*(-Tax!E39)*5/12</f>
        <v>2198.166964047879</v>
      </c>
      <c r="G70" s="262">
        <f>Allocation!$I$7*CF!H25</f>
        <v>3635.2078195189761</v>
      </c>
      <c r="H70" s="262">
        <f>Allocation!$I$7*CF!I25</f>
        <v>2907.3359221763722</v>
      </c>
      <c r="I70" s="262">
        <f>Allocation!$I$7*CF!J25</f>
        <v>59.084683939680367</v>
      </c>
      <c r="J70" s="262">
        <f ca="1">Allocation!$I$7*CF!K25</f>
        <v>-2293.6249912139242</v>
      </c>
      <c r="K70" s="262">
        <f ca="1">Allocation!$I$7*CF!L25</f>
        <v>-3093.6857757212128</v>
      </c>
      <c r="L70" s="262">
        <f ca="1">Allocation!$I$7*CF!M25</f>
        <v>-3477.7912144910933</v>
      </c>
      <c r="M70" s="262">
        <f ca="1">Allocation!$I$7*CF!N25</f>
        <v>-3696.7098673940295</v>
      </c>
      <c r="N70" s="262">
        <f ca="1">Allocation!$I$7*CF!O25</f>
        <v>-3987.4383315196574</v>
      </c>
      <c r="O70" s="262">
        <f ca="1">Allocation!$I$7*CF!P25</f>
        <v>-4444.1051452584688</v>
      </c>
      <c r="P70" s="262">
        <f ca="1">Allocation!$I$7*CF!Q25</f>
        <v>-4686.9898513107655</v>
      </c>
      <c r="Q70" s="262">
        <f ca="1">Allocation!$I$7*CF!R25</f>
        <v>-5114.1563477131267</v>
      </c>
      <c r="R70" s="262">
        <f ca="1">Allocation!$I$7*CF!S25</f>
        <v>-5435.6233770047829</v>
      </c>
      <c r="S70" s="262">
        <f ca="1">Allocation!$I$7*CF!T25</f>
        <v>-5721.0298627450875</v>
      </c>
      <c r="T70" s="262">
        <f ca="1">Allocation!$I$7*CF!U25</f>
        <v>-6049.9965434307114</v>
      </c>
      <c r="U70" s="262">
        <f ca="1">Allocation!$I$7*CF!V25</f>
        <v>-9033.6286170518288</v>
      </c>
      <c r="V70" s="262">
        <f ca="1">Allocation!$I$7*CF!W25</f>
        <v>-10525.495073622487</v>
      </c>
      <c r="W70" s="262">
        <f>Allocation!$I$7*CF!X25</f>
        <v>-10889.246008402864</v>
      </c>
      <c r="X70" s="262">
        <f>Allocation!$I$7*CF!Y25</f>
        <v>-11216.178690874416</v>
      </c>
      <c r="Y70" s="262">
        <f>Allocation!$I$7*CF!Z25</f>
        <v>-11390.023226697587</v>
      </c>
      <c r="Z70" s="262">
        <f ca="1">Allocation!$I$7*CF!AA25</f>
        <v>-11658.62827865629</v>
      </c>
    </row>
    <row r="71" spans="1:26">
      <c r="A71" s="15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spans="1:26" s="150" customFormat="1" ht="15.6">
      <c r="A72" s="485" t="s">
        <v>197</v>
      </c>
      <c r="B72" s="106"/>
      <c r="C72" s="106"/>
      <c r="D72" s="264"/>
      <c r="E72" s="264">
        <f>E67+E70</f>
        <v>0</v>
      </c>
      <c r="F72" s="264">
        <f ca="1">F67+F70+F69</f>
        <v>10164.241299474681</v>
      </c>
      <c r="G72" s="264">
        <f t="shared" ref="G72:Z72" si="12">G67+G70+G69</f>
        <v>8286.1964222358074</v>
      </c>
      <c r="H72" s="264">
        <f t="shared" si="12"/>
        <v>7514.9664764145882</v>
      </c>
      <c r="I72" s="264">
        <f t="shared" si="12"/>
        <v>6914.5578720473641</v>
      </c>
      <c r="J72" s="264">
        <f t="shared" ca="1" si="12"/>
        <v>13012.886105214777</v>
      </c>
      <c r="K72" s="264">
        <f t="shared" ca="1" si="12"/>
        <v>12262.48475166107</v>
      </c>
      <c r="L72" s="264">
        <f t="shared" ca="1" si="12"/>
        <v>11941.968521778288</v>
      </c>
      <c r="M72" s="264">
        <f t="shared" ca="1" si="12"/>
        <v>11796.767384372224</v>
      </c>
      <c r="N72" s="264">
        <f t="shared" ca="1" si="12"/>
        <v>11594.158699573822</v>
      </c>
      <c r="O72" s="264">
        <f t="shared" ca="1" si="12"/>
        <v>11692.246835316606</v>
      </c>
      <c r="P72" s="264">
        <f t="shared" ca="1" si="12"/>
        <v>13593.705436461883</v>
      </c>
      <c r="Q72" s="264">
        <f t="shared" ca="1" si="12"/>
        <v>14640.063843008133</v>
      </c>
      <c r="R72" s="264">
        <f t="shared" ca="1" si="12"/>
        <v>14571.240910974187</v>
      </c>
      <c r="S72" s="264">
        <f t="shared" ca="1" si="12"/>
        <v>14752.822963407629</v>
      </c>
      <c r="T72" s="264">
        <f t="shared" ca="1" si="12"/>
        <v>14573.824592677256</v>
      </c>
      <c r="U72" s="264">
        <f t="shared" ca="1" si="12"/>
        <v>11433.04740144947</v>
      </c>
      <c r="V72" s="264">
        <f t="shared" ca="1" si="12"/>
        <v>10595.511873704811</v>
      </c>
      <c r="W72" s="264">
        <f t="shared" si="12"/>
        <v>11425.328374392942</v>
      </c>
      <c r="X72" s="264">
        <f t="shared" si="12"/>
        <v>12984.283889748362</v>
      </c>
      <c r="Y72" s="264">
        <f t="shared" si="12"/>
        <v>14658.680116132015</v>
      </c>
      <c r="Z72" s="264">
        <f t="shared" ca="1" si="12"/>
        <v>21364.763497969438</v>
      </c>
    </row>
    <row r="73" spans="1:26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>
      <c r="A75" s="16" t="s">
        <v>293</v>
      </c>
      <c r="B75" s="151"/>
      <c r="C75" s="123">
        <f>$C$58</f>
        <v>0.5</v>
      </c>
      <c r="D75" s="155"/>
      <c r="E75" s="155">
        <f t="shared" ref="E75:Z75" si="13">$C$75*E52</f>
        <v>0</v>
      </c>
      <c r="F75" s="155">
        <f t="shared" ca="1" si="13"/>
        <v>1342.6578672249289</v>
      </c>
      <c r="G75" s="155">
        <f t="shared" si="13"/>
        <v>974.47368368021694</v>
      </c>
      <c r="H75" s="155">
        <f t="shared" si="13"/>
        <v>1036.7196984597158</v>
      </c>
      <c r="I75" s="155">
        <f t="shared" si="13"/>
        <v>2762.5304643501613</v>
      </c>
      <c r="J75" s="155">
        <f t="shared" si="13"/>
        <v>4139.2898335672762</v>
      </c>
      <c r="K75" s="155">
        <f t="shared" si="13"/>
        <v>4348.6141577018698</v>
      </c>
      <c r="L75" s="155">
        <f t="shared" si="13"/>
        <v>4566.4542666334519</v>
      </c>
      <c r="M75" s="155">
        <f t="shared" si="13"/>
        <v>4993.8267522443657</v>
      </c>
      <c r="N75" s="155">
        <f t="shared" si="13"/>
        <v>5251.7651162147758</v>
      </c>
      <c r="O75" s="155">
        <f t="shared" si="13"/>
        <v>5747.2519537544467</v>
      </c>
      <c r="P75" s="155">
        <f t="shared" si="13"/>
        <v>6027.9425454414086</v>
      </c>
      <c r="Q75" s="155">
        <f t="shared" si="13"/>
        <v>6506.2630274792064</v>
      </c>
      <c r="R75" s="155">
        <f t="shared" si="13"/>
        <v>6785.0064233913299</v>
      </c>
      <c r="S75" s="155">
        <f t="shared" si="13"/>
        <v>7075.7861182483066</v>
      </c>
      <c r="T75" s="155">
        <f t="shared" si="13"/>
        <v>7285.7062610063895</v>
      </c>
      <c r="U75" s="155">
        <f t="shared" si="13"/>
        <v>7610.2701318650834</v>
      </c>
      <c r="V75" s="155">
        <f t="shared" si="13"/>
        <v>7942.9274864595027</v>
      </c>
      <c r="W75" s="155">
        <f t="shared" si="13"/>
        <v>8269.7876745047215</v>
      </c>
      <c r="X75" s="155">
        <f t="shared" si="13"/>
        <v>8573.5672189588586</v>
      </c>
      <c r="Y75" s="155">
        <f t="shared" si="13"/>
        <v>8840.4198041376658</v>
      </c>
      <c r="Z75" s="155">
        <f t="shared" si="13"/>
        <v>9168.9610637531296</v>
      </c>
    </row>
    <row r="76" spans="1:26">
      <c r="A76" s="16" t="s">
        <v>294</v>
      </c>
      <c r="B76" s="151"/>
      <c r="C76" s="123">
        <f>$C$58</f>
        <v>0.5</v>
      </c>
      <c r="D76" s="155"/>
      <c r="E76" s="155">
        <f t="shared" ref="E76:Z76" si="14">$C$76*E72</f>
        <v>0</v>
      </c>
      <c r="F76" s="155">
        <f t="shared" ca="1" si="14"/>
        <v>5082.1206497373405</v>
      </c>
      <c r="G76" s="155">
        <f t="shared" si="14"/>
        <v>4143.0982111179037</v>
      </c>
      <c r="H76" s="155">
        <f t="shared" si="14"/>
        <v>3757.4832382072941</v>
      </c>
      <c r="I76" s="155">
        <f t="shared" si="14"/>
        <v>3457.278936023682</v>
      </c>
      <c r="J76" s="155">
        <f t="shared" ca="1" si="14"/>
        <v>6506.4430526073884</v>
      </c>
      <c r="K76" s="155">
        <f t="shared" ca="1" si="14"/>
        <v>6131.2423758305349</v>
      </c>
      <c r="L76" s="155">
        <f t="shared" ca="1" si="14"/>
        <v>5970.984260889144</v>
      </c>
      <c r="M76" s="155">
        <f t="shared" ca="1" si="14"/>
        <v>5898.3836921861121</v>
      </c>
      <c r="N76" s="155">
        <f t="shared" ca="1" si="14"/>
        <v>5797.0793497869108</v>
      </c>
      <c r="O76" s="155">
        <f t="shared" ca="1" si="14"/>
        <v>5846.123417658303</v>
      </c>
      <c r="P76" s="155">
        <f t="shared" ca="1" si="14"/>
        <v>6796.8527182309417</v>
      </c>
      <c r="Q76" s="155">
        <f t="shared" ca="1" si="14"/>
        <v>7320.0319215040663</v>
      </c>
      <c r="R76" s="155">
        <f t="shared" ca="1" si="14"/>
        <v>7285.6204554870937</v>
      </c>
      <c r="S76" s="155">
        <f t="shared" ca="1" si="14"/>
        <v>7376.4114817038144</v>
      </c>
      <c r="T76" s="155">
        <f t="shared" ca="1" si="14"/>
        <v>7286.912296338628</v>
      </c>
      <c r="U76" s="155">
        <f t="shared" ca="1" si="14"/>
        <v>5716.5237007247351</v>
      </c>
      <c r="V76" s="155">
        <f t="shared" ca="1" si="14"/>
        <v>5297.7559368524053</v>
      </c>
      <c r="W76" s="155">
        <f t="shared" si="14"/>
        <v>5712.6641871964712</v>
      </c>
      <c r="X76" s="155">
        <f t="shared" si="14"/>
        <v>6492.1419448741808</v>
      </c>
      <c r="Y76" s="155">
        <f t="shared" si="14"/>
        <v>7329.3400580660073</v>
      </c>
      <c r="Z76" s="155">
        <f t="shared" ca="1" si="14"/>
        <v>10682.381748984719</v>
      </c>
    </row>
    <row r="77" spans="1:26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>
      <c r="A260" s="185"/>
    </row>
    <row r="261" spans="1:26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1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1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1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1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1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1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1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1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1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1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1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1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1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1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1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1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1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1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1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1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1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1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1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1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1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1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1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1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1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1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1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1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1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1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1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1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8" zoomScale="75" workbookViewId="0">
      <selection activeCell="I6" sqref="I6"/>
    </sheetView>
  </sheetViews>
  <sheetFormatPr defaultColWidth="9.109375" defaultRowHeight="13.2" outlineLevelRow="2" outlineLevelCol="1"/>
  <cols>
    <col min="1" max="1" width="53.44140625" style="7" customWidth="1"/>
    <col min="2" max="4" width="8.4414062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1" spans="1:30">
      <c r="F1" s="7">
        <v>12</v>
      </c>
    </row>
    <row r="2" spans="1:30" ht="17.399999999999999">
      <c r="A2" s="126" t="s">
        <v>349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3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3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30" ht="13.8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30">
      <c r="A6" s="3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A7" s="3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3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39"/>
      <c r="AB8" s="140"/>
      <c r="AC8" s="140"/>
      <c r="AD8" s="140"/>
    </row>
    <row r="9" spans="1:30">
      <c r="A9" s="575" t="s">
        <v>166</v>
      </c>
      <c r="B9" s="12"/>
      <c r="C9" s="12"/>
      <c r="D9" s="12"/>
      <c r="E9" s="12"/>
      <c r="F9" s="12"/>
      <c r="H9" s="8"/>
      <c r="AA9" s="139"/>
      <c r="AB9" s="140"/>
      <c r="AC9" s="140"/>
      <c r="AD9" s="140"/>
    </row>
    <row r="10" spans="1:30">
      <c r="A10" s="4" t="s">
        <v>167</v>
      </c>
      <c r="D10"/>
      <c r="E10" s="253">
        <f>(Assumptions!$M$29)*Assumptions!$M$53*'Power Price Assumption'!E23</f>
        <v>0</v>
      </c>
      <c r="F10" s="253">
        <f>Assumptions!$M$29*5*'Power Price Assumption'!F23+Assumptions!$M$30*7*'Power Price Assumption'!F23</f>
        <v>21636</v>
      </c>
      <c r="G10" s="253">
        <f>Assumptions!$M$30*12*'Power Price Assumption'!G23</f>
        <v>21936</v>
      </c>
      <c r="H10" s="253">
        <f>Assumptions!$M$30*12*'Power Price Assumption'!H23</f>
        <v>21936</v>
      </c>
      <c r="I10" s="253">
        <f>Assumptions!$M$30*'Power Price Assumption'!I23*MONTH(Assumptions!$L$38)</f>
        <v>9140</v>
      </c>
      <c r="J10" s="253">
        <f>Assumptions!$M$30*12*'Power Price Assumption'!J23</f>
        <v>0</v>
      </c>
      <c r="K10" s="253">
        <f>Assumptions!$M$30*12*'Power Price Assumption'!K23</f>
        <v>0</v>
      </c>
      <c r="L10" s="253">
        <f>Assumptions!$M$30*12*'Power Price Assumption'!L23</f>
        <v>0</v>
      </c>
      <c r="M10" s="253">
        <f>Assumptions!$M$30*12*'Power Price Assumption'!M23</f>
        <v>0</v>
      </c>
      <c r="N10" s="253">
        <f>Assumptions!$M$30*12*'Power Price Assumption'!N23</f>
        <v>0</v>
      </c>
      <c r="O10" s="253">
        <f>Assumptions!$M$30*12*'Power Price Assumption'!O23</f>
        <v>0</v>
      </c>
      <c r="P10" s="253">
        <f>Assumptions!$M$30*12*'Power Price Assumption'!P23</f>
        <v>0</v>
      </c>
      <c r="Q10" s="253">
        <f>Assumptions!$M$30*12*'Power Price Assumption'!Q23</f>
        <v>0</v>
      </c>
      <c r="R10" s="253">
        <f>Assumptions!$M$30*12*'Power Price Assumption'!R23</f>
        <v>0</v>
      </c>
      <c r="S10" s="253">
        <f>Assumptions!$M$30*12*'Power Price Assumption'!S23</f>
        <v>0</v>
      </c>
      <c r="T10" s="253">
        <f>Assumptions!$M$30*12*'Power Price Assumption'!T23</f>
        <v>0</v>
      </c>
      <c r="U10" s="253">
        <f>Assumptions!$M$30*12*'Power Price Assumption'!U23</f>
        <v>0</v>
      </c>
      <c r="V10" s="253">
        <f>Assumptions!$M$30*12*'Power Price Assumption'!V23</f>
        <v>0</v>
      </c>
      <c r="W10" s="253">
        <f>Assumptions!$M$30*12*'Power Price Assumption'!W23</f>
        <v>0</v>
      </c>
      <c r="X10" s="253">
        <f>Assumptions!$M$30*12*'Power Price Assumption'!X23</f>
        <v>0</v>
      </c>
      <c r="Y10" s="253">
        <f>Assumptions!$M$30*12*'Power Price Assumption'!Y23</f>
        <v>0</v>
      </c>
      <c r="Z10" s="253">
        <f>Assumptions!$M$30*12*'Power Price Assumption'!Z23</f>
        <v>0</v>
      </c>
      <c r="AD10" s="141"/>
    </row>
    <row r="11" spans="1:30">
      <c r="A11" s="4" t="s">
        <v>168</v>
      </c>
      <c r="D11"/>
      <c r="E11" s="253">
        <f>Assumptions!M26*Assumptions!M$29*Assumptions!M$14/1000*Assumptions!M$53/12</f>
        <v>0</v>
      </c>
      <c r="F11" s="253">
        <f>Assumptions!M26*Assumptions!M$29*Assumptions!M$14/1000*5/12*(1+Assumptions!$M$39)^(5/12)+Assumptions!M26*Assumptions!M$30*Assumptions!M$14/1000*7/12*(1+Assumptions!$M$39)^(Caledonia!F5-Caledonia!E5)</f>
        <v>492.44653163176542</v>
      </c>
      <c r="G11" s="253">
        <f>Assumptions!M26*Assumptions!M$30*Assumptions!M$14/1000*(1+Assumptions!M52)^(Caledonia!G5-Caledonia!E5)</f>
        <v>517.87003021719465</v>
      </c>
      <c r="H11" s="253">
        <f>G11*(1+Assumptions!$M$39)</f>
        <v>533.40613112371045</v>
      </c>
      <c r="I11" s="253">
        <f>5/12*Assumptions!$M$26*Assumptions!$M$17/1000*(1+Assumptions!$M$39)^(I5-$E$5)</f>
        <v>228.9201312739257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D11" s="141"/>
    </row>
    <row r="12" spans="1:30">
      <c r="A12" s="4" t="s">
        <v>169</v>
      </c>
      <c r="D12"/>
      <c r="E12" s="253">
        <f>VLOOKUP(Assumptions!$M$19,'EGC Start Charge Matrix'!$A$10:$S$35,15)*Assumptions!M$53/12</f>
        <v>0</v>
      </c>
      <c r="F12" s="253">
        <f>VLOOKUP(Assumptions!$M$19,'EGC Start Charge Matrix'!$A$10:$S$35,15)*(1+Assumptions!$M$39)*$F$1/12</f>
        <v>1389.7583999999999</v>
      </c>
      <c r="G12" s="253">
        <f>F12*(1+Assumptions!$M$39)</f>
        <v>1431.4511519999999</v>
      </c>
      <c r="H12" s="253">
        <f>G12*(1+Assumptions!$M$39)</f>
        <v>1474.3946865599999</v>
      </c>
      <c r="I12" s="253">
        <f>H12*(1+Assumptions!$M$39)*5/12</f>
        <v>632.76105298200002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D12" s="141"/>
    </row>
    <row r="13" spans="1:30">
      <c r="A13" s="8"/>
      <c r="B13" s="8"/>
      <c r="C13" s="8"/>
      <c r="D1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D13" s="141"/>
    </row>
    <row r="14" spans="1:30">
      <c r="A14" s="575" t="s">
        <v>170</v>
      </c>
      <c r="B14" s="143"/>
      <c r="C14" s="143"/>
      <c r="D14"/>
      <c r="E14" s="256"/>
      <c r="F14" s="257"/>
      <c r="G14" s="257"/>
      <c r="H14" s="258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D14" s="141"/>
    </row>
    <row r="15" spans="1:30">
      <c r="A15" s="4" t="s">
        <v>295</v>
      </c>
      <c r="D15"/>
      <c r="E15" s="253">
        <v>0</v>
      </c>
      <c r="F15" s="253">
        <v>0</v>
      </c>
      <c r="G15" s="253">
        <v>0</v>
      </c>
      <c r="H15" s="253">
        <v>0</v>
      </c>
      <c r="I15" s="253">
        <f>IF(Assumptions!$M$19=120,Assumptions!$M$33*(1-Assumptions!$M$35)*'Power Price Assumption'!I25*(12-MONTH(Assumptions!$L$38)),Assumptions!$M$33*(1-Assumptions!$M$35)*'Power Price Assumption'!I25*(12-MONTH(Assumptions!$L$38))-VLOOKUP(120,'EGC Start Charge Matrix'!$U$10:$AM$35,15)*7/12*(1+Assumptions!$M$39)^(Caledonia!I5-Caledonia!$E$5)*2/3)</f>
        <v>19297.133526430756</v>
      </c>
      <c r="J15" s="253">
        <f>IF(Assumptions!$M$19=120,Assumptions!$M$33*(1-Assumptions!$M$35)*'Power Price Assumption'!J25*(12),Assumptions!$M$33*(1-Assumptions!$M$35)*'Power Price Assumption'!J25*(12)-VLOOKUP(120,'EGC Start Charge Matrix'!$U$10:$AM$35,15)*(1+Assumptions!$M$39)^(Caledonia!J5-Caledonia!$E$5)*2/3)</f>
        <v>33495.712063989544</v>
      </c>
      <c r="K15" s="253">
        <f>IF(Assumptions!$M$19=120,Assumptions!$M$33*(1-Assumptions!$M$35)*'Power Price Assumption'!K25*(12),Assumptions!$M$33*(1-Assumptions!$M$35)*'Power Price Assumption'!K25*(12)-VLOOKUP(120,'EGC Start Charge Matrix'!$U$10:$AM$35,15)*(1+Assumptions!$M$39)^(Caledonia!K5-Caledonia!$E$5)*2/3)</f>
        <v>33905.745780634934</v>
      </c>
      <c r="L15" s="253">
        <f>IF(Assumptions!$M$19=120,Assumptions!$M$33*(1-Assumptions!$M$35)*'Power Price Assumption'!L25*(12),Assumptions!$M$33*(1-Assumptions!$M$35)*'Power Price Assumption'!L25*(12)-VLOOKUP(120,'EGC Start Charge Matrix'!$U$10:$AM$35,15)*(1+Assumptions!$M$39)^(Caledonia!L5-Caledonia!$E$5)*2/3)</f>
        <v>34310.23537942145</v>
      </c>
      <c r="M15" s="253">
        <f>IF(Assumptions!$M$19=120,Assumptions!$M$33*(1-Assumptions!$M$35)*'Power Price Assumption'!M25*(12),Assumptions!$M$33*(1-Assumptions!$M$35)*'Power Price Assumption'!M25*(12)-VLOOKUP(120,'EGC Start Charge Matrix'!$U$10:$AM$35,15)*(1+Assumptions!$M$39)^(Caledonia!M5-Caledonia!$E$5)*2/3)</f>
        <v>35339.5424408041</v>
      </c>
      <c r="N15" s="253">
        <f>IF(Assumptions!$M$19=120,Assumptions!$M$33*(1-Assumptions!$M$35)*'Power Price Assumption'!N25*(12),Assumptions!$M$33*(1-Assumptions!$M$35)*'Power Price Assumption'!N25*(12)-VLOOKUP(120,'EGC Start Charge Matrix'!$U$10:$AM$35,15)*(1+Assumptions!$M$39)^(Caledonia!N5-Caledonia!$E$5)*2/3)</f>
        <v>35749.733558420572</v>
      </c>
      <c r="O15" s="253">
        <f>IF(Assumptions!$M$19=120,Assumptions!$M$33*(1-Assumptions!$M$35)*'Power Price Assumption'!O25*(12),Assumptions!$M$33*(1-Assumptions!$M$35)*'Power Price Assumption'!O25*(12)-VLOOKUP(120,'EGC Start Charge Matrix'!$U$10:$AM$35,15)*(1+Assumptions!$M$39)^(Caledonia!O5-Caledonia!$E$5)*2/3)</f>
        <v>36822.225565173198</v>
      </c>
      <c r="P15" s="253">
        <f>IF(Assumptions!$M$19=120,Assumptions!$M$33*(1-Assumptions!$M$35)*'Power Price Assumption'!P25*(12),Assumptions!$M$33*(1-Assumptions!$M$35)*'Power Price Assumption'!P25*(12)-VLOOKUP(120,'EGC Start Charge Matrix'!$U$10:$AM$35,15)*(1+Assumptions!$M$39)^(Caledonia!P5-Caledonia!$E$5)*2/3)</f>
        <v>37237.312471544239</v>
      </c>
      <c r="Q15" s="253">
        <f>IF(Assumptions!$M$19=120,Assumptions!$M$33*(1-Assumptions!$M$35)*'Power Price Assumption'!Q25*(12),Assumptions!$M$33*(1-Assumptions!$M$35)*'Power Price Assumption'!Q25*(12)-VLOOKUP(120,'EGC Start Charge Matrix'!$U$10:$AM$35,15)*(1+Assumptions!$M$39)^(Caledonia!Q5-Caledonia!$E$5)*2/3)</f>
        <v>38354.43184569056</v>
      </c>
      <c r="R15" s="253">
        <f>IF(Assumptions!$M$19=120,Assumptions!$M$33*(1-Assumptions!$M$35)*'Power Price Assumption'!R25*(12),Assumptions!$M$33*(1-Assumptions!$M$35)*'Power Price Assumption'!R25*(12)-VLOOKUP(120,'EGC Start Charge Matrix'!$U$10:$AM$35,15)*(1+Assumptions!$M$39)^(Caledonia!R5-Caledonia!$E$5)*2/3)</f>
        <v>38773.489526967554</v>
      </c>
      <c r="S15" s="253">
        <f>IF(Assumptions!$M$19=120,Assumptions!$M$33*(1-Assumptions!$M$35)*'Power Price Assumption'!S25*(12),Assumptions!$M$33*(1-Assumptions!$M$35)*'Power Price Assumption'!S25*(12)-VLOOKUP(120,'EGC Start Charge Matrix'!$U$10:$AM$35,15)*(1+Assumptions!$M$39)^(Caledonia!S5-Caledonia!$E$5)*2/3)</f>
        <v>39183.171680460044</v>
      </c>
      <c r="T15" s="253">
        <f>IF(Assumptions!$M$19=120,Assumptions!$M$33*(1-Assumptions!$M$35)*'Power Price Assumption'!T25*(12),Assumptions!$M$33*(1-Assumptions!$M$35)*'Power Price Assumption'!T25*(12)-VLOOKUP(120,'EGC Start Charge Matrix'!$U$10:$AM$35,15)*(1+Assumptions!$M$39)^(Caledonia!T5-Caledonia!$E$5)*2/3)</f>
        <v>39582.538622587803</v>
      </c>
      <c r="U15" s="253">
        <f>IF(Assumptions!$M$19=120,Assumptions!$M$33*(1-Assumptions!$M$35)*'Power Price Assumption'!U25*(12),Assumptions!$M$33*(1-Assumptions!$M$35)*'Power Price Assumption'!U25*(12)-VLOOKUP(120,'EGC Start Charge Matrix'!$U$10:$AM$35,15)*(1+Assumptions!$M$39)^(Caledonia!U5-Caledonia!$E$5)*2/3)</f>
        <v>39970.602726730809</v>
      </c>
      <c r="V15" s="253">
        <f>IF(Assumptions!$M$19=120,Assumptions!$M$33*(1-Assumptions!$M$35)*'Power Price Assumption'!V25*(12),Assumptions!$M$33*(1-Assumptions!$M$35)*'Power Price Assumption'!V25*(12)-VLOOKUP(120,'EGC Start Charge Matrix'!$U$10:$AM$35,15)*(1+Assumptions!$M$39)^(Caledonia!V5-Caledonia!$E$5)*2/3)</f>
        <v>40346.326392362083</v>
      </c>
      <c r="W15" s="253">
        <f>IF(Assumptions!$M$19=120,Assumptions!$M$33*(1-Assumptions!$M$35)*'Power Price Assumption'!W25*(12),Assumptions!$M$33*(1-Assumptions!$M$35)*'Power Price Assumption'!W25*(12)-VLOOKUP(120,'EGC Start Charge Matrix'!$U$10:$AM$35,15)*(1+Assumptions!$M$39)^(Caledonia!W5-Caledonia!$E$5)*2/3)</f>
        <v>40708.619935477182</v>
      </c>
      <c r="X15" s="253">
        <f>IF(Assumptions!$M$19=120,Assumptions!$M$33*(1-Assumptions!$M$35)*'Power Price Assumption'!X25*(12),Assumptions!$M$33*(1-Assumptions!$M$35)*'Power Price Assumption'!X25*(12)-VLOOKUP(120,'EGC Start Charge Matrix'!$U$10:$AM$35,15)*(1+Assumptions!$M$39)^(Caledonia!X5-Caledonia!$E$5)*2/3)</f>
        <v>41056.33939742604</v>
      </c>
      <c r="Y15" s="253">
        <f>IF(Assumptions!$M$19=120,Assumptions!$M$33*(1-Assumptions!$M$35)*'Power Price Assumption'!Y25*(12),Assumptions!$M$33*(1-Assumptions!$M$35)*'Power Price Assumption'!Y25*(12)-VLOOKUP(120,'EGC Start Charge Matrix'!$U$10:$AM$35,15)*(1+Assumptions!$M$39)^(Caledonia!Y5-Caledonia!$E$5)*2/3)</f>
        <v>41388.284269149903</v>
      </c>
      <c r="Z15" s="253">
        <f>IF(Assumptions!$M$19=120,Assumptions!$M$33*(1-Assumptions!$M$35)*'Power Price Assumption'!Z25*(12),Assumptions!$M$33*(1-Assumptions!$M$35)*'Power Price Assumption'!Z25*(12)-VLOOKUP(120,'EGC Start Charge Matrix'!$U$10:$AM$35,15)*(1+Assumptions!$M$39)^(Caledonia!Z5-Caledonia!$E$5)*2/3)</f>
        <v>41703.195127719533</v>
      </c>
      <c r="AD15" s="141"/>
    </row>
    <row r="16" spans="1:30">
      <c r="A16" s="4" t="s">
        <v>171</v>
      </c>
      <c r="B16" s="143"/>
      <c r="C16" s="143"/>
      <c r="D16"/>
      <c r="E16" s="253">
        <v>0</v>
      </c>
      <c r="F16" s="253">
        <v>0</v>
      </c>
      <c r="G16" s="253">
        <v>0</v>
      </c>
      <c r="H16" s="253">
        <v>0</v>
      </c>
      <c r="I16" s="253">
        <f>(7/12*Assumptions!$M$26*Assumptions!$M$34/1000)*(1+Assumptions!$M$39)^(I5-$E$5)+H12*(1+Assumptions!$M$39)*7/12*1/3</f>
        <v>641.39328869204019</v>
      </c>
      <c r="J16" s="253">
        <f>(Assumptions!$M$26*Assumptions!$M$34/1000)*(1+Assumptions!$M$39)^(J5-$E$5)+$F$12*(1+Assumptions!$M$39)^(Caledonia!J5-Caledonia!$F$5)*1/3</f>
        <v>1132.5172926048026</v>
      </c>
      <c r="K16" s="253">
        <f>(Assumptions!$M$26*Assumptions!$M$34/1000)*(1+Assumptions!$M$39)^(K5-$E$5)+$F$12*(1+Assumptions!$M$39)^(Caledonia!K5-Caledonia!$F$5)*1/3</f>
        <v>1166.4928113829465</v>
      </c>
      <c r="L16" s="253">
        <f>(Assumptions!$M$26*Assumptions!$M$34/1000)*(1+Assumptions!$M$39)^(L5-$E$5)+$F$12*(1+Assumptions!$M$39)^(Caledonia!L5-Caledonia!$F$5)*1/3</f>
        <v>1201.4875957244349</v>
      </c>
      <c r="M16" s="253">
        <f>(Assumptions!$M$26*Assumptions!$M$34/1000)*(1+Assumptions!$M$39)^(M5-$E$5)+$F$12*(1+Assumptions!$M$39)^(Caledonia!M5-Caledonia!$F$5)*1/3</f>
        <v>1237.532223596168</v>
      </c>
      <c r="N16" s="253">
        <f>(Assumptions!$M$26*Assumptions!$M$34/1000)*(1+Assumptions!$M$39)^(N5-$E$5)+$F$12*(1+Assumptions!$M$39)^(Caledonia!N5-Caledonia!$F$5)*1/3</f>
        <v>1274.6581903040528</v>
      </c>
      <c r="O16" s="253">
        <f>(Assumptions!$M$26*Assumptions!$M$34/1000)*(1+Assumptions!$M$39)^(O5-$E$5)+$F$12*(1+Assumptions!$M$39)^(Caledonia!O5-Caledonia!$F$5)*1/3</f>
        <v>1312.8979360131746</v>
      </c>
      <c r="P16" s="253">
        <f>(Assumptions!$M$26*Assumptions!$M$34/1000)*(1+Assumptions!$M$39)^(P5-$E$5)+$F$12*(1+Assumptions!$M$39)^(Caledonia!P5-Caledonia!$F$5)*1/3</f>
        <v>1352.2848740935697</v>
      </c>
      <c r="Q16" s="253">
        <f>(Assumptions!$M$26*Assumptions!$M$34/1000)*(1+Assumptions!$M$39)^(Q5-$E$5)+$F$12*(1+Assumptions!$M$39)^(Caledonia!Q5-Caledonia!$F$5)*1/3</f>
        <v>1392.8534203163767</v>
      </c>
      <c r="R16" s="253">
        <f>(Assumptions!$M$26*Assumptions!$M$34/1000)*(1+Assumptions!$M$39)^(R5-$E$5)+$F$12*(1+Assumptions!$M$39)^(Caledonia!R5-Caledonia!$F$5)*1/3</f>
        <v>1434.6390229258682</v>
      </c>
      <c r="S16" s="253">
        <f>(Assumptions!$M$26*Assumptions!$M$34/1000)*(1+Assumptions!$M$39)^(S5-$E$5)+$F$12*(1+Assumptions!$M$39)^(Caledonia!S5-Caledonia!$F$5)*1/3</f>
        <v>1477.678193613644</v>
      </c>
      <c r="T16" s="253">
        <f>(Assumptions!$M$26*Assumptions!$M$34/1000)*(1+Assumptions!$M$39)^(T5-$E$5)+$F$12*(1+Assumptions!$M$39)^(Caledonia!T5-Caledonia!$F$5)*1/3</f>
        <v>1522.0085394220537</v>
      </c>
      <c r="U16" s="253">
        <f>(Assumptions!$M$26*Assumptions!$M$34/1000)*(1+Assumptions!$M$39)^(U5-$E$5)+$F$12*(1+Assumptions!$M$39)^(Caledonia!U5-Caledonia!$F$5)*1/3</f>
        <v>1567.6687956047151</v>
      </c>
      <c r="V16" s="253">
        <f>(Assumptions!$M$26*Assumptions!$M$34/1000)*(1+Assumptions!$M$39)^(V5-$E$5)+$F$12*(1+Assumptions!$M$39)^(Caledonia!V5-Caledonia!$F$5)*1/3</f>
        <v>1614.6988594728564</v>
      </c>
      <c r="W16" s="253">
        <f>(Assumptions!$M$26*Assumptions!$M$34/1000)*(1+Assumptions!$M$39)^(W5-$E$5)+$F$12*(1+Assumptions!$M$39)^(Caledonia!W5-Caledonia!$F$5)*1/3</f>
        <v>1663.139825257042</v>
      </c>
      <c r="X16" s="253">
        <f>(Assumptions!$M$26*Assumptions!$M$34/1000)*(1+Assumptions!$M$39)^(X5-$E$5)+$F$12*(1+Assumptions!$M$39)^(Caledonia!X5-Caledonia!$F$5)*1/3</f>
        <v>1713.0340200147534</v>
      </c>
      <c r="Y16" s="253">
        <f>(Assumptions!$M$26*Assumptions!$M$34/1000)*(1+Assumptions!$M$39)^(Y5-$E$5)+$F$12*(1+Assumptions!$M$39)^(Caledonia!Y5-Caledonia!$F$5)*1/3</f>
        <v>1764.4250406151959</v>
      </c>
      <c r="Z16" s="253">
        <f>(Assumptions!$M$26*Assumptions!$M$34/1000)*(1+Assumptions!$M$39)^(Z5-$E$5)+$F$12*(1+Assumptions!$M$39)^(Caledonia!Z5-Caledonia!$F$5)*1/3</f>
        <v>1817.3577918336516</v>
      </c>
      <c r="AD16" s="141"/>
    </row>
    <row r="17" spans="1:60">
      <c r="A17" s="4" t="s">
        <v>172</v>
      </c>
      <c r="D17"/>
      <c r="E17" s="253">
        <v>0</v>
      </c>
      <c r="F17" s="253">
        <v>0</v>
      </c>
      <c r="G17" s="253">
        <v>0</v>
      </c>
      <c r="H17" s="253">
        <v>0</v>
      </c>
      <c r="I17" s="253">
        <f>Assumptions!$M$33*Assumptions!$M$35*Assumptions!$M$36*Assumptions!$M$14/1000*7/12</f>
        <v>6.9093920000000004</v>
      </c>
      <c r="J17" s="253">
        <f>Assumptions!$M$33*Assumptions!$M$35*Assumptions!$M$36*Assumptions!$M$14/1000</f>
        <v>11.844672000000001</v>
      </c>
      <c r="K17" s="253">
        <f>Assumptions!$M$33*Assumptions!$M$35*Assumptions!$M$36*Assumptions!$M$14/1000</f>
        <v>11.844672000000001</v>
      </c>
      <c r="L17" s="253">
        <f>Assumptions!$M$33*Assumptions!$M$35*Assumptions!$M$36*Assumptions!$M$14/1000</f>
        <v>11.844672000000001</v>
      </c>
      <c r="M17" s="253">
        <f>Assumptions!$M$33*Assumptions!$M$35*Assumptions!$M$36*Assumptions!$M$14/1000</f>
        <v>11.844672000000001</v>
      </c>
      <c r="N17" s="253">
        <f>Assumptions!$M$33*Assumptions!$M$35*Assumptions!$M$36*Assumptions!$M$14/1000</f>
        <v>11.844672000000001</v>
      </c>
      <c r="O17" s="253">
        <f>Assumptions!$M$33*Assumptions!$M$35*Assumptions!$M$36*Assumptions!$M$14/1000</f>
        <v>11.844672000000001</v>
      </c>
      <c r="P17" s="253">
        <f>Assumptions!$M$33*Assumptions!$M$35*Assumptions!$M$36*Assumptions!$M$14/1000</f>
        <v>11.844672000000001</v>
      </c>
      <c r="Q17" s="253">
        <f>Assumptions!$M$33*Assumptions!$M$35*Assumptions!$M$36*Assumptions!$M$14/1000</f>
        <v>11.844672000000001</v>
      </c>
      <c r="R17" s="253">
        <f>Assumptions!$M$33*Assumptions!$M$35*Assumptions!$M$36*Assumptions!$M$14/1000</f>
        <v>11.844672000000001</v>
      </c>
      <c r="S17" s="253">
        <f>Assumptions!$M$33*Assumptions!$M$35*Assumptions!$M$36*Assumptions!$M$14/1000</f>
        <v>11.844672000000001</v>
      </c>
      <c r="T17" s="253">
        <f>Assumptions!$M$33*Assumptions!$M$35*Assumptions!$M$36*Assumptions!$M$14/1000</f>
        <v>11.844672000000001</v>
      </c>
      <c r="U17" s="253">
        <f>Assumptions!$M$33*Assumptions!$M$35*Assumptions!$M$36*Assumptions!$M$14/1000</f>
        <v>11.844672000000001</v>
      </c>
      <c r="V17" s="253">
        <f>Assumptions!$M$33*Assumptions!$M$35*Assumptions!$M$36*Assumptions!$M$14/1000</f>
        <v>11.844672000000001</v>
      </c>
      <c r="W17" s="253">
        <f>Assumptions!$M$33*Assumptions!$M$35*Assumptions!$M$36*Assumptions!$M$14/1000</f>
        <v>11.844672000000001</v>
      </c>
      <c r="X17" s="253">
        <f>Assumptions!$M$33*Assumptions!$M$35*Assumptions!$M$36*Assumptions!$M$14/1000</f>
        <v>11.844672000000001</v>
      </c>
      <c r="Y17" s="253">
        <f>Assumptions!$M$33*Assumptions!$M$35*Assumptions!$M$36*Assumptions!$M$14/1000</f>
        <v>11.844672000000001</v>
      </c>
      <c r="Z17" s="253">
        <f>Assumptions!$M$33*Assumptions!$M$35*Assumptions!$M$36*Assumptions!$M$14/1000</f>
        <v>11.844672000000001</v>
      </c>
      <c r="AD17" s="141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D19"/>
      <c r="E19" s="254">
        <f>(SUM(E10:E17)-SUM(E25:E35))*Assumptions!$B$34/4*$F$1/12</f>
        <v>0</v>
      </c>
      <c r="F19" s="254">
        <f ca="1">(SUM(F10:F17)-SUM(F25:F35))*Assumptions!$B$34/4*$F$1/12</f>
        <v>233.85286425662011</v>
      </c>
      <c r="G19" s="254">
        <f>(SUM(G10:G17)-SUM(G25:G35))*Assumptions!$B$34/4</f>
        <v>239.32419936030666</v>
      </c>
      <c r="H19" s="254">
        <f>(SUM(H10:H17)-SUM(H25:H35))*Assumptions!$B$34/4</f>
        <v>238.7455329902472</v>
      </c>
      <c r="I19" s="254">
        <f>(SUM(I10:I17)-SUM(I25:I35))*Assumptions!$B$34/4</f>
        <v>309.09087862544703</v>
      </c>
      <c r="J19" s="254">
        <f>(SUM(J10:J17)-SUM(J25:J35))*Assumptions!$B$34/4</f>
        <v>364.61616200308868</v>
      </c>
      <c r="K19" s="254">
        <f>(SUM(K10:K17)-SUM(K25:K35))*Assumptions!$B$34/4</f>
        <v>368.54543593474671</v>
      </c>
      <c r="L19" s="254">
        <f>(SUM(L10:L17)-SUM(L25:L35))*Assumptions!$B$34/4</f>
        <v>372.43365075536622</v>
      </c>
      <c r="M19" s="254">
        <f>(SUM(M10:M17)-SUM(M25:M35))*Assumptions!$B$34/4</f>
        <v>384.09090690466087</v>
      </c>
      <c r="N19" s="254">
        <f>(SUM(N10:N17)-SUM(N25:N35))*Assumptions!$B$34/4</f>
        <v>387.96680149448861</v>
      </c>
      <c r="O19" s="254">
        <f>(SUM(O10:O17)-SUM(O25:O35))*Assumptions!$B$34/4</f>
        <v>400.14599255547995</v>
      </c>
      <c r="P19" s="254">
        <f>(SUM(P10:P17)-SUM(P25:P35))*Assumptions!$B$34/4</f>
        <v>394.70666139742292</v>
      </c>
      <c r="Q19" s="254">
        <f>(SUM(Q10:Q17)-SUM(Q25:Q35))*Assumptions!$B$34/4</f>
        <v>408.24259823313253</v>
      </c>
      <c r="R19" s="254">
        <f>(SUM(R10:R17)-SUM(R25:R35))*Assumptions!$B$34/4</f>
        <v>413.07747084218829</v>
      </c>
      <c r="S19" s="254">
        <f>(SUM(S10:S17)-SUM(S25:S35))*Assumptions!$B$34/4</f>
        <v>417.80039086374529</v>
      </c>
      <c r="T19" s="254">
        <f>(SUM(T10:T17)-SUM(T25:T35))*Assumptions!$B$34/4</f>
        <v>422.3441997327775</v>
      </c>
      <c r="U19" s="254">
        <f>(SUM(U10:U17)-SUM(U25:U35))*Assumptions!$B$34/4</f>
        <v>427.07143371901316</v>
      </c>
      <c r="V19" s="254">
        <f>(SUM(V10:V17)-SUM(V25:V35))*Assumptions!$B$34/4</f>
        <v>431.93091978033465</v>
      </c>
      <c r="W19" s="254">
        <f>(SUM(W10:W17)-SUM(W25:W35))*Assumptions!$B$34/4</f>
        <v>436.65276123552422</v>
      </c>
      <c r="X19" s="254">
        <f>(SUM(X10:X17)-SUM(X25:X35))*Assumptions!$B$34/4</f>
        <v>440.08073215162995</v>
      </c>
      <c r="Y19" s="254">
        <f>(SUM(Y10:Y17)-SUM(Y25:Y35))*Assumptions!$B$34/4</f>
        <v>442.62778724527635</v>
      </c>
      <c r="Z19" s="254">
        <f>(SUM(Z10:Z17)-SUM(Z25:Z35))*Assumptions!$B$34/4</f>
        <v>448.58124430467473</v>
      </c>
    </row>
    <row r="20" spans="1:60">
      <c r="A20" s="4" t="s">
        <v>174</v>
      </c>
      <c r="D20"/>
      <c r="E20" s="253">
        <f>SUM(E10:E19)</f>
        <v>0</v>
      </c>
      <c r="F20" s="253">
        <f t="shared" ref="F20:Z20" ca="1" si="1">SUM(F10:F19)</f>
        <v>23752.057795888384</v>
      </c>
      <c r="G20" s="253">
        <f t="shared" si="1"/>
        <v>24124.645381577502</v>
      </c>
      <c r="H20" s="253">
        <f t="shared" si="1"/>
        <v>24182.546350673958</v>
      </c>
      <c r="I20" s="253">
        <f t="shared" si="1"/>
        <v>30256.208270004172</v>
      </c>
      <c r="J20" s="253">
        <f t="shared" si="1"/>
        <v>35004.690190597437</v>
      </c>
      <c r="K20" s="253">
        <f t="shared" si="1"/>
        <v>35452.628699952627</v>
      </c>
      <c r="L20" s="253">
        <f t="shared" si="1"/>
        <v>35896.001297901254</v>
      </c>
      <c r="M20" s="253">
        <f t="shared" si="1"/>
        <v>36973.010243304925</v>
      </c>
      <c r="N20" s="253">
        <f t="shared" si="1"/>
        <v>37424.203222219112</v>
      </c>
      <c r="O20" s="253">
        <f t="shared" si="1"/>
        <v>38547.114165741856</v>
      </c>
      <c r="P20" s="253">
        <f t="shared" si="1"/>
        <v>38996.148679035236</v>
      </c>
      <c r="Q20" s="253">
        <f t="shared" si="1"/>
        <v>40167.372536240073</v>
      </c>
      <c r="R20" s="253">
        <f t="shared" si="1"/>
        <v>40633.050692735611</v>
      </c>
      <c r="S20" s="253">
        <f t="shared" si="1"/>
        <v>41090.494936937437</v>
      </c>
      <c r="T20" s="253">
        <f t="shared" si="1"/>
        <v>41538.736033742629</v>
      </c>
      <c r="U20" s="253">
        <f t="shared" si="1"/>
        <v>41977.18762805454</v>
      </c>
      <c r="V20" s="253">
        <f t="shared" si="1"/>
        <v>42404.800843615274</v>
      </c>
      <c r="W20" s="253">
        <f t="shared" si="1"/>
        <v>42820.257193969752</v>
      </c>
      <c r="X20" s="253">
        <f t="shared" si="1"/>
        <v>43221.298821592427</v>
      </c>
      <c r="Y20" s="253">
        <f t="shared" si="1"/>
        <v>43607.181769010378</v>
      </c>
      <c r="Z20" s="253">
        <f t="shared" si="1"/>
        <v>43980.978835857859</v>
      </c>
    </row>
    <row r="21" spans="1:60" s="146" customFormat="1" outlineLevel="1">
      <c r="A21" s="5"/>
      <c r="B21" s="143"/>
      <c r="C21" s="14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Assumptions!$M56*Assumptions!M53/12</f>
        <v>0</v>
      </c>
      <c r="F25" s="253">
        <f>Assumptions!$M56*(1+Assumptions!$M$52)*$F$1/12</f>
        <v>722.49350000000004</v>
      </c>
      <c r="G25" s="253">
        <f>F25*(1+Assumptions!$M$52)</f>
        <v>744.16830500000003</v>
      </c>
      <c r="H25" s="253">
        <f>G25*(1+Assumptions!$M$52)</f>
        <v>766.49335415000007</v>
      </c>
      <c r="I25" s="253">
        <f>H25*(1+Assumptions!$M$52)</f>
        <v>789.48815477450012</v>
      </c>
      <c r="J25" s="253">
        <f>I25*(1+Assumptions!$M$52)</f>
        <v>813.17279941773518</v>
      </c>
      <c r="K25" s="253">
        <f>J25*(1+Assumptions!$M$52)</f>
        <v>837.56798340026728</v>
      </c>
      <c r="L25" s="253">
        <f>K25*(1+Assumptions!$M$52)</f>
        <v>862.69502290227535</v>
      </c>
      <c r="M25" s="253">
        <f>L25*(1+Assumptions!$M$52)</f>
        <v>888.57587358934359</v>
      </c>
      <c r="N25" s="253">
        <f>M25*(1+Assumptions!$M$52)</f>
        <v>915.23314979702388</v>
      </c>
      <c r="O25" s="253">
        <f>N25*(1+Assumptions!$M$52)</f>
        <v>942.69014429093465</v>
      </c>
      <c r="P25" s="253">
        <f>O25*(1+Assumptions!$M$52)</f>
        <v>970.97084861966277</v>
      </c>
      <c r="Q25" s="253">
        <f>P25*(1+Assumptions!$M$52)</f>
        <v>1000.0999740782527</v>
      </c>
      <c r="R25" s="253">
        <f>Q25*(1+Assumptions!$M$52)</f>
        <v>1030.1029733006003</v>
      </c>
      <c r="S25" s="253">
        <f>R25*(1+Assumptions!$M$52)</f>
        <v>1061.0060624996183</v>
      </c>
      <c r="T25" s="253">
        <f>S25*(1+Assumptions!$M$52)</f>
        <v>1092.8362443746068</v>
      </c>
      <c r="U25" s="253">
        <f>T25*(1+Assumptions!$M$52)</f>
        <v>1125.621331705845</v>
      </c>
      <c r="V25" s="253">
        <f>U25*(1+Assumptions!$M$52)</f>
        <v>1159.3899716570204</v>
      </c>
      <c r="W25" s="253">
        <f>V25*(1+Assumptions!$M$52)</f>
        <v>1194.1716708067311</v>
      </c>
      <c r="X25" s="253">
        <f>W25*(1+Assumptions!$M$52)</f>
        <v>1229.9968209309329</v>
      </c>
      <c r="Y25" s="253">
        <f>X25*(1+Assumptions!$M$52)</f>
        <v>1266.8967255588609</v>
      </c>
      <c r="Z25" s="253">
        <f>Y25*(1+Assumptions!$M$52)</f>
        <v>1304.9036273256268</v>
      </c>
    </row>
    <row r="26" spans="1:60">
      <c r="A26" s="4" t="s">
        <v>177</v>
      </c>
      <c r="D26"/>
      <c r="E26" s="253">
        <f>Assumptions!$M58*Assumptions!M$53/12</f>
        <v>0</v>
      </c>
      <c r="F26" s="253">
        <f>Assumptions!$M58*(1+Assumptions!$M$52)^(5/12)*5/12+Assumptions!$M$59*(1+Assumptions!$M$52)*7/12</f>
        <v>492.44653163176542</v>
      </c>
      <c r="G26" s="253">
        <f>Assumptions!$M$59*(1+Assumptions!$M$52)^(G5-$E$5)</f>
        <v>517.87003021719465</v>
      </c>
      <c r="H26" s="253">
        <f>G26*(1+Assumptions!$M$52)</f>
        <v>533.40613112371045</v>
      </c>
      <c r="I26" s="253">
        <f>5/12*Assumptions!M59*((1+Assumptions!$M$52)^(Brownsville!I5-Brownsville!$E$5))+7/12*Assumptions!$M$60*((1+Assumptions!$M$52)^(I5-$E$5))</f>
        <v>575.02492857436607</v>
      </c>
      <c r="J26" s="253">
        <f>Assumptions!$M$60*(1+Assumptions!$M$52)^(J5-$E$5)</f>
        <v>611.12218494763454</v>
      </c>
      <c r="K26" s="253">
        <f>J26*(1+Assumptions!$M$52)</f>
        <v>629.45585049606359</v>
      </c>
      <c r="L26" s="253">
        <f>K26*(1+Assumptions!$M$52)</f>
        <v>648.33952601094552</v>
      </c>
      <c r="M26" s="253">
        <f>L26*(1+Assumptions!$M$52)</f>
        <v>667.78971179127393</v>
      </c>
      <c r="N26" s="253">
        <f>M26*(1+Assumptions!$M$52)</f>
        <v>687.82340314501221</v>
      </c>
      <c r="O26" s="253">
        <f>N26*(1+Assumptions!$M$52)</f>
        <v>708.45810523936257</v>
      </c>
      <c r="P26" s="253">
        <f>O26*(1+Assumptions!$M$52)</f>
        <v>729.71184839654347</v>
      </c>
      <c r="Q26" s="253">
        <f>P26*(1+Assumptions!$M$52)</f>
        <v>751.60320384843976</v>
      </c>
      <c r="R26" s="253">
        <f>Q26*(1+Assumptions!$M$52)</f>
        <v>774.15129996389294</v>
      </c>
      <c r="S26" s="253">
        <f>R26*(1+Assumptions!$M$52)</f>
        <v>797.37583896280978</v>
      </c>
      <c r="T26" s="253">
        <f>S26*(1+Assumptions!$M$52)</f>
        <v>821.29711413169412</v>
      </c>
      <c r="U26" s="253">
        <f>T26*(1+Assumptions!$M$52)</f>
        <v>845.93602755564496</v>
      </c>
      <c r="V26" s="253">
        <f>U26*(1+Assumptions!$M$52)</f>
        <v>871.31410838231432</v>
      </c>
      <c r="W26" s="253">
        <f>V26*(1+Assumptions!$M$52)</f>
        <v>897.45353163378377</v>
      </c>
      <c r="X26" s="253">
        <f>W26*(1+Assumptions!$M$52)</f>
        <v>924.37713758279733</v>
      </c>
      <c r="Y26" s="253">
        <f>X26*(1+Assumptions!$M$52)</f>
        <v>952.10845171028132</v>
      </c>
      <c r="Z26" s="253">
        <f>Y26*(1+Assumptions!$M$52)</f>
        <v>980.67170526158975</v>
      </c>
    </row>
    <row r="27" spans="1:60">
      <c r="A27" s="4" t="s">
        <v>131</v>
      </c>
      <c r="D27"/>
      <c r="E27" s="253">
        <f>VLOOKUP(Assumptions!M19,'EGC Start Charge Matrix'!$U$10:$AM$35,15)*Assumptions!M$53/12</f>
        <v>0</v>
      </c>
      <c r="F27" s="253">
        <f>VLOOKUP(Assumptions!M19,'EGC Start Charge Matrix'!$U$10:$AM$35,15)*(1+Assumptions!$M$52)*$F$1/12</f>
        <v>1389.7583999999999</v>
      </c>
      <c r="G27" s="253">
        <f>F27*(1+Assumptions!$M$52)</f>
        <v>1431.4511519999999</v>
      </c>
      <c r="H27" s="253">
        <f>G27*(1+Assumptions!$M$52)</f>
        <v>1474.3946865599999</v>
      </c>
      <c r="I27" s="253">
        <f>H27*(1+Assumptions!$M$52)</f>
        <v>1518.6265271568</v>
      </c>
      <c r="J27" s="253">
        <f>I27*(1+Assumptions!$M$52)</f>
        <v>1564.1853229715041</v>
      </c>
      <c r="K27" s="253">
        <f>J27*(1+Assumptions!$M$52)</f>
        <v>1611.1108826606492</v>
      </c>
      <c r="L27" s="253">
        <f>K27*(1+Assumptions!$M$52)</f>
        <v>1659.4442091404687</v>
      </c>
      <c r="M27" s="253">
        <f>L27*(1+Assumptions!$M$52)</f>
        <v>1709.2275354146827</v>
      </c>
      <c r="N27" s="253">
        <f>M27*(1+Assumptions!$M$52)</f>
        <v>1760.5043614771232</v>
      </c>
      <c r="O27" s="253">
        <f>N27*(1+Assumptions!$M$52)</f>
        <v>1813.3194923214369</v>
      </c>
      <c r="P27" s="253">
        <f>O27*(1+Assumptions!$M$52)</f>
        <v>1867.71907709108</v>
      </c>
      <c r="Q27" s="253">
        <f>P27*(1+Assumptions!$M$52)</f>
        <v>1923.7506494038123</v>
      </c>
      <c r="R27" s="253">
        <f>Q27*(1+Assumptions!$M$52)</f>
        <v>1981.4631688859267</v>
      </c>
      <c r="S27" s="253">
        <f>R27*(1+Assumptions!$M$52)</f>
        <v>2040.9070639525046</v>
      </c>
      <c r="T27" s="253">
        <f>S27*(1+Assumptions!$M$52)</f>
        <v>2102.1342758710798</v>
      </c>
      <c r="U27" s="253">
        <f>T27*(1+Assumptions!$M$52)</f>
        <v>2165.1983041472122</v>
      </c>
      <c r="V27" s="253">
        <f>U27*(1+Assumptions!$M$52)</f>
        <v>2230.1542532716285</v>
      </c>
      <c r="W27" s="253">
        <f>V27*(1+Assumptions!$M$52)</f>
        <v>2297.0588808697776</v>
      </c>
      <c r="X27" s="253">
        <f>W27*(1+Assumptions!$M$52)</f>
        <v>2365.970647295871</v>
      </c>
      <c r="Y27" s="253">
        <f>X27*(1+Assumptions!$M$52)</f>
        <v>2436.9497667147471</v>
      </c>
      <c r="Z27" s="253">
        <f>Y27*(1+Assumptions!$M$52)</f>
        <v>2510.0582597161897</v>
      </c>
    </row>
    <row r="28" spans="1:60">
      <c r="A28" s="4" t="s">
        <v>133</v>
      </c>
      <c r="D28"/>
      <c r="E28" s="253">
        <f>Assumptions!$M62*Assumptions!M53/12</f>
        <v>0</v>
      </c>
      <c r="F28" s="253">
        <f>Assumptions!$M62*(1+Assumptions!$M$52)*$F$1/12</f>
        <v>263.43279999999999</v>
      </c>
      <c r="G28" s="253">
        <f>F28*(1+Assumptions!$M$52)</f>
        <v>271.33578399999999</v>
      </c>
      <c r="H28" s="253">
        <f>G28*(1+Assumptions!$M$52)</f>
        <v>279.47585751999998</v>
      </c>
      <c r="I28" s="253">
        <f>H28*(1+Assumptions!$M$52)</f>
        <v>287.86013324559997</v>
      </c>
      <c r="J28" s="253">
        <f>I28*(1+Assumptions!$M$52)</f>
        <v>296.49593724296795</v>
      </c>
      <c r="K28" s="253">
        <f>J28*(1+Assumptions!$M$52)</f>
        <v>305.39081536025702</v>
      </c>
      <c r="L28" s="253">
        <f>K28*(1+Assumptions!$M$52)</f>
        <v>314.55253982106473</v>
      </c>
      <c r="M28" s="253">
        <f>L28*(1+Assumptions!$M$52)</f>
        <v>323.98911601569665</v>
      </c>
      <c r="N28" s="253">
        <f>M28*(1+Assumptions!$M$52)</f>
        <v>333.70878949616758</v>
      </c>
      <c r="O28" s="253">
        <f>N28*(1+Assumptions!$M$52)</f>
        <v>343.72005318105261</v>
      </c>
      <c r="P28" s="253">
        <f>O28*(1+Assumptions!$M$52)</f>
        <v>354.03165477648417</v>
      </c>
      <c r="Q28" s="253">
        <f>P28*(1+Assumptions!$M$52)</f>
        <v>364.6526044197787</v>
      </c>
      <c r="R28" s="253">
        <f>Q28*(1+Assumptions!$M$52)</f>
        <v>375.59218255237209</v>
      </c>
      <c r="S28" s="253">
        <f>R28*(1+Assumptions!$M$52)</f>
        <v>386.85994802894328</v>
      </c>
      <c r="T28" s="253">
        <f>S28*(1+Assumptions!$M$52)</f>
        <v>398.46574646981156</v>
      </c>
      <c r="U28" s="253">
        <f>T28*(1+Assumptions!$M$52)</f>
        <v>410.41971886390593</v>
      </c>
      <c r="V28" s="253">
        <f>U28*(1+Assumptions!$M$52)</f>
        <v>422.73231042982314</v>
      </c>
      <c r="W28" s="253">
        <f>V28*(1+Assumptions!$M$52)</f>
        <v>435.41427974271784</v>
      </c>
      <c r="X28" s="253">
        <f>W28*(1+Assumptions!$M$52)</f>
        <v>448.4767081349994</v>
      </c>
      <c r="Y28" s="253">
        <f>X28*(1+Assumptions!$M$52)</f>
        <v>461.93100937904939</v>
      </c>
      <c r="Z28" s="253">
        <f>Y28*(1+Assumptions!$M$52)</f>
        <v>475.78893966042085</v>
      </c>
    </row>
    <row r="29" spans="1:60">
      <c r="A29" s="4" t="s">
        <v>134</v>
      </c>
      <c r="D29"/>
      <c r="E29" s="253">
        <f>Assumptions!$M63*Assumptions!M53/12</f>
        <v>0</v>
      </c>
      <c r="F29" s="253">
        <f>(Assumptions!$M63)*(1+Assumptions!$M$52)*$F$1/12</f>
        <v>456.516909</v>
      </c>
      <c r="G29" s="253">
        <f>F29*(1+Assumptions!$M$52)</f>
        <v>470.21241627000001</v>
      </c>
      <c r="H29" s="253">
        <f>G29*(1+Assumptions!$M$52)</f>
        <v>484.31878875810003</v>
      </c>
      <c r="I29" s="253">
        <f>H29*(1+Assumptions!$M$52)</f>
        <v>498.84835242084301</v>
      </c>
      <c r="J29" s="253">
        <f>I29*(1+Assumptions!$M$52)</f>
        <v>513.81380299346836</v>
      </c>
      <c r="K29" s="253">
        <f>J29*(1+Assumptions!$M$52)</f>
        <v>529.2282170832724</v>
      </c>
      <c r="L29" s="253">
        <f>K29*(1+Assumptions!$M$52)</f>
        <v>545.10506359577062</v>
      </c>
      <c r="M29" s="253">
        <f>L29*(1+Assumptions!$M$52)</f>
        <v>561.45821550364371</v>
      </c>
      <c r="N29" s="253">
        <f>M29*(1+Assumptions!$M$52)</f>
        <v>578.30196196875306</v>
      </c>
      <c r="O29" s="253">
        <f>N29*(1+Assumptions!$M$52)</f>
        <v>595.65102082781561</v>
      </c>
      <c r="P29" s="253">
        <f>O29*(1+Assumptions!$M$52)</f>
        <v>613.52055145265012</v>
      </c>
      <c r="Q29" s="253">
        <f>P29*(1+Assumptions!$M$52)</f>
        <v>631.92616799622965</v>
      </c>
      <c r="R29" s="253">
        <f>Q29*(1+Assumptions!$M$52)</f>
        <v>650.88395303611651</v>
      </c>
      <c r="S29" s="253">
        <f>R29*(1+Assumptions!$M$52)</f>
        <v>670.41047162719997</v>
      </c>
      <c r="T29" s="253">
        <f>S29*(1+Assumptions!$M$52)</f>
        <v>690.52278577601601</v>
      </c>
      <c r="U29" s="253">
        <f>T29*(1+Assumptions!$M$52)</f>
        <v>711.23846934929645</v>
      </c>
      <c r="V29" s="253">
        <f>U29*(1+Assumptions!$M$52)</f>
        <v>732.57562342977542</v>
      </c>
      <c r="W29" s="253">
        <f>V29*(1+Assumptions!$M$52)</f>
        <v>754.55289213266872</v>
      </c>
      <c r="X29" s="253">
        <f>W29*(1+Assumptions!$M$52)</f>
        <v>777.18947889664878</v>
      </c>
      <c r="Y29" s="253">
        <f>X29*(1+Assumptions!$M$52)</f>
        <v>800.5051632635483</v>
      </c>
      <c r="Z29" s="253">
        <f>Y29*(1+Assumptions!$M$52)</f>
        <v>824.52031816145472</v>
      </c>
    </row>
    <row r="30" spans="1:60">
      <c r="A30" s="4" t="s">
        <v>287</v>
      </c>
      <c r="D30"/>
      <c r="E30" s="253">
        <f>+Assumptions!M64*Assumptions!M53/12</f>
        <v>0</v>
      </c>
      <c r="F30" s="253">
        <f>+Assumptions!M64*(1+Assumptions!$M$52)*$F$1/12</f>
        <v>45.435390899999994</v>
      </c>
      <c r="G30" s="253">
        <f>F30*(1+Assumptions!$M$52)</f>
        <v>46.798452626999996</v>
      </c>
      <c r="H30" s="253">
        <f>G30*(1+Assumptions!$M$52)</f>
        <v>48.20240620581</v>
      </c>
      <c r="I30" s="253">
        <f>H30*(1+Assumptions!$M$52)</f>
        <v>49.648478391984298</v>
      </c>
      <c r="J30" s="253">
        <f>I30*(1+Assumptions!$M$52)</f>
        <v>51.137932743743832</v>
      </c>
      <c r="K30" s="253">
        <f>J30*(1+Assumptions!$M$52)</f>
        <v>52.672070726056148</v>
      </c>
      <c r="L30" s="253">
        <f>K30*(1+Assumptions!$M$52)</f>
        <v>54.252232847837831</v>
      </c>
      <c r="M30" s="253">
        <f>L30*(1+Assumptions!$M$52)</f>
        <v>55.879799833272969</v>
      </c>
      <c r="N30" s="253">
        <f>M30*(1+Assumptions!$M$52)</f>
        <v>57.556193828271162</v>
      </c>
      <c r="O30" s="253">
        <f>N30*(1+Assumptions!$M$52)</f>
        <v>59.282879643119301</v>
      </c>
      <c r="P30" s="253">
        <f>O30*(1+Assumptions!$M$52)</f>
        <v>61.061366032412884</v>
      </c>
      <c r="Q30" s="253">
        <f>P30*(1+Assumptions!$M$52)</f>
        <v>62.893207013385272</v>
      </c>
      <c r="R30" s="253">
        <f>Q30*(1+Assumptions!$M$52)</f>
        <v>64.780003223786835</v>
      </c>
      <c r="S30" s="253">
        <f>R30*(1+Assumptions!$M$52)</f>
        <v>66.723403320500438</v>
      </c>
      <c r="T30" s="253">
        <f>S30*(1+Assumptions!$M$52)</f>
        <v>68.725105420115455</v>
      </c>
      <c r="U30" s="253">
        <f>T30*(1+Assumptions!$M$52)</f>
        <v>70.786858582718921</v>
      </c>
      <c r="V30" s="253">
        <f>U30*(1+Assumptions!$M$52)</f>
        <v>72.910464340200491</v>
      </c>
      <c r="W30" s="253">
        <f>V30*(1+Assumptions!$M$52)</f>
        <v>75.097778270406508</v>
      </c>
      <c r="X30" s="253">
        <f>W30*(1+Assumptions!$M$52)</f>
        <v>77.350711618518702</v>
      </c>
      <c r="Y30" s="253">
        <f>X30*(1+Assumptions!$M$52)</f>
        <v>79.671232967074261</v>
      </c>
      <c r="Z30" s="253">
        <f>Y30*(1+Assumptions!$M$52)</f>
        <v>82.061369956086494</v>
      </c>
    </row>
    <row r="31" spans="1:60">
      <c r="A31" s="4" t="s">
        <v>288</v>
      </c>
      <c r="D31"/>
      <c r="E31" s="253">
        <v>0</v>
      </c>
      <c r="F31" s="253">
        <v>540.30229880615991</v>
      </c>
      <c r="G31" s="253">
        <v>529.38710085048001</v>
      </c>
      <c r="H31" s="187">
        <v>518.4719028948</v>
      </c>
      <c r="I31" s="253">
        <v>507.55670493911998</v>
      </c>
      <c r="J31" s="253">
        <v>496.64150698343997</v>
      </c>
      <c r="K31" s="253">
        <v>485.72630902775995</v>
      </c>
      <c r="L31" s="253">
        <v>469.35351209423999</v>
      </c>
      <c r="M31" s="253">
        <v>452.98071516071991</v>
      </c>
      <c r="N31" s="253">
        <v>436.6079182272</v>
      </c>
      <c r="O31" s="253">
        <v>414.77752231583997</v>
      </c>
      <c r="P31" s="253">
        <v>1178.8413792134397</v>
      </c>
      <c r="Q31" s="253">
        <v>1096.9773945458401</v>
      </c>
      <c r="R31" s="253">
        <v>998.74061294471994</v>
      </c>
      <c r="S31" s="253">
        <v>900.50383134360004</v>
      </c>
      <c r="T31" s="253">
        <v>802.26704974247991</v>
      </c>
      <c r="U31" s="253">
        <v>671.28467427431997</v>
      </c>
      <c r="V31" s="253">
        <v>523.92950187264</v>
      </c>
      <c r="W31" s="253">
        <v>376.57432947095998</v>
      </c>
      <c r="X31" s="253">
        <v>327.45593867039997</v>
      </c>
      <c r="Y31" s="253">
        <v>327.45593867039997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Allocation!$I$8*IS!E31*7/12+Allocation!$K$8*IS!E31*5/12</f>
        <v>536.06054899952744</v>
      </c>
      <c r="G32" s="253">
        <f>Allocation!$I$8*IS!F31</f>
        <v>353.72669831033943</v>
      </c>
      <c r="H32" s="253">
        <f>Allocation!$I$8*IS!G31</f>
        <v>353.72669831033943</v>
      </c>
      <c r="I32" s="253">
        <f>Allocation!$I$8*IS!H31</f>
        <v>353.72669831033943</v>
      </c>
      <c r="J32" s="253">
        <f>Allocation!$I$8*IS!I31</f>
        <v>288.05559981146433</v>
      </c>
      <c r="K32" s="253">
        <f>Allocation!$I$8*IS!J31</f>
        <v>288.05559981146433</v>
      </c>
      <c r="L32" s="253">
        <f>Allocation!$I$8*IS!K31</f>
        <v>288.05559981146433</v>
      </c>
      <c r="M32" s="253">
        <f>Allocation!$I$8*IS!L31</f>
        <v>288.05559981146433</v>
      </c>
      <c r="N32" s="253">
        <f>Allocation!$I$8*IS!M31</f>
        <v>288.05559981146433</v>
      </c>
      <c r="O32" s="253">
        <f>Allocation!$I$8*IS!N31</f>
        <v>288.05559981146433</v>
      </c>
      <c r="P32" s="253">
        <f>Allocation!$I$8*IS!O31</f>
        <v>250.6384106112433</v>
      </c>
      <c r="Q32" s="253">
        <f>Allocation!$I$8*IS!P31</f>
        <v>239.4524893106223</v>
      </c>
      <c r="R32" s="253">
        <f>Allocation!$I$8*IS!Q31</f>
        <v>238.84398020876586</v>
      </c>
      <c r="S32" s="253">
        <f>Allocation!$I$8*IS!R31</f>
        <v>233.88275542465226</v>
      </c>
      <c r="T32" s="253">
        <f>Allocation!$I$8*IS!S31</f>
        <v>228.88381473318989</v>
      </c>
      <c r="U32" s="253">
        <f>Allocation!$I$8*IS!T31</f>
        <v>226.48068190080883</v>
      </c>
      <c r="V32" s="253">
        <f>Allocation!$I$8*IS!U31</f>
        <v>213.23161467699367</v>
      </c>
      <c r="W32" s="253">
        <f>Allocation!$I$8*IS!V31</f>
        <v>193.13692281704033</v>
      </c>
      <c r="X32" s="253">
        <f>Allocation!$I$8*IS!W31</f>
        <v>159.18112858758059</v>
      </c>
      <c r="Y32" s="253">
        <f>Allocation!$I$8*IS!X31</f>
        <v>126.10893991859888</v>
      </c>
      <c r="Z32" s="253">
        <f>Allocation!$I$8*IS!Y31</f>
        <v>126.10893991859888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Assumptions!$M$50*Assumptions!$M$33*7</f>
        <v>241.82872000000003</v>
      </c>
      <c r="J33" s="135">
        <f>Assumptions!$M$50*Assumptions!$M$33*12*(1+Assumptions!M52)</f>
        <v>427.00042560000003</v>
      </c>
      <c r="K33" s="135">
        <f>J33*(1+Assumptions!$M$52)</f>
        <v>439.81043836800006</v>
      </c>
      <c r="L33" s="135">
        <f>K33*(1+Assumptions!$M$52)</f>
        <v>453.0047515190401</v>
      </c>
      <c r="M33" s="135">
        <f>L33*(1+Assumptions!$M$52)</f>
        <v>466.59489406461131</v>
      </c>
      <c r="N33" s="135">
        <f>M33*(1+Assumptions!$M$52)</f>
        <v>480.59274088654968</v>
      </c>
      <c r="O33" s="135">
        <f>N33*(1+Assumptions!$M$52)</f>
        <v>495.01052311314618</v>
      </c>
      <c r="P33" s="135">
        <f>O33*(1+Assumptions!$M$52)</f>
        <v>509.86083880654058</v>
      </c>
      <c r="Q33" s="135">
        <f>P33*(1+Assumptions!$M$52)</f>
        <v>525.15666397073687</v>
      </c>
      <c r="R33" s="135">
        <f>Q33*(1+Assumptions!$M$52)</f>
        <v>540.91136388985899</v>
      </c>
      <c r="S33" s="135">
        <f>R33*(1+Assumptions!$M$52)</f>
        <v>557.13870480655476</v>
      </c>
      <c r="T33" s="135">
        <f>S33*(1+Assumptions!$M$52)</f>
        <v>573.85286595075138</v>
      </c>
      <c r="U33" s="135">
        <f>T33*(1+Assumptions!$M$52)</f>
        <v>591.06845192927392</v>
      </c>
      <c r="V33" s="135">
        <f>U33*(1+Assumptions!$M$52)</f>
        <v>608.80050548715212</v>
      </c>
      <c r="W33" s="135">
        <f>V33*(1+Assumptions!$M$52)</f>
        <v>627.06452065176666</v>
      </c>
      <c r="X33" s="135">
        <f>W33*(1+Assumptions!$M$52)</f>
        <v>645.87645627131963</v>
      </c>
      <c r="Y33" s="135">
        <f>X33*(1+Assumptions!$M$52)</f>
        <v>665.25274995945927</v>
      </c>
      <c r="Z33" s="135">
        <f>Y33*(1+Assumptions!$M$52)</f>
        <v>685.2103324582431</v>
      </c>
    </row>
    <row r="34" spans="1:26">
      <c r="A34" s="4" t="s">
        <v>181</v>
      </c>
      <c r="D34"/>
      <c r="E34" s="253">
        <f>Assumptions!$M65*Assumptions!M53/12</f>
        <v>0</v>
      </c>
      <c r="F34" s="253">
        <f>Assumptions!$M65*(1+Assumptions!$M$52)*$F$1/12</f>
        <v>157.52941176470591</v>
      </c>
      <c r="G34" s="253">
        <f>F34*(1+Assumptions!$M$52)</f>
        <v>162.25529411764708</v>
      </c>
      <c r="H34" s="253">
        <f>G34*(1+Assumptions!$M$52)</f>
        <v>167.12295294117649</v>
      </c>
      <c r="I34" s="253">
        <f>H34*(1+Assumptions!$M$52)</f>
        <v>172.1366415294118</v>
      </c>
      <c r="J34" s="253">
        <f>I34*(1+Assumptions!$M$52)</f>
        <v>177.30074077529417</v>
      </c>
      <c r="K34" s="253">
        <f>J34*(1+Assumptions!$M$52)</f>
        <v>182.619762998553</v>
      </c>
      <c r="L34" s="253">
        <f>K34*(1+Assumptions!$M$52)</f>
        <v>188.09835588850959</v>
      </c>
      <c r="M34" s="253">
        <f>L34*(1+Assumptions!$M$52)</f>
        <v>193.74130656516488</v>
      </c>
      <c r="N34" s="253">
        <f>M34*(1+Assumptions!$M$52)</f>
        <v>199.55354576211982</v>
      </c>
      <c r="O34" s="253">
        <f>N34*(1+Assumptions!$M$52)</f>
        <v>205.54015213498343</v>
      </c>
      <c r="P34" s="253">
        <f>O34*(1+Assumptions!$M$52)</f>
        <v>211.70635669903294</v>
      </c>
      <c r="Q34" s="253">
        <f>P34*(1+Assumptions!$M$52)</f>
        <v>218.05754740000393</v>
      </c>
      <c r="R34" s="253">
        <f>Q34*(1+Assumptions!$M$52)</f>
        <v>224.59927382200405</v>
      </c>
      <c r="S34" s="253">
        <f>R34*(1+Assumptions!$M$52)</f>
        <v>231.33725203666418</v>
      </c>
      <c r="T34" s="253">
        <f>S34*(1+Assumptions!$M$52)</f>
        <v>238.27736959776411</v>
      </c>
      <c r="U34" s="253">
        <f>T34*(1+Assumptions!$M$52)</f>
        <v>245.42569068569705</v>
      </c>
      <c r="V34" s="253">
        <f>U34*(1+Assumptions!$M$52)</f>
        <v>252.78846140626797</v>
      </c>
      <c r="W34" s="253">
        <f>V34*(1+Assumptions!$M$52)</f>
        <v>260.372115248456</v>
      </c>
      <c r="X34" s="253">
        <f>W34*(1+Assumptions!$M$52)</f>
        <v>268.18327870590969</v>
      </c>
      <c r="Y34" s="253">
        <f>X34*(1+Assumptions!$M$52)</f>
        <v>276.22877706708698</v>
      </c>
      <c r="Z34" s="253">
        <f>Y34*(1+Assumptions!$M$52)</f>
        <v>284.51564037909958</v>
      </c>
    </row>
    <row r="35" spans="1:26">
      <c r="A35" s="4" t="s">
        <v>182</v>
      </c>
      <c r="B35" s="8"/>
      <c r="C35" s="8"/>
      <c r="D35"/>
      <c r="E35" s="254">
        <f>Assumptions!$M66*Assumptions!M53/12</f>
        <v>0</v>
      </c>
      <c r="F35" s="254">
        <f>Assumptions!$M66*(1+Assumptions!$M$52)*$F$1/12</f>
        <v>206</v>
      </c>
      <c r="G35" s="254">
        <f>F35*(1+Assumptions!$M$52)</f>
        <v>212.18</v>
      </c>
      <c r="H35" s="254">
        <f>G35*(1+Assumptions!$M$52)</f>
        <v>218.5454</v>
      </c>
      <c r="I35" s="254">
        <f>H35*(1+Assumptions!$M$52)</f>
        <v>225.10176200000001</v>
      </c>
      <c r="J35" s="254">
        <f>I35*(1+Assumptions!$M$52)</f>
        <v>231.85481486</v>
      </c>
      <c r="K35" s="254">
        <f>J35*(1+Assumptions!$M$52)</f>
        <v>238.81045930580001</v>
      </c>
      <c r="L35" s="254">
        <f>K35*(1+Assumptions!$M$52)</f>
        <v>245.974773084974</v>
      </c>
      <c r="M35" s="254">
        <f>L35*(1+Assumptions!$M$52)</f>
        <v>253.35401627752324</v>
      </c>
      <c r="N35" s="254">
        <f>M35*(1+Assumptions!$M$52)</f>
        <v>260.95463676584893</v>
      </c>
      <c r="O35" s="254">
        <f>N35*(1+Assumptions!$M$52)</f>
        <v>268.78327586882443</v>
      </c>
      <c r="P35" s="254">
        <f>O35*(1+Assumptions!$M$52)</f>
        <v>276.8467741448892</v>
      </c>
      <c r="Q35" s="254">
        <f>P35*(1+Assumptions!$M$52)</f>
        <v>285.15217736923586</v>
      </c>
      <c r="R35" s="254">
        <f>Q35*(1+Assumptions!$M$52)</f>
        <v>293.70674269031292</v>
      </c>
      <c r="S35" s="254">
        <f>R35*(1+Assumptions!$M$52)</f>
        <v>302.5179449710223</v>
      </c>
      <c r="T35" s="254">
        <f>S35*(1+Assumptions!$M$52)</f>
        <v>311.59348332015298</v>
      </c>
      <c r="U35" s="254">
        <f>T35*(1+Assumptions!$M$52)</f>
        <v>320.94128781975758</v>
      </c>
      <c r="V35" s="254">
        <f>U35*(1+Assumptions!$M$52)</f>
        <v>330.5695264543503</v>
      </c>
      <c r="W35" s="254">
        <f>V35*(1+Assumptions!$M$52)</f>
        <v>340.48661224798082</v>
      </c>
      <c r="X35" s="254">
        <f>W35*(1+Assumptions!$M$52)</f>
        <v>350.70121061542022</v>
      </c>
      <c r="Y35" s="254">
        <f>X35*(1+Assumptions!$M$52)</f>
        <v>361.22224693388284</v>
      </c>
      <c r="Z35" s="254">
        <f>Y35*(1+Assumptions!$M$52)</f>
        <v>372.05891434189931</v>
      </c>
    </row>
    <row r="36" spans="1:26">
      <c r="A36" s="4" t="s">
        <v>183</v>
      </c>
      <c r="B36" s="8"/>
      <c r="C36" s="8"/>
      <c r="D36"/>
      <c r="E36" s="253">
        <f>SUM(E24:E35)</f>
        <v>0</v>
      </c>
      <c r="F36" s="253">
        <f t="shared" ref="F36:Z36" ca="1" si="2">SUM(F24:F35)</f>
        <v>4809.9757911021597</v>
      </c>
      <c r="G36" s="253">
        <f t="shared" si="2"/>
        <v>4739.3852333926616</v>
      </c>
      <c r="H36" s="187">
        <f t="shared" si="2"/>
        <v>4844.1581784639366</v>
      </c>
      <c r="I36" s="253">
        <f t="shared" si="2"/>
        <v>5219.8471013429644</v>
      </c>
      <c r="J36" s="253">
        <f t="shared" si="2"/>
        <v>5470.7810683472526</v>
      </c>
      <c r="K36" s="253">
        <f t="shared" si="2"/>
        <v>5600.4483892381422</v>
      </c>
      <c r="L36" s="253">
        <f t="shared" si="2"/>
        <v>5728.875586716591</v>
      </c>
      <c r="M36" s="253">
        <f t="shared" si="2"/>
        <v>5861.6467840273972</v>
      </c>
      <c r="N36" s="253">
        <f t="shared" si="2"/>
        <v>5998.8923011655334</v>
      </c>
      <c r="O36" s="253">
        <f t="shared" si="2"/>
        <v>6135.2887687479797</v>
      </c>
      <c r="P36" s="253">
        <f t="shared" si="2"/>
        <v>7024.909105843979</v>
      </c>
      <c r="Q36" s="253">
        <f t="shared" si="2"/>
        <v>7099.7220793563383</v>
      </c>
      <c r="R36" s="253">
        <f t="shared" si="2"/>
        <v>7173.7755545183572</v>
      </c>
      <c r="S36" s="253">
        <f t="shared" si="2"/>
        <v>7248.663276974069</v>
      </c>
      <c r="T36" s="253">
        <f t="shared" si="2"/>
        <v>7328.855855387661</v>
      </c>
      <c r="U36" s="253">
        <f t="shared" si="2"/>
        <v>7384.4014968144802</v>
      </c>
      <c r="V36" s="253">
        <f t="shared" si="2"/>
        <v>7418.3963414081654</v>
      </c>
      <c r="W36" s="253">
        <f t="shared" si="2"/>
        <v>7451.3835338922891</v>
      </c>
      <c r="X36" s="253">
        <f t="shared" si="2"/>
        <v>7574.7595173103964</v>
      </c>
      <c r="Y36" s="253">
        <f t="shared" si="2"/>
        <v>7754.3310021429897</v>
      </c>
      <c r="Z36" s="253">
        <f t="shared" si="2"/>
        <v>7645.8980471792074</v>
      </c>
    </row>
    <row r="37" spans="1:26" s="146" customFormat="1" outlineLevel="1">
      <c r="A37" s="6"/>
      <c r="B37" s="143"/>
      <c r="C37" s="143"/>
      <c r="D37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18942.082004786225</v>
      </c>
      <c r="G39" s="259">
        <f t="shared" si="3"/>
        <v>19385.26014818484</v>
      </c>
      <c r="H39" s="260">
        <f t="shared" si="3"/>
        <v>19338.38817221002</v>
      </c>
      <c r="I39" s="259">
        <f t="shared" si="3"/>
        <v>25036.361168661206</v>
      </c>
      <c r="J39" s="259">
        <f t="shared" si="3"/>
        <v>29533.909122250185</v>
      </c>
      <c r="K39" s="259">
        <f t="shared" si="3"/>
        <v>29852.180310714484</v>
      </c>
      <c r="L39" s="259">
        <f t="shared" si="3"/>
        <v>30167.125711184664</v>
      </c>
      <c r="M39" s="259">
        <f t="shared" si="3"/>
        <v>31111.363459277527</v>
      </c>
      <c r="N39" s="259">
        <f t="shared" si="3"/>
        <v>31425.310921053577</v>
      </c>
      <c r="O39" s="259">
        <f t="shared" si="3"/>
        <v>32411.825396993874</v>
      </c>
      <c r="P39" s="259">
        <f t="shared" si="3"/>
        <v>31971.239573191255</v>
      </c>
      <c r="Q39" s="259">
        <f t="shared" si="3"/>
        <v>33067.650456883734</v>
      </c>
      <c r="R39" s="259">
        <f t="shared" si="3"/>
        <v>33459.275138217257</v>
      </c>
      <c r="S39" s="259">
        <f t="shared" si="3"/>
        <v>33841.831659963369</v>
      </c>
      <c r="T39" s="259">
        <f t="shared" si="3"/>
        <v>34209.880178354972</v>
      </c>
      <c r="U39" s="259">
        <f t="shared" si="3"/>
        <v>34592.786131240064</v>
      </c>
      <c r="V39" s="259">
        <f t="shared" si="3"/>
        <v>34986.404502207108</v>
      </c>
      <c r="W39" s="259">
        <f t="shared" si="3"/>
        <v>35368.873660077465</v>
      </c>
      <c r="X39" s="259">
        <f t="shared" si="3"/>
        <v>35646.539304282029</v>
      </c>
      <c r="Y39" s="259">
        <f t="shared" si="3"/>
        <v>35852.850766867385</v>
      </c>
      <c r="Z39" s="259">
        <f t="shared" si="3"/>
        <v>36335.08078867865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Allocation!$G$8/Allocation!$G$10*IS!D40</f>
        <v>0</v>
      </c>
      <c r="F41" s="253">
        <f>Allocation!$G$8*IS!E40</f>
        <v>3893.9120020735049</v>
      </c>
      <c r="G41" s="253">
        <f>Allocation!$G$8*IS!F40</f>
        <v>5353.0966591082088</v>
      </c>
      <c r="H41" s="253">
        <f>Allocation!$G$8*IS!G40</f>
        <v>5353.0966591082088</v>
      </c>
      <c r="I41" s="253">
        <f>Allocation!$G$8*IS!H40</f>
        <v>5353.0966591082088</v>
      </c>
      <c r="J41" s="253">
        <f>Allocation!$G$8*IS!I40</f>
        <v>5353.0966591082088</v>
      </c>
      <c r="K41" s="253">
        <f>Allocation!$G$8*IS!J40</f>
        <v>5353.0966591082088</v>
      </c>
      <c r="L41" s="253">
        <f>Allocation!$G$8*IS!K40</f>
        <v>5353.0966591082088</v>
      </c>
      <c r="M41" s="253">
        <f>Allocation!$G$8*IS!L40</f>
        <v>5353.0966591082088</v>
      </c>
      <c r="N41" s="253">
        <f>Allocation!$G$8*IS!M40</f>
        <v>5353.0966591082088</v>
      </c>
      <c r="O41" s="253">
        <f>Allocation!$G$8*IS!N40</f>
        <v>5353.0966591082088</v>
      </c>
      <c r="P41" s="253">
        <f>Allocation!$G$8*IS!O40</f>
        <v>5353.0966591082088</v>
      </c>
      <c r="Q41" s="253">
        <f>Allocation!$G$8*IS!P40</f>
        <v>5353.0966591082088</v>
      </c>
      <c r="R41" s="253">
        <f>Allocation!$G$8*IS!Q40</f>
        <v>5353.0966591082088</v>
      </c>
      <c r="S41" s="253">
        <f>Allocation!$G$8*IS!R40</f>
        <v>5353.0966591082088</v>
      </c>
      <c r="T41" s="253">
        <f>Allocation!$G$8*IS!S40</f>
        <v>5353.0966591082088</v>
      </c>
      <c r="U41" s="253">
        <f>Allocation!$G$8*IS!T40</f>
        <v>5353.0966591082088</v>
      </c>
      <c r="V41" s="253">
        <f>Allocation!$G$8*IS!U40</f>
        <v>5353.0966591082088</v>
      </c>
      <c r="W41" s="253">
        <f>Allocation!$G$8*IS!V40</f>
        <v>5353.0966591082088</v>
      </c>
      <c r="X41" s="253">
        <f>Allocation!$G$8*IS!W40</f>
        <v>5353.0966591082088</v>
      </c>
      <c r="Y41" s="253">
        <f>Allocation!$G$8*IS!X40</f>
        <v>5353.0966591082088</v>
      </c>
      <c r="Z41" s="253">
        <f>Allocation!$G$8*IS!Y40</f>
        <v>5215.5459243286423</v>
      </c>
    </row>
    <row r="42" spans="1:26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4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15048.170002712721</v>
      </c>
      <c r="G44" s="259">
        <f t="shared" si="4"/>
        <v>14032.163489076631</v>
      </c>
      <c r="H44" s="259">
        <f t="shared" si="4"/>
        <v>13985.291513101811</v>
      </c>
      <c r="I44" s="259">
        <f t="shared" si="4"/>
        <v>19683.264509552995</v>
      </c>
      <c r="J44" s="259">
        <f t="shared" si="4"/>
        <v>24180.812463141978</v>
      </c>
      <c r="K44" s="259">
        <f t="shared" si="4"/>
        <v>24499.083651606277</v>
      </c>
      <c r="L44" s="259">
        <f t="shared" si="4"/>
        <v>24814.029052076454</v>
      </c>
      <c r="M44" s="259">
        <f t="shared" si="4"/>
        <v>25758.266800169316</v>
      </c>
      <c r="N44" s="259">
        <f t="shared" si="4"/>
        <v>26072.214261945366</v>
      </c>
      <c r="O44" s="259">
        <f t="shared" si="4"/>
        <v>27058.728737885664</v>
      </c>
      <c r="P44" s="259">
        <f t="shared" si="4"/>
        <v>26618.142914083044</v>
      </c>
      <c r="Q44" s="259">
        <f t="shared" si="4"/>
        <v>27714.553797775523</v>
      </c>
      <c r="R44" s="259">
        <f t="shared" si="4"/>
        <v>28106.178479109047</v>
      </c>
      <c r="S44" s="259">
        <f t="shared" si="4"/>
        <v>28488.735000855158</v>
      </c>
      <c r="T44" s="259">
        <f t="shared" si="4"/>
        <v>28856.783519246761</v>
      </c>
      <c r="U44" s="259">
        <f t="shared" si="4"/>
        <v>29239.689472131853</v>
      </c>
      <c r="V44" s="259">
        <f t="shared" si="4"/>
        <v>29633.307843098897</v>
      </c>
      <c r="W44" s="259">
        <f t="shared" si="4"/>
        <v>30015.777000969254</v>
      </c>
      <c r="X44" s="259">
        <f t="shared" si="4"/>
        <v>30293.442645173818</v>
      </c>
      <c r="Y44" s="259">
        <f t="shared" si="4"/>
        <v>30499.754107759174</v>
      </c>
      <c r="Z44" s="259">
        <f t="shared" si="4"/>
        <v>31119.534864350007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Allocation!$K$8*(IS!$D$44)</f>
        <v>0</v>
      </c>
      <c r="F46" s="253">
        <f>Allocation!$I$8*(IS!$E$44-Debt!$C$136)</f>
        <v>11290.594845077661</v>
      </c>
      <c r="G46" s="253">
        <f>Allocation!$I$8*IS!F44</f>
        <v>11036.774496250204</v>
      </c>
      <c r="H46" s="253">
        <f>Allocation!$I$8*IS!G44</f>
        <v>10711.637340983143</v>
      </c>
      <c r="I46" s="253">
        <f>Allocation!$I$8*IS!H44</f>
        <v>10168.257484724201</v>
      </c>
      <c r="J46" s="253">
        <f>Allocation!$I$8*IS!I44</f>
        <v>9752.95653140592</v>
      </c>
      <c r="K46" s="253">
        <f>Allocation!$I$8*IS!J44</f>
        <v>9366.5637400806936</v>
      </c>
      <c r="L46" s="253">
        <f>Allocation!$I$8*IS!K44</f>
        <v>8943.0610154702954</v>
      </c>
      <c r="M46" s="253">
        <f>Allocation!$I$8*IS!L44</f>
        <v>8454.657019058357</v>
      </c>
      <c r="N46" s="253">
        <f>Allocation!$I$8*IS!M44</f>
        <v>7897.7339434640471</v>
      </c>
      <c r="O46" s="253">
        <f>Allocation!$I$8*IS!N44</f>
        <v>7221.3160716096381</v>
      </c>
      <c r="P46" s="253">
        <f>Allocation!$I$8*IS!O44</f>
        <v>6624.5239257135399</v>
      </c>
      <c r="Q46" s="253">
        <f>Allocation!$I$8*IS!P44</f>
        <v>6052.298619170856</v>
      </c>
      <c r="R46" s="253">
        <f>Allocation!$I$8*IS!Q44</f>
        <v>5420.1377170620226</v>
      </c>
      <c r="S46" s="253">
        <f>Allocation!$I$8*IS!R44</f>
        <v>4739.049526466797</v>
      </c>
      <c r="T46" s="253">
        <f>Allocation!$I$8*IS!S44</f>
        <v>4011.6993011612963</v>
      </c>
      <c r="U46" s="253">
        <f>Allocation!$I$8*IS!T44</f>
        <v>3223.9266991473191</v>
      </c>
      <c r="V46" s="253">
        <f>Allocation!$I$8*IS!U44</f>
        <v>2403.3585941057704</v>
      </c>
      <c r="W46" s="253">
        <f>Allocation!$I$8*IS!V44</f>
        <v>1590.2984436684983</v>
      </c>
      <c r="X46" s="253">
        <f>Allocation!$I$8*IS!W44</f>
        <v>847.28027594505033</v>
      </c>
      <c r="Y46" s="253">
        <f>Allocation!$I$8*IS!X44</f>
        <v>203.40544596060354</v>
      </c>
      <c r="Z46" s="253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3757.5751576350594</v>
      </c>
      <c r="G49" s="259">
        <f t="shared" si="5"/>
        <v>2995.3889928264271</v>
      </c>
      <c r="H49" s="259">
        <f t="shared" si="5"/>
        <v>3273.6541721186677</v>
      </c>
      <c r="I49" s="259">
        <f t="shared" si="5"/>
        <v>9515.0070248287939</v>
      </c>
      <c r="J49" s="259">
        <f t="shared" si="5"/>
        <v>14427.855931736058</v>
      </c>
      <c r="K49" s="259">
        <f t="shared" si="5"/>
        <v>15132.519911525584</v>
      </c>
      <c r="L49" s="259">
        <f t="shared" si="5"/>
        <v>15870.968036606158</v>
      </c>
      <c r="M49" s="259">
        <f t="shared" si="5"/>
        <v>17303.609781110958</v>
      </c>
      <c r="N49" s="259">
        <f t="shared" si="5"/>
        <v>18174.480318481321</v>
      </c>
      <c r="O49" s="259">
        <f t="shared" si="5"/>
        <v>19837.412666276025</v>
      </c>
      <c r="P49" s="259">
        <f t="shared" si="5"/>
        <v>19993.618988369504</v>
      </c>
      <c r="Q49" s="259">
        <f t="shared" si="5"/>
        <v>21662.255178604668</v>
      </c>
      <c r="R49" s="259">
        <f t="shared" si="5"/>
        <v>22686.040762047025</v>
      </c>
      <c r="S49" s="259">
        <f t="shared" si="5"/>
        <v>23749.68547438836</v>
      </c>
      <c r="T49" s="259">
        <f t="shared" si="5"/>
        <v>24845.084218085463</v>
      </c>
      <c r="U49" s="259">
        <f t="shared" si="5"/>
        <v>26015.762772984534</v>
      </c>
      <c r="V49" s="259">
        <f t="shared" si="5"/>
        <v>27229.949248993125</v>
      </c>
      <c r="W49" s="259">
        <f t="shared" si="5"/>
        <v>28425.478557300754</v>
      </c>
      <c r="X49" s="259">
        <f t="shared" si="5"/>
        <v>29446.162369228769</v>
      </c>
      <c r="Y49" s="259">
        <f t="shared" si="5"/>
        <v>30296.348661798569</v>
      </c>
      <c r="Z49" s="259">
        <f t="shared" si="5"/>
        <v>31119.534864350007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Assumptions!$M$44</f>
        <v>0.05</v>
      </c>
      <c r="D51" s="253"/>
      <c r="E51" s="253">
        <f t="shared" ref="E51:Z51" si="6">E49*-$C$51</f>
        <v>0</v>
      </c>
      <c r="F51" s="253">
        <f t="shared" ca="1" si="6"/>
        <v>-187.87875788175299</v>
      </c>
      <c r="G51" s="253">
        <f t="shared" si="6"/>
        <v>-149.76944964132136</v>
      </c>
      <c r="H51" s="187">
        <f t="shared" si="6"/>
        <v>-163.68270860593339</v>
      </c>
      <c r="I51" s="253">
        <f t="shared" si="6"/>
        <v>-475.75035124143972</v>
      </c>
      <c r="J51" s="253">
        <f t="shared" si="6"/>
        <v>-721.39279658680289</v>
      </c>
      <c r="K51" s="253">
        <f t="shared" si="6"/>
        <v>-756.62599557627925</v>
      </c>
      <c r="L51" s="253">
        <f t="shared" si="6"/>
        <v>-793.54840183030797</v>
      </c>
      <c r="M51" s="253">
        <f t="shared" si="6"/>
        <v>-865.18048905554792</v>
      </c>
      <c r="N51" s="253">
        <f t="shared" si="6"/>
        <v>-908.72401592406607</v>
      </c>
      <c r="O51" s="253">
        <f t="shared" si="6"/>
        <v>-991.87063331380125</v>
      </c>
      <c r="P51" s="253">
        <f t="shared" si="6"/>
        <v>-999.68094941847528</v>
      </c>
      <c r="Q51" s="253">
        <f t="shared" si="6"/>
        <v>-1083.1127589302334</v>
      </c>
      <c r="R51" s="253">
        <f t="shared" si="6"/>
        <v>-1134.3020381023514</v>
      </c>
      <c r="S51" s="253">
        <f t="shared" si="6"/>
        <v>-1187.4842737194181</v>
      </c>
      <c r="T51" s="253">
        <f t="shared" si="6"/>
        <v>-1242.2542109042734</v>
      </c>
      <c r="U51" s="253">
        <f t="shared" si="6"/>
        <v>-1300.7881386492268</v>
      </c>
      <c r="V51" s="253">
        <f t="shared" si="6"/>
        <v>-1361.4974624496563</v>
      </c>
      <c r="W51" s="253">
        <f t="shared" si="6"/>
        <v>-1421.2739278650379</v>
      </c>
      <c r="X51" s="253">
        <f t="shared" si="6"/>
        <v>-1472.3081184614384</v>
      </c>
      <c r="Y51" s="253">
        <f t="shared" si="6"/>
        <v>-1514.8174330899285</v>
      </c>
      <c r="Z51" s="253">
        <f t="shared" si="6"/>
        <v>-1555.9767432175004</v>
      </c>
    </row>
    <row r="52" spans="1:26">
      <c r="A52" s="4" t="s">
        <v>190</v>
      </c>
      <c r="C52" s="149">
        <f>Assumptions!$M$43</f>
        <v>0.35</v>
      </c>
      <c r="D52" s="253"/>
      <c r="E52" s="253">
        <f t="shared" ref="E52:Z52" si="7">(E49+E51)*-$C$52</f>
        <v>0</v>
      </c>
      <c r="F52" s="253">
        <f t="shared" ca="1" si="7"/>
        <v>-1249.3937399136573</v>
      </c>
      <c r="G52" s="253">
        <f t="shared" si="7"/>
        <v>-995.96684011478692</v>
      </c>
      <c r="H52" s="253">
        <f t="shared" si="7"/>
        <v>-1088.4900122294569</v>
      </c>
      <c r="I52" s="253">
        <f t="shared" si="7"/>
        <v>-3163.7398357555735</v>
      </c>
      <c r="J52" s="253">
        <f t="shared" si="7"/>
        <v>-4797.2620973022395</v>
      </c>
      <c r="K52" s="253">
        <f t="shared" si="7"/>
        <v>-5031.5628705822564</v>
      </c>
      <c r="L52" s="253">
        <f t="shared" si="7"/>
        <v>-5277.0968721715471</v>
      </c>
      <c r="M52" s="253">
        <f t="shared" si="7"/>
        <v>-5753.4502522193934</v>
      </c>
      <c r="N52" s="253">
        <f t="shared" si="7"/>
        <v>-6043.0147058950397</v>
      </c>
      <c r="O52" s="253">
        <f t="shared" si="7"/>
        <v>-6595.9397115367783</v>
      </c>
      <c r="P52" s="253">
        <f t="shared" si="7"/>
        <v>-6647.8783136328602</v>
      </c>
      <c r="Q52" s="253">
        <f t="shared" si="7"/>
        <v>-7202.6998468860511</v>
      </c>
      <c r="R52" s="253">
        <f t="shared" si="7"/>
        <v>-7543.1085533806345</v>
      </c>
      <c r="S52" s="253">
        <f t="shared" si="7"/>
        <v>-7896.7704202341283</v>
      </c>
      <c r="T52" s="253">
        <f t="shared" si="7"/>
        <v>-8260.9905025134158</v>
      </c>
      <c r="U52" s="253">
        <f t="shared" si="7"/>
        <v>-8650.2411220173562</v>
      </c>
      <c r="V52" s="253">
        <f t="shared" si="7"/>
        <v>-9053.9581252902135</v>
      </c>
      <c r="W52" s="253">
        <f t="shared" si="7"/>
        <v>-9451.4716203025</v>
      </c>
      <c r="X52" s="253">
        <f t="shared" si="7"/>
        <v>-9790.8489877685643</v>
      </c>
      <c r="Y52" s="253">
        <f t="shared" si="7"/>
        <v>-10073.535930048023</v>
      </c>
      <c r="Z52" s="253">
        <f t="shared" si="7"/>
        <v>-10347.245342396378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296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2320.3026598396491</v>
      </c>
      <c r="G54" s="261">
        <f t="shared" si="8"/>
        <v>1849.6527030703187</v>
      </c>
      <c r="H54" s="261">
        <f t="shared" si="8"/>
        <v>2021.4814512832775</v>
      </c>
      <c r="I54" s="261">
        <f t="shared" si="8"/>
        <v>5875.5168378317794</v>
      </c>
      <c r="J54" s="261">
        <f t="shared" si="8"/>
        <v>8909.201037847015</v>
      </c>
      <c r="K54" s="261">
        <f t="shared" si="8"/>
        <v>9344.3310453670474</v>
      </c>
      <c r="L54" s="261">
        <f t="shared" si="8"/>
        <v>9800.3227626043026</v>
      </c>
      <c r="M54" s="261">
        <f t="shared" si="8"/>
        <v>10684.979039836016</v>
      </c>
      <c r="N54" s="261">
        <f t="shared" si="8"/>
        <v>11222.741596662217</v>
      </c>
      <c r="O54" s="261">
        <f t="shared" si="8"/>
        <v>12249.602321425446</v>
      </c>
      <c r="P54" s="261">
        <f t="shared" si="8"/>
        <v>12346.05972531817</v>
      </c>
      <c r="Q54" s="261">
        <f t="shared" si="8"/>
        <v>13376.442572788383</v>
      </c>
      <c r="R54" s="261">
        <f t="shared" si="8"/>
        <v>14008.630170564038</v>
      </c>
      <c r="S54" s="261">
        <f t="shared" si="8"/>
        <v>14665.430780434812</v>
      </c>
      <c r="T54" s="261">
        <f t="shared" si="8"/>
        <v>15341.839504667774</v>
      </c>
      <c r="U54" s="261">
        <f t="shared" si="8"/>
        <v>16064.733512317951</v>
      </c>
      <c r="V54" s="261">
        <f t="shared" si="8"/>
        <v>16814.493661253255</v>
      </c>
      <c r="W54" s="261">
        <f t="shared" si="8"/>
        <v>17552.733009133219</v>
      </c>
      <c r="X54" s="261">
        <f t="shared" si="8"/>
        <v>18183.005262998766</v>
      </c>
      <c r="Y54" s="261">
        <f t="shared" si="8"/>
        <v>18707.995298660619</v>
      </c>
      <c r="Z54" s="261">
        <f t="shared" si="8"/>
        <v>19216.31277873613</v>
      </c>
    </row>
    <row r="55" spans="1:26" s="146" customFormat="1" ht="9.6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D56" s="135"/>
      <c r="E56" s="135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297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9"/>
      <c r="E62" s="9">
        <v>1999</v>
      </c>
      <c r="F62" s="9">
        <f>E62+1</f>
        <v>2000</v>
      </c>
      <c r="G62" s="9">
        <f t="shared" ref="G62:Z62" si="9">F62+1</f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56"/>
      <c r="E64" s="156">
        <f t="shared" ref="E64:Z64" si="10">E39</f>
        <v>0</v>
      </c>
      <c r="F64" s="156">
        <f t="shared" ca="1" si="10"/>
        <v>18942.082004786225</v>
      </c>
      <c r="G64" s="156">
        <f t="shared" si="10"/>
        <v>19385.26014818484</v>
      </c>
      <c r="H64" s="156">
        <f t="shared" si="10"/>
        <v>19338.38817221002</v>
      </c>
      <c r="I64" s="156">
        <f t="shared" si="10"/>
        <v>25036.361168661206</v>
      </c>
      <c r="J64" s="156">
        <f t="shared" si="10"/>
        <v>29533.909122250185</v>
      </c>
      <c r="K64" s="156">
        <f t="shared" si="10"/>
        <v>29852.180310714484</v>
      </c>
      <c r="L64" s="156">
        <f t="shared" si="10"/>
        <v>30167.125711184664</v>
      </c>
      <c r="M64" s="156">
        <f t="shared" si="10"/>
        <v>31111.363459277527</v>
      </c>
      <c r="N64" s="156">
        <f t="shared" si="10"/>
        <v>31425.310921053577</v>
      </c>
      <c r="O64" s="156">
        <f t="shared" si="10"/>
        <v>32411.825396993874</v>
      </c>
      <c r="P64" s="156">
        <f t="shared" si="10"/>
        <v>31971.239573191255</v>
      </c>
      <c r="Q64" s="156">
        <f t="shared" si="10"/>
        <v>33067.650456883734</v>
      </c>
      <c r="R64" s="156">
        <f t="shared" si="10"/>
        <v>33459.275138217257</v>
      </c>
      <c r="S64" s="156">
        <f t="shared" si="10"/>
        <v>33841.831659963369</v>
      </c>
      <c r="T64" s="156">
        <f t="shared" si="10"/>
        <v>34209.880178354972</v>
      </c>
      <c r="U64" s="156">
        <f t="shared" si="10"/>
        <v>34592.786131240064</v>
      </c>
      <c r="V64" s="156">
        <f t="shared" si="10"/>
        <v>34986.404502207108</v>
      </c>
      <c r="W64" s="156">
        <f t="shared" si="10"/>
        <v>35368.873660077465</v>
      </c>
      <c r="X64" s="156">
        <f t="shared" si="10"/>
        <v>35646.539304282029</v>
      </c>
      <c r="Y64" s="156">
        <f t="shared" si="10"/>
        <v>35852.850766867385</v>
      </c>
      <c r="Z64" s="156">
        <f t="shared" si="10"/>
        <v>36335.08078867865</v>
      </c>
    </row>
    <row r="65" spans="1:26" outlineLevel="1">
      <c r="A65" s="15" t="s">
        <v>192</v>
      </c>
      <c r="D65" s="135"/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outlineLevel="1">
      <c r="A66" s="15" t="s">
        <v>193</v>
      </c>
      <c r="D66" s="262"/>
      <c r="E66" s="262">
        <f>Allocation!$I$8*CF!D15</f>
        <v>0</v>
      </c>
      <c r="F66" s="262">
        <f>Allocation!$K$8*(CF!E16+CF!E15)+Allocation!$I$8*(CF!G16+CF!G15-CF!G14)</f>
        <v>-11583.270273202421</v>
      </c>
      <c r="G66" s="262">
        <f>Allocation!$I$8*(CF!H16+CF!H15)</f>
        <v>-14896.579084010993</v>
      </c>
      <c r="H66" s="262">
        <f>Allocation!$I$8*(CF!I16+CF!I15)</f>
        <v>-14819.219829386328</v>
      </c>
      <c r="I66" s="262">
        <f>Allocation!$I$8*(CF!J16+CF!J15)</f>
        <v>-17686.334915516971</v>
      </c>
      <c r="J66" s="262">
        <f>Allocation!$I$8*(CF!K16+CF!K15)</f>
        <v>-13315.901277673964</v>
      </c>
      <c r="K66" s="262">
        <f>Allocation!$I$8*(CF!L16+CF!L15)</f>
        <v>-13566.754532865058</v>
      </c>
      <c r="L66" s="262">
        <f>Allocation!$I$8*(CF!M16+CF!M15)</f>
        <v>-13643.190695576855</v>
      </c>
      <c r="M66" s="262">
        <f>Allocation!$I$8*(CF!N16+CF!N15)</f>
        <v>-13946.943386823326</v>
      </c>
      <c r="N66" s="262">
        <f>Allocation!$I$8*(CF!O16+CF!O15)</f>
        <v>-14094.159589147603</v>
      </c>
      <c r="O66" s="262">
        <f>Allocation!$I$8*(CF!P16+CF!P15)</f>
        <v>-14402.779990573215</v>
      </c>
      <c r="P66" s="262">
        <f>Allocation!$I$8*(CF!Q16+CF!Q15)</f>
        <v>-12531.920530562165</v>
      </c>
      <c r="Q66" s="262">
        <f>Allocation!$I$8*(CF!R16+CF!R15)</f>
        <v>-11972.624465531115</v>
      </c>
      <c r="R66" s="262">
        <f>Allocation!$I$8*(CF!S16+CF!S15)</f>
        <v>-11942.199010438291</v>
      </c>
      <c r="S66" s="262">
        <f>Allocation!$I$8*(CF!T16+CF!T15)</f>
        <v>-11694.137771232614</v>
      </c>
      <c r="T66" s="262">
        <f>Allocation!$I$8*(CF!U16+CF!U15)</f>
        <v>-11444.190736659493</v>
      </c>
      <c r="U66" s="262">
        <f>Allocation!$I$8*(CF!V16+CF!V15)</f>
        <v>-11324.034095040441</v>
      </c>
      <c r="V66" s="262">
        <f>Allocation!$I$8*(CF!W16+CF!W15)</f>
        <v>-10661.580733849685</v>
      </c>
      <c r="W66" s="262">
        <f>Allocation!$I$8*(CF!X16+CF!X15)</f>
        <v>-9656.8461408520179</v>
      </c>
      <c r="X66" s="262">
        <f>Allocation!$I$8*(CF!Y16+CF!Y15)</f>
        <v>-7959.0564293790285</v>
      </c>
      <c r="Y66" s="262">
        <f>Allocation!$I$8*(CF!Z16+CF!Z15)</f>
        <v>-6305.4469959299431</v>
      </c>
      <c r="Z66" s="262">
        <f>Allocation!$I$8*(CF!AA16+CF!AA15)</f>
        <v>0</v>
      </c>
    </row>
    <row r="67" spans="1:26" s="138" customFormat="1" outlineLevel="1">
      <c r="A67" s="14" t="s">
        <v>194</v>
      </c>
      <c r="B67" s="1"/>
      <c r="C67" s="1"/>
      <c r="D67" s="263"/>
      <c r="E67" s="263">
        <f t="shared" ref="E67:Z67" si="11">SUM(E64:E66)</f>
        <v>0</v>
      </c>
      <c r="F67" s="263">
        <f t="shared" ca="1" si="11"/>
        <v>7358.8117315838044</v>
      </c>
      <c r="G67" s="263">
        <f t="shared" si="11"/>
        <v>4488.6810641738466</v>
      </c>
      <c r="H67" s="263">
        <f t="shared" si="11"/>
        <v>4519.168342823692</v>
      </c>
      <c r="I67" s="263">
        <f t="shared" si="11"/>
        <v>7350.0262531442349</v>
      </c>
      <c r="J67" s="263">
        <f t="shared" si="11"/>
        <v>16218.007844576221</v>
      </c>
      <c r="K67" s="263">
        <f t="shared" si="11"/>
        <v>16285.425777849427</v>
      </c>
      <c r="L67" s="263">
        <f t="shared" si="11"/>
        <v>16523.935015607807</v>
      </c>
      <c r="M67" s="263">
        <f t="shared" si="11"/>
        <v>17164.420072454202</v>
      </c>
      <c r="N67" s="263">
        <f t="shared" si="11"/>
        <v>17331.151331905974</v>
      </c>
      <c r="O67" s="263">
        <f t="shared" si="11"/>
        <v>18009.045406420657</v>
      </c>
      <c r="P67" s="263">
        <f t="shared" si="11"/>
        <v>19439.319042629089</v>
      </c>
      <c r="Q67" s="263">
        <f t="shared" si="11"/>
        <v>21095.025991352617</v>
      </c>
      <c r="R67" s="263">
        <f t="shared" si="11"/>
        <v>21517.076127778964</v>
      </c>
      <c r="S67" s="263">
        <f t="shared" si="11"/>
        <v>22147.693888730755</v>
      </c>
      <c r="T67" s="263">
        <f t="shared" si="11"/>
        <v>22765.689441695478</v>
      </c>
      <c r="U67" s="263">
        <f t="shared" si="11"/>
        <v>23268.752036199621</v>
      </c>
      <c r="V67" s="263">
        <f t="shared" si="11"/>
        <v>24324.823768357423</v>
      </c>
      <c r="W67" s="263">
        <f t="shared" si="11"/>
        <v>25712.027519225448</v>
      </c>
      <c r="X67" s="263">
        <f t="shared" si="11"/>
        <v>27687.482874902998</v>
      </c>
      <c r="Y67" s="263">
        <f t="shared" si="11"/>
        <v>29547.403770937442</v>
      </c>
      <c r="Z67" s="263">
        <f t="shared" si="11"/>
        <v>36335.08078867865</v>
      </c>
    </row>
    <row r="68" spans="1:26" outlineLevel="1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outlineLevel="1">
      <c r="A69" s="15" t="s">
        <v>382</v>
      </c>
      <c r="D69" s="228"/>
      <c r="E69" s="228">
        <v>0</v>
      </c>
      <c r="F69" s="255">
        <f ca="1">Allocation!$I$8*CF!G24*7/12+Allocation!$K$8*CF!G24*5/12</f>
        <v>0</v>
      </c>
      <c r="G69" s="228">
        <f>Allocation!$I$8*CF!H24</f>
        <v>0</v>
      </c>
      <c r="H69" s="228">
        <f>Allocation!$I$8*CF!I24</f>
        <v>0</v>
      </c>
      <c r="I69" s="228">
        <f>Allocation!$I$8*CF!J24</f>
        <v>0</v>
      </c>
      <c r="J69" s="228">
        <f ca="1">Allocation!$I$8*CF!K24</f>
        <v>0</v>
      </c>
      <c r="K69" s="228">
        <f ca="1">Allocation!$I$8*CF!L24</f>
        <v>0</v>
      </c>
      <c r="L69" s="228">
        <f ca="1">Allocation!$I$8*CF!M24</f>
        <v>-151.29002037492648</v>
      </c>
      <c r="M69" s="228">
        <f ca="1">Allocation!$I$8*CF!N24</f>
        <v>-687.92923188040982</v>
      </c>
      <c r="N69" s="228">
        <f ca="1">Allocation!$I$8*CF!O24</f>
        <v>-742.0315596762083</v>
      </c>
      <c r="O69" s="228">
        <f ca="1">Allocation!$I$8*CF!P24</f>
        <v>-827.01373617091826</v>
      </c>
      <c r="P69" s="228">
        <f ca="1">Allocation!$I$8*CF!Q24</f>
        <v>-872.21270911272563</v>
      </c>
      <c r="Q69" s="228">
        <f ca="1">Allocation!$I$8*CF!R24</f>
        <v>-951.70510378157667</v>
      </c>
      <c r="R69" s="228">
        <f ca="1">Allocation!$I$8*CF!S24</f>
        <v>-1011.5276417865358</v>
      </c>
      <c r="S69" s="228">
        <f ca="1">Allocation!$I$8*CF!T24</f>
        <v>-1064.6395903981324</v>
      </c>
      <c r="T69" s="228">
        <f ca="1">Allocation!$I$8*CF!U24</f>
        <v>-1125.8577557603612</v>
      </c>
      <c r="U69" s="228">
        <f ca="1">Allocation!$I$8*CF!V24</f>
        <v>-1681.0887028043185</v>
      </c>
      <c r="V69" s="228">
        <f ca="1">Allocation!$I$8*CF!W24</f>
        <v>-1958.7135590552864</v>
      </c>
      <c r="W69" s="228">
        <f>Allocation!$I$8*CF!X24</f>
        <v>-2026.4048061738083</v>
      </c>
      <c r="X69" s="228">
        <f>Allocation!$I$8*CF!Y24</f>
        <v>-2087.2444601355628</v>
      </c>
      <c r="Y69" s="228">
        <f>Allocation!$I$8*CF!Z24</f>
        <v>-2119.595589189611</v>
      </c>
      <c r="Z69" s="228">
        <f ca="1">Allocation!$I$8*CF!AA24</f>
        <v>-2169.5809203899225</v>
      </c>
    </row>
    <row r="70" spans="1:26" outlineLevel="1">
      <c r="A70" s="15" t="s">
        <v>383</v>
      </c>
      <c r="D70" s="228"/>
      <c r="E70" s="228">
        <f>Allocation!$K$8*CF!D25</f>
        <v>0</v>
      </c>
      <c r="F70" s="262">
        <f ca="1">Allocation!$I$8*(-Tax!E39)*7/12+Allocation!$K$8*(-Tax!E39)*5/12</f>
        <v>2204.1143005842414</v>
      </c>
      <c r="G70" s="228">
        <f>Allocation!$I$8*CF!H25</f>
        <v>3645.0431981029956</v>
      </c>
      <c r="H70" s="228">
        <f>Allocation!$I$8*CF!I25</f>
        <v>2915.2019785025018</v>
      </c>
      <c r="I70" s="228">
        <f>Allocation!$I$8*CF!J25</f>
        <v>59.244542815407804</v>
      </c>
      <c r="J70" s="228">
        <f ca="1">Allocation!$I$8*CF!K25</f>
        <v>-2299.8305979462903</v>
      </c>
      <c r="K70" s="228">
        <f ca="1">Allocation!$I$8*CF!L25</f>
        <v>-3102.0560181763581</v>
      </c>
      <c r="L70" s="228">
        <f ca="1">Allocation!$I$8*CF!M25</f>
        <v>-3487.2006884273655</v>
      </c>
      <c r="M70" s="228">
        <f ca="1">Allocation!$I$8*CF!N25</f>
        <v>-3706.7116452472451</v>
      </c>
      <c r="N70" s="228">
        <f ca="1">Allocation!$I$8*CF!O25</f>
        <v>-3998.2267011309759</v>
      </c>
      <c r="O70" s="228">
        <f ca="1">Allocation!$I$8*CF!P25</f>
        <v>-4456.1290676147401</v>
      </c>
      <c r="P70" s="228">
        <f ca="1">Allocation!$I$8*CF!Q25</f>
        <v>-4699.670919875698</v>
      </c>
      <c r="Q70" s="228">
        <f ca="1">Allocation!$I$8*CF!R25</f>
        <v>-5127.9931532865376</v>
      </c>
      <c r="R70" s="228">
        <f ca="1">Allocation!$I$8*CF!S25</f>
        <v>-5450.329940262578</v>
      </c>
      <c r="S70" s="228">
        <f ca="1">Allocation!$I$8*CF!T25</f>
        <v>-5736.5086186743765</v>
      </c>
      <c r="T70" s="228">
        <f ca="1">Allocation!$I$8*CF!U25</f>
        <v>-6066.3653480193088</v>
      </c>
      <c r="U70" s="228">
        <f ca="1">Allocation!$I$8*CF!V25</f>
        <v>-9058.0699040008349</v>
      </c>
      <c r="V70" s="228">
        <f ca="1">Allocation!$I$8*CF!W25</f>
        <v>-10553.972738166851</v>
      </c>
      <c r="W70" s="228">
        <f>Allocation!$I$8*CF!X25</f>
        <v>-10918.70783350461</v>
      </c>
      <c r="X70" s="228">
        <f>Allocation!$I$8*CF!Y25</f>
        <v>-11246.52506147211</v>
      </c>
      <c r="Y70" s="228">
        <f>Allocation!$I$8*CF!Z25</f>
        <v>-11420.839949173214</v>
      </c>
      <c r="Z70" s="228">
        <f ca="1">Allocation!$I$8*CF!AA25</f>
        <v>-11690.171736027625</v>
      </c>
    </row>
    <row r="71" spans="1:26" outlineLevel="1">
      <c r="A71" s="15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6" outlineLevel="1">
      <c r="A72" s="108" t="s">
        <v>197</v>
      </c>
      <c r="B72" s="106"/>
      <c r="C72" s="106"/>
      <c r="D72" s="264"/>
      <c r="E72" s="264">
        <f t="shared" ref="E72:Z72" si="12">E67+E70+E69</f>
        <v>0</v>
      </c>
      <c r="F72" s="264">
        <f t="shared" ca="1" si="12"/>
        <v>9562.9260321680449</v>
      </c>
      <c r="G72" s="264">
        <f t="shared" si="12"/>
        <v>8133.7242622768426</v>
      </c>
      <c r="H72" s="264">
        <f t="shared" si="12"/>
        <v>7434.3703213261942</v>
      </c>
      <c r="I72" s="264">
        <f t="shared" si="12"/>
        <v>7409.2707959596428</v>
      </c>
      <c r="J72" s="264">
        <f t="shared" ca="1" si="12"/>
        <v>13918.17724662993</v>
      </c>
      <c r="K72" s="264">
        <f t="shared" ca="1" si="12"/>
        <v>13183.369759673069</v>
      </c>
      <c r="L72" s="264">
        <f t="shared" ca="1" si="12"/>
        <v>12885.444306805515</v>
      </c>
      <c r="M72" s="264">
        <f t="shared" ca="1" si="12"/>
        <v>12769.779195326548</v>
      </c>
      <c r="N72" s="264">
        <f t="shared" ca="1" si="12"/>
        <v>12590.89307109879</v>
      </c>
      <c r="O72" s="264">
        <f t="shared" ca="1" si="12"/>
        <v>12725.902602634998</v>
      </c>
      <c r="P72" s="264">
        <f t="shared" ca="1" si="12"/>
        <v>13867.435413640666</v>
      </c>
      <c r="Q72" s="264">
        <f t="shared" ca="1" si="12"/>
        <v>15015.327734284503</v>
      </c>
      <c r="R72" s="264">
        <f t="shared" ca="1" si="12"/>
        <v>15055.218545729851</v>
      </c>
      <c r="S72" s="264">
        <f t="shared" ca="1" si="12"/>
        <v>15346.545679658248</v>
      </c>
      <c r="T72" s="264">
        <f t="shared" ca="1" si="12"/>
        <v>15573.466337915808</v>
      </c>
      <c r="U72" s="264">
        <f t="shared" ca="1" si="12"/>
        <v>12529.593429394468</v>
      </c>
      <c r="V72" s="264">
        <f t="shared" ca="1" si="12"/>
        <v>11812.137471135286</v>
      </c>
      <c r="W72" s="264">
        <f t="shared" si="12"/>
        <v>12766.91487954703</v>
      </c>
      <c r="X72" s="264">
        <f t="shared" si="12"/>
        <v>14353.713353295327</v>
      </c>
      <c r="Y72" s="264">
        <f t="shared" si="12"/>
        <v>16006.968232574614</v>
      </c>
      <c r="Z72" s="264">
        <f t="shared" ca="1" si="12"/>
        <v>22475.328132261104</v>
      </c>
    </row>
    <row r="73" spans="1:26" outlineLevel="1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55"/>
      <c r="E75" s="155">
        <f t="shared" ref="E75:Z75" si="13">$C$75*E54</f>
        <v>0</v>
      </c>
      <c r="F75" s="155">
        <f t="shared" ca="1" si="13"/>
        <v>1160.1513299198245</v>
      </c>
      <c r="G75" s="155">
        <f t="shared" si="13"/>
        <v>924.82635153515935</v>
      </c>
      <c r="H75" s="155">
        <f t="shared" si="13"/>
        <v>1010.7407256416387</v>
      </c>
      <c r="I75" s="155">
        <f t="shared" si="13"/>
        <v>2937.7584189158897</v>
      </c>
      <c r="J75" s="155">
        <f t="shared" si="13"/>
        <v>4454.6005189235075</v>
      </c>
      <c r="K75" s="155">
        <f t="shared" si="13"/>
        <v>4672.1655226835237</v>
      </c>
      <c r="L75" s="155">
        <f t="shared" si="13"/>
        <v>4900.1613813021513</v>
      </c>
      <c r="M75" s="155">
        <f t="shared" si="13"/>
        <v>5342.4895199180082</v>
      </c>
      <c r="N75" s="155">
        <f t="shared" si="13"/>
        <v>5611.3707983311087</v>
      </c>
      <c r="O75" s="155">
        <f t="shared" si="13"/>
        <v>6124.8011607127228</v>
      </c>
      <c r="P75" s="155">
        <f t="shared" si="13"/>
        <v>6173.0298626590848</v>
      </c>
      <c r="Q75" s="155">
        <f t="shared" si="13"/>
        <v>6688.2212863941913</v>
      </c>
      <c r="R75" s="155">
        <f t="shared" si="13"/>
        <v>7004.315085282019</v>
      </c>
      <c r="S75" s="155">
        <f t="shared" si="13"/>
        <v>7332.7153902174059</v>
      </c>
      <c r="T75" s="155">
        <f t="shared" si="13"/>
        <v>7670.9197523338871</v>
      </c>
      <c r="U75" s="155">
        <f t="shared" si="13"/>
        <v>8032.3667561589755</v>
      </c>
      <c r="V75" s="155">
        <f t="shared" si="13"/>
        <v>8407.2468306266273</v>
      </c>
      <c r="W75" s="155">
        <f t="shared" si="13"/>
        <v>8776.3665045666094</v>
      </c>
      <c r="X75" s="155">
        <f t="shared" si="13"/>
        <v>9091.5026314993829</v>
      </c>
      <c r="Y75" s="155">
        <f t="shared" si="13"/>
        <v>9353.9976493303093</v>
      </c>
      <c r="Z75" s="155">
        <f t="shared" si="13"/>
        <v>9608.156389368065</v>
      </c>
    </row>
    <row r="76" spans="1:26" outlineLevel="1">
      <c r="A76" s="16" t="s">
        <v>294</v>
      </c>
      <c r="B76" s="151"/>
      <c r="C76" s="123">
        <f>$C$60</f>
        <v>0.5</v>
      </c>
      <c r="D76" s="155"/>
      <c r="E76" s="155">
        <f t="shared" ref="E76:Z76" si="14">$C$76*E72</f>
        <v>0</v>
      </c>
      <c r="F76" s="155">
        <f t="shared" ca="1" si="14"/>
        <v>4781.4630160840225</v>
      </c>
      <c r="G76" s="155">
        <f t="shared" si="14"/>
        <v>4066.8621311384213</v>
      </c>
      <c r="H76" s="155">
        <f t="shared" si="14"/>
        <v>3717.1851606630971</v>
      </c>
      <c r="I76" s="155">
        <f t="shared" si="14"/>
        <v>3704.6353979798214</v>
      </c>
      <c r="J76" s="155">
        <f t="shared" ca="1" si="14"/>
        <v>6959.0886233149649</v>
      </c>
      <c r="K76" s="155">
        <f t="shared" ca="1" si="14"/>
        <v>6591.6848798365345</v>
      </c>
      <c r="L76" s="155">
        <f t="shared" ca="1" si="14"/>
        <v>6442.7221534027576</v>
      </c>
      <c r="M76" s="155">
        <f t="shared" ca="1" si="14"/>
        <v>6384.8895976632739</v>
      </c>
      <c r="N76" s="155">
        <f t="shared" ca="1" si="14"/>
        <v>6295.4465355493949</v>
      </c>
      <c r="O76" s="155">
        <f t="shared" ca="1" si="14"/>
        <v>6362.9513013174992</v>
      </c>
      <c r="P76" s="155">
        <f t="shared" ca="1" si="14"/>
        <v>6933.7177068203328</v>
      </c>
      <c r="Q76" s="155">
        <f t="shared" ca="1" si="14"/>
        <v>7507.6638671422515</v>
      </c>
      <c r="R76" s="155">
        <f t="shared" ca="1" si="14"/>
        <v>7527.6092728649255</v>
      </c>
      <c r="S76" s="155">
        <f t="shared" ca="1" si="14"/>
        <v>7673.2728398291238</v>
      </c>
      <c r="T76" s="155">
        <f t="shared" ca="1" si="14"/>
        <v>7786.7331689579041</v>
      </c>
      <c r="U76" s="155">
        <f t="shared" ca="1" si="14"/>
        <v>6264.7967146972342</v>
      </c>
      <c r="V76" s="155">
        <f t="shared" ca="1" si="14"/>
        <v>5906.0687355676428</v>
      </c>
      <c r="W76" s="155">
        <f t="shared" si="14"/>
        <v>6383.457439773515</v>
      </c>
      <c r="X76" s="155">
        <f t="shared" si="14"/>
        <v>7176.8566766476633</v>
      </c>
      <c r="Y76" s="155">
        <f t="shared" si="14"/>
        <v>8003.4841162873072</v>
      </c>
      <c r="Z76" s="155">
        <f t="shared" ca="1" si="14"/>
        <v>11237.664066130552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34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8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8"/>
      <c r="B108" s="8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8"/>
      <c r="B109" s="8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8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2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  <c r="AF321" s="181"/>
    </row>
    <row r="322" spans="1:32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2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2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2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2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2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2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2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2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2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2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2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2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2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2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7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7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</row>
    <row r="339" spans="1:27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</row>
    <row r="340" spans="1:27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</row>
    <row r="341" spans="1:27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</row>
    <row r="342" spans="1:27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</row>
    <row r="343" spans="1:27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</row>
    <row r="344" spans="1:27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</row>
    <row r="345" spans="1:27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</row>
    <row r="346" spans="1:27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</row>
    <row r="347" spans="1:27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</row>
    <row r="348" spans="1:27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</row>
    <row r="349" spans="1:27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</row>
    <row r="350" spans="1:27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</row>
    <row r="351" spans="1:27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</row>
    <row r="352" spans="1:27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</row>
    <row r="353" spans="1:27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</row>
    <row r="354" spans="1:27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</row>
    <row r="355" spans="1:27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</row>
    <row r="356" spans="1:27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</row>
    <row r="357" spans="1:27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</row>
    <row r="358" spans="1:27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</row>
    <row r="359" spans="1:27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</row>
    <row r="360" spans="1:27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</row>
    <row r="361" spans="1:27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</row>
    <row r="362" spans="1:27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</row>
    <row r="363" spans="1:27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</row>
    <row r="364" spans="1:27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</row>
    <row r="365" spans="1:27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</row>
    <row r="366" spans="1:27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</row>
    <row r="367" spans="1:27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</row>
    <row r="368" spans="1:27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</row>
    <row r="369" spans="1:27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 spans="1:27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 spans="1:27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</row>
    <row r="372" spans="1:27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</row>
    <row r="373" spans="1:27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</row>
    <row r="374" spans="1:27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</row>
    <row r="375" spans="1:27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</row>
    <row r="376" spans="1:27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</row>
    <row r="377" spans="1:27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</row>
    <row r="378" spans="1:27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</row>
    <row r="379" spans="1:27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</row>
    <row r="380" spans="1:27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7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7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7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7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fitToHeight="2" orientation="landscape" r:id="rId1"/>
  <headerFooter alignWithMargins="0">
    <oddHeader>&amp;LEnron Generation Company</oddHeader>
    <oddFooter>&amp;L&amp;T, &amp;D&amp;C&amp;F&amp;RPage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6" sqref="I6"/>
    </sheetView>
  </sheetViews>
  <sheetFormatPr defaultColWidth="9.109375" defaultRowHeight="13.2" outlineLevelRow="2" outlineLevelCol="1"/>
  <cols>
    <col min="1" max="1" width="53.44140625" style="7" customWidth="1"/>
    <col min="2" max="3" width="8.44140625" style="7" customWidth="1"/>
    <col min="4" max="4" width="9.554687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1" spans="1:29">
      <c r="F1" s="7">
        <v>12</v>
      </c>
    </row>
    <row r="2" spans="1:29" ht="17.399999999999999">
      <c r="A2" s="126" t="s">
        <v>350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253"/>
      <c r="E10" s="253">
        <f>(Assumptions!$N$29)*Assumptions!$N$53*'Power Price Assumption'!E23</f>
        <v>0</v>
      </c>
      <c r="F10" s="253">
        <f>5*Assumptions!$N$29*'Power Price Assumption'!F23+7*Assumptions!$N$30*'Power Price Assumption'!F23</f>
        <v>17952</v>
      </c>
      <c r="G10" s="253">
        <f>12*Assumptions!$N$30*'Power Price Assumption'!G23</f>
        <v>18192</v>
      </c>
      <c r="H10" s="253">
        <f>12*Assumptions!$N$30*'Power Price Assumption'!H23</f>
        <v>18192</v>
      </c>
      <c r="I10" s="253">
        <f>Assumptions!$N$30*'Power Price Assumption'!I23*MONTH(Assumptions!$L$38)</f>
        <v>7580</v>
      </c>
      <c r="J10" s="253">
        <f>12*Assumptions!$N$30*'Power Price Assumption'!J23</f>
        <v>0</v>
      </c>
      <c r="K10" s="253">
        <f>12*Assumptions!$N$30*'Power Price Assumption'!K23</f>
        <v>0</v>
      </c>
      <c r="L10" s="253">
        <f>12*Assumptions!$N$30*'Power Price Assumption'!L23</f>
        <v>0</v>
      </c>
      <c r="M10" s="253">
        <f>12*Assumptions!$N$30*'Power Price Assumption'!M23</f>
        <v>0</v>
      </c>
      <c r="N10" s="253">
        <f>12*Assumptions!$N$30*'Power Price Assumption'!N23</f>
        <v>0</v>
      </c>
      <c r="O10" s="253">
        <f>12*Assumptions!$N$30*'Power Price Assumption'!O23</f>
        <v>0</v>
      </c>
      <c r="P10" s="253">
        <f>12*Assumptions!$N$30*'Power Price Assumption'!P23</f>
        <v>0</v>
      </c>
      <c r="Q10" s="253">
        <f>12*Assumptions!$N$30*'Power Price Assumption'!Q23</f>
        <v>0</v>
      </c>
      <c r="R10" s="253">
        <f>12*Assumptions!$N$30*'Power Price Assumption'!R23</f>
        <v>0</v>
      </c>
      <c r="S10" s="253">
        <f>12*Assumptions!$N$30*'Power Price Assumption'!S23</f>
        <v>0</v>
      </c>
      <c r="T10" s="253">
        <f>12*Assumptions!$N$30*'Power Price Assumption'!T23</f>
        <v>0</v>
      </c>
      <c r="U10" s="253">
        <f>12*Assumptions!$N$30*'Power Price Assumption'!U23</f>
        <v>0</v>
      </c>
      <c r="V10" s="253">
        <f>12*Assumptions!$N$30*'Power Price Assumption'!V23</f>
        <v>0</v>
      </c>
      <c r="W10" s="253">
        <f>12*Assumptions!$N$30*'Power Price Assumption'!W23</f>
        <v>0</v>
      </c>
      <c r="X10" s="253">
        <f>12*Assumptions!$N$30*'Power Price Assumption'!X23</f>
        <v>0</v>
      </c>
      <c r="Y10" s="253">
        <f>12*Assumptions!$N$30*'Power Price Assumption'!Y23</f>
        <v>0</v>
      </c>
      <c r="Z10" s="253">
        <f>12*Assumptions!$N$30*'Power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253"/>
      <c r="E11" s="253">
        <f>Assumptions!N$26*Assumptions!N$29*Assumptions!N$14/1000*Assumptions!N$53/12</f>
        <v>0</v>
      </c>
      <c r="F11" s="253">
        <f>Assumptions!N26*Assumptions!N$29*Assumptions!N$14/1000*5/12*(1+Assumptions!$N$39)^(5/12)+Assumptions!N26*Assumptions!N$30*Assumptions!N$14/1000*7/12*(1+Assumptions!$N$39)^(Caledonia!F5-Caledonia!E5)</f>
        <v>425.09558718773144</v>
      </c>
      <c r="G11" s="253">
        <f>Assumptions!N$26*Assumptions!N$30*Assumptions!N$14/1000*(1+Assumptions!N39)^(G5-E5)</f>
        <v>446.82514195447021</v>
      </c>
      <c r="H11" s="253">
        <f>G11*(1+Assumptions!$N$39)</f>
        <v>460.22989621310433</v>
      </c>
      <c r="I11" s="253">
        <f>5/12*Assumptions!$N$26*Assumptions!$N$17/1000*(1+Assumptions!$N$39)^(I5-$E$5)</f>
        <v>197.51533045812394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253"/>
      <c r="E12" s="253">
        <f>VLOOKUP(Assumptions!$N$19,'EGC Start Charge Matrix'!$A$10:$S$35,16)*Assumptions!N$53/12</f>
        <v>0</v>
      </c>
      <c r="F12" s="253">
        <f>VLOOKUP(Assumptions!$N$19,'EGC Start Charge Matrix'!$A$10:$S$35,16)*(1+Assumptions!$N$39)*$F$1/12</f>
        <v>1389.7583999999999</v>
      </c>
      <c r="G12" s="253">
        <f>F12*(1+Assumptions!$N$39)</f>
        <v>1431.4511519999999</v>
      </c>
      <c r="H12" s="253">
        <f>G12*(1+Assumptions!$N$39)</f>
        <v>1474.3946865599999</v>
      </c>
      <c r="I12" s="253">
        <f>H12*(1+Assumptions!$N$39)*5/12</f>
        <v>632.76105298200002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IF(Assumptions!$N$19=120,Assumptions!$N$33*(1-Assumptions!$N$35)*'Power Price Assumption'!I25*(12-MONTH(Assumptions!$L$38)),Assumptions!$N$33*(1-Assumptions!$N$35)*'Power Price Assumption'!I25*(12-MONTH(Assumptions!$L$38))-7/12*VLOOKUP(120,'EGC Start Charge Matrix'!$U$10:$AM$35,16)*(1+Assumptions!$N$52)^(I5-$E$5)*2/3)</f>
        <v>16484.56481944105</v>
      </c>
      <c r="J15" s="253">
        <f>IF(Assumptions!$N$19=120,Assumptions!$N$33*(1-Assumptions!$N$35)*'Power Price Assumption'!J25*(12),Assumptions!$N$33*(1-Assumptions!$N$35)*'Power Price Assumption'!J25*(12)-2/3*VLOOKUP(120,'EGC Start Charge Matrix'!$U$10:$AM$35,16)*(1+Assumptions!$N$39)^(J5-Brownsville!$E$5))</f>
        <v>28613.692076902906</v>
      </c>
      <c r="K15" s="253">
        <f>IF(Assumptions!$N$19=120,Assumptions!$N$33*(1-Assumptions!$N$35)*'Power Price Assumption'!K25*(12),Assumptions!$N$33*(1-Assumptions!$N$35)*'Power Price Assumption'!K25*(12)-2/3*VLOOKUP(120,'EGC Start Charge Matrix'!$U$10:$AM$35,16)*(1+Assumptions!$N$39)^(K5-Brownsville!$E$5))</f>
        <v>28963.963135085683</v>
      </c>
      <c r="L15" s="253">
        <f>IF(Assumptions!$N$19=120,Assumptions!$N$33*(1-Assumptions!$N$35)*'Power Price Assumption'!L25*(12),Assumptions!$N$33*(1-Assumptions!$N$35)*'Power Price Assumption'!L25*(12)-2/3*VLOOKUP(120,'EGC Start Charge Matrix'!$U$10:$AM$35,16)*(1+Assumptions!$N$39)^(L5-Brownsville!$E$5))</f>
        <v>29309.498133890207</v>
      </c>
      <c r="M15" s="253">
        <f>IF(Assumptions!$N$19=120,Assumptions!$N$33*(1-Assumptions!$N$35)*'Power Price Assumption'!M25*(12),Assumptions!$N$33*(1-Assumptions!$N$35)*'Power Price Assumption'!M25*(12)-2/3*VLOOKUP(120,'EGC Start Charge Matrix'!$U$10:$AM$35,16)*(1+Assumptions!$N$39)^(M5-Brownsville!$E$5))</f>
        <v>30188.783077906919</v>
      </c>
      <c r="N15" s="253">
        <f>IF(Assumptions!$N$19=120,Assumptions!$N$33*(1-Assumptions!$N$35)*'Power Price Assumption'!N25*(12),Assumptions!$N$33*(1-Assumptions!$N$35)*'Power Price Assumption'!N25*(12)-2/3*VLOOKUP(120,'EGC Start Charge Matrix'!$U$10:$AM$35,16)*(1+Assumptions!$N$39)^(N5-Brownsville!$E$5))</f>
        <v>30539.188595775478</v>
      </c>
      <c r="O15" s="253">
        <f>IF(Assumptions!$N$19=120,Assumptions!$N$33*(1-Assumptions!$N$35)*'Power Price Assumption'!O25*(12),Assumptions!$N$33*(1-Assumptions!$N$35)*'Power Price Assumption'!O25*(12)-2/3*VLOOKUP(120,'EGC Start Charge Matrix'!$U$10:$AM$35,16)*(1+Assumptions!$N$39)^(O5-Brownsville!$E$5))</f>
        <v>31455.364253648746</v>
      </c>
      <c r="P15" s="253">
        <f>IF(Assumptions!$N$19=120,Assumptions!$N$33*(1-Assumptions!$N$35)*'Power Price Assumption'!P25*(12),Assumptions!$N$33*(1-Assumptions!$N$35)*'Power Price Assumption'!P25*(12)-2/3*VLOOKUP(120,'EGC Start Charge Matrix'!$U$10:$AM$35,16)*(1+Assumptions!$N$39)^(P5-Brownsville!$E$5))</f>
        <v>31809.95199614442</v>
      </c>
      <c r="Q15" s="253">
        <f>IF(Assumptions!$N$19=120,Assumptions!$N$33*(1-Assumptions!$N$35)*'Power Price Assumption'!Q25*(12),Assumptions!$N$33*(1-Assumptions!$N$35)*'Power Price Assumption'!Q25*(12)-2/3*VLOOKUP(120,'EGC Start Charge Matrix'!$U$10:$AM$35,16)*(1+Assumptions!$N$39)^(Q5-Brownsville!$E$5))</f>
        <v>32764.250556028754</v>
      </c>
      <c r="R15" s="253">
        <f>IF(Assumptions!$N$19=120,Assumptions!$N$33*(1-Assumptions!$N$35)*'Power Price Assumption'!R25*(12),Assumptions!$N$33*(1-Assumptions!$N$35)*'Power Price Assumption'!R25*(12)-2/3*VLOOKUP(120,'EGC Start Charge Matrix'!$U$10:$AM$35,16)*(1+Assumptions!$N$39)^(R5-Brownsville!$E$5))</f>
        <v>33122.230330622406</v>
      </c>
      <c r="S15" s="253">
        <f>IF(Assumptions!$N$19=120,Assumptions!$N$33*(1-Assumptions!$N$35)*'Power Price Assumption'!S25*(12),Assumptions!$N$33*(1-Assumptions!$N$35)*'Power Price Assumption'!S25*(12)-2/3*VLOOKUP(120,'EGC Start Charge Matrix'!$U$10:$AM$35,16)*(1+Assumptions!$N$39)^(S5-Brownsville!$E$5))</f>
        <v>33472.201066191243</v>
      </c>
      <c r="T15" s="253">
        <f>IF(Assumptions!$N$19=120,Assumptions!$N$33*(1-Assumptions!$N$35)*'Power Price Assumption'!T25*(12),Assumptions!$N$33*(1-Assumptions!$N$35)*'Power Price Assumption'!T25*(12)-2/3*VLOOKUP(120,'EGC Start Charge Matrix'!$U$10:$AM$35,16)*(1+Assumptions!$N$39)^(T5-Brownsville!$E$5))</f>
        <v>33813.360038596649</v>
      </c>
      <c r="U15" s="253">
        <f>IF(Assumptions!$N$19=120,Assumptions!$N$33*(1-Assumptions!$N$35)*'Power Price Assumption'!U25*(12),Assumptions!$N$33*(1-Assumptions!$N$35)*'Power Price Assumption'!U25*(12)-2/3*VLOOKUP(120,'EGC Start Charge Matrix'!$U$10:$AM$35,16)*(1+Assumptions!$N$39)^(U5-Brownsville!$E$5))</f>
        <v>34144.863568386805</v>
      </c>
      <c r="V15" s="253">
        <f>IF(Assumptions!$N$19=120,Assumptions!$N$33*(1-Assumptions!$N$35)*'Power Price Assumption'!V25*(12),Assumptions!$N$33*(1-Assumptions!$N$35)*'Power Price Assumption'!V25*(12)-2/3*VLOOKUP(120,'EGC Start Charge Matrix'!$U$10:$AM$35,16)*(1+Assumptions!$N$39)^(V5-Brownsville!$E$5))</f>
        <v>34465.825285929648</v>
      </c>
      <c r="W15" s="253">
        <f>IF(Assumptions!$N$19=120,Assumptions!$N$33*(1-Assumptions!$N$35)*'Power Price Assumption'!W25*(12),Assumptions!$N$33*(1-Assumptions!$N$35)*'Power Price Assumption'!W25*(12)-2/3*VLOOKUP(120,'EGC Start Charge Matrix'!$U$10:$AM$35,16)*(1+Assumptions!$N$39)^(W5-Brownsville!$E$5))</f>
        <v>34775.314329313507</v>
      </c>
      <c r="X15" s="253">
        <f>IF(Assumptions!$N$19=120,Assumptions!$N$33*(1-Assumptions!$N$35)*'Power Price Assumption'!X25*(12),Assumptions!$N$33*(1-Assumptions!$N$35)*'Power Price Assumption'!X25*(12)-2/3*VLOOKUP(120,'EGC Start Charge Matrix'!$U$10:$AM$35,16)*(1+Assumptions!$N$39)^(X5-Brownsville!$E$5))</f>
        <v>35072.353472543058</v>
      </c>
      <c r="Y15" s="253">
        <f>IF(Assumptions!$N$19=120,Assumptions!$N$33*(1-Assumptions!$N$35)*'Power Price Assumption'!Y25*(12),Assumptions!$N$33*(1-Assumptions!$N$35)*'Power Price Assumption'!Y25*(12)-2/3*VLOOKUP(120,'EGC Start Charge Matrix'!$U$10:$AM$35,16)*(1+Assumptions!$N$39)^(Y5-Brownsville!$E$5))</f>
        <v>35355.917181469995</v>
      </c>
      <c r="Z15" s="253">
        <f>IF(Assumptions!$N$19=120,Assumptions!$N$33*(1-Assumptions!$N$35)*'Power Price Assumption'!Z25*(12),Assumptions!$N$33*(1-Assumptions!$N$35)*'Power Price Assumption'!Z25*(12)-2/3*VLOOKUP(120,'EGC Start Charge Matrix'!$U$10:$AM$35,16)*(1+Assumptions!$N$39)^(Z5-Brownsville!$E$5))</f>
        <v>35624.929594807269</v>
      </c>
      <c r="AA15" s="140"/>
      <c r="AB15" s="140"/>
      <c r="AC15" s="140"/>
    </row>
    <row r="16" spans="1:29">
      <c r="A16" s="4" t="s">
        <v>171</v>
      </c>
      <c r="B16" s="143"/>
      <c r="C16" s="143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7/12*Assumptions!$N$26*Assumptions!$N$34/1000*(1+Assumptions!$N$39)^(I5-$E$5)+H12*(1+Assumptions!$N$39)*7/12*1/3</f>
        <v>602.88833984477287</v>
      </c>
      <c r="J16" s="253">
        <f>(Assumptions!$N$26*Assumptions!$N$34/1000)*(1+Assumptions!$N$39)^(J5-$E$5)+$F$12*(1+Assumptions!$N$39)^(J5-$F$5)*1/3</f>
        <v>1064.5285543544846</v>
      </c>
      <c r="K16" s="253">
        <f>J16*(1+Assumptions!$N$39)</f>
        <v>1096.4644109851192</v>
      </c>
      <c r="L16" s="253">
        <f>K16*(1+Assumptions!$N$39)</f>
        <v>1129.3583433146728</v>
      </c>
      <c r="M16" s="253">
        <f>L16*(1+Assumptions!$N$39)</f>
        <v>1163.239093614113</v>
      </c>
      <c r="N16" s="253">
        <f>M16*(1+Assumptions!$N$39)</f>
        <v>1198.1362664225364</v>
      </c>
      <c r="O16" s="253">
        <f>N16*(1+Assumptions!$N$39)</f>
        <v>1234.0803544152125</v>
      </c>
      <c r="P16" s="253">
        <f>O16*(1+Assumptions!$N$39)</f>
        <v>1271.102765047669</v>
      </c>
      <c r="Q16" s="253">
        <f>P16*(1+Assumptions!$N$39)</f>
        <v>1309.2358479990992</v>
      </c>
      <c r="R16" s="253">
        <f>Q16*(1+Assumptions!$N$39)</f>
        <v>1348.5129234390722</v>
      </c>
      <c r="S16" s="253">
        <f>R16*(1+Assumptions!$N$39)</f>
        <v>1388.9683111422444</v>
      </c>
      <c r="T16" s="253">
        <f>S16*(1+Assumptions!$N$39)</f>
        <v>1430.6373604765117</v>
      </c>
      <c r="U16" s="253">
        <f>T16*(1+Assumptions!$N$39)</f>
        <v>1473.5564812908071</v>
      </c>
      <c r="V16" s="253">
        <f>U16*(1+Assumptions!$N$39)</f>
        <v>1517.7631757295314</v>
      </c>
      <c r="W16" s="253">
        <f>V16*(1+Assumptions!$N$39)</f>
        <v>1563.2960710014174</v>
      </c>
      <c r="X16" s="253">
        <f>W16*(1+Assumptions!$N$39)</f>
        <v>1610.1949531314599</v>
      </c>
      <c r="Y16" s="253">
        <f>X16*(1+Assumptions!$N$39)</f>
        <v>1658.5008017254038</v>
      </c>
      <c r="Z16" s="253">
        <f>Y16*(1+Assumptions!$N$39)</f>
        <v>1708.2558257771659</v>
      </c>
      <c r="AA16" s="140"/>
      <c r="AB16" s="140"/>
      <c r="AC16" s="140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Assumptions!$N$33*Assumptions!$N$35*Assumptions!$N$36*Assumptions!$N$14/1000*7/12</f>
        <v>5.2530861599999996</v>
      </c>
      <c r="J17" s="253">
        <f>Assumptions!$N$33*Assumptions!$N$35*Assumptions!$N$36*Assumptions!$N$14/1000</f>
        <v>9.0052905599999988</v>
      </c>
      <c r="K17" s="253">
        <f>Assumptions!$N$33*Assumptions!$N$35*Assumptions!$N$36*Assumptions!$N$14/1000</f>
        <v>9.0052905599999988</v>
      </c>
      <c r="L17" s="253">
        <f>Assumptions!$N$33*Assumptions!$N$35*Assumptions!$N$36*Assumptions!$N$14/1000</f>
        <v>9.0052905599999988</v>
      </c>
      <c r="M17" s="253">
        <f>Assumptions!$N$33*Assumptions!$N$35*Assumptions!$N$36*Assumptions!$N$14/1000</f>
        <v>9.0052905599999988</v>
      </c>
      <c r="N17" s="253">
        <f>Assumptions!$N$33*Assumptions!$N$35*Assumptions!$N$36*Assumptions!$N$14/1000</f>
        <v>9.0052905599999988</v>
      </c>
      <c r="O17" s="253">
        <f>Assumptions!$N$33*Assumptions!$N$35*Assumptions!$N$36*Assumptions!$N$14/1000</f>
        <v>9.0052905599999988</v>
      </c>
      <c r="P17" s="253">
        <f>Assumptions!$N$33*Assumptions!$N$35*Assumptions!$N$36*Assumptions!$N$14/1000</f>
        <v>9.0052905599999988</v>
      </c>
      <c r="Q17" s="253">
        <f>Assumptions!$N$33*Assumptions!$N$35*Assumptions!$N$36*Assumptions!$N$14/1000</f>
        <v>9.0052905599999988</v>
      </c>
      <c r="R17" s="253">
        <f>Assumptions!$N$33*Assumptions!$N$35*Assumptions!$N$36*Assumptions!$N$14/1000</f>
        <v>9.0052905599999988</v>
      </c>
      <c r="S17" s="253">
        <f>Assumptions!$N$33*Assumptions!$N$35*Assumptions!$N$36*Assumptions!$N$14/1000</f>
        <v>9.0052905599999988</v>
      </c>
      <c r="T17" s="253">
        <f>Assumptions!$N$33*Assumptions!$N$35*Assumptions!$N$36*Assumptions!$N$14/1000</f>
        <v>9.0052905599999988</v>
      </c>
      <c r="U17" s="253">
        <f>Assumptions!$N$33*Assumptions!$N$35*Assumptions!$N$36*Assumptions!$N$14/1000</f>
        <v>9.0052905599999988</v>
      </c>
      <c r="V17" s="253">
        <f>Assumptions!$N$33*Assumptions!$N$35*Assumptions!$N$36*Assumptions!$N$14/1000</f>
        <v>9.0052905599999988</v>
      </c>
      <c r="W17" s="253">
        <f>Assumptions!$N$33*Assumptions!$N$35*Assumptions!$N$36*Assumptions!$N$14/1000</f>
        <v>9.0052905599999988</v>
      </c>
      <c r="X17" s="253">
        <f>Assumptions!$N$33*Assumptions!$N$35*Assumptions!$N$36*Assumptions!$N$14/1000</f>
        <v>9.0052905599999988</v>
      </c>
      <c r="Y17" s="253">
        <f>Assumptions!$N$33*Assumptions!$N$35*Assumptions!$N$36*Assumptions!$N$14/1000</f>
        <v>9.0052905599999988</v>
      </c>
      <c r="Z17" s="253">
        <f>Assumptions!$N$33*Assumptions!$N$35*Assumptions!$N$36*Assumptions!$N$14/1000</f>
        <v>9.0052905599999988</v>
      </c>
      <c r="AA17" s="140"/>
      <c r="AB17" s="140"/>
      <c r="AC17" s="140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184.46860291344652</v>
      </c>
      <c r="G19" s="254">
        <f>(SUM(G10:G17)-SUM(G25:G35))*Assumptions!$B$34/4</f>
        <v>188.77552274180812</v>
      </c>
      <c r="H19" s="254">
        <f>(SUM(H10:H17)-SUM(H25:H35))*Assumptions!$B$34/4</f>
        <v>188.13768591824839</v>
      </c>
      <c r="I19" s="254">
        <f>(SUM(I10:I17)-SUM(I25:I35))*Assumptions!$B$34/4</f>
        <v>250.98395112517133</v>
      </c>
      <c r="J19" s="254">
        <f>(SUM(J10:J17)-SUM(J25:J35))*Assumptions!$B$34/4</f>
        <v>300.27016784208871</v>
      </c>
      <c r="K19" s="254">
        <f>(SUM(K10:K17)-SUM(K25:K35))*Assumptions!$B$34/4</f>
        <v>303.40829029761886</v>
      </c>
      <c r="L19" s="254">
        <f>(SUM(L10:L17)-SUM(L25:L35))*Assumptions!$B$34/4</f>
        <v>306.52832013829402</v>
      </c>
      <c r="M19" s="254">
        <f>(SUM(M10:M17)-SUM(M25:M35))*Assumptions!$B$34/4</f>
        <v>316.2767512147397</v>
      </c>
      <c r="N19" s="254">
        <f>(SUM(N10:N17)-SUM(N25:N35))*Assumptions!$B$34/4</f>
        <v>319.36941219257028</v>
      </c>
      <c r="O19" s="254">
        <f>(SUM(O10:O17)-SUM(O25:O35))*Assumptions!$B$34/4</f>
        <v>329.57139433110291</v>
      </c>
      <c r="P19" s="254">
        <f>(SUM(P10:P17)-SUM(P25:P35))*Assumptions!$B$34/4</f>
        <v>325.15361124116015</v>
      </c>
      <c r="Q19" s="254">
        <f>(SUM(Q10:Q17)-SUM(Q25:Q35))*Assumptions!$B$34/4</f>
        <v>336.48873531504432</v>
      </c>
      <c r="R19" s="254">
        <f>(SUM(R10:R17)-SUM(R25:R35))*Assumptions!$B$34/4</f>
        <v>340.40170461047376</v>
      </c>
      <c r="S19" s="254">
        <f>(SUM(S10:S17)-SUM(S25:S35))*Assumptions!$B$34/4</f>
        <v>344.2085181146067</v>
      </c>
      <c r="T19" s="254">
        <f>(SUM(T10:T17)-SUM(T25:T35))*Assumptions!$B$34/4</f>
        <v>347.85211560279589</v>
      </c>
      <c r="U19" s="254">
        <f>(SUM(U10:U17)-SUM(U25:U35))*Assumptions!$B$34/4</f>
        <v>351.67996803358051</v>
      </c>
      <c r="V19" s="254">
        <f>(SUM(V10:V17)-SUM(V25:V35))*Assumptions!$B$34/4</f>
        <v>355.62729902814925</v>
      </c>
      <c r="W19" s="254">
        <f>(SUM(W10:W17)-SUM(W25:W35))*Assumptions!$B$34/4</f>
        <v>359.44493252965958</v>
      </c>
      <c r="X19" s="254">
        <f>(SUM(X10:X17)-SUM(X25:X35))*Assumptions!$B$34/4</f>
        <v>362.0307110671074</v>
      </c>
      <c r="Y19" s="254">
        <f>(SUM(Y10:Y17)-SUM(Y25:Y35))*Assumptions!$B$34/4</f>
        <v>363.7956963757739</v>
      </c>
      <c r="Z19" s="254">
        <f>(SUM(Z10:Z17)-SUM(Z25:Z35))*Assumptions!$B$34/4</f>
        <v>368.84016826566233</v>
      </c>
      <c r="AA19" s="140"/>
      <c r="AB19" s="140"/>
      <c r="AC19" s="140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19951.322590101176</v>
      </c>
      <c r="G20" s="253">
        <f t="shared" si="1"/>
        <v>20259.051816696279</v>
      </c>
      <c r="H20" s="253">
        <f t="shared" si="1"/>
        <v>20314.762268691353</v>
      </c>
      <c r="I20" s="253">
        <f t="shared" si="1"/>
        <v>25753.966580011114</v>
      </c>
      <c r="J20" s="253">
        <f t="shared" si="1"/>
        <v>29987.496089659478</v>
      </c>
      <c r="K20" s="253">
        <f t="shared" si="1"/>
        <v>30372.841126928419</v>
      </c>
      <c r="L20" s="253">
        <f t="shared" si="1"/>
        <v>30754.390087903175</v>
      </c>
      <c r="M20" s="253">
        <f t="shared" si="1"/>
        <v>31677.304213295771</v>
      </c>
      <c r="N20" s="253">
        <f t="shared" si="1"/>
        <v>32065.699564950584</v>
      </c>
      <c r="O20" s="253">
        <f t="shared" si="1"/>
        <v>33028.021292955062</v>
      </c>
      <c r="P20" s="253">
        <f t="shared" si="1"/>
        <v>33415.213662993257</v>
      </c>
      <c r="Q20" s="253">
        <f t="shared" si="1"/>
        <v>34418.980429902906</v>
      </c>
      <c r="R20" s="253">
        <f t="shared" si="1"/>
        <v>34820.150249231949</v>
      </c>
      <c r="S20" s="253">
        <f t="shared" si="1"/>
        <v>35214.383186008097</v>
      </c>
      <c r="T20" s="253">
        <f t="shared" si="1"/>
        <v>35600.854805235955</v>
      </c>
      <c r="U20" s="253">
        <f t="shared" si="1"/>
        <v>35979.105308271195</v>
      </c>
      <c r="V20" s="253">
        <f t="shared" si="1"/>
        <v>36348.221051247332</v>
      </c>
      <c r="W20" s="253">
        <f t="shared" si="1"/>
        <v>36707.060623404584</v>
      </c>
      <c r="X20" s="253">
        <f t="shared" si="1"/>
        <v>37053.584427301626</v>
      </c>
      <c r="Y20" s="253">
        <f t="shared" si="1"/>
        <v>37387.218970131173</v>
      </c>
      <c r="Z20" s="253">
        <f t="shared" si="1"/>
        <v>37711.0308794101</v>
      </c>
      <c r="AA20" s="140"/>
      <c r="AB20" s="140"/>
      <c r="AC20" s="14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60" s="146" customForma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Assumptions!$N56*Assumptions!N53/12</f>
        <v>0</v>
      </c>
      <c r="F25" s="253">
        <f>Assumptions!$N56*(1+Assumptions!$L$52)*$F$1/12</f>
        <v>1057.1837600000001</v>
      </c>
      <c r="G25" s="253">
        <f>F25*(1+Assumptions!$N$52)</f>
        <v>1088.8992728000001</v>
      </c>
      <c r="H25" s="253">
        <f>G25*(1+Assumptions!$N$52)</f>
        <v>1121.5662509840001</v>
      </c>
      <c r="I25" s="253">
        <f>H25*(1+Assumptions!$N$52)</f>
        <v>1155.2132385135201</v>
      </c>
      <c r="J25" s="253">
        <f>I25*(1+Assumptions!$N$52)</f>
        <v>1189.8696356689256</v>
      </c>
      <c r="K25" s="253">
        <f>J25*(1+Assumptions!$N$52)</f>
        <v>1225.5657247389934</v>
      </c>
      <c r="L25" s="253">
        <f>K25*(1+Assumptions!$N$52)</f>
        <v>1262.3326964811631</v>
      </c>
      <c r="M25" s="253">
        <f>L25*(1+Assumptions!$N$52)</f>
        <v>1300.2026773755981</v>
      </c>
      <c r="N25" s="253">
        <f>M25*(1+Assumptions!$N$52)</f>
        <v>1339.2087576968661</v>
      </c>
      <c r="O25" s="253">
        <f>N25*(1+Assumptions!$N$52)</f>
        <v>1379.3850204277721</v>
      </c>
      <c r="P25" s="253">
        <f>O25*(1+Assumptions!$N$52)</f>
        <v>1420.7665710406054</v>
      </c>
      <c r="Q25" s="253">
        <f>P25*(1+Assumptions!$N$52)</f>
        <v>1463.3895681718236</v>
      </c>
      <c r="R25" s="253">
        <f>Q25*(1+Assumptions!$N$52)</f>
        <v>1507.2912552169785</v>
      </c>
      <c r="S25" s="253">
        <f>R25*(1+Assumptions!$N$52)</f>
        <v>1552.5099928734878</v>
      </c>
      <c r="T25" s="253">
        <f>S25*(1+Assumptions!$N$52)</f>
        <v>1599.0852926596924</v>
      </c>
      <c r="U25" s="253">
        <f>T25*(1+Assumptions!$N$52)</f>
        <v>1647.0578514394833</v>
      </c>
      <c r="V25" s="253">
        <f>U25*(1+Assumptions!$N$52)</f>
        <v>1696.4695869826678</v>
      </c>
      <c r="W25" s="253">
        <f>V25*(1+Assumptions!$N$52)</f>
        <v>1747.3636745921478</v>
      </c>
      <c r="X25" s="253">
        <f>W25*(1+Assumptions!$N$52)</f>
        <v>1799.7845848299123</v>
      </c>
      <c r="Y25" s="253">
        <f>X25*(1+Assumptions!$N$52)</f>
        <v>1853.7781223748098</v>
      </c>
      <c r="Z25" s="253">
        <f>Y25*(1+Assumptions!$N$52)</f>
        <v>1909.3914660460541</v>
      </c>
    </row>
    <row r="26" spans="1:60">
      <c r="A26" s="4" t="s">
        <v>177</v>
      </c>
      <c r="D26"/>
      <c r="E26" s="253">
        <f>Assumptions!$N58*Assumptions!N$53/12</f>
        <v>0</v>
      </c>
      <c r="F26" s="253">
        <f>Assumptions!N58*5/12*(1+Assumptions!N52)^(5/12)+Assumptions!N59*7/12*(1+Assumptions!N52)</f>
        <v>425.09558718773144</v>
      </c>
      <c r="G26" s="253">
        <f>Assumptions!N59*(1+Assumptions!$N$52)^(G5-$E$5)</f>
        <v>446.82514195447021</v>
      </c>
      <c r="H26" s="253">
        <f>G26*(1+Assumptions!$N$52)</f>
        <v>460.22989621310433</v>
      </c>
      <c r="I26" s="253">
        <f>5/12*Assumptions!N59*((1+Assumptions!$N$52)^(Brownsville!I5-Brownsville!$E$5))+7/12*Assumptions!$N$60*((1+Assumptions!$N$52)^(I5-$E$5))</f>
        <v>505.11517891129677</v>
      </c>
      <c r="J26" s="253">
        <f>Assumptions!$N$60*(1+Assumptions!$N$52)^(J5-$E$5)</f>
        <v>543.13344669731657</v>
      </c>
      <c r="K26" s="253">
        <f>J26*(1+Assumptions!$N$52)</f>
        <v>559.42745009823614</v>
      </c>
      <c r="L26" s="253">
        <f>K26*(1+Assumptions!$N$52)</f>
        <v>576.21027360118319</v>
      </c>
      <c r="M26" s="253">
        <f>L26*(1+Assumptions!$N$52)</f>
        <v>593.4965818092187</v>
      </c>
      <c r="N26" s="253">
        <f>M26*(1+Assumptions!$N$52)</f>
        <v>611.30147926349525</v>
      </c>
      <c r="O26" s="253">
        <f>N26*(1+Assumptions!$N$52)</f>
        <v>629.64052364140014</v>
      </c>
      <c r="P26" s="253">
        <f>O26*(1+Assumptions!$N$52)</f>
        <v>648.5297393506421</v>
      </c>
      <c r="Q26" s="253">
        <f>P26*(1+Assumptions!$N$52)</f>
        <v>667.9856315311614</v>
      </c>
      <c r="R26" s="253">
        <f>Q26*(1+Assumptions!$N$52)</f>
        <v>688.02520047709629</v>
      </c>
      <c r="S26" s="253">
        <f>R26*(1+Assumptions!$N$52)</f>
        <v>708.66595649140925</v>
      </c>
      <c r="T26" s="253">
        <f>S26*(1+Assumptions!$N$52)</f>
        <v>729.92593518615149</v>
      </c>
      <c r="U26" s="253">
        <f>T26*(1+Assumptions!$N$52)</f>
        <v>751.82371324173607</v>
      </c>
      <c r="V26" s="253">
        <f>U26*(1+Assumptions!$N$52)</f>
        <v>774.37842463898812</v>
      </c>
      <c r="W26" s="253">
        <f>V26*(1+Assumptions!$N$52)</f>
        <v>797.60977737815779</v>
      </c>
      <c r="X26" s="253">
        <f>W26*(1+Assumptions!$N$52)</f>
        <v>821.53807069950255</v>
      </c>
      <c r="Y26" s="253">
        <f>X26*(1+Assumptions!$N$52)</f>
        <v>846.18421282048769</v>
      </c>
      <c r="Z26" s="253">
        <f>Y26*(1+Assumptions!$N$52)</f>
        <v>871.56973920510234</v>
      </c>
    </row>
    <row r="27" spans="1:60">
      <c r="A27" s="4" t="s">
        <v>131</v>
      </c>
      <c r="D27"/>
      <c r="E27" s="253">
        <f>VLOOKUP(Assumptions!N19,'EGC Start Charge Matrix'!$U$10:$AM$35,16)*Assumptions!N$53/12</f>
        <v>0</v>
      </c>
      <c r="F27" s="253">
        <f>VLOOKUP(Assumptions!N19,'EGC Start Charge Matrix'!$U$10:$AM$35,16)*(1+Assumptions!$N$52)*$F$1/12</f>
        <v>1389.7583999999999</v>
      </c>
      <c r="G27" s="253">
        <f>F27*(1+Assumptions!$N$52)</f>
        <v>1431.4511519999999</v>
      </c>
      <c r="H27" s="253">
        <f>G27*(1+Assumptions!$N$52)</f>
        <v>1474.3946865599999</v>
      </c>
      <c r="I27" s="253">
        <f>H27*(1+Assumptions!$N$52)</f>
        <v>1518.6265271568</v>
      </c>
      <c r="J27" s="253">
        <f>I27*(1+Assumptions!$N$52)</f>
        <v>1564.1853229715041</v>
      </c>
      <c r="K27" s="253">
        <f>J27*(1+Assumptions!$N$52)</f>
        <v>1611.1108826606492</v>
      </c>
      <c r="L27" s="253">
        <f>K27*(1+Assumptions!$N$52)</f>
        <v>1659.4442091404687</v>
      </c>
      <c r="M27" s="253">
        <f>L27*(1+Assumptions!$N$52)</f>
        <v>1709.2275354146827</v>
      </c>
      <c r="N27" s="253">
        <f>M27*(1+Assumptions!$N$52)</f>
        <v>1760.5043614771232</v>
      </c>
      <c r="O27" s="253">
        <f>N27*(1+Assumptions!$N$52)</f>
        <v>1813.3194923214369</v>
      </c>
      <c r="P27" s="253">
        <f>O27*(1+Assumptions!$N$52)</f>
        <v>1867.71907709108</v>
      </c>
      <c r="Q27" s="253">
        <f>P27*(1+Assumptions!$N$52)</f>
        <v>1923.7506494038123</v>
      </c>
      <c r="R27" s="253">
        <f>Q27*(1+Assumptions!$N$52)</f>
        <v>1981.4631688859267</v>
      </c>
      <c r="S27" s="253">
        <f>R27*(1+Assumptions!$N$52)</f>
        <v>2040.9070639525046</v>
      </c>
      <c r="T27" s="253">
        <f>S27*(1+Assumptions!$N$52)</f>
        <v>2102.1342758710798</v>
      </c>
      <c r="U27" s="253">
        <f>T27*(1+Assumptions!$N$52)</f>
        <v>2165.1983041472122</v>
      </c>
      <c r="V27" s="253">
        <f>U27*(1+Assumptions!$N$52)</f>
        <v>2230.1542532716285</v>
      </c>
      <c r="W27" s="253">
        <f>V27*(1+Assumptions!$N$52)</f>
        <v>2297.0588808697776</v>
      </c>
      <c r="X27" s="253">
        <f>W27*(1+Assumptions!$N$52)</f>
        <v>2365.970647295871</v>
      </c>
      <c r="Y27" s="253">
        <f>X27*(1+Assumptions!$N$52)</f>
        <v>2436.9497667147471</v>
      </c>
      <c r="Z27" s="253">
        <f>Y27*(1+Assumptions!$N$52)</f>
        <v>2510.0582597161897</v>
      </c>
    </row>
    <row r="28" spans="1:60">
      <c r="A28" s="4" t="s">
        <v>133</v>
      </c>
      <c r="D28"/>
      <c r="E28" s="253">
        <f>Assumptions!$N62*Assumptions!N53/12</f>
        <v>0</v>
      </c>
      <c r="F28" s="253">
        <f>Assumptions!$N62*(1+Assumptions!$N$52)*$F$1/12</f>
        <v>258.1592</v>
      </c>
      <c r="G28" s="253">
        <f>F28*(1+Assumptions!$N$52)</f>
        <v>265.903976</v>
      </c>
      <c r="H28" s="253">
        <f>G28*(1+Assumptions!$N$52)</f>
        <v>273.88109528000001</v>
      </c>
      <c r="I28" s="253">
        <f>H28*(1+Assumptions!$N$52)</f>
        <v>282.09752813840004</v>
      </c>
      <c r="J28" s="253">
        <f>I28*(1+Assumptions!$N$52)</f>
        <v>290.56045398255202</v>
      </c>
      <c r="K28" s="253">
        <f>J28*(1+Assumptions!$N$52)</f>
        <v>299.27726760202859</v>
      </c>
      <c r="L28" s="253">
        <f>K28*(1+Assumptions!$N$52)</f>
        <v>308.25558563008946</v>
      </c>
      <c r="M28" s="253">
        <f>L28*(1+Assumptions!$N$52)</f>
        <v>317.50325319899213</v>
      </c>
      <c r="N28" s="253">
        <f>M28*(1+Assumptions!$N$52)</f>
        <v>327.02835079496191</v>
      </c>
      <c r="O28" s="253">
        <f>N28*(1+Assumptions!$N$52)</f>
        <v>336.83920131881075</v>
      </c>
      <c r="P28" s="253">
        <f>O28*(1+Assumptions!$N$52)</f>
        <v>346.94437735837511</v>
      </c>
      <c r="Q28" s="253">
        <f>P28*(1+Assumptions!$N$52)</f>
        <v>357.35270867912635</v>
      </c>
      <c r="R28" s="253">
        <f>Q28*(1+Assumptions!$N$52)</f>
        <v>368.07328993950017</v>
      </c>
      <c r="S28" s="253">
        <f>R28*(1+Assumptions!$N$52)</f>
        <v>379.11548863768519</v>
      </c>
      <c r="T28" s="253">
        <f>S28*(1+Assumptions!$N$52)</f>
        <v>390.48895329681574</v>
      </c>
      <c r="U28" s="253">
        <f>T28*(1+Assumptions!$N$52)</f>
        <v>402.20362189572023</v>
      </c>
      <c r="V28" s="253">
        <f>U28*(1+Assumptions!$N$52)</f>
        <v>414.26973055259185</v>
      </c>
      <c r="W28" s="253">
        <f>V28*(1+Assumptions!$N$52)</f>
        <v>426.69782246916964</v>
      </c>
      <c r="X28" s="253">
        <f>W28*(1+Assumptions!$N$52)</f>
        <v>439.49875714324475</v>
      </c>
      <c r="Y28" s="253">
        <f>X28*(1+Assumptions!$N$52)</f>
        <v>452.68371985754209</v>
      </c>
      <c r="Z28" s="253">
        <f>Y28*(1+Assumptions!$N$52)</f>
        <v>466.26423145326834</v>
      </c>
    </row>
    <row r="29" spans="1:60">
      <c r="A29" s="4" t="s">
        <v>134</v>
      </c>
      <c r="D29"/>
      <c r="E29" s="253">
        <f>Assumptions!$N63*Assumptions!N53/12</f>
        <v>0</v>
      </c>
      <c r="F29" s="253">
        <f>(Assumptions!$N63)*(1+Assumptions!$N$52)*$F$1/12</f>
        <v>344.12815000000001</v>
      </c>
      <c r="G29" s="253">
        <f>F29*(1+Assumptions!$N$52)</f>
        <v>354.45199450000001</v>
      </c>
      <c r="H29" s="253">
        <f>G29*(1+Assumptions!$N$52)</f>
        <v>365.08555433500004</v>
      </c>
      <c r="I29" s="253">
        <f>H29*(1+Assumptions!$N$52)</f>
        <v>376.03812096505004</v>
      </c>
      <c r="J29" s="253">
        <f>I29*(1+Assumptions!$N$52)</f>
        <v>387.31926459400154</v>
      </c>
      <c r="K29" s="253">
        <f>J29*(1+Assumptions!$N$52)</f>
        <v>398.93884253182159</v>
      </c>
      <c r="L29" s="253">
        <f>K29*(1+Assumptions!$N$52)</f>
        <v>410.90700780777627</v>
      </c>
      <c r="M29" s="253">
        <f>L29*(1+Assumptions!$N$52)</f>
        <v>423.23421804200956</v>
      </c>
      <c r="N29" s="253">
        <f>M29*(1+Assumptions!$N$52)</f>
        <v>435.93124458326986</v>
      </c>
      <c r="O29" s="253">
        <f>N29*(1+Assumptions!$N$52)</f>
        <v>449.00918192076796</v>
      </c>
      <c r="P29" s="253">
        <f>O29*(1+Assumptions!$N$52)</f>
        <v>462.47945737839103</v>
      </c>
      <c r="Q29" s="253">
        <f>P29*(1+Assumptions!$N$52)</f>
        <v>476.35384109974279</v>
      </c>
      <c r="R29" s="253">
        <f>Q29*(1+Assumptions!$N$52)</f>
        <v>490.6444563327351</v>
      </c>
      <c r="S29" s="253">
        <f>R29*(1+Assumptions!$N$52)</f>
        <v>505.36379002271718</v>
      </c>
      <c r="T29" s="253">
        <f>S29*(1+Assumptions!$N$52)</f>
        <v>520.52470372339872</v>
      </c>
      <c r="U29" s="253">
        <f>T29*(1+Assumptions!$N$52)</f>
        <v>536.14044483510065</v>
      </c>
      <c r="V29" s="253">
        <f>U29*(1+Assumptions!$N$52)</f>
        <v>552.22465818015371</v>
      </c>
      <c r="W29" s="253">
        <f>V29*(1+Assumptions!$N$52)</f>
        <v>568.79139792555839</v>
      </c>
      <c r="X29" s="253">
        <f>W29*(1+Assumptions!$N$52)</f>
        <v>585.85513986332512</v>
      </c>
      <c r="Y29" s="253">
        <f>X29*(1+Assumptions!$N$52)</f>
        <v>603.43079405922492</v>
      </c>
      <c r="Z29" s="253">
        <f>Y29*(1+Assumptions!$N$52)</f>
        <v>621.53371788100173</v>
      </c>
    </row>
    <row r="30" spans="1:60">
      <c r="A30" s="4" t="s">
        <v>287</v>
      </c>
      <c r="D30"/>
      <c r="E30" s="253">
        <f>+Assumptions!N64*Assumptions!N53/12</f>
        <v>0</v>
      </c>
      <c r="F30" s="253">
        <f>+Assumptions!N64*(1+Assumptions!$L$52)*$F$1/12</f>
        <v>79.363560000000007</v>
      </c>
      <c r="G30" s="253">
        <f>F30*(1+Assumptions!$N$52)</f>
        <v>81.744466800000012</v>
      </c>
      <c r="H30" s="253">
        <f>G30*(1+Assumptions!$N$52)</f>
        <v>84.19680080400002</v>
      </c>
      <c r="I30" s="253">
        <f>H30*(1+Assumptions!$N$52)</f>
        <v>86.72270482812003</v>
      </c>
      <c r="J30" s="253">
        <f>I30*(1+Assumptions!$N$52)</f>
        <v>89.32438597296364</v>
      </c>
      <c r="K30" s="253">
        <f>J30*(1+Assumptions!$N$52)</f>
        <v>92.00411755215255</v>
      </c>
      <c r="L30" s="253">
        <f>K30*(1+Assumptions!$N$52)</f>
        <v>94.764241078717134</v>
      </c>
      <c r="M30" s="253">
        <f>L30*(1+Assumptions!$N$52)</f>
        <v>97.607168311078652</v>
      </c>
      <c r="N30" s="253">
        <f>M30*(1+Assumptions!$N$52)</f>
        <v>100.53538336041102</v>
      </c>
      <c r="O30" s="253">
        <f>N30*(1+Assumptions!$N$52)</f>
        <v>103.55144486122335</v>
      </c>
      <c r="P30" s="253">
        <f>O30*(1+Assumptions!$N$52)</f>
        <v>106.65798820706004</v>
      </c>
      <c r="Q30" s="253">
        <f>P30*(1+Assumptions!$N$52)</f>
        <v>109.85772785327185</v>
      </c>
      <c r="R30" s="253">
        <f>Q30*(1+Assumptions!$N$52)</f>
        <v>113.15345968887002</v>
      </c>
      <c r="S30" s="253">
        <f>R30*(1+Assumptions!$N$52)</f>
        <v>116.54806347953613</v>
      </c>
      <c r="T30" s="253">
        <f>S30*(1+Assumptions!$N$52)</f>
        <v>120.04450538392221</v>
      </c>
      <c r="U30" s="253">
        <f>T30*(1+Assumptions!$N$52)</f>
        <v>123.64584054543988</v>
      </c>
      <c r="V30" s="253">
        <f>U30*(1+Assumptions!$N$52)</f>
        <v>127.35521576180308</v>
      </c>
      <c r="W30" s="253">
        <f>V30*(1+Assumptions!$N$52)</f>
        <v>131.17587223465716</v>
      </c>
      <c r="X30" s="253">
        <f>W30*(1+Assumptions!$N$52)</f>
        <v>135.11114840169688</v>
      </c>
      <c r="Y30" s="253">
        <f>X30*(1+Assumptions!$N$52)</f>
        <v>139.16448285374778</v>
      </c>
      <c r="Z30" s="253">
        <f>Y30*(1+Assumptions!$N$52)</f>
        <v>143.33941733936021</v>
      </c>
    </row>
    <row r="31" spans="1:60">
      <c r="A31" s="4" t="s">
        <v>288</v>
      </c>
      <c r="D31"/>
      <c r="E31" s="253">
        <v>0</v>
      </c>
      <c r="F31" s="253">
        <v>659.85480443024994</v>
      </c>
      <c r="G31" s="253">
        <v>646.52440434074992</v>
      </c>
      <c r="H31" s="187">
        <v>633.19400425124991</v>
      </c>
      <c r="I31" s="253">
        <v>619.86360416175</v>
      </c>
      <c r="J31" s="253">
        <v>606.53320407224987</v>
      </c>
      <c r="K31" s="253">
        <v>593.20280398274997</v>
      </c>
      <c r="L31" s="253">
        <v>573.20720384849994</v>
      </c>
      <c r="M31" s="253">
        <v>553.21160371424992</v>
      </c>
      <c r="N31" s="253">
        <v>533.21600358000001</v>
      </c>
      <c r="O31" s="253">
        <v>506.55520340099997</v>
      </c>
      <c r="P31" s="253">
        <v>1115.6297748083998</v>
      </c>
      <c r="Q31" s="253">
        <v>1038.1554848911499</v>
      </c>
      <c r="R31" s="253">
        <v>945.18633699044972</v>
      </c>
      <c r="S31" s="253">
        <v>852.21718908974992</v>
      </c>
      <c r="T31" s="253">
        <v>759.2480411890499</v>
      </c>
      <c r="U31" s="253">
        <v>635.28917732144987</v>
      </c>
      <c r="V31" s="253">
        <v>495.83545547040001</v>
      </c>
      <c r="W31" s="253">
        <v>356.38173361934992</v>
      </c>
      <c r="X31" s="253">
        <v>309.89715966899996</v>
      </c>
      <c r="Y31" s="253">
        <v>309.89715966899996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Allocation!$I$9*IS!E31*7/12+Allocation!$K$9*IS!E31*5/12</f>
        <v>451.89495685388965</v>
      </c>
      <c r="G32" s="253">
        <f>Allocation!$I$9*IS!F31</f>
        <v>298.18891050525821</v>
      </c>
      <c r="H32" s="253">
        <f>Allocation!$I$9*IS!G31</f>
        <v>298.18891050525821</v>
      </c>
      <c r="I32" s="253">
        <f>Allocation!$I$9*IS!H31</f>
        <v>298.18891050525821</v>
      </c>
      <c r="J32" s="253">
        <f>Allocation!$I$9*IS!I31</f>
        <v>242.82867502797285</v>
      </c>
      <c r="K32" s="253">
        <f>Allocation!$I$9*IS!J31</f>
        <v>242.82867502797285</v>
      </c>
      <c r="L32" s="253">
        <f>Allocation!$I$9*IS!K31</f>
        <v>242.82867502797285</v>
      </c>
      <c r="M32" s="253">
        <f>Allocation!$I$9*IS!L31</f>
        <v>242.82867502797285</v>
      </c>
      <c r="N32" s="253">
        <f>Allocation!$I$9*IS!M31</f>
        <v>242.82867502797285</v>
      </c>
      <c r="O32" s="253">
        <f>Allocation!$I$9*IS!N31</f>
        <v>242.82867502797285</v>
      </c>
      <c r="P32" s="253">
        <f>Allocation!$I$9*IS!O31</f>
        <v>211.28626973292734</v>
      </c>
      <c r="Q32" s="253">
        <f>Allocation!$I$9*IS!P31</f>
        <v>201.85662333766615</v>
      </c>
      <c r="R32" s="253">
        <f>Allocation!$I$9*IS!Q31</f>
        <v>201.34365480297015</v>
      </c>
      <c r="S32" s="253">
        <f>Allocation!$I$9*IS!R31</f>
        <v>197.16138012533585</v>
      </c>
      <c r="T32" s="253">
        <f>Allocation!$I$9*IS!S31</f>
        <v>192.94731122528418</v>
      </c>
      <c r="U32" s="253">
        <f>Allocation!$I$9*IS!T31</f>
        <v>190.9214885647101</v>
      </c>
      <c r="V32" s="253">
        <f>Allocation!$I$9*IS!U31</f>
        <v>179.7526258818763</v>
      </c>
      <c r="W32" s="253">
        <f>Allocation!$I$9*IS!V31</f>
        <v>162.81295380939588</v>
      </c>
      <c r="X32" s="253">
        <f>Allocation!$I$9*IS!W31</f>
        <v>134.18847809130904</v>
      </c>
      <c r="Y32" s="253">
        <f>Allocation!$I$9*IS!X31</f>
        <v>106.30887512570008</v>
      </c>
      <c r="Z32" s="253">
        <f>Allocation!$I$9*IS!Y31</f>
        <v>106.30887512570008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Assumptions!$N$50*Assumptions!$N$33*7</f>
        <v>206.58204000000003</v>
      </c>
      <c r="J33" s="135">
        <f>Assumptions!$N$50*Assumptions!$N$33*12*(1+Assumptions!N52)</f>
        <v>364.7648592000001</v>
      </c>
      <c r="K33" s="135">
        <f>J33*(1+Assumptions!$N$52)</f>
        <v>375.70780497600009</v>
      </c>
      <c r="L33" s="135">
        <f>K33*(1+Assumptions!$N$52)</f>
        <v>386.97903912528011</v>
      </c>
      <c r="M33" s="135">
        <f>L33*(1+Assumptions!$N$52)</f>
        <v>398.58841029903851</v>
      </c>
      <c r="N33" s="135">
        <f>M33*(1+Assumptions!$N$52)</f>
        <v>410.54606260800966</v>
      </c>
      <c r="O33" s="135">
        <f>N33*(1+Assumptions!$N$52)</f>
        <v>422.86244448624996</v>
      </c>
      <c r="P33" s="135">
        <f>O33*(1+Assumptions!$N$52)</f>
        <v>435.54831782083744</v>
      </c>
      <c r="Q33" s="135">
        <f>P33*(1+Assumptions!$N$52)</f>
        <v>448.61476735546256</v>
      </c>
      <c r="R33" s="135">
        <f>Q33*(1+Assumptions!$N$52)</f>
        <v>462.07321037612644</v>
      </c>
      <c r="S33" s="135">
        <f>R33*(1+Assumptions!$N$52)</f>
        <v>475.93540668741025</v>
      </c>
      <c r="T33" s="135">
        <f>S33*(1+Assumptions!$N$52)</f>
        <v>490.21346888803259</v>
      </c>
      <c r="U33" s="135">
        <f>T33*(1+Assumptions!$N$52)</f>
        <v>504.91987295467356</v>
      </c>
      <c r="V33" s="135">
        <f>U33*(1+Assumptions!$N$52)</f>
        <v>520.06746914331382</v>
      </c>
      <c r="W33" s="135">
        <f>V33*(1+Assumptions!$N$52)</f>
        <v>535.66949321761319</v>
      </c>
      <c r="X33" s="135">
        <f>W33*(1+Assumptions!$N$52)</f>
        <v>551.73957801414156</v>
      </c>
      <c r="Y33" s="135">
        <f>X33*(1+Assumptions!$N$52)</f>
        <v>568.29176535456577</v>
      </c>
      <c r="Z33" s="135">
        <f>Y33*(1+Assumptions!$N$52)</f>
        <v>585.34051831520276</v>
      </c>
    </row>
    <row r="34" spans="1:26">
      <c r="A34" s="4" t="s">
        <v>181</v>
      </c>
      <c r="D34"/>
      <c r="E34" s="253">
        <f>Assumptions!$N65*Assumptions!N53/12</f>
        <v>0</v>
      </c>
      <c r="F34" s="253">
        <f>Assumptions!$N65*(1+Assumptions!$N$52)*$F$1/12</f>
        <v>137.92733564013841</v>
      </c>
      <c r="G34" s="253">
        <f>F34*(1+Assumptions!$N$52)</f>
        <v>142.06515570934258</v>
      </c>
      <c r="H34" s="253">
        <f>G34*(1+Assumptions!$N$52)</f>
        <v>146.32711038062286</v>
      </c>
      <c r="I34" s="253">
        <f>H34*(1+Assumptions!$N$52)</f>
        <v>150.71692369204155</v>
      </c>
      <c r="J34" s="253">
        <f>I34*(1+Assumptions!$N$52)</f>
        <v>155.2384314028028</v>
      </c>
      <c r="K34" s="253">
        <f>J34*(1+Assumptions!$N$52)</f>
        <v>159.89558434488688</v>
      </c>
      <c r="L34" s="253">
        <f>K34*(1+Assumptions!$N$52)</f>
        <v>164.6924518752335</v>
      </c>
      <c r="M34" s="253">
        <f>L34*(1+Assumptions!$N$52)</f>
        <v>169.6332254314905</v>
      </c>
      <c r="N34" s="253">
        <f>M34*(1+Assumptions!$N$52)</f>
        <v>174.72222219443523</v>
      </c>
      <c r="O34" s="253">
        <f>N34*(1+Assumptions!$N$52)</f>
        <v>179.9638888602683</v>
      </c>
      <c r="P34" s="253">
        <f>O34*(1+Assumptions!$N$52)</f>
        <v>185.36280552607636</v>
      </c>
      <c r="Q34" s="253">
        <f>P34*(1+Assumptions!$N$52)</f>
        <v>190.92368969185864</v>
      </c>
      <c r="R34" s="253">
        <f>Q34*(1+Assumptions!$N$52)</f>
        <v>196.65140038261441</v>
      </c>
      <c r="S34" s="253">
        <f>R34*(1+Assumptions!$N$52)</f>
        <v>202.55094239409286</v>
      </c>
      <c r="T34" s="253">
        <f>S34*(1+Assumptions!$N$52)</f>
        <v>208.62747066591564</v>
      </c>
      <c r="U34" s="253">
        <f>T34*(1+Assumptions!$N$52)</f>
        <v>214.88629478589311</v>
      </c>
      <c r="V34" s="253">
        <f>U34*(1+Assumptions!$N$52)</f>
        <v>221.3328836294699</v>
      </c>
      <c r="W34" s="253">
        <f>V34*(1+Assumptions!$N$52)</f>
        <v>227.97287013835401</v>
      </c>
      <c r="X34" s="253">
        <f>W34*(1+Assumptions!$N$52)</f>
        <v>234.81205624250464</v>
      </c>
      <c r="Y34" s="253">
        <f>X34*(1+Assumptions!$N$52)</f>
        <v>241.85641792977978</v>
      </c>
      <c r="Z34" s="253">
        <f>Y34*(1+Assumptions!$N$52)</f>
        <v>249.11211046767318</v>
      </c>
    </row>
    <row r="35" spans="1:26">
      <c r="A35" s="4" t="s">
        <v>182</v>
      </c>
      <c r="B35" s="8"/>
      <c r="C35" s="8"/>
      <c r="D35"/>
      <c r="E35" s="254">
        <f>Assumptions!$N66*Assumptions!N53/12</f>
        <v>0</v>
      </c>
      <c r="F35" s="254">
        <f>Assumptions!$N66*(1+Assumptions!$L$52)*$F$1/12</f>
        <v>206</v>
      </c>
      <c r="G35" s="254">
        <f>F35*(1+Assumptions!$N$52)</f>
        <v>212.18</v>
      </c>
      <c r="H35" s="254">
        <f>G35*(1+Assumptions!$N$52)</f>
        <v>218.5454</v>
      </c>
      <c r="I35" s="254">
        <f>H35*(1+Assumptions!$N$52)</f>
        <v>225.10176200000001</v>
      </c>
      <c r="J35" s="254">
        <f>I35*(1+Assumptions!$N$52)</f>
        <v>231.85481486</v>
      </c>
      <c r="K35" s="254">
        <f>J35*(1+Assumptions!$N$52)</f>
        <v>238.81045930580001</v>
      </c>
      <c r="L35" s="254">
        <f>K35*(1+Assumptions!$N$52)</f>
        <v>245.974773084974</v>
      </c>
      <c r="M35" s="254">
        <f>L35*(1+Assumptions!$N$52)</f>
        <v>253.35401627752324</v>
      </c>
      <c r="N35" s="254">
        <f>M35*(1+Assumptions!$N$52)</f>
        <v>260.95463676584893</v>
      </c>
      <c r="O35" s="254">
        <f>N35*(1+Assumptions!$N$52)</f>
        <v>268.78327586882443</v>
      </c>
      <c r="P35" s="254">
        <f>O35*(1+Assumptions!$N$52)</f>
        <v>276.8467741448892</v>
      </c>
      <c r="Q35" s="254">
        <f>P35*(1+Assumptions!$N$52)</f>
        <v>285.15217736923586</v>
      </c>
      <c r="R35" s="254">
        <f>Q35*(1+Assumptions!$N$52)</f>
        <v>293.70674269031292</v>
      </c>
      <c r="S35" s="254">
        <f>R35*(1+Assumptions!$N$52)</f>
        <v>302.5179449710223</v>
      </c>
      <c r="T35" s="254">
        <f>S35*(1+Assumptions!$N$52)</f>
        <v>311.59348332015298</v>
      </c>
      <c r="U35" s="254">
        <f>T35*(1+Assumptions!$N$52)</f>
        <v>320.94128781975758</v>
      </c>
      <c r="V35" s="254">
        <f>U35*(1+Assumptions!$N$52)</f>
        <v>330.5695264543503</v>
      </c>
      <c r="W35" s="254">
        <f>V35*(1+Assumptions!$N$52)</f>
        <v>340.48661224798082</v>
      </c>
      <c r="X35" s="254">
        <f>W35*(1+Assumptions!$N$52)</f>
        <v>350.70121061542022</v>
      </c>
      <c r="Y35" s="254">
        <f>X35*(1+Assumptions!$N$52)</f>
        <v>361.22224693388284</v>
      </c>
      <c r="Z35" s="254">
        <f>Y35*(1+Assumptions!$N$52)</f>
        <v>372.05891434189931</v>
      </c>
    </row>
    <row r="36" spans="1:26">
      <c r="A36" s="4" t="s">
        <v>183</v>
      </c>
      <c r="B36" s="8"/>
      <c r="C36" s="8"/>
      <c r="D36"/>
      <c r="E36" s="253">
        <f t="shared" ref="E36:Z36" si="2">SUM(E24:E35)</f>
        <v>0</v>
      </c>
      <c r="F36" s="253">
        <f t="shared" ca="1" si="2"/>
        <v>5009.3657541120092</v>
      </c>
      <c r="G36" s="253">
        <f t="shared" si="2"/>
        <v>4968.2344746098206</v>
      </c>
      <c r="H36" s="187">
        <f t="shared" si="2"/>
        <v>5075.6097093132339</v>
      </c>
      <c r="I36" s="253">
        <f t="shared" si="2"/>
        <v>5424.2665388722371</v>
      </c>
      <c r="J36" s="253">
        <f t="shared" si="2"/>
        <v>5665.6124944502908</v>
      </c>
      <c r="K36" s="253">
        <f t="shared" si="2"/>
        <v>5796.769612821291</v>
      </c>
      <c r="L36" s="253">
        <f t="shared" si="2"/>
        <v>5925.5961567013601</v>
      </c>
      <c r="M36" s="253">
        <f t="shared" si="2"/>
        <v>6058.8873649018551</v>
      </c>
      <c r="N36" s="253">
        <f t="shared" si="2"/>
        <v>6196.7771773523937</v>
      </c>
      <c r="O36" s="253">
        <f t="shared" si="2"/>
        <v>6332.7383521357269</v>
      </c>
      <c r="P36" s="253">
        <f t="shared" si="2"/>
        <v>7077.7711524592842</v>
      </c>
      <c r="Q36" s="253">
        <f t="shared" si="2"/>
        <v>7163.3928693843109</v>
      </c>
      <c r="R36" s="253">
        <f t="shared" si="2"/>
        <v>7247.6121757835799</v>
      </c>
      <c r="S36" s="253">
        <f t="shared" si="2"/>
        <v>7333.4932187249506</v>
      </c>
      <c r="T36" s="253">
        <f t="shared" si="2"/>
        <v>7424.8334414094952</v>
      </c>
      <c r="U36" s="253">
        <f t="shared" si="2"/>
        <v>7493.0278975511756</v>
      </c>
      <c r="V36" s="253">
        <f t="shared" si="2"/>
        <v>7542.4098299672432</v>
      </c>
      <c r="W36" s="253">
        <f t="shared" si="2"/>
        <v>7592.0210885021606</v>
      </c>
      <c r="X36" s="253">
        <f t="shared" si="2"/>
        <v>7729.0968308659285</v>
      </c>
      <c r="Y36" s="253">
        <f t="shared" si="2"/>
        <v>7919.7675636934873</v>
      </c>
      <c r="Z36" s="253">
        <f t="shared" si="2"/>
        <v>7834.9772498914517</v>
      </c>
    </row>
    <row r="37" spans="1:26" s="146" customFormat="1" ht="9.6" outlineLevel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14941.956835989167</v>
      </c>
      <c r="G39" s="259">
        <f t="shared" si="3"/>
        <v>15290.817342086459</v>
      </c>
      <c r="H39" s="260">
        <f t="shared" si="3"/>
        <v>15239.152559378119</v>
      </c>
      <c r="I39" s="259">
        <f t="shared" si="3"/>
        <v>20329.700041138876</v>
      </c>
      <c r="J39" s="259">
        <f t="shared" si="3"/>
        <v>24321.883595209187</v>
      </c>
      <c r="K39" s="259">
        <f t="shared" si="3"/>
        <v>24576.071514107127</v>
      </c>
      <c r="L39" s="259">
        <f t="shared" si="3"/>
        <v>24828.793931201813</v>
      </c>
      <c r="M39" s="259">
        <f t="shared" si="3"/>
        <v>25618.416848393914</v>
      </c>
      <c r="N39" s="259">
        <f t="shared" si="3"/>
        <v>25868.922387598192</v>
      </c>
      <c r="O39" s="259">
        <f t="shared" si="3"/>
        <v>26695.282940819336</v>
      </c>
      <c r="P39" s="259">
        <f t="shared" si="3"/>
        <v>26337.442510533972</v>
      </c>
      <c r="Q39" s="259">
        <f t="shared" si="3"/>
        <v>27255.587560518594</v>
      </c>
      <c r="R39" s="259">
        <f t="shared" si="3"/>
        <v>27572.53807344837</v>
      </c>
      <c r="S39" s="259">
        <f t="shared" si="3"/>
        <v>27880.889967283147</v>
      </c>
      <c r="T39" s="259">
        <f t="shared" si="3"/>
        <v>28176.021363826461</v>
      </c>
      <c r="U39" s="259">
        <f t="shared" si="3"/>
        <v>28486.07741072002</v>
      </c>
      <c r="V39" s="259">
        <f t="shared" si="3"/>
        <v>28805.811221280088</v>
      </c>
      <c r="W39" s="259">
        <f t="shared" si="3"/>
        <v>29115.039534902426</v>
      </c>
      <c r="X39" s="259">
        <f t="shared" si="3"/>
        <v>29324.487596435698</v>
      </c>
      <c r="Y39" s="259">
        <f t="shared" si="3"/>
        <v>29467.451406437685</v>
      </c>
      <c r="Z39" s="259">
        <f t="shared" si="3"/>
        <v>29876.053629518647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Allocation!$G$9/Allocation!$G$10*IS!D40</f>
        <v>0</v>
      </c>
      <c r="F41" s="253">
        <f>Allocation!$G$9*IS!E40</f>
        <v>3283.5567477802379</v>
      </c>
      <c r="G41" s="253">
        <f>Allocation!$G$9*IS!F40</f>
        <v>4514.0200002400579</v>
      </c>
      <c r="H41" s="253">
        <f>Allocation!$G$9*IS!G40</f>
        <v>4514.0200002400579</v>
      </c>
      <c r="I41" s="253">
        <f>Allocation!$G$9*IS!H40</f>
        <v>4514.0200002400579</v>
      </c>
      <c r="J41" s="253">
        <f>Allocation!$G$9*IS!I40</f>
        <v>4514.0200002400579</v>
      </c>
      <c r="K41" s="253">
        <f>Allocation!$G$9*IS!J40</f>
        <v>4514.0200002400579</v>
      </c>
      <c r="L41" s="253">
        <f>Allocation!$G$9*IS!K40</f>
        <v>4514.0200002400579</v>
      </c>
      <c r="M41" s="253">
        <f>Allocation!$G$9*IS!L40</f>
        <v>4514.0200002400579</v>
      </c>
      <c r="N41" s="253">
        <f>Allocation!$G$9*IS!M40</f>
        <v>4514.0200002400579</v>
      </c>
      <c r="O41" s="253">
        <f>Allocation!$G$9*IS!N40</f>
        <v>4514.0200002400579</v>
      </c>
      <c r="P41" s="253">
        <f>Allocation!$G$9*IS!O40</f>
        <v>4514.0200002400579</v>
      </c>
      <c r="Q41" s="253">
        <f>Allocation!$G$9*IS!P40</f>
        <v>4514.0200002400579</v>
      </c>
      <c r="R41" s="253">
        <f>Allocation!$G$9*IS!Q40</f>
        <v>4514.0200002400579</v>
      </c>
      <c r="S41" s="253">
        <f>Allocation!$G$9*IS!R40</f>
        <v>4514.0200002400579</v>
      </c>
      <c r="T41" s="253">
        <f>Allocation!$G$9*IS!S40</f>
        <v>4514.0200002400579</v>
      </c>
      <c r="U41" s="253">
        <f>Allocation!$G$9*IS!T40</f>
        <v>4514.0200002400579</v>
      </c>
      <c r="V41" s="253">
        <f>Allocation!$G$9*IS!U40</f>
        <v>4514.0200002400579</v>
      </c>
      <c r="W41" s="253">
        <f>Allocation!$G$9*IS!V40</f>
        <v>4514.0200002400579</v>
      </c>
      <c r="X41" s="253">
        <f>Allocation!$G$9*IS!W40</f>
        <v>4514.0200002400579</v>
      </c>
      <c r="Y41" s="253">
        <f>Allocation!$G$9*IS!X40</f>
        <v>4514.0200002400579</v>
      </c>
      <c r="Z41" s="253">
        <f>Allocation!$G$9*IS!Y40</f>
        <v>4398.0297973009392</v>
      </c>
    </row>
    <row r="42" spans="1:26">
      <c r="A42" s="4"/>
      <c r="D42" s="253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11658.400088208929</v>
      </c>
      <c r="G44" s="259">
        <f t="shared" si="4"/>
        <v>10776.797341846401</v>
      </c>
      <c r="H44" s="259">
        <f t="shared" si="4"/>
        <v>10725.132559138061</v>
      </c>
      <c r="I44" s="259">
        <f t="shared" si="4"/>
        <v>15815.680040898818</v>
      </c>
      <c r="J44" s="259">
        <f t="shared" si="4"/>
        <v>19807.863594969131</v>
      </c>
      <c r="K44" s="259">
        <f t="shared" si="4"/>
        <v>20062.051513867067</v>
      </c>
      <c r="L44" s="259">
        <f t="shared" si="4"/>
        <v>20314.773930961754</v>
      </c>
      <c r="M44" s="259">
        <f t="shared" si="4"/>
        <v>21104.396848153854</v>
      </c>
      <c r="N44" s="259">
        <f t="shared" si="4"/>
        <v>21354.902387358132</v>
      </c>
      <c r="O44" s="259">
        <f t="shared" si="4"/>
        <v>22181.262940579276</v>
      </c>
      <c r="P44" s="259">
        <f t="shared" si="4"/>
        <v>21823.422510293916</v>
      </c>
      <c r="Q44" s="259">
        <f t="shared" si="4"/>
        <v>22741.567560278534</v>
      </c>
      <c r="R44" s="259">
        <f t="shared" si="4"/>
        <v>23058.51807320831</v>
      </c>
      <c r="S44" s="259">
        <f t="shared" si="4"/>
        <v>23366.869967043087</v>
      </c>
      <c r="T44" s="259">
        <f t="shared" si="4"/>
        <v>23662.001363586402</v>
      </c>
      <c r="U44" s="259">
        <f t="shared" si="4"/>
        <v>23972.05741047996</v>
      </c>
      <c r="V44" s="259">
        <f t="shared" si="4"/>
        <v>24291.791221040032</v>
      </c>
      <c r="W44" s="259">
        <f t="shared" si="4"/>
        <v>24601.019534662366</v>
      </c>
      <c r="X44" s="259">
        <f t="shared" si="4"/>
        <v>24810.467596195638</v>
      </c>
      <c r="Y44" s="259">
        <f t="shared" si="4"/>
        <v>24953.431406197626</v>
      </c>
      <c r="Z44" s="259">
        <f t="shared" si="4"/>
        <v>25478.023832217707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Allocation!$K$9*(IS!$D$44)</f>
        <v>0</v>
      </c>
      <c r="F46" s="253">
        <f>Allocation!$I$9*(IS!$E$44-Debt!$C$136)</f>
        <v>9517.8853953970338</v>
      </c>
      <c r="G46" s="187">
        <f>Allocation!$I$9*IS!F44</f>
        <v>9303.9167760011605</v>
      </c>
      <c r="H46" s="187">
        <f>Allocation!$I$9*IS!G44</f>
        <v>9029.828632366598</v>
      </c>
      <c r="I46" s="187">
        <f>Allocation!$I$9*IS!H44</f>
        <v>8571.7635552821375</v>
      </c>
      <c r="J46" s="187">
        <f>Allocation!$I$9*IS!I44</f>
        <v>8221.6680171355492</v>
      </c>
      <c r="K46" s="187">
        <f>Allocation!$I$9*IS!J44</f>
        <v>7895.9418392057487</v>
      </c>
      <c r="L46" s="187">
        <f>Allocation!$I$9*IS!K44</f>
        <v>7538.9322703753269</v>
      </c>
      <c r="M46" s="187">
        <f>Allocation!$I$9*IS!L44</f>
        <v>7127.2114241057116</v>
      </c>
      <c r="N46" s="187">
        <f>Allocation!$I$9*IS!M44</f>
        <v>6657.7295163504587</v>
      </c>
      <c r="O46" s="187">
        <f>Allocation!$I$9*IS!N44</f>
        <v>6087.5144061593946</v>
      </c>
      <c r="P46" s="187">
        <f>Allocation!$I$9*IS!O44</f>
        <v>5584.4231760291659</v>
      </c>
      <c r="Q46" s="187">
        <f>Allocation!$I$9*IS!P44</f>
        <v>5102.0416042208708</v>
      </c>
      <c r="R46" s="187">
        <f>Allocation!$I$9*IS!Q44</f>
        <v>4569.1347821905129</v>
      </c>
      <c r="S46" s="187">
        <f>Allocation!$I$9*IS!R44</f>
        <v>3994.9826288989734</v>
      </c>
      <c r="T46" s="187">
        <f>Allocation!$I$9*IS!S44</f>
        <v>3381.8319329644632</v>
      </c>
      <c r="U46" s="187">
        <f>Allocation!$I$9*IS!T44</f>
        <v>2717.7456340152439</v>
      </c>
      <c r="V46" s="187">
        <f>Allocation!$I$9*IS!U44</f>
        <v>2026.0129759871759</v>
      </c>
      <c r="W46" s="187">
        <f>Allocation!$I$9*IS!V44</f>
        <v>1340.6094664634936</v>
      </c>
      <c r="X46" s="187">
        <f>Allocation!$I$9*IS!W44</f>
        <v>714.25081449460993</v>
      </c>
      <c r="Y46" s="187">
        <f>Allocation!$I$9*IS!X44</f>
        <v>171.46924055083588</v>
      </c>
      <c r="Z46" s="187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2140.5146928118957</v>
      </c>
      <c r="G49" s="259">
        <f t="shared" si="5"/>
        <v>1472.8805658452402</v>
      </c>
      <c r="H49" s="259">
        <f t="shared" si="5"/>
        <v>1695.303926771463</v>
      </c>
      <c r="I49" s="259">
        <f t="shared" si="5"/>
        <v>7243.9164856166808</v>
      </c>
      <c r="J49" s="259">
        <f t="shared" si="5"/>
        <v>11586.195577833581</v>
      </c>
      <c r="K49" s="259">
        <f t="shared" si="5"/>
        <v>12166.109674661318</v>
      </c>
      <c r="L49" s="259">
        <f t="shared" si="5"/>
        <v>12775.841660586426</v>
      </c>
      <c r="M49" s="259">
        <f t="shared" si="5"/>
        <v>13977.185424048143</v>
      </c>
      <c r="N49" s="259">
        <f t="shared" si="5"/>
        <v>14697.172871007673</v>
      </c>
      <c r="O49" s="259">
        <f t="shared" si="5"/>
        <v>16093.748534419881</v>
      </c>
      <c r="P49" s="259">
        <f t="shared" si="5"/>
        <v>16238.99933426475</v>
      </c>
      <c r="Q49" s="259">
        <f t="shared" si="5"/>
        <v>17639.525956057663</v>
      </c>
      <c r="R49" s="259">
        <f t="shared" si="5"/>
        <v>18489.383291017795</v>
      </c>
      <c r="S49" s="259">
        <f t="shared" si="5"/>
        <v>19371.887338144115</v>
      </c>
      <c r="T49" s="259">
        <f t="shared" si="5"/>
        <v>20280.16943062194</v>
      </c>
      <c r="U49" s="259">
        <f t="shared" si="5"/>
        <v>21254.311776464718</v>
      </c>
      <c r="V49" s="259">
        <f t="shared" si="5"/>
        <v>22265.778245052858</v>
      </c>
      <c r="W49" s="259">
        <f t="shared" si="5"/>
        <v>23260.410068198871</v>
      </c>
      <c r="X49" s="259">
        <f t="shared" si="5"/>
        <v>24096.216781701027</v>
      </c>
      <c r="Y49" s="259">
        <f t="shared" si="5"/>
        <v>24781.96216564679</v>
      </c>
      <c r="Z49" s="259">
        <f t="shared" si="5"/>
        <v>25478.023832217707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Assumptions!$N$44</f>
        <v>0.05</v>
      </c>
      <c r="D51" s="253"/>
      <c r="E51" s="253">
        <f t="shared" ref="E51:Z51" si="6">E49*-$C$51</f>
        <v>0</v>
      </c>
      <c r="F51" s="253">
        <f t="shared" ca="1" si="6"/>
        <v>-107.02573464059479</v>
      </c>
      <c r="G51" s="253">
        <f t="shared" si="6"/>
        <v>-73.644028292262007</v>
      </c>
      <c r="H51" s="187">
        <f t="shared" si="6"/>
        <v>-84.765196338573162</v>
      </c>
      <c r="I51" s="253">
        <f t="shared" si="6"/>
        <v>-362.19582428083407</v>
      </c>
      <c r="J51" s="253">
        <f t="shared" si="6"/>
        <v>-579.30977889167912</v>
      </c>
      <c r="K51" s="253">
        <f t="shared" si="6"/>
        <v>-608.3054837330659</v>
      </c>
      <c r="L51" s="253">
        <f t="shared" si="6"/>
        <v>-638.79208302932136</v>
      </c>
      <c r="M51" s="253">
        <f t="shared" si="6"/>
        <v>-698.85927120240717</v>
      </c>
      <c r="N51" s="253">
        <f t="shared" si="6"/>
        <v>-734.8586435503837</v>
      </c>
      <c r="O51" s="253">
        <f t="shared" si="6"/>
        <v>-804.68742672099415</v>
      </c>
      <c r="P51" s="253">
        <f t="shared" si="6"/>
        <v>-811.94996671323759</v>
      </c>
      <c r="Q51" s="253">
        <f t="shared" si="6"/>
        <v>-881.97629780288321</v>
      </c>
      <c r="R51" s="253">
        <f t="shared" si="6"/>
        <v>-924.46916455088979</v>
      </c>
      <c r="S51" s="253">
        <f t="shared" si="6"/>
        <v>-968.59436690720577</v>
      </c>
      <c r="T51" s="253">
        <f t="shared" si="6"/>
        <v>-1014.008471531097</v>
      </c>
      <c r="U51" s="253">
        <f t="shared" si="6"/>
        <v>-1062.715588823236</v>
      </c>
      <c r="V51" s="253">
        <f t="shared" si="6"/>
        <v>-1113.2889122526428</v>
      </c>
      <c r="W51" s="253">
        <f t="shared" si="6"/>
        <v>-1163.0205034099436</v>
      </c>
      <c r="X51" s="253">
        <f t="shared" si="6"/>
        <v>-1204.8108390850514</v>
      </c>
      <c r="Y51" s="253">
        <f t="shared" si="6"/>
        <v>-1239.0981082823396</v>
      </c>
      <c r="Z51" s="253">
        <f t="shared" si="6"/>
        <v>-1273.9011916108855</v>
      </c>
    </row>
    <row r="52" spans="1:26">
      <c r="A52" s="4" t="s">
        <v>190</v>
      </c>
      <c r="C52" s="149">
        <f>Assumptions!$N$43</f>
        <v>0.35</v>
      </c>
      <c r="D52" s="228"/>
      <c r="E52" s="228">
        <f t="shared" ref="E52:Z52" si="7">(E49+E51)*-$C$52</f>
        <v>0</v>
      </c>
      <c r="F52" s="228">
        <f t="shared" ca="1" si="7"/>
        <v>-711.72113535995527</v>
      </c>
      <c r="G52" s="228">
        <f t="shared" si="7"/>
        <v>-489.73278814354234</v>
      </c>
      <c r="H52" s="228">
        <f t="shared" si="7"/>
        <v>-563.68855565151148</v>
      </c>
      <c r="I52" s="228">
        <f t="shared" si="7"/>
        <v>-2408.6022314675461</v>
      </c>
      <c r="J52" s="228">
        <f t="shared" si="7"/>
        <v>-3852.4100296296656</v>
      </c>
      <c r="K52" s="228">
        <f t="shared" si="7"/>
        <v>-4045.2314668248882</v>
      </c>
      <c r="L52" s="228">
        <f t="shared" si="7"/>
        <v>-4247.9673521449868</v>
      </c>
      <c r="M52" s="228">
        <f t="shared" si="7"/>
        <v>-4647.4141534960072</v>
      </c>
      <c r="N52" s="228">
        <f t="shared" si="7"/>
        <v>-4886.8099796100505</v>
      </c>
      <c r="O52" s="228">
        <f t="shared" si="7"/>
        <v>-5351.1713876946096</v>
      </c>
      <c r="P52" s="228">
        <f t="shared" si="7"/>
        <v>-5399.4672786430292</v>
      </c>
      <c r="Q52" s="228">
        <f t="shared" si="7"/>
        <v>-5865.1423803891721</v>
      </c>
      <c r="R52" s="228">
        <f t="shared" si="7"/>
        <v>-6147.7199442634164</v>
      </c>
      <c r="S52" s="228">
        <f t="shared" si="7"/>
        <v>-6441.1525399329175</v>
      </c>
      <c r="T52" s="228">
        <f t="shared" si="7"/>
        <v>-6743.1563356817942</v>
      </c>
      <c r="U52" s="228">
        <f t="shared" si="7"/>
        <v>-7067.0586656745181</v>
      </c>
      <c r="V52" s="228">
        <f t="shared" si="7"/>
        <v>-7403.3712664800742</v>
      </c>
      <c r="W52" s="228">
        <f t="shared" si="7"/>
        <v>-7734.0863476761251</v>
      </c>
      <c r="X52" s="228">
        <f t="shared" si="7"/>
        <v>-8011.9920799155916</v>
      </c>
      <c r="Y52" s="228">
        <f t="shared" si="7"/>
        <v>-8240.002420077557</v>
      </c>
      <c r="Z52" s="228">
        <f t="shared" si="7"/>
        <v>-8471.4429242123861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298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1321.7678228113457</v>
      </c>
      <c r="G54" s="261">
        <f t="shared" si="8"/>
        <v>909.50374940943584</v>
      </c>
      <c r="H54" s="261">
        <f t="shared" si="8"/>
        <v>1046.8501747813784</v>
      </c>
      <c r="I54" s="261">
        <f t="shared" si="8"/>
        <v>4473.1184298683002</v>
      </c>
      <c r="J54" s="261">
        <f t="shared" si="8"/>
        <v>7154.4757693122374</v>
      </c>
      <c r="K54" s="261">
        <f t="shared" si="8"/>
        <v>7512.5727241033646</v>
      </c>
      <c r="L54" s="261">
        <f t="shared" si="8"/>
        <v>7889.0822254121185</v>
      </c>
      <c r="M54" s="261">
        <f t="shared" si="8"/>
        <v>8630.9119993497279</v>
      </c>
      <c r="N54" s="261">
        <f t="shared" si="8"/>
        <v>9075.5042478472387</v>
      </c>
      <c r="O54" s="261">
        <f t="shared" si="8"/>
        <v>9937.8897200042775</v>
      </c>
      <c r="P54" s="261">
        <f t="shared" si="8"/>
        <v>10027.582088908484</v>
      </c>
      <c r="Q54" s="261">
        <f t="shared" si="8"/>
        <v>10892.407277865606</v>
      </c>
      <c r="R54" s="261">
        <f t="shared" si="8"/>
        <v>11417.19418220349</v>
      </c>
      <c r="S54" s="261">
        <f t="shared" si="8"/>
        <v>11962.140431303989</v>
      </c>
      <c r="T54" s="261">
        <f t="shared" si="8"/>
        <v>12523.004623409048</v>
      </c>
      <c r="U54" s="261">
        <f t="shared" si="8"/>
        <v>13124.537521966962</v>
      </c>
      <c r="V54" s="261">
        <f t="shared" si="8"/>
        <v>13749.118066320141</v>
      </c>
      <c r="W54" s="261">
        <f t="shared" si="8"/>
        <v>14363.303217112803</v>
      </c>
      <c r="X54" s="261">
        <f t="shared" si="8"/>
        <v>14879.413862700385</v>
      </c>
      <c r="Y54" s="261">
        <f t="shared" si="8"/>
        <v>15302.861637286895</v>
      </c>
      <c r="Z54" s="261">
        <f t="shared" si="8"/>
        <v>15732.679716394434</v>
      </c>
    </row>
    <row r="55" spans="1:26" s="146" customFormat="1" ht="9.6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299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9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35"/>
      <c r="E64" s="135">
        <f t="shared" ref="E64:Z64" si="10">E39</f>
        <v>0</v>
      </c>
      <c r="F64" s="135">
        <f t="shared" ca="1" si="10"/>
        <v>14941.956835989167</v>
      </c>
      <c r="G64" s="135">
        <f t="shared" si="10"/>
        <v>15290.817342086459</v>
      </c>
      <c r="H64" s="135">
        <f t="shared" si="10"/>
        <v>15239.152559378119</v>
      </c>
      <c r="I64" s="135">
        <f t="shared" si="10"/>
        <v>20329.700041138876</v>
      </c>
      <c r="J64" s="135">
        <f t="shared" si="10"/>
        <v>24321.883595209187</v>
      </c>
      <c r="K64" s="135">
        <f t="shared" si="10"/>
        <v>24576.071514107127</v>
      </c>
      <c r="L64" s="135">
        <f t="shared" si="10"/>
        <v>24828.793931201813</v>
      </c>
      <c r="M64" s="135">
        <f t="shared" si="10"/>
        <v>25618.416848393914</v>
      </c>
      <c r="N64" s="135">
        <f t="shared" si="10"/>
        <v>25868.922387598192</v>
      </c>
      <c r="O64" s="135">
        <f t="shared" si="10"/>
        <v>26695.282940819336</v>
      </c>
      <c r="P64" s="135">
        <f t="shared" si="10"/>
        <v>26337.442510533972</v>
      </c>
      <c r="Q64" s="135">
        <f t="shared" si="10"/>
        <v>27255.587560518594</v>
      </c>
      <c r="R64" s="135">
        <f t="shared" si="10"/>
        <v>27572.53807344837</v>
      </c>
      <c r="S64" s="135">
        <f t="shared" si="10"/>
        <v>27880.889967283147</v>
      </c>
      <c r="T64" s="135">
        <f t="shared" si="10"/>
        <v>28176.021363826461</v>
      </c>
      <c r="U64" s="135">
        <f t="shared" si="10"/>
        <v>28486.07741072002</v>
      </c>
      <c r="V64" s="135">
        <f t="shared" si="10"/>
        <v>28805.811221280088</v>
      </c>
      <c r="W64" s="135">
        <f t="shared" si="10"/>
        <v>29115.039534902426</v>
      </c>
      <c r="X64" s="135">
        <f t="shared" si="10"/>
        <v>29324.487596435698</v>
      </c>
      <c r="Y64" s="135">
        <f t="shared" si="10"/>
        <v>29467.451406437685</v>
      </c>
      <c r="Z64" s="135">
        <f t="shared" si="10"/>
        <v>29876.053629518647</v>
      </c>
    </row>
    <row r="65" spans="1:26" outlineLevel="1">
      <c r="A65" s="15" t="s">
        <v>192</v>
      </c>
      <c r="D65" s="278"/>
      <c r="E65" s="278">
        <v>0</v>
      </c>
      <c r="F65" s="278">
        <v>0</v>
      </c>
      <c r="G65" s="278">
        <v>0</v>
      </c>
      <c r="H65" s="278">
        <v>0</v>
      </c>
      <c r="I65" s="278">
        <v>0</v>
      </c>
      <c r="J65" s="278">
        <v>0</v>
      </c>
      <c r="K65" s="278">
        <v>0</v>
      </c>
      <c r="L65" s="278">
        <v>0</v>
      </c>
      <c r="M65" s="278">
        <v>0</v>
      </c>
      <c r="N65" s="278">
        <v>0</v>
      </c>
      <c r="O65" s="278">
        <v>0</v>
      </c>
      <c r="P65" s="278">
        <v>0</v>
      </c>
      <c r="Q65" s="278">
        <v>0</v>
      </c>
      <c r="R65" s="278">
        <v>0</v>
      </c>
      <c r="S65" s="278">
        <v>0</v>
      </c>
      <c r="T65" s="278">
        <v>0</v>
      </c>
      <c r="U65" s="278">
        <v>0</v>
      </c>
      <c r="V65" s="278">
        <v>0</v>
      </c>
      <c r="W65" s="278">
        <v>0</v>
      </c>
      <c r="X65" s="278">
        <v>0</v>
      </c>
      <c r="Y65" s="278">
        <v>0</v>
      </c>
      <c r="Z65" s="278">
        <v>0</v>
      </c>
    </row>
    <row r="66" spans="1:26" ht="15" outlineLevel="1">
      <c r="A66" s="15" t="s">
        <v>193</v>
      </c>
      <c r="D66" s="486"/>
      <c r="E66" s="486">
        <f>Allocation!$I$9*CF!D15</f>
        <v>0</v>
      </c>
      <c r="F66" s="262">
        <f>Allocation!$K$9*(CF!E16+CF!E15)+Allocation!$I$9*(CF!G16+CF!G15-CF!G14)</f>
        <v>-9764.6085504799285</v>
      </c>
      <c r="G66" s="262">
        <f>Allocation!$I$9*(CF!H16+CF!H15)</f>
        <v>-12557.702623338611</v>
      </c>
      <c r="H66" s="262">
        <f>Allocation!$I$9*(CF!I16+CF!I15)</f>
        <v>-12492.489361336575</v>
      </c>
      <c r="I66" s="262">
        <f>Allocation!$I$9*(CF!J16+CF!J15)</f>
        <v>-14909.445525262909</v>
      </c>
      <c r="J66" s="262">
        <f>Allocation!$I$9*(CF!K16+CF!K15)</f>
        <v>-11225.203280815267</v>
      </c>
      <c r="K66" s="262">
        <f>Allocation!$I$9*(CF!L16+CF!L15)</f>
        <v>-11436.670662891425</v>
      </c>
      <c r="L66" s="262">
        <f>Allocation!$I$9*(CF!M16+CF!M15)</f>
        <v>-11501.105765446893</v>
      </c>
      <c r="M66" s="262">
        <f>Allocation!$I$9*(CF!N16+CF!N15)</f>
        <v>-11757.166968908441</v>
      </c>
      <c r="N66" s="262">
        <f>Allocation!$I$9*(CF!O16+CF!O15)</f>
        <v>-11881.269105358666</v>
      </c>
      <c r="O66" s="262">
        <f>Allocation!$I$9*(CF!P16+CF!P15)</f>
        <v>-12141.433751398641</v>
      </c>
      <c r="P66" s="262">
        <f>Allocation!$I$9*(CF!Q16+CF!Q15)</f>
        <v>-10564.313486646366</v>
      </c>
      <c r="Q66" s="262">
        <f>Allocation!$I$9*(CF!R16+CF!R15)</f>
        <v>-10092.831166883307</v>
      </c>
      <c r="R66" s="262">
        <f>Allocation!$I$9*(CF!S16+CF!S15)</f>
        <v>-10067.182740148506</v>
      </c>
      <c r="S66" s="262">
        <f>Allocation!$I$9*(CF!T16+CF!T15)</f>
        <v>-9858.0690062667927</v>
      </c>
      <c r="T66" s="262">
        <f>Allocation!$I$9*(CF!U16+CF!U15)</f>
        <v>-9647.3655612642069</v>
      </c>
      <c r="U66" s="262">
        <f>Allocation!$I$9*(CF!V16+CF!V15)</f>
        <v>-9546.0744282355045</v>
      </c>
      <c r="V66" s="262">
        <f>Allocation!$I$9*(CF!W16+CF!W15)</f>
        <v>-8987.6312940938151</v>
      </c>
      <c r="W66" s="262">
        <f>Allocation!$I$9*(CF!X16+CF!X15)</f>
        <v>-8140.6476904697938</v>
      </c>
      <c r="X66" s="262">
        <f>Allocation!$I$9*(CF!Y16+CF!Y15)</f>
        <v>-6709.4239045654513</v>
      </c>
      <c r="Y66" s="262">
        <f>Allocation!$I$9*(CF!Z16+CF!Z15)</f>
        <v>-5315.4437562850044</v>
      </c>
      <c r="Z66" s="262">
        <f>Allocation!$I$9*(CF!AA16+CF!AA15)</f>
        <v>0</v>
      </c>
    </row>
    <row r="67" spans="1:26" outlineLevel="1">
      <c r="A67" s="14" t="s">
        <v>194</v>
      </c>
      <c r="D67" s="153"/>
      <c r="E67" s="153">
        <f t="shared" ref="E67:Z67" si="11">SUM(E64:E66)</f>
        <v>0</v>
      </c>
      <c r="F67" s="153">
        <f t="shared" ca="1" si="11"/>
        <v>5177.3482855092388</v>
      </c>
      <c r="G67" s="153">
        <f t="shared" si="11"/>
        <v>2733.1147187478473</v>
      </c>
      <c r="H67" s="153">
        <f t="shared" si="11"/>
        <v>2746.6631980415441</v>
      </c>
      <c r="I67" s="153">
        <f t="shared" si="11"/>
        <v>5420.2545158759676</v>
      </c>
      <c r="J67" s="153">
        <f t="shared" si="11"/>
        <v>13096.68031439392</v>
      </c>
      <c r="K67" s="153">
        <f t="shared" si="11"/>
        <v>13139.400851215702</v>
      </c>
      <c r="L67" s="153">
        <f t="shared" si="11"/>
        <v>13327.68816575492</v>
      </c>
      <c r="M67" s="153">
        <f t="shared" si="11"/>
        <v>13861.249879485473</v>
      </c>
      <c r="N67" s="153">
        <f t="shared" si="11"/>
        <v>13987.653282239526</v>
      </c>
      <c r="O67" s="153">
        <f t="shared" si="11"/>
        <v>14553.849189420695</v>
      </c>
      <c r="P67" s="153">
        <f t="shared" si="11"/>
        <v>15773.129023887606</v>
      </c>
      <c r="Q67" s="153">
        <f t="shared" si="11"/>
        <v>17162.756393635289</v>
      </c>
      <c r="R67" s="153">
        <f t="shared" si="11"/>
        <v>17505.355333299864</v>
      </c>
      <c r="S67" s="153">
        <f t="shared" si="11"/>
        <v>18022.820961016354</v>
      </c>
      <c r="T67" s="153">
        <f t="shared" si="11"/>
        <v>18528.655802562254</v>
      </c>
      <c r="U67" s="153">
        <f t="shared" si="11"/>
        <v>18940.002982484515</v>
      </c>
      <c r="V67" s="153">
        <f t="shared" si="11"/>
        <v>19818.179927186273</v>
      </c>
      <c r="W67" s="153">
        <f t="shared" si="11"/>
        <v>20974.391844432634</v>
      </c>
      <c r="X67" s="153">
        <f t="shared" si="11"/>
        <v>22615.063691870248</v>
      </c>
      <c r="Y67" s="153">
        <f t="shared" si="11"/>
        <v>24152.007650152682</v>
      </c>
      <c r="Z67" s="153">
        <f t="shared" si="11"/>
        <v>29876.053629518647</v>
      </c>
    </row>
    <row r="68" spans="1:26" outlineLevel="1">
      <c r="A68" s="14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D69" s="486"/>
      <c r="E69" s="486">
        <v>0</v>
      </c>
      <c r="F69" s="255">
        <f ca="1">Allocation!$I$9*CF!G24*7/12+Allocation!$K$9*CF!G24*5/12</f>
        <v>0</v>
      </c>
      <c r="G69" s="486">
        <f>Allocation!$I$9*CF!H24</f>
        <v>0</v>
      </c>
      <c r="H69" s="486">
        <f>Allocation!$I$9*CF!I24</f>
        <v>0</v>
      </c>
      <c r="I69" s="486">
        <f>Allocation!$I$9*CF!J24</f>
        <v>0</v>
      </c>
      <c r="J69" s="486">
        <f ca="1">Allocation!$I$9*CF!K24</f>
        <v>0</v>
      </c>
      <c r="K69" s="486">
        <f ca="1">Allocation!$I$9*CF!L24</f>
        <v>0</v>
      </c>
      <c r="L69" s="486">
        <f ca="1">Allocation!$I$9*CF!M24</f>
        <v>-127.53633401552882</v>
      </c>
      <c r="M69" s="486">
        <f ca="1">Allocation!$I$9*CF!N24</f>
        <v>-579.91909895126662</v>
      </c>
      <c r="N69" s="486">
        <f ca="1">Allocation!$I$9*CF!O24</f>
        <v>-625.52694890516966</v>
      </c>
      <c r="O69" s="486">
        <f ca="1">Allocation!$I$9*CF!P24</f>
        <v>-697.16627594033343</v>
      </c>
      <c r="P69" s="486">
        <f ca="1">Allocation!$I$9*CF!Q24</f>
        <v>-735.26866561534041</v>
      </c>
      <c r="Q69" s="486">
        <f ca="1">Allocation!$I$9*CF!R24</f>
        <v>-802.28014841543813</v>
      </c>
      <c r="R69" s="486">
        <f ca="1">Allocation!$I$9*CF!S24</f>
        <v>-852.71009197516275</v>
      </c>
      <c r="S69" s="486">
        <f ca="1">Allocation!$I$9*CF!T24</f>
        <v>-897.48305982563727</v>
      </c>
      <c r="T69" s="486">
        <f ca="1">Allocation!$I$9*CF!U24</f>
        <v>-949.08950660981009</v>
      </c>
      <c r="U69" s="486">
        <f ca="1">Allocation!$I$9*CF!V24</f>
        <v>-1417.1449628948324</v>
      </c>
      <c r="V69" s="486">
        <f ca="1">Allocation!$I$9*CF!W24</f>
        <v>-1651.1806006063646</v>
      </c>
      <c r="W69" s="486">
        <f>Allocation!$I$9*CF!X24</f>
        <v>-1708.2438059720655</v>
      </c>
      <c r="X69" s="486">
        <f>Allocation!$I$9*CF!Y24</f>
        <v>-1759.5311705307224</v>
      </c>
      <c r="Y69" s="486">
        <f>Allocation!$I$9*CF!Z24</f>
        <v>-1786.8029257369926</v>
      </c>
      <c r="Z69" s="486">
        <f ca="1">Allocation!$I$9*CF!AA24</f>
        <v>-1828.9401789414101</v>
      </c>
    </row>
    <row r="70" spans="1:26" ht="15" outlineLevel="1">
      <c r="A70" s="15" t="s">
        <v>383</v>
      </c>
      <c r="D70" s="486"/>
      <c r="E70" s="228">
        <f>Allocation!$K$9*CF!D25</f>
        <v>0</v>
      </c>
      <c r="F70" s="262">
        <f ca="1">Allocation!$I$9*(-Tax!E39)*7/12+Allocation!$K$9*(-Tax!E39)*5/12</f>
        <v>1858.051555225406</v>
      </c>
      <c r="G70" s="486">
        <f>Allocation!$I$9*CF!H25</f>
        <v>3072.7436328069894</v>
      </c>
      <c r="H70" s="486">
        <f>Allocation!$I$9*CF!I25</f>
        <v>2457.4930476686191</v>
      </c>
      <c r="I70" s="486">
        <f>Allocation!$I$9*CF!J25</f>
        <v>49.942698020519181</v>
      </c>
      <c r="J70" s="486">
        <f ca="1">Allocation!$I$9*CF!K25</f>
        <v>-1938.7396643342806</v>
      </c>
      <c r="K70" s="486">
        <f ca="1">Allocation!$I$9*CF!L25</f>
        <v>-2615.0095788776089</v>
      </c>
      <c r="L70" s="486">
        <f ca="1">Allocation!$I$9*CF!M25</f>
        <v>-2939.6836002552536</v>
      </c>
      <c r="M70" s="486">
        <f ca="1">Allocation!$I$9*CF!N25</f>
        <v>-3124.7296637012746</v>
      </c>
      <c r="N70" s="486">
        <f ca="1">Allocation!$I$9*CF!O25</f>
        <v>-3370.474633829554</v>
      </c>
      <c r="O70" s="486">
        <f ca="1">Allocation!$I$9*CF!P25</f>
        <v>-3756.4828385587866</v>
      </c>
      <c r="P70" s="486">
        <f ca="1">Allocation!$I$9*CF!Q25</f>
        <v>-3961.7867636937044</v>
      </c>
      <c r="Q70" s="486">
        <f ca="1">Allocation!$I$9*CF!R25</f>
        <v>-4322.8591417077105</v>
      </c>
      <c r="R70" s="486">
        <f ca="1">Allocation!$I$9*CF!S25</f>
        <v>-4594.5865962178686</v>
      </c>
      <c r="S70" s="486">
        <f ca="1">Allocation!$I$9*CF!T25</f>
        <v>-4835.8330408121647</v>
      </c>
      <c r="T70" s="486">
        <f ca="1">Allocation!$I$9*CF!U25</f>
        <v>-5113.8997494209061</v>
      </c>
      <c r="U70" s="486">
        <f ca="1">Allocation!$I$9*CF!V25</f>
        <v>-7635.8838867875384</v>
      </c>
      <c r="V70" s="486">
        <f ca="1">Allocation!$I$9*CF!W25</f>
        <v>-8896.918573941246</v>
      </c>
      <c r="W70" s="486">
        <f>Allocation!$I$9*CF!X25</f>
        <v>-9204.3874792325787</v>
      </c>
      <c r="X70" s="486">
        <f>Allocation!$I$9*CF!Y25</f>
        <v>-9480.7349037256008</v>
      </c>
      <c r="Y70" s="486">
        <f>Allocation!$I$9*CF!Z25</f>
        <v>-9627.6810253972981</v>
      </c>
      <c r="Z70" s="486">
        <f ca="1">Allocation!$I$9*CF!AA25</f>
        <v>-9854.7256688188409</v>
      </c>
    </row>
    <row r="71" spans="1:26" outlineLevel="1">
      <c r="A71" s="15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s="238" customFormat="1" ht="15.6" outlineLevel="1">
      <c r="A72" s="108" t="s">
        <v>197</v>
      </c>
      <c r="B72" s="237"/>
      <c r="C72" s="237"/>
      <c r="D72" s="264"/>
      <c r="E72" s="264">
        <f t="shared" ref="E72:Z72" si="12">E67+E70+E69</f>
        <v>0</v>
      </c>
      <c r="F72" s="264">
        <f t="shared" ca="1" si="12"/>
        <v>7035.3998407346444</v>
      </c>
      <c r="G72" s="264">
        <f t="shared" si="12"/>
        <v>5805.8583515548362</v>
      </c>
      <c r="H72" s="264">
        <f t="shared" si="12"/>
        <v>5204.1562457101627</v>
      </c>
      <c r="I72" s="264">
        <f t="shared" si="12"/>
        <v>5470.1972138964866</v>
      </c>
      <c r="J72" s="264">
        <f t="shared" ca="1" si="12"/>
        <v>11157.94065005964</v>
      </c>
      <c r="K72" s="264">
        <f t="shared" ca="1" si="12"/>
        <v>10524.391272338093</v>
      </c>
      <c r="L72" s="264">
        <f t="shared" ca="1" si="12"/>
        <v>10260.468231484138</v>
      </c>
      <c r="M72" s="264">
        <f t="shared" ca="1" si="12"/>
        <v>10156.601116832931</v>
      </c>
      <c r="N72" s="264">
        <f t="shared" ca="1" si="12"/>
        <v>9991.6516995048023</v>
      </c>
      <c r="O72" s="264">
        <f t="shared" ca="1" si="12"/>
        <v>10100.200074921575</v>
      </c>
      <c r="P72" s="264">
        <f t="shared" ca="1" si="12"/>
        <v>11076.073594578562</v>
      </c>
      <c r="Q72" s="264">
        <f t="shared" ca="1" si="12"/>
        <v>12037.617103512139</v>
      </c>
      <c r="R72" s="264">
        <f t="shared" ca="1" si="12"/>
        <v>12058.058645106832</v>
      </c>
      <c r="S72" s="264">
        <f t="shared" ca="1" si="12"/>
        <v>12289.504860378551</v>
      </c>
      <c r="T72" s="264">
        <f t="shared" ca="1" si="12"/>
        <v>12465.666546531538</v>
      </c>
      <c r="U72" s="264">
        <f t="shared" ca="1" si="12"/>
        <v>9886.9741328021446</v>
      </c>
      <c r="V72" s="264">
        <f t="shared" ca="1" si="12"/>
        <v>9270.0807526386616</v>
      </c>
      <c r="W72" s="264">
        <f t="shared" si="12"/>
        <v>10061.760559227989</v>
      </c>
      <c r="X72" s="264">
        <f t="shared" si="12"/>
        <v>11374.797617613924</v>
      </c>
      <c r="Y72" s="264">
        <f t="shared" si="12"/>
        <v>12737.523699018391</v>
      </c>
      <c r="Z72" s="264">
        <f t="shared" ca="1" si="12"/>
        <v>18192.387781758393</v>
      </c>
    </row>
    <row r="73" spans="1:26" outlineLevel="1">
      <c r="A73" s="17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B75" s="151"/>
      <c r="C75" s="123">
        <f>C60</f>
        <v>0.5</v>
      </c>
      <c r="D75" s="227"/>
      <c r="E75" s="227">
        <f t="shared" ref="E75:Z75" si="13">$C$75*E54</f>
        <v>0</v>
      </c>
      <c r="F75" s="227">
        <f t="shared" ca="1" si="13"/>
        <v>660.88391140567285</v>
      </c>
      <c r="G75" s="227">
        <f t="shared" si="13"/>
        <v>454.75187470471792</v>
      </c>
      <c r="H75" s="227">
        <f t="shared" si="13"/>
        <v>523.42508739068921</v>
      </c>
      <c r="I75" s="227">
        <f t="shared" si="13"/>
        <v>2236.5592149341501</v>
      </c>
      <c r="J75" s="227">
        <f t="shared" si="13"/>
        <v>3577.2378846561187</v>
      </c>
      <c r="K75" s="227">
        <f t="shared" si="13"/>
        <v>3756.2863620516823</v>
      </c>
      <c r="L75" s="227">
        <f t="shared" si="13"/>
        <v>3944.5411127060593</v>
      </c>
      <c r="M75" s="227">
        <f t="shared" si="13"/>
        <v>4315.455999674864</v>
      </c>
      <c r="N75" s="227">
        <f t="shared" si="13"/>
        <v>4537.7521239236194</v>
      </c>
      <c r="O75" s="227">
        <f t="shared" si="13"/>
        <v>4968.9448600021387</v>
      </c>
      <c r="P75" s="227">
        <f t="shared" si="13"/>
        <v>5013.7910444542422</v>
      </c>
      <c r="Q75" s="227">
        <f t="shared" si="13"/>
        <v>5446.2036389328032</v>
      </c>
      <c r="R75" s="227">
        <f t="shared" si="13"/>
        <v>5708.5970911017448</v>
      </c>
      <c r="S75" s="227">
        <f t="shared" si="13"/>
        <v>5981.0702156519947</v>
      </c>
      <c r="T75" s="227">
        <f t="shared" si="13"/>
        <v>6261.5023117045239</v>
      </c>
      <c r="U75" s="227">
        <f t="shared" si="13"/>
        <v>6562.2687609834811</v>
      </c>
      <c r="V75" s="227">
        <f t="shared" si="13"/>
        <v>6874.5590331600706</v>
      </c>
      <c r="W75" s="227">
        <f t="shared" si="13"/>
        <v>7181.6516085564017</v>
      </c>
      <c r="X75" s="227">
        <f t="shared" si="13"/>
        <v>7439.7069313501925</v>
      </c>
      <c r="Y75" s="227">
        <f t="shared" si="13"/>
        <v>7651.4308186434473</v>
      </c>
      <c r="Z75" s="227">
        <f t="shared" si="13"/>
        <v>7866.3398581972169</v>
      </c>
    </row>
    <row r="76" spans="1:26" outlineLevel="1">
      <c r="A76" s="16" t="s">
        <v>294</v>
      </c>
      <c r="B76" s="151"/>
      <c r="C76" s="123">
        <f>C60</f>
        <v>0.5</v>
      </c>
      <c r="D76" s="227"/>
      <c r="E76" s="227">
        <f t="shared" ref="E76:Z76" si="14">$C$76*E72</f>
        <v>0</v>
      </c>
      <c r="F76" s="227">
        <f t="shared" ca="1" si="14"/>
        <v>3517.6999203673222</v>
      </c>
      <c r="G76" s="227">
        <f t="shared" si="14"/>
        <v>2902.9291757774181</v>
      </c>
      <c r="H76" s="227">
        <f t="shared" si="14"/>
        <v>2602.0781228550813</v>
      </c>
      <c r="I76" s="227">
        <f t="shared" si="14"/>
        <v>2735.0986069482433</v>
      </c>
      <c r="J76" s="227">
        <f t="shared" ca="1" si="14"/>
        <v>5578.9703250298198</v>
      </c>
      <c r="K76" s="227">
        <f t="shared" ca="1" si="14"/>
        <v>5262.1956361690463</v>
      </c>
      <c r="L76" s="227">
        <f t="shared" ca="1" si="14"/>
        <v>5130.2341157420688</v>
      </c>
      <c r="M76" s="227">
        <f t="shared" ca="1" si="14"/>
        <v>5078.3005584164657</v>
      </c>
      <c r="N76" s="227">
        <f t="shared" ca="1" si="14"/>
        <v>4995.8258497524012</v>
      </c>
      <c r="O76" s="227">
        <f t="shared" ca="1" si="14"/>
        <v>5050.1000374607875</v>
      </c>
      <c r="P76" s="227">
        <f t="shared" ca="1" si="14"/>
        <v>5538.0367972892809</v>
      </c>
      <c r="Q76" s="227">
        <f t="shared" ca="1" si="14"/>
        <v>6018.8085517560694</v>
      </c>
      <c r="R76" s="227">
        <f t="shared" ca="1" si="14"/>
        <v>6029.029322553416</v>
      </c>
      <c r="S76" s="227">
        <f t="shared" ca="1" si="14"/>
        <v>6144.7524301892754</v>
      </c>
      <c r="T76" s="227">
        <f t="shared" ca="1" si="14"/>
        <v>6232.8332732657691</v>
      </c>
      <c r="U76" s="227">
        <f t="shared" ca="1" si="14"/>
        <v>4943.4870664010723</v>
      </c>
      <c r="V76" s="227">
        <f t="shared" ca="1" si="14"/>
        <v>4635.0403763193308</v>
      </c>
      <c r="W76" s="227">
        <f t="shared" si="14"/>
        <v>5030.8802796139944</v>
      </c>
      <c r="X76" s="227">
        <f t="shared" si="14"/>
        <v>5687.3988088069618</v>
      </c>
      <c r="Y76" s="227">
        <f t="shared" si="14"/>
        <v>6368.7618495091956</v>
      </c>
      <c r="Z76" s="227">
        <f t="shared" ca="1" si="14"/>
        <v>9096.1938908791963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6" sqref="I6"/>
    </sheetView>
  </sheetViews>
  <sheetFormatPr defaultColWidth="9.109375" defaultRowHeight="13.2" outlineLevelRow="2" outlineLevelCol="1"/>
  <cols>
    <col min="1" max="1" width="53.44140625" style="7" customWidth="1"/>
    <col min="2" max="4" width="8.4414062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2" spans="1:29" ht="17.399999999999999">
      <c r="A2" s="126" t="s">
        <v>351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f>Assumptions!$P$10*'Power Price Assumption'!E25*0</f>
        <v>0</v>
      </c>
      <c r="F10" s="253">
        <f>Assumptions!$P$30*Assumptions!$P$53*'Power Price Assumption'!F23</f>
        <v>12240</v>
      </c>
      <c r="G10" s="253">
        <f>Assumptions!$P$30*12*'Power Price Assumption'!G23</f>
        <v>24480</v>
      </c>
      <c r="H10" s="253">
        <f>Assumptions!$P$30*12*'Power Price Assumption'!H23</f>
        <v>24480</v>
      </c>
      <c r="I10" s="253">
        <f>Assumptions!$P$30*'Power Price Assumption'!I23*MONTH(Assumptions!$L$38)</f>
        <v>10200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Assumptions!P$26*Assumptions!P$30*Assumptions!P$14/1000*(1+Assumptions!$P$39)</f>
        <v>767.01319000000001</v>
      </c>
      <c r="G11" s="253">
        <f>F11*(1+Assumptions!$P$39)</f>
        <v>790.02358570000001</v>
      </c>
      <c r="H11" s="253">
        <f>G11*(1+Assumptions!$P$39)</f>
        <v>813.72429327100008</v>
      </c>
      <c r="I11" s="253">
        <f>5/12*Assumptions!$P$26*Assumptions!$P$17/1000*(1+Assumptions!$P$39)^(I5-$E$5)</f>
        <v>349.22334252880415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VLOOKUP(Assumptions!$P$19,'EGC Start Charge Matrix'!$A$10:$S$35,17)*(1+Assumptions!$P$39)</f>
        <v>2365.3332</v>
      </c>
      <c r="G12" s="253">
        <f>F12*(1+Assumptions!$P$39)</f>
        <v>2436.2931960000001</v>
      </c>
      <c r="H12" s="253">
        <f>G12*(1+Assumptions!$P$39)</f>
        <v>2509.38199188</v>
      </c>
      <c r="I12" s="253">
        <f>H12*(1+Assumptions!$P$39)*5/12</f>
        <v>1076.9431048485001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IF(Assumptions!$P$19=120,Assumptions!$P$33*(1-Assumptions!$P$35)*'Power Price Assumption'!I25*(12-MONTH(Assumptions!$L$38)),Assumptions!$P$33*(1-Assumptions!$P$35)*'Power Price Assumption'!I25*(12-MONTH(Assumptions!$L$38))-7/12*VLOOKUP(120,'EGC Start Charge Matrix'!$U$10:$AM$35,17)*2/3*(1+Assumptions!$P$52)^(I5-$E$5))</f>
        <v>20511.826006152467</v>
      </c>
      <c r="J15" s="253">
        <f>IF(Assumptions!$P$19=120,Assumptions!$P$33*(1-Assumptions!$P$35)*'Power Price Assumption'!J25*(12),Assumptions!$P$33*(1-Assumptions!$P$35)*'Power Price Assumption'!J25*(12)-2/3*VLOOKUP(120,'EGC Start Charge Matrix'!$U$10:$AM$35,17)*(1+Assumptions!$P$52)^(J5-Brownsville!$E$5))</f>
        <v>35604.159388112792</v>
      </c>
      <c r="K15" s="253">
        <f>IF(Assumptions!$P$19=120,Assumptions!$P$33*(1-Assumptions!$P$35)*'Power Price Assumption'!K25*(12),Assumptions!$P$33*(1-Assumptions!$P$35)*'Power Price Assumption'!K25*(12)-2/3*VLOOKUP(120,'EGC Start Charge Matrix'!$U$10:$AM$35,17)*(1+Assumptions!$P$52)^(K5-Brownsville!$E$5))</f>
        <v>36040.003408208649</v>
      </c>
      <c r="L15" s="253">
        <f>IF(Assumptions!$P$19=120,Assumptions!$P$33*(1-Assumptions!$P$35)*'Power Price Assumption'!L25*(12),Assumptions!$P$33*(1-Assumptions!$P$35)*'Power Price Assumption'!L25*(12)-2/3*VLOOKUP(120,'EGC Start Charge Matrix'!$U$10:$AM$35,17)*(1+Assumptions!$P$52)^(L5-Brownsville!$E$5))</f>
        <v>36469.954326060964</v>
      </c>
      <c r="M15" s="253">
        <f>IF(Assumptions!$P$19=120,Assumptions!$P$33*(1-Assumptions!$P$35)*'Power Price Assumption'!M25*(12),Assumptions!$P$33*(1-Assumptions!$P$35)*'Power Price Assumption'!M25*(12)-2/3*VLOOKUP(120,'EGC Start Charge Matrix'!$U$10:$AM$35,17)*(1+Assumptions!$P$52)^(M5-Brownsville!$E$5))</f>
        <v>37564.052955842795</v>
      </c>
      <c r="N15" s="253">
        <f>IF(Assumptions!$P$19=120,Assumptions!$P$33*(1-Assumptions!$P$35)*'Power Price Assumption'!N25*(12),Assumptions!$P$33*(1-Assumptions!$P$35)*'Power Price Assumption'!N25*(12)-2/3*VLOOKUP(120,'EGC Start Charge Matrix'!$U$10:$AM$35,17)*(1+Assumptions!$P$52)^(N5-Brownsville!$E$5))</f>
        <v>38000.064284794535</v>
      </c>
      <c r="O15" s="253">
        <f>IF(Assumptions!$P$19=120,Assumptions!$P$33*(1-Assumptions!$P$35)*'Power Price Assumption'!O25*(12),Assumptions!$P$33*(1-Assumptions!$P$35)*'Power Price Assumption'!O25*(12)-2/3*VLOOKUP(120,'EGC Start Charge Matrix'!$U$10:$AM$35,17)*(1+Assumptions!$P$52)^(O5-Brownsville!$E$5))</f>
        <v>39140.066213338374</v>
      </c>
      <c r="P15" s="253">
        <f>IF(Assumptions!$P$19=120,Assumptions!$P$33*(1-Assumptions!$P$35)*'Power Price Assumption'!P25*(12),Assumptions!$P$33*(1-Assumptions!$P$35)*'Power Price Assumption'!P25*(12)-2/3*VLOOKUP(120,'EGC Start Charge Matrix'!$U$10:$AM$35,17)*(1+Assumptions!$P$52)^(P5-Brownsville!$E$5))</f>
        <v>39581.281505197825</v>
      </c>
      <c r="Q15" s="253">
        <f>IF(Assumptions!$P$19=120,Assumptions!$P$33*(1-Assumptions!$P$35)*'Power Price Assumption'!Q25*(12),Assumptions!$P$33*(1-Assumptions!$P$35)*'Power Price Assumption'!Q25*(12)-2/3*VLOOKUP(120,'EGC Start Charge Matrix'!$U$10:$AM$35,17)*(1+Assumptions!$P$52)^(Q5-Brownsville!$E$5))</f>
        <v>40768.719950353756</v>
      </c>
      <c r="R15" s="253">
        <f>IF(Assumptions!$P$19=120,Assumptions!$P$33*(1-Assumptions!$P$35)*'Power Price Assumption'!R25*(12),Assumptions!$P$33*(1-Assumptions!$P$35)*'Power Price Assumption'!R25*(12)-2/3*VLOOKUP(120,'EGC Start Charge Matrix'!$U$10:$AM$35,17)*(1+Assumptions!$P$52)^(R5-Brownsville!$E$5))</f>
        <v>41214.155964626145</v>
      </c>
      <c r="S15" s="253">
        <f>IF(Assumptions!$P$19=120,Assumptions!$P$33*(1-Assumptions!$P$35)*'Power Price Assumption'!S25*(12),Assumptions!$P$33*(1-Assumptions!$P$35)*'Power Price Assumption'!S25*(12)-2/3*VLOOKUP(120,'EGC Start Charge Matrix'!$U$10:$AM$35,17)*(1+Assumptions!$P$52)^(S5-Brownsville!$E$5))</f>
        <v>41649.626291799548</v>
      </c>
      <c r="T15" s="253">
        <f>IF(Assumptions!$P$19=120,Assumptions!$P$33*(1-Assumptions!$P$35)*'Power Price Assumption'!T25*(12),Assumptions!$P$33*(1-Assumptions!$P$35)*'Power Price Assumption'!T25*(12)-2/3*VLOOKUP(120,'EGC Start Charge Matrix'!$U$10:$AM$35,17)*(1+Assumptions!$P$52)^(T5-Brownsville!$E$5))</f>
        <v>42074.132098235197</v>
      </c>
      <c r="U15" s="253">
        <f>IF(Assumptions!$P$19=120,Assumptions!$P$33*(1-Assumptions!$P$35)*'Power Price Assumption'!U25*(12),Assumptions!$P$33*(1-Assumptions!$P$35)*'Power Price Assumption'!U25*(12)-2/3*VLOOKUP(120,'EGC Start Charge Matrix'!$U$10:$AM$35,17)*(1+Assumptions!$P$52)^(U5-Brownsville!$E$5))</f>
        <v>42486.623589394367</v>
      </c>
      <c r="V15" s="253">
        <f>IF(Assumptions!$P$19=120,Assumptions!$P$33*(1-Assumptions!$P$35)*'Power Price Assumption'!V25*(12),Assumptions!$P$33*(1-Assumptions!$P$35)*'Power Price Assumption'!V25*(12)-2/3*VLOOKUP(120,'EGC Start Charge Matrix'!$U$10:$AM$35,17)*(1+Assumptions!$P$52)^(V5-Brownsville!$E$5))</f>
        <v>42885.997851134671</v>
      </c>
      <c r="W15" s="253">
        <f>IF(Assumptions!$P$19=120,Assumptions!$P$33*(1-Assumptions!$P$35)*'Power Price Assumption'!W25*(12),Assumptions!$P$33*(1-Assumptions!$P$35)*'Power Price Assumption'!W25*(12)-2/3*VLOOKUP(120,'EGC Start Charge Matrix'!$U$10:$AM$35,17)*(1+Assumptions!$P$52)^(W5-Brownsville!$E$5))</f>
        <v>43271.096607348947</v>
      </c>
      <c r="X15" s="253">
        <f>IF(Assumptions!$P$19=120,Assumptions!$P$33*(1-Assumptions!$P$35)*'Power Price Assumption'!X25*(12),Assumptions!$P$33*(1-Assumptions!$P$35)*'Power Price Assumption'!X25*(12)-2/3*VLOOKUP(120,'EGC Start Charge Matrix'!$U$10:$AM$35,17)*(1+Assumptions!$P$52)^(X5-Brownsville!$E$5))</f>
        <v>43640.703890870049</v>
      </c>
      <c r="Y15" s="253">
        <f>IF(Assumptions!$P$19=120,Assumptions!$P$33*(1-Assumptions!$P$35)*'Power Price Assumption'!Y25*(12),Assumptions!$P$33*(1-Assumptions!$P$35)*'Power Price Assumption'!Y25*(12)-2/3*VLOOKUP(120,'EGC Start Charge Matrix'!$U$10:$AM$35,17)*(1+Assumptions!$P$52)^(Y5-Brownsville!$E$5))</f>
        <v>43993.543624455793</v>
      </c>
      <c r="Z15" s="253">
        <f>IF(Assumptions!$P$19=120,Assumptions!$P$33*(1-Assumptions!$P$35)*'Power Price Assumption'!Z25*(12),Assumptions!$P$33*(1-Assumptions!$P$35)*'Power Price Assumption'!Z25*(12)-2/3*VLOOKUP(120,'EGC Start Charge Matrix'!$U$10:$AM$35,17)*(1+Assumptions!$P$52)^(Z5-Brownsville!$E$5))</f>
        <v>44328.277108554918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7/12*Assumptions!$P$26*Assumptions!$P$34/1000*(1+Assumptions!$P$39)^(I5-$E$5)+H12*(1+Assumptions!$P$39)*Assumptions!P53/12*1/3</f>
        <v>933.68049333308181</v>
      </c>
      <c r="J16" s="253">
        <f>(Assumptions!$P$26*Assumptions!$P$34/1000)*(1+Assumptions!$P$39)^(J5-$E$5)+$F$12*(1+Assumptions!$P$39)^(J5-$F$5)*1/3</f>
        <v>1775.3845737131505</v>
      </c>
      <c r="K16" s="253">
        <f>J16*(1+Assumptions!$P$39)</f>
        <v>1828.6461109245452</v>
      </c>
      <c r="L16" s="253">
        <f>K16*(1+Assumptions!$P$39)</f>
        <v>1883.5054942522816</v>
      </c>
      <c r="M16" s="253">
        <f>L16*(1+Assumptions!$P$39)</f>
        <v>1940.01065907985</v>
      </c>
      <c r="N16" s="253">
        <f>M16*(1+Assumptions!$P$39)</f>
        <v>1998.2109788522455</v>
      </c>
      <c r="O16" s="253">
        <f>N16*(1+Assumptions!$P$39)</f>
        <v>2058.1573082178129</v>
      </c>
      <c r="P16" s="253">
        <f>O16*(1+Assumptions!$P$39)</f>
        <v>2119.9020274643472</v>
      </c>
      <c r="Q16" s="253">
        <f>P16*(1+Assumptions!$P$39)</f>
        <v>2183.4990882882776</v>
      </c>
      <c r="R16" s="253">
        <f>Q16*(1+Assumptions!$P$39)</f>
        <v>2249.0040609369257</v>
      </c>
      <c r="S16" s="253">
        <f>R16*(1+Assumptions!$P$39)</f>
        <v>2316.4741827650337</v>
      </c>
      <c r="T16" s="253">
        <f>S16*(1+Assumptions!$P$39)</f>
        <v>2385.9684082479848</v>
      </c>
      <c r="U16" s="253">
        <f>T16*(1+Assumptions!$P$39)</f>
        <v>2457.5474604954243</v>
      </c>
      <c r="V16" s="253">
        <f>U16*(1+Assumptions!$P$39)</f>
        <v>2531.273884310287</v>
      </c>
      <c r="W16" s="253">
        <f>V16*(1+Assumptions!$P$39)</f>
        <v>2607.2121008395957</v>
      </c>
      <c r="X16" s="253">
        <f>W16*(1+Assumptions!$P$39)</f>
        <v>2685.4284638647837</v>
      </c>
      <c r="Y16" s="253">
        <f>X16*(1+Assumptions!$P$39)</f>
        <v>2765.9913177807271</v>
      </c>
      <c r="Z16" s="253">
        <f>Y16*(1+Assumptions!$P$39)</f>
        <v>2848.9710573141488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Assumptions!$P$33*Assumptions!$P$35*Assumptions!$P$36*Assumptions!$P$14/1000*7/12</f>
        <v>7.3443159999999992</v>
      </c>
      <c r="J17" s="253">
        <f>Assumptions!$P$33*Assumptions!$P$35*Assumptions!$P$36*Assumptions!$P$14/1000</f>
        <v>12.590255999999998</v>
      </c>
      <c r="K17" s="253">
        <f>Assumptions!$P$33*Assumptions!$P$35*Assumptions!$P$36*Assumptions!$P$14/1000</f>
        <v>12.590255999999998</v>
      </c>
      <c r="L17" s="253">
        <f>Assumptions!$P$33*Assumptions!$P$35*Assumptions!$P$36*Assumptions!$P$14/1000</f>
        <v>12.590255999999998</v>
      </c>
      <c r="M17" s="253">
        <f>Assumptions!$P$33*Assumptions!$P$35*Assumptions!$P$36*Assumptions!$P$14/1000</f>
        <v>12.590255999999998</v>
      </c>
      <c r="N17" s="253">
        <f>Assumptions!$P$33*Assumptions!$P$35*Assumptions!$P$36*Assumptions!$P$14/1000</f>
        <v>12.590255999999998</v>
      </c>
      <c r="O17" s="253">
        <f>Assumptions!$P$33*Assumptions!$P$35*Assumptions!$P$36*Assumptions!$P$14/1000</f>
        <v>12.590255999999998</v>
      </c>
      <c r="P17" s="253">
        <f>Assumptions!$P$33*Assumptions!$P$35*Assumptions!$P$36*Assumptions!$P$14/1000</f>
        <v>12.590255999999998</v>
      </c>
      <c r="Q17" s="253">
        <f>Assumptions!$P$33*Assumptions!$P$35*Assumptions!$P$36*Assumptions!$P$14/1000</f>
        <v>12.590255999999998</v>
      </c>
      <c r="R17" s="253">
        <f>Assumptions!$P$33*Assumptions!$P$35*Assumptions!$P$36*Assumptions!$P$14/1000</f>
        <v>12.590255999999998</v>
      </c>
      <c r="S17" s="253">
        <f>Assumptions!$P$33*Assumptions!$P$35*Assumptions!$P$36*Assumptions!$P$14/1000</f>
        <v>12.590255999999998</v>
      </c>
      <c r="T17" s="253">
        <f>Assumptions!$P$33*Assumptions!$P$35*Assumptions!$P$36*Assumptions!$P$14/1000</f>
        <v>12.590255999999998</v>
      </c>
      <c r="U17" s="253">
        <f>Assumptions!$P$33*Assumptions!$P$35*Assumptions!$P$36*Assumptions!$P$14/1000</f>
        <v>12.590255999999998</v>
      </c>
      <c r="V17" s="253">
        <f>Assumptions!$P$33*Assumptions!$P$35*Assumptions!$P$36*Assumptions!$P$14/1000</f>
        <v>12.590255999999998</v>
      </c>
      <c r="W17" s="253">
        <f>Assumptions!$P$33*Assumptions!$P$35*Assumptions!$P$36*Assumptions!$P$14/1000</f>
        <v>12.590255999999998</v>
      </c>
      <c r="X17" s="253">
        <f>Assumptions!$P$33*Assumptions!$P$35*Assumptions!$P$36*Assumptions!$P$14/1000</f>
        <v>12.590255999999998</v>
      </c>
      <c r="Y17" s="253">
        <f>Assumptions!$P$33*Assumptions!$P$35*Assumptions!$P$36*Assumptions!$P$14/1000</f>
        <v>12.590255999999998</v>
      </c>
      <c r="Z17" s="253">
        <f>Assumptions!$P$33*Assumptions!$P$35*Assumptions!$P$36*Assumptions!$P$14/1000</f>
        <v>12.590255999999998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133.43342657258353</v>
      </c>
      <c r="G19" s="254">
        <f>(SUM(G10:G17)-SUM(G25:G35))*Assumptions!$B$34/4</f>
        <v>270.69277419743315</v>
      </c>
      <c r="H19" s="254">
        <f>(SUM(H10:H17)-SUM(H25:H35))*Assumptions!$B$34/4</f>
        <v>269.86309579228606</v>
      </c>
      <c r="I19" s="254">
        <f>(SUM(I10:I17)-SUM(I25:I35))*Assumptions!$B$34/4</f>
        <v>330.32322900128423</v>
      </c>
      <c r="J19" s="254">
        <f>(SUM(J10:J17)-SUM(J25:J35))*Assumptions!$B$34/4</f>
        <v>380.35274432294113</v>
      </c>
      <c r="K19" s="254">
        <f>(SUM(K10:K17)-SUM(K25:K35))*Assumptions!$B$34/4</f>
        <v>384.05842721742187</v>
      </c>
      <c r="L19" s="254">
        <f>(SUM(L10:L17)-SUM(L25:L35))*Assumptions!$B$34/4</f>
        <v>387.63817531315681</v>
      </c>
      <c r="M19" s="254">
        <f>(SUM(M10:M17)-SUM(M25:M35))*Assumptions!$B$34/4</f>
        <v>399.4659306566881</v>
      </c>
      <c r="N19" s="254">
        <f>(SUM(N10:N17)-SUM(N25:N35))*Assumptions!$B$34/4</f>
        <v>403.01214041398089</v>
      </c>
      <c r="O19" s="254">
        <f>(SUM(O10:O17)-SUM(O25:O35))*Assumptions!$B$34/4</f>
        <v>415.30111471053698</v>
      </c>
      <c r="P19" s="254">
        <f>(SUM(P10:P17)-SUM(P25:P35))*Assumptions!$B$34/4</f>
        <v>419.29415237748208</v>
      </c>
      <c r="Q19" s="254">
        <f>(SUM(Q10:Q17)-SUM(Q25:Q35))*Assumptions!$B$34/4</f>
        <v>432.20545163055431</v>
      </c>
      <c r="R19" s="254">
        <f>(SUM(R10:R17)-SUM(R25:R35))*Assumptions!$B$34/4</f>
        <v>435.63860419214518</v>
      </c>
      <c r="S19" s="254">
        <f>(SUM(S10:S17)-SUM(S25:S35))*Assumptions!$B$34/4</f>
        <v>438.94079923537521</v>
      </c>
      <c r="T19" s="254">
        <f>(SUM(T10:T17)-SUM(T25:T35))*Assumptions!$B$34/4</f>
        <v>442.04022410564204</v>
      </c>
      <c r="U19" s="254">
        <f>(SUM(U10:U17)-SUM(U25:U35))*Assumptions!$B$34/4</f>
        <v>444.88673846936683</v>
      </c>
      <c r="V19" s="254">
        <f>(SUM(V10:V17)-SUM(V25:V35))*Assumptions!$B$34/4</f>
        <v>447.64331347118264</v>
      </c>
      <c r="W19" s="254">
        <f>(SUM(W10:W17)-SUM(W25:W35))*Assumptions!$B$34/4</f>
        <v>450.2401506354887</v>
      </c>
      <c r="X19" s="254">
        <f>(SUM(X10:X17)-SUM(X25:X35))*Assumptions!$B$34/4</f>
        <v>452.75320041780253</v>
      </c>
      <c r="Y19" s="254">
        <f>(SUM(Y10:Y17)-SUM(Y25:Y35))*Assumptions!$B$34/4</f>
        <v>454.9681402453657</v>
      </c>
      <c r="Z19" s="254">
        <f>(SUM(Z10:Z17)-SUM(Z25:Z35))*Assumptions!$B$34/4</f>
        <v>455.88248657484195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15505.779816572582</v>
      </c>
      <c r="G20" s="253">
        <f t="shared" si="1"/>
        <v>27977.009555897432</v>
      </c>
      <c r="H20" s="253">
        <f t="shared" si="1"/>
        <v>28072.969380943287</v>
      </c>
      <c r="I20" s="253">
        <f t="shared" si="1"/>
        <v>33409.340491864139</v>
      </c>
      <c r="J20" s="253">
        <f t="shared" si="1"/>
        <v>37772.486962148883</v>
      </c>
      <c r="K20" s="253">
        <f t="shared" si="1"/>
        <v>38265.298202350619</v>
      </c>
      <c r="L20" s="253">
        <f t="shared" si="1"/>
        <v>38753.688251626409</v>
      </c>
      <c r="M20" s="253">
        <f t="shared" si="1"/>
        <v>39916.119801579342</v>
      </c>
      <c r="N20" s="253">
        <f t="shared" si="1"/>
        <v>40413.87766006076</v>
      </c>
      <c r="O20" s="253">
        <f t="shared" si="1"/>
        <v>41626.114892266727</v>
      </c>
      <c r="P20" s="253">
        <f t="shared" si="1"/>
        <v>42133.067941039655</v>
      </c>
      <c r="Q20" s="253">
        <f t="shared" si="1"/>
        <v>43397.014746272587</v>
      </c>
      <c r="R20" s="253">
        <f t="shared" si="1"/>
        <v>43911.388885755216</v>
      </c>
      <c r="S20" s="253">
        <f t="shared" si="1"/>
        <v>44417.631529799961</v>
      </c>
      <c r="T20" s="253">
        <f t="shared" si="1"/>
        <v>44914.730986588831</v>
      </c>
      <c r="U20" s="253">
        <f t="shared" si="1"/>
        <v>45401.648044359157</v>
      </c>
      <c r="V20" s="253">
        <f t="shared" si="1"/>
        <v>45877.505304916143</v>
      </c>
      <c r="W20" s="253">
        <f t="shared" si="1"/>
        <v>46341.139114824036</v>
      </c>
      <c r="X20" s="253">
        <f t="shared" si="1"/>
        <v>46791.475811152632</v>
      </c>
      <c r="Y20" s="253">
        <f t="shared" si="1"/>
        <v>47227.093338481885</v>
      </c>
      <c r="Z20" s="253">
        <f t="shared" si="1"/>
        <v>47645.720908443909</v>
      </c>
      <c r="AA20" s="140"/>
      <c r="AB20" s="140"/>
      <c r="AC20" s="140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Assumptions!$P56*Assumptions!P53/12*(1+Assumptions!$P$52)</f>
        <v>513.45500000000004</v>
      </c>
      <c r="G25" s="253">
        <f>Assumptions!$P56*(1+Assumptions!$P$52)^2</f>
        <v>1057.7173</v>
      </c>
      <c r="H25" s="187">
        <f>G25*(1+Assumptions!$P$52)</f>
        <v>1089.448819</v>
      </c>
      <c r="I25" s="187">
        <f>H25*(1+Assumptions!$P$52)</f>
        <v>1122.13228357</v>
      </c>
      <c r="J25" s="187">
        <f>I25*(1+Assumptions!$P$52)</f>
        <v>1155.7962520771</v>
      </c>
      <c r="K25" s="187">
        <f>J25*(1+Assumptions!$P$52)</f>
        <v>1190.470139639413</v>
      </c>
      <c r="L25" s="187">
        <f>K25*(1+Assumptions!$P$52)</f>
        <v>1226.1842438285953</v>
      </c>
      <c r="M25" s="187">
        <f>L25*(1+Assumptions!$P$52)</f>
        <v>1262.9697711434533</v>
      </c>
      <c r="N25" s="187">
        <f>M25*(1+Assumptions!$P$52)</f>
        <v>1300.858864277757</v>
      </c>
      <c r="O25" s="187">
        <f>N25*(1+Assumptions!$P$52)</f>
        <v>1339.8846302060897</v>
      </c>
      <c r="P25" s="187">
        <f>O25*(1+Assumptions!$P$52)</f>
        <v>1380.0811691122724</v>
      </c>
      <c r="Q25" s="187">
        <f>P25*(1+Assumptions!$P$52)</f>
        <v>1421.4836041856406</v>
      </c>
      <c r="R25" s="187">
        <f>Q25*(1+Assumptions!$P$52)</f>
        <v>1464.1281123112099</v>
      </c>
      <c r="S25" s="187">
        <f>R25*(1+Assumptions!$P$52)</f>
        <v>1508.0519556805461</v>
      </c>
      <c r="T25" s="187">
        <f>S25*(1+Assumptions!$P$52)</f>
        <v>1553.2935143509626</v>
      </c>
      <c r="U25" s="187">
        <f>T25*(1+Assumptions!$P$52)</f>
        <v>1599.8923197814916</v>
      </c>
      <c r="V25" s="187">
        <f>U25*(1+Assumptions!$P$52)</f>
        <v>1647.8890893749362</v>
      </c>
      <c r="W25" s="187">
        <f>V25*(1+Assumptions!$P$52)</f>
        <v>1697.3257620561844</v>
      </c>
      <c r="X25" s="187">
        <f>W25*(1+Assumptions!$P$52)</f>
        <v>1748.2455349178699</v>
      </c>
      <c r="Y25" s="187">
        <f>X25*(1+Assumptions!$P$52)</f>
        <v>1800.6929009654061</v>
      </c>
      <c r="Z25" s="187">
        <f>Y25*(1+Assumptions!$P$52)</f>
        <v>1854.7136879943685</v>
      </c>
    </row>
    <row r="26" spans="1:29">
      <c r="A26" s="4" t="s">
        <v>177</v>
      </c>
      <c r="E26" s="253">
        <v>0</v>
      </c>
      <c r="F26" s="253">
        <f>Assumptions!$P59*(1+Assumptions!$P$52)</f>
        <v>767.01319000000001</v>
      </c>
      <c r="G26" s="253">
        <f>F26*(1+Assumptions!$P$52)</f>
        <v>790.02358570000001</v>
      </c>
      <c r="H26" s="187">
        <f>G26*(1+Assumptions!$P$52)</f>
        <v>813.72429327100008</v>
      </c>
      <c r="I26" s="253">
        <f>5/12*Assumptions!P59*(1+Assumptions!$P$52)^(I5-$E$5)+7/12*Assumptions!$P$60*(1+Assumptions!$P$52)^4</f>
        <v>852.12659392248588</v>
      </c>
      <c r="J26" s="253">
        <f>Assumptions!$P$60*(1+Assumptions!$P$52)^(J5-$E$5)</f>
        <v>887.98345531798645</v>
      </c>
      <c r="K26" s="187">
        <f>J26*(1+Assumptions!$P$52)</f>
        <v>914.62295897752608</v>
      </c>
      <c r="L26" s="187">
        <f>K26*(1+Assumptions!$P$52)</f>
        <v>942.06164774685192</v>
      </c>
      <c r="M26" s="187">
        <f>L26*(1+Assumptions!$P$52)</f>
        <v>970.32349717925752</v>
      </c>
      <c r="N26" s="187">
        <f>M26*(1+Assumptions!$P$52)</f>
        <v>999.43320209463525</v>
      </c>
      <c r="O26" s="187">
        <f>N26*(1+Assumptions!$P$52)</f>
        <v>1029.4161981574744</v>
      </c>
      <c r="P26" s="187">
        <f>O26*(1+Assumptions!$P$52)</f>
        <v>1060.2986841021986</v>
      </c>
      <c r="Q26" s="187">
        <f>P26*(1+Assumptions!$P$52)</f>
        <v>1092.1076446252646</v>
      </c>
      <c r="R26" s="187">
        <f>Q26*(1+Assumptions!$P$52)</f>
        <v>1124.8708739640226</v>
      </c>
      <c r="S26" s="187">
        <f>R26*(1+Assumptions!$P$52)</f>
        <v>1158.6170001829432</v>
      </c>
      <c r="T26" s="187">
        <f>S26*(1+Assumptions!$P$52)</f>
        <v>1193.3755101884315</v>
      </c>
      <c r="U26" s="187">
        <f>T26*(1+Assumptions!$P$52)</f>
        <v>1229.1767754940845</v>
      </c>
      <c r="V26" s="187">
        <f>U26*(1+Assumptions!$P$52)</f>
        <v>1266.0520787589071</v>
      </c>
      <c r="W26" s="187">
        <f>V26*(1+Assumptions!$P$52)</f>
        <v>1304.0336411216742</v>
      </c>
      <c r="X26" s="187">
        <f>W26*(1+Assumptions!$P$52)</f>
        <v>1343.1546503553245</v>
      </c>
      <c r="Y26" s="187">
        <f>X26*(1+Assumptions!$P$52)</f>
        <v>1383.4492898659844</v>
      </c>
      <c r="Z26" s="187">
        <f>Y26*(1+Assumptions!$P$52)</f>
        <v>1424.9527685619639</v>
      </c>
    </row>
    <row r="27" spans="1:29">
      <c r="A27" s="4" t="s">
        <v>131</v>
      </c>
      <c r="E27" s="253">
        <v>0</v>
      </c>
      <c r="F27" s="253">
        <f>VLOOKUP(Assumptions!P19,'EGC Start Charge Matrix'!$U$10:$AM$35,17)*(1+Assumptions!$P$52)</f>
        <v>2365.3332</v>
      </c>
      <c r="G27" s="253">
        <f>F27*(1+Assumptions!$P$52)</f>
        <v>2436.2931960000001</v>
      </c>
      <c r="H27" s="253">
        <f>G27*(1+Assumptions!$P$52)</f>
        <v>2509.38199188</v>
      </c>
      <c r="I27" s="253">
        <f>H27*(1+Assumptions!$P$52)</f>
        <v>2584.6634516364002</v>
      </c>
      <c r="J27" s="253">
        <f>I27*(1+Assumptions!$P$52)</f>
        <v>2662.2033551854925</v>
      </c>
      <c r="K27" s="253">
        <f>J27*(1+Assumptions!$P$52)</f>
        <v>2742.0694558410573</v>
      </c>
      <c r="L27" s="253">
        <f>K27*(1+Assumptions!$P$52)</f>
        <v>2824.331539516289</v>
      </c>
      <c r="M27" s="253">
        <f>L27*(1+Assumptions!$P$52)</f>
        <v>2909.0614857017777</v>
      </c>
      <c r="N27" s="253">
        <f>M27*(1+Assumptions!$P$52)</f>
        <v>2996.3333302728311</v>
      </c>
      <c r="O27" s="253">
        <f>N27*(1+Assumptions!$P$52)</f>
        <v>3086.2233301810161</v>
      </c>
      <c r="P27" s="253">
        <f>O27*(1+Assumptions!$P$52)</f>
        <v>3178.8100300864467</v>
      </c>
      <c r="Q27" s="253">
        <f>P27*(1+Assumptions!$P$52)</f>
        <v>3274.1743309890403</v>
      </c>
      <c r="R27" s="253">
        <f>Q27*(1+Assumptions!$P$52)</f>
        <v>3372.3995609187118</v>
      </c>
      <c r="S27" s="253">
        <f>R27*(1+Assumptions!$P$52)</f>
        <v>3473.5715477462732</v>
      </c>
      <c r="T27" s="253">
        <f>S27*(1+Assumptions!$P$52)</f>
        <v>3577.7786941786612</v>
      </c>
      <c r="U27" s="253">
        <f>T27*(1+Assumptions!$P$52)</f>
        <v>3685.1120550040209</v>
      </c>
      <c r="V27" s="253">
        <f>U27*(1+Assumptions!$P$52)</f>
        <v>3795.6654166541416</v>
      </c>
      <c r="W27" s="253">
        <f>V27*(1+Assumptions!$P$52)</f>
        <v>3909.5353791537659</v>
      </c>
      <c r="X27" s="253">
        <f>W27*(1+Assumptions!$P$52)</f>
        <v>4026.8214405283788</v>
      </c>
      <c r="Y27" s="253">
        <f>X27*(1+Assumptions!$P$52)</f>
        <v>4147.6260837442305</v>
      </c>
      <c r="Z27" s="253">
        <f>Y27*(1+Assumptions!$P$52)</f>
        <v>4272.0548662565579</v>
      </c>
    </row>
    <row r="28" spans="1:29">
      <c r="A28" s="4" t="s">
        <v>133</v>
      </c>
      <c r="E28" s="253">
        <v>0</v>
      </c>
      <c r="F28" s="253">
        <f>Assumptions!$P62*Assumptions!P53/12*(1+Assumptions!$P$52)</f>
        <v>137.505</v>
      </c>
      <c r="G28" s="253">
        <f>Assumptions!$P62*(1+Assumptions!$P$52)^2</f>
        <v>283.26029999999997</v>
      </c>
      <c r="H28" s="187">
        <f>G28*(1+Assumptions!$P$52)</f>
        <v>291.75810899999999</v>
      </c>
      <c r="I28" s="253">
        <f>H28*(1+Assumptions!$P$52)</f>
        <v>300.51085226999999</v>
      </c>
      <c r="J28" s="253">
        <f>I28*(1+Assumptions!$P$52)</f>
        <v>309.52617783810001</v>
      </c>
      <c r="K28" s="253">
        <f>J28*(1+Assumptions!$P$52)</f>
        <v>318.81196317324304</v>
      </c>
      <c r="L28" s="253">
        <f>K28*(1+Assumptions!$P$52)</f>
        <v>328.37632206844034</v>
      </c>
      <c r="M28" s="253">
        <f>L28*(1+Assumptions!$P$52)</f>
        <v>338.22761173049355</v>
      </c>
      <c r="N28" s="253">
        <f>M28*(1+Assumptions!$P$52)</f>
        <v>348.37444008240834</v>
      </c>
      <c r="O28" s="253">
        <f>N28*(1+Assumptions!$P$52)</f>
        <v>358.82567328488062</v>
      </c>
      <c r="P28" s="253">
        <f>O28*(1+Assumptions!$P$52)</f>
        <v>369.59044348342707</v>
      </c>
      <c r="Q28" s="253">
        <f>P28*(1+Assumptions!$P$52)</f>
        <v>380.67815678792988</v>
      </c>
      <c r="R28" s="253">
        <f>Q28*(1+Assumptions!$P$52)</f>
        <v>392.09850149156779</v>
      </c>
      <c r="S28" s="253">
        <f>R28*(1+Assumptions!$P$52)</f>
        <v>403.86145653631485</v>
      </c>
      <c r="T28" s="253">
        <f>S28*(1+Assumptions!$P$52)</f>
        <v>415.97730023240427</v>
      </c>
      <c r="U28" s="253">
        <f>T28*(1+Assumptions!$P$52)</f>
        <v>428.45661923937644</v>
      </c>
      <c r="V28" s="253">
        <f>U28*(1+Assumptions!$P$52)</f>
        <v>441.31031781655776</v>
      </c>
      <c r="W28" s="253">
        <f>V28*(1+Assumptions!$P$52)</f>
        <v>454.54962735105448</v>
      </c>
      <c r="X28" s="253">
        <f>W28*(1+Assumptions!$P$52)</f>
        <v>468.18611617158615</v>
      </c>
      <c r="Y28" s="253">
        <f>X28*(1+Assumptions!$P$52)</f>
        <v>482.23169965673372</v>
      </c>
      <c r="Z28" s="253">
        <f>Y28*(1+Assumptions!$P$52)</f>
        <v>496.69865064643574</v>
      </c>
    </row>
    <row r="29" spans="1:29">
      <c r="A29" s="4" t="s">
        <v>134</v>
      </c>
      <c r="E29" s="253">
        <v>0</v>
      </c>
      <c r="F29" s="253">
        <f>Assumptions!$P63*Assumptions!P53/12*(1+Assumptions!$P$52)</f>
        <v>167.375</v>
      </c>
      <c r="G29" s="253">
        <f>(Assumptions!$P63)*(1+Assumptions!$P$52)^2</f>
        <v>344.79249999999996</v>
      </c>
      <c r="H29" s="187">
        <f>G29*(1+Assumptions!$P$52)</f>
        <v>355.13627499999996</v>
      </c>
      <c r="I29" s="187">
        <f>H29*(1+Assumptions!$P$52)</f>
        <v>365.79036324999998</v>
      </c>
      <c r="J29" s="187">
        <f>I29*(1+Assumptions!$P$52)</f>
        <v>376.76407414749997</v>
      </c>
      <c r="K29" s="187">
        <f>J29*(1+Assumptions!$P$52)</f>
        <v>388.06699637192497</v>
      </c>
      <c r="L29" s="187">
        <f>K29*(1+Assumptions!$P$52)</f>
        <v>399.70900626308276</v>
      </c>
      <c r="M29" s="187">
        <f>L29*(1+Assumptions!$P$52)</f>
        <v>411.70027645097525</v>
      </c>
      <c r="N29" s="187">
        <f>M29*(1+Assumptions!$P$52)</f>
        <v>424.05128474450453</v>
      </c>
      <c r="O29" s="187">
        <f>N29*(1+Assumptions!$P$52)</f>
        <v>436.7728232868397</v>
      </c>
      <c r="P29" s="187">
        <f>O29*(1+Assumptions!$P$52)</f>
        <v>449.87600798544491</v>
      </c>
      <c r="Q29" s="187">
        <f>P29*(1+Assumptions!$P$52)</f>
        <v>463.37228822500828</v>
      </c>
      <c r="R29" s="187">
        <f>Q29*(1+Assumptions!$P$52)</f>
        <v>477.27345687175853</v>
      </c>
      <c r="S29" s="187">
        <f>R29*(1+Assumptions!$P$52)</f>
        <v>491.59166057791128</v>
      </c>
      <c r="T29" s="187">
        <f>S29*(1+Assumptions!$P$52)</f>
        <v>506.33941039524865</v>
      </c>
      <c r="U29" s="187">
        <f>T29*(1+Assumptions!$P$52)</f>
        <v>521.52959270710608</v>
      </c>
      <c r="V29" s="187">
        <f>U29*(1+Assumptions!$P$52)</f>
        <v>537.17548048831929</v>
      </c>
      <c r="W29" s="187">
        <f>V29*(1+Assumptions!$P$52)</f>
        <v>553.29074490296887</v>
      </c>
      <c r="X29" s="187">
        <f>W29*(1+Assumptions!$P$52)</f>
        <v>569.88946725005792</v>
      </c>
      <c r="Y29" s="187">
        <f>X29*(1+Assumptions!$P$52)</f>
        <v>586.98615126755965</v>
      </c>
      <c r="Z29" s="187">
        <f>Y29*(1+Assumptions!$P$52)</f>
        <v>604.5957358055864</v>
      </c>
    </row>
    <row r="30" spans="1:29">
      <c r="A30" s="4" t="s">
        <v>287</v>
      </c>
      <c r="E30" s="253">
        <v>0</v>
      </c>
      <c r="F30" s="253">
        <f>+Assumptions!P64*(1+Assumptions!$P$52)</f>
        <v>72.100000000000009</v>
      </c>
      <c r="G30" s="253">
        <f>(Assumptions!$P64)*(1+Assumptions!$P$52)^2</f>
        <v>74.262999999999991</v>
      </c>
      <c r="H30" s="253">
        <f>G30*(1+Assumptions!$P$52)</f>
        <v>76.490889999999993</v>
      </c>
      <c r="I30" s="253">
        <f>H30*(1+Assumptions!$P$52)</f>
        <v>78.785616699999991</v>
      </c>
      <c r="J30" s="253">
        <f>I30*(1+Assumptions!$P$52)</f>
        <v>81.149185200999995</v>
      </c>
      <c r="K30" s="253">
        <f>J30*(1+Assumptions!$P$52)</f>
        <v>83.583660757030003</v>
      </c>
      <c r="L30" s="253">
        <f>K30*(1+Assumptions!$P$52)</f>
        <v>86.091170579740904</v>
      </c>
      <c r="M30" s="253">
        <f>L30*(1+Assumptions!$P$52)</f>
        <v>88.673905697133137</v>
      </c>
      <c r="N30" s="253">
        <f>M30*(1+Assumptions!$P$52)</f>
        <v>91.334122868047132</v>
      </c>
      <c r="O30" s="253">
        <f>N30*(1+Assumptions!$P$52)</f>
        <v>94.074146554088543</v>
      </c>
      <c r="P30" s="253">
        <f>O30*(1+Assumptions!$P$52)</f>
        <v>96.896370950711201</v>
      </c>
      <c r="Q30" s="253">
        <f>P30*(1+Assumptions!$P$52)</f>
        <v>99.803262079232539</v>
      </c>
      <c r="R30" s="253">
        <f>Q30*(1+Assumptions!$P$52)</f>
        <v>102.79735994160951</v>
      </c>
      <c r="S30" s="253">
        <f>R30*(1+Assumptions!$P$52)</f>
        <v>105.8812807398578</v>
      </c>
      <c r="T30" s="253">
        <f>S30*(1+Assumptions!$P$52)</f>
        <v>109.05771916205353</v>
      </c>
      <c r="U30" s="253">
        <f>T30*(1+Assumptions!$P$52)</f>
        <v>112.32945073691513</v>
      </c>
      <c r="V30" s="253">
        <f>U30*(1+Assumptions!$P$52)</f>
        <v>115.69933425902259</v>
      </c>
      <c r="W30" s="253">
        <f>V30*(1+Assumptions!$P$52)</f>
        <v>119.17031428679327</v>
      </c>
      <c r="X30" s="253">
        <f>W30*(1+Assumptions!$P$52)</f>
        <v>122.74542371539707</v>
      </c>
      <c r="Y30" s="253">
        <f>X30*(1+Assumptions!$P$52)</f>
        <v>126.42778642685899</v>
      </c>
      <c r="Z30" s="253">
        <f>Y30*(1+Assumptions!$P$52)</f>
        <v>130.22062001966475</v>
      </c>
    </row>
    <row r="31" spans="1:29">
      <c r="A31" s="4" t="s">
        <v>288</v>
      </c>
      <c r="E31" s="253">
        <v>0</v>
      </c>
      <c r="F31" s="253">
        <v>235.67720700000001</v>
      </c>
      <c r="G31" s="253">
        <v>235.67720700000001</v>
      </c>
      <c r="H31" s="253">
        <v>235.67720700000001</v>
      </c>
      <c r="I31" s="253">
        <v>235.67720700000001</v>
      </c>
      <c r="J31" s="253">
        <v>235.67720700000001</v>
      </c>
      <c r="K31" s="253">
        <v>235.67720700000001</v>
      </c>
      <c r="L31" s="253">
        <v>235.67720700000001</v>
      </c>
      <c r="M31" s="253">
        <v>235.67720700000001</v>
      </c>
      <c r="N31" s="253">
        <v>235.67720700000001</v>
      </c>
      <c r="O31" s="253">
        <v>235.67720700000001</v>
      </c>
      <c r="P31" s="253">
        <v>235.67720700000001</v>
      </c>
      <c r="Q31" s="253">
        <v>235.67720700000001</v>
      </c>
      <c r="R31" s="253">
        <v>235.67720700000001</v>
      </c>
      <c r="S31" s="253">
        <v>235.67720700000001</v>
      </c>
      <c r="T31" s="253">
        <v>235.67720700000001</v>
      </c>
      <c r="U31" s="253">
        <v>235.67720700000001</v>
      </c>
      <c r="V31" s="253">
        <v>235.67720700000001</v>
      </c>
      <c r="W31" s="253">
        <v>235.67720700000001</v>
      </c>
      <c r="X31" s="253">
        <v>235.67720700000001</v>
      </c>
      <c r="Y31" s="253">
        <v>235.67720700000001</v>
      </c>
      <c r="Z31" s="253">
        <v>280.09885917985349</v>
      </c>
    </row>
    <row r="32" spans="1:29">
      <c r="A32" s="4" t="s">
        <v>289</v>
      </c>
      <c r="E32" s="253">
        <v>0</v>
      </c>
      <c r="F32" s="253">
        <f ca="1">Allocation!$I$12*IS!E31*7/12</f>
        <v>219.58131425214086</v>
      </c>
      <c r="G32" s="253">
        <f>Allocation!$I$12*IS!F31</f>
        <v>376.42511014652717</v>
      </c>
      <c r="H32" s="253">
        <f>Allocation!$I$12*IS!G31</f>
        <v>376.42511014652717</v>
      </c>
      <c r="I32" s="253">
        <f>Allocation!$I$12*IS!H31</f>
        <v>376.42511014652717</v>
      </c>
      <c r="J32" s="253">
        <f>Allocation!$I$12*IS!I31</f>
        <v>306.53994003082846</v>
      </c>
      <c r="K32" s="253">
        <f>Allocation!$I$12*IS!J31</f>
        <v>306.53994003082846</v>
      </c>
      <c r="L32" s="253">
        <f>Allocation!$I$12*IS!K31</f>
        <v>306.53994003082846</v>
      </c>
      <c r="M32" s="253">
        <f>Allocation!$I$12*IS!L31</f>
        <v>306.53994003082846</v>
      </c>
      <c r="N32" s="253">
        <f>Allocation!$I$12*IS!M31</f>
        <v>306.53994003082846</v>
      </c>
      <c r="O32" s="253">
        <f>Allocation!$I$12*IS!N31</f>
        <v>306.53994003082846</v>
      </c>
      <c r="P32" s="253">
        <f>Allocation!$I$12*IS!O31</f>
        <v>266.72171417073389</v>
      </c>
      <c r="Q32" s="253">
        <f>Allocation!$I$12*IS!P31</f>
        <v>254.81799958602798</v>
      </c>
      <c r="R32" s="253">
        <f>Allocation!$I$12*IS!Q31</f>
        <v>254.17044285144837</v>
      </c>
      <c r="S32" s="253">
        <f>Allocation!$I$12*IS!R31</f>
        <v>248.89085950435484</v>
      </c>
      <c r="T32" s="253">
        <f>Allocation!$I$12*IS!S31</f>
        <v>243.57114004470367</v>
      </c>
      <c r="U32" s="253">
        <f>Allocation!$I$12*IS!T31</f>
        <v>241.0137997437119</v>
      </c>
      <c r="V32" s="253">
        <f>Allocation!$I$12*IS!U31</f>
        <v>226.91454850571853</v>
      </c>
      <c r="W32" s="253">
        <f>Allocation!$I$12*IS!V31</f>
        <v>205.53039335747721</v>
      </c>
      <c r="X32" s="253">
        <f>Allocation!$I$12*IS!W31</f>
        <v>169.39567792889179</v>
      </c>
      <c r="Y32" s="253">
        <f>Allocation!$I$12*IS!X31</f>
        <v>134.20126845407754</v>
      </c>
      <c r="Z32" s="253">
        <f>Allocation!$I$12*IS!Y31</f>
        <v>134.20126845407754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Assumptions!$P$50*Assumptions!$P$33*7</f>
        <v>257.05105999999995</v>
      </c>
      <c r="J33" s="135">
        <f>Assumptions!$P$50*Assumptions!$P$33*12*(1+Assumptions!P52)</f>
        <v>453.87872879999998</v>
      </c>
      <c r="K33" s="135">
        <f>J33*(1+Assumptions!$P$52)</f>
        <v>467.49509066399997</v>
      </c>
      <c r="L33" s="135">
        <f>K33*(1+Assumptions!$P$52)</f>
        <v>481.51994338392001</v>
      </c>
      <c r="M33" s="135">
        <f>L33*(1+Assumptions!$P$52)</f>
        <v>495.96554168543764</v>
      </c>
      <c r="N33" s="135">
        <f>M33*(1+Assumptions!$P$52)</f>
        <v>510.84450793600081</v>
      </c>
      <c r="O33" s="135">
        <f>N33*(1+Assumptions!$P$52)</f>
        <v>526.16984317408082</v>
      </c>
      <c r="P33" s="135">
        <f>O33*(1+Assumptions!$P$52)</f>
        <v>541.95493846930322</v>
      </c>
      <c r="Q33" s="135">
        <f>P33*(1+Assumptions!$P$52)</f>
        <v>558.2135866233823</v>
      </c>
      <c r="R33" s="135">
        <f>Q33*(1+Assumptions!$P$52)</f>
        <v>574.95999422208376</v>
      </c>
      <c r="S33" s="135">
        <f>R33*(1+Assumptions!$P$52)</f>
        <v>592.20879404874631</v>
      </c>
      <c r="T33" s="135">
        <f>S33*(1+Assumptions!$P$52)</f>
        <v>609.97505787020873</v>
      </c>
      <c r="U33" s="135">
        <f>T33*(1+Assumptions!$P$52)</f>
        <v>628.274309606315</v>
      </c>
      <c r="V33" s="135">
        <f>U33*(1+Assumptions!$P$52)</f>
        <v>647.12253889450449</v>
      </c>
      <c r="W33" s="135">
        <f>V33*(1+Assumptions!$P$52)</f>
        <v>666.53621506133959</v>
      </c>
      <c r="X33" s="135">
        <f>W33*(1+Assumptions!$P$52)</f>
        <v>686.53230151317985</v>
      </c>
      <c r="Y33" s="135">
        <f>X33*(1+Assumptions!$P$52)</f>
        <v>707.12827055857531</v>
      </c>
      <c r="Z33" s="135">
        <f>Y33*(1+Assumptions!$P$52)</f>
        <v>728.34211867533259</v>
      </c>
    </row>
    <row r="34" spans="1:26">
      <c r="A34" s="4" t="s">
        <v>181</v>
      </c>
      <c r="E34" s="253">
        <v>0</v>
      </c>
      <c r="F34" s="253">
        <f>Assumptions!$P65*Assumptions!P53/12*(1+Assumptions!$P$52)</f>
        <v>90.882352941176478</v>
      </c>
      <c r="G34" s="253">
        <f>Assumptions!$P65*(1+Assumptions!$P$52)^2</f>
        <v>187.21764705882353</v>
      </c>
      <c r="H34" s="187">
        <f>G34*(1+Assumptions!$P$52)</f>
        <v>192.83417647058823</v>
      </c>
      <c r="I34" s="187">
        <f>H34*(1+Assumptions!$P$52)</f>
        <v>198.61920176470588</v>
      </c>
      <c r="J34" s="187">
        <f>I34*(1+Assumptions!$P$52)</f>
        <v>204.57777781764705</v>
      </c>
      <c r="K34" s="187">
        <f>J34*(1+Assumptions!$P$52)</f>
        <v>210.71511115217646</v>
      </c>
      <c r="L34" s="187">
        <f>K34*(1+Assumptions!$P$52)</f>
        <v>217.03656448674175</v>
      </c>
      <c r="M34" s="187">
        <f>L34*(1+Assumptions!$P$52)</f>
        <v>223.547661421344</v>
      </c>
      <c r="N34" s="187">
        <f>M34*(1+Assumptions!$P$52)</f>
        <v>230.25409126398432</v>
      </c>
      <c r="O34" s="187">
        <f>N34*(1+Assumptions!$P$52)</f>
        <v>237.16171400190385</v>
      </c>
      <c r="P34" s="187">
        <f>O34*(1+Assumptions!$P$52)</f>
        <v>244.27656542196098</v>
      </c>
      <c r="Q34" s="187">
        <f>P34*(1+Assumptions!$P$52)</f>
        <v>251.60486238461982</v>
      </c>
      <c r="R34" s="187">
        <f>Q34*(1+Assumptions!$P$52)</f>
        <v>259.15300825615844</v>
      </c>
      <c r="S34" s="187">
        <f>R34*(1+Assumptions!$P$52)</f>
        <v>266.92759850384323</v>
      </c>
      <c r="T34" s="187">
        <f>S34*(1+Assumptions!$P$52)</f>
        <v>274.93542645895855</v>
      </c>
      <c r="U34" s="187">
        <f>T34*(1+Assumptions!$P$52)</f>
        <v>283.18348925272733</v>
      </c>
      <c r="V34" s="187">
        <f>U34*(1+Assumptions!$P$52)</f>
        <v>291.67899393030916</v>
      </c>
      <c r="W34" s="187">
        <f>V34*(1+Assumptions!$P$52)</f>
        <v>300.42936374821846</v>
      </c>
      <c r="X34" s="187">
        <f>W34*(1+Assumptions!$P$52)</f>
        <v>309.44224466066504</v>
      </c>
      <c r="Y34" s="187">
        <f>X34*(1+Assumptions!$P$52)</f>
        <v>318.72551200048503</v>
      </c>
      <c r="Z34" s="187">
        <f>Y34*(1+Assumptions!$P$52)</f>
        <v>328.28727736049956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Assumptions!$P66*Assumptions!P53/12*(1+Assumptions!$P$52)</f>
        <v>128.75</v>
      </c>
      <c r="G35" s="254">
        <f>Assumptions!$P66*(1+Assumptions!$P$52)^2</f>
        <v>265.22499999999997</v>
      </c>
      <c r="H35" s="254">
        <f>G35*(1+Assumptions!$P$52)</f>
        <v>273.18174999999997</v>
      </c>
      <c r="I35" s="254">
        <f>H35*(1+Assumptions!$P$52)</f>
        <v>281.37720249999995</v>
      </c>
      <c r="J35" s="254">
        <f>I35*(1+Assumptions!$P$52)</f>
        <v>289.81851857499998</v>
      </c>
      <c r="K35" s="254">
        <f>J35*(1+Assumptions!$P$52)</f>
        <v>298.51307413224998</v>
      </c>
      <c r="L35" s="254">
        <f>K35*(1+Assumptions!$P$52)</f>
        <v>307.4684663562175</v>
      </c>
      <c r="M35" s="254">
        <f>L35*(1+Assumptions!$P$52)</f>
        <v>316.69252034690402</v>
      </c>
      <c r="N35" s="254">
        <f>M35*(1+Assumptions!$P$52)</f>
        <v>326.19329595731114</v>
      </c>
      <c r="O35" s="254">
        <f>N35*(1+Assumptions!$P$52)</f>
        <v>335.97909483603047</v>
      </c>
      <c r="P35" s="254">
        <f>O35*(1+Assumptions!$P$52)</f>
        <v>346.05846768111138</v>
      </c>
      <c r="Q35" s="254">
        <f>P35*(1+Assumptions!$P$52)</f>
        <v>356.44022171154472</v>
      </c>
      <c r="R35" s="254">
        <f>Q35*(1+Assumptions!$P$52)</f>
        <v>367.1334283628911</v>
      </c>
      <c r="S35" s="254">
        <f>R35*(1+Assumptions!$P$52)</f>
        <v>378.14743121377785</v>
      </c>
      <c r="T35" s="254">
        <f>S35*(1+Assumptions!$P$52)</f>
        <v>389.49185415019122</v>
      </c>
      <c r="U35" s="254">
        <f>T35*(1+Assumptions!$P$52)</f>
        <v>401.17660977469694</v>
      </c>
      <c r="V35" s="254">
        <f>U35*(1+Assumptions!$P$52)</f>
        <v>413.21190806793788</v>
      </c>
      <c r="W35" s="254">
        <f>V35*(1+Assumptions!$P$52)</f>
        <v>425.60826530997605</v>
      </c>
      <c r="X35" s="254">
        <f>W35*(1+Assumptions!$P$52)</f>
        <v>438.37651326927534</v>
      </c>
      <c r="Y35" s="254">
        <f>X35*(1+Assumptions!$P$52)</f>
        <v>451.52780866735361</v>
      </c>
      <c r="Z35" s="254">
        <f>Y35*(1+Assumptions!$P$52)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4697.6722641933175</v>
      </c>
      <c r="G36" s="253">
        <f t="shared" si="2"/>
        <v>6050.8948459053499</v>
      </c>
      <c r="H36" s="187">
        <f t="shared" si="2"/>
        <v>6214.0586217681148</v>
      </c>
      <c r="I36" s="253">
        <f t="shared" si="2"/>
        <v>6653.1589427601193</v>
      </c>
      <c r="J36" s="253">
        <f t="shared" si="2"/>
        <v>6963.9146719906548</v>
      </c>
      <c r="K36" s="253">
        <f t="shared" si="2"/>
        <v>7156.565597739449</v>
      </c>
      <c r="L36" s="253">
        <f t="shared" si="2"/>
        <v>7354.9960512607076</v>
      </c>
      <c r="M36" s="253">
        <f t="shared" si="2"/>
        <v>7559.3794183876043</v>
      </c>
      <c r="N36" s="253">
        <f t="shared" si="2"/>
        <v>7769.8942865283079</v>
      </c>
      <c r="O36" s="253">
        <f t="shared" si="2"/>
        <v>7986.7246007132317</v>
      </c>
      <c r="P36" s="253">
        <f t="shared" si="2"/>
        <v>8170.2415984636118</v>
      </c>
      <c r="Q36" s="253">
        <f t="shared" si="2"/>
        <v>8388.3731641976901</v>
      </c>
      <c r="R36" s="253">
        <f t="shared" si="2"/>
        <v>8624.6619461914615</v>
      </c>
      <c r="S36" s="253">
        <f t="shared" si="2"/>
        <v>8863.4267917345696</v>
      </c>
      <c r="T36" s="253">
        <f t="shared" si="2"/>
        <v>9109.4728340318234</v>
      </c>
      <c r="U36" s="253">
        <f t="shared" si="2"/>
        <v>9365.8222283404466</v>
      </c>
      <c r="V36" s="253">
        <f t="shared" si="2"/>
        <v>9618.3969137503536</v>
      </c>
      <c r="W36" s="253">
        <f t="shared" si="2"/>
        <v>9871.6869133494547</v>
      </c>
      <c r="X36" s="253">
        <f t="shared" si="2"/>
        <v>10118.466577310628</v>
      </c>
      <c r="Y36" s="253">
        <f t="shared" si="2"/>
        <v>10374.673978607263</v>
      </c>
      <c r="Z36" s="253">
        <f t="shared" si="2"/>
        <v>10719.239495881715</v>
      </c>
    </row>
    <row r="37" spans="1:26" s="146" customFormat="1" ht="9.6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10808.107552379264</v>
      </c>
      <c r="G39" s="259">
        <f t="shared" si="3"/>
        <v>21926.114709992082</v>
      </c>
      <c r="H39" s="260">
        <f t="shared" si="3"/>
        <v>21858.910759175171</v>
      </c>
      <c r="I39" s="259">
        <f t="shared" si="3"/>
        <v>26756.181549104018</v>
      </c>
      <c r="J39" s="259">
        <f t="shared" si="3"/>
        <v>30808.572290158227</v>
      </c>
      <c r="K39" s="259">
        <f t="shared" si="3"/>
        <v>31108.73260461117</v>
      </c>
      <c r="L39" s="259">
        <f t="shared" si="3"/>
        <v>31398.692200365702</v>
      </c>
      <c r="M39" s="259">
        <f t="shared" si="3"/>
        <v>32356.740383191736</v>
      </c>
      <c r="N39" s="259">
        <f t="shared" si="3"/>
        <v>32643.98337353245</v>
      </c>
      <c r="O39" s="259">
        <f t="shared" si="3"/>
        <v>33639.390291553493</v>
      </c>
      <c r="P39" s="259">
        <f t="shared" si="3"/>
        <v>33962.826342576045</v>
      </c>
      <c r="Q39" s="259">
        <f t="shared" si="3"/>
        <v>35008.641582074895</v>
      </c>
      <c r="R39" s="259">
        <f t="shared" si="3"/>
        <v>35286.726939563756</v>
      </c>
      <c r="S39" s="259">
        <f t="shared" si="3"/>
        <v>35554.204738065389</v>
      </c>
      <c r="T39" s="259">
        <f t="shared" si="3"/>
        <v>35805.258152557006</v>
      </c>
      <c r="U39" s="259">
        <f t="shared" si="3"/>
        <v>36035.825816018711</v>
      </c>
      <c r="V39" s="259">
        <f t="shared" si="3"/>
        <v>36259.108391165792</v>
      </c>
      <c r="W39" s="259">
        <f t="shared" si="3"/>
        <v>36469.452201474582</v>
      </c>
      <c r="X39" s="259">
        <f t="shared" si="3"/>
        <v>36673.009233842007</v>
      </c>
      <c r="Y39" s="259">
        <f t="shared" si="3"/>
        <v>36852.419359874621</v>
      </c>
      <c r="Z39" s="259">
        <f t="shared" si="3"/>
        <v>36926.481412562192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Allocation!$G$12*IS!E40</f>
        <v>5207.5312010113767</v>
      </c>
      <c r="G41" s="253">
        <f>Allocation!$G$12*IS!F40</f>
        <v>7158.9747943691555</v>
      </c>
      <c r="H41" s="253">
        <f>Allocation!$G$12*IS!G40</f>
        <v>7158.9747943691555</v>
      </c>
      <c r="I41" s="253">
        <f>Allocation!$G$12*IS!H40</f>
        <v>7158.9747943691555</v>
      </c>
      <c r="J41" s="253">
        <f>Allocation!$G$12*IS!I40</f>
        <v>7158.9747943691555</v>
      </c>
      <c r="K41" s="253">
        <f>Allocation!$G$12*IS!J40</f>
        <v>7158.9747943691555</v>
      </c>
      <c r="L41" s="253">
        <f>Allocation!$G$12*IS!K40</f>
        <v>7158.9747943691555</v>
      </c>
      <c r="M41" s="253">
        <f>Allocation!$G$12*IS!L40</f>
        <v>7158.9747943691555</v>
      </c>
      <c r="N41" s="253">
        <f>Allocation!$G$12*IS!M40</f>
        <v>7158.9747943691555</v>
      </c>
      <c r="O41" s="253">
        <f>Allocation!$G$12*IS!N40</f>
        <v>7158.9747943691555</v>
      </c>
      <c r="P41" s="253">
        <f>Allocation!$G$12*IS!O40</f>
        <v>7158.9747943691555</v>
      </c>
      <c r="Q41" s="253">
        <f>Allocation!$G$12*IS!P40</f>
        <v>7158.9747943691555</v>
      </c>
      <c r="R41" s="253">
        <f>Allocation!$G$12*IS!Q40</f>
        <v>7158.9747943691555</v>
      </c>
      <c r="S41" s="253">
        <f>Allocation!$G$12*IS!R40</f>
        <v>7158.9747943691555</v>
      </c>
      <c r="T41" s="253">
        <f>Allocation!$G$12*IS!S40</f>
        <v>7158.9747943691555</v>
      </c>
      <c r="U41" s="253">
        <f>Allocation!$G$12*IS!T40</f>
        <v>7158.9747943691555</v>
      </c>
      <c r="V41" s="253">
        <f>Allocation!$G$12*IS!U40</f>
        <v>7158.9747943691555</v>
      </c>
      <c r="W41" s="253">
        <f>Allocation!$G$12*IS!V40</f>
        <v>7158.9747943691555</v>
      </c>
      <c r="X41" s="253">
        <f>Allocation!$G$12*IS!W40</f>
        <v>7158.9747943691555</v>
      </c>
      <c r="Y41" s="253">
        <f>Allocation!$G$12*IS!X40</f>
        <v>7158.9747943691555</v>
      </c>
      <c r="Z41" s="253">
        <f>Allocation!$G$12*IS!Y40</f>
        <v>6975.0210371437224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5600.5763513678876</v>
      </c>
      <c r="G44" s="259">
        <f t="shared" si="4"/>
        <v>14767.139915622927</v>
      </c>
      <c r="H44" s="259">
        <f t="shared" si="4"/>
        <v>14699.935964806016</v>
      </c>
      <c r="I44" s="259">
        <f t="shared" si="4"/>
        <v>19597.206754734863</v>
      </c>
      <c r="J44" s="259">
        <f t="shared" si="4"/>
        <v>23649.597495789072</v>
      </c>
      <c r="K44" s="259">
        <f t="shared" si="4"/>
        <v>23949.757810242016</v>
      </c>
      <c r="L44" s="259">
        <f t="shared" si="4"/>
        <v>24239.717405996547</v>
      </c>
      <c r="M44" s="259">
        <f t="shared" si="4"/>
        <v>25197.765588822582</v>
      </c>
      <c r="N44" s="259">
        <f t="shared" si="4"/>
        <v>25485.008579163296</v>
      </c>
      <c r="O44" s="259">
        <f t="shared" si="4"/>
        <v>26480.415497184338</v>
      </c>
      <c r="P44" s="259">
        <f t="shared" si="4"/>
        <v>26803.851548206891</v>
      </c>
      <c r="Q44" s="259">
        <f t="shared" si="4"/>
        <v>27849.666787705741</v>
      </c>
      <c r="R44" s="259">
        <f t="shared" si="4"/>
        <v>28127.752145194601</v>
      </c>
      <c r="S44" s="259">
        <f t="shared" si="4"/>
        <v>28395.229943696235</v>
      </c>
      <c r="T44" s="259">
        <f t="shared" si="4"/>
        <v>28646.283358187851</v>
      </c>
      <c r="U44" s="259">
        <f t="shared" si="4"/>
        <v>28876.851021649556</v>
      </c>
      <c r="V44" s="259">
        <f t="shared" si="4"/>
        <v>29100.133596796637</v>
      </c>
      <c r="W44" s="259">
        <f t="shared" si="4"/>
        <v>29310.477407105427</v>
      </c>
      <c r="X44" s="259">
        <f t="shared" si="4"/>
        <v>29514.034439472853</v>
      </c>
      <c r="Y44" s="259">
        <f t="shared" si="4"/>
        <v>29693.444565505466</v>
      </c>
      <c r="Z44" s="259">
        <f t="shared" si="4"/>
        <v>29951.460375418472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Allocation!$I$12*(IS!$E$44-Debt!C136)+Debt!C136*Allocation!$K$12</f>
        <v>6386.637976202991</v>
      </c>
      <c r="G46" s="156">
        <f>Allocation!$I$12*IS!F44</f>
        <v>11744.997127043063</v>
      </c>
      <c r="H46" s="156">
        <f>Allocation!$I$12*IS!G44</f>
        <v>11398.996132295548</v>
      </c>
      <c r="I46" s="156">
        <f>Allocation!$I$12*IS!H44</f>
        <v>10820.747944582494</v>
      </c>
      <c r="J46" s="156">
        <f>Allocation!$I$12*IS!I44</f>
        <v>10378.797399589597</v>
      </c>
      <c r="K46" s="156">
        <f>Allocation!$I$12*IS!J44</f>
        <v>9967.6100345159703</v>
      </c>
      <c r="L46" s="156">
        <f>Allocation!$I$12*IS!K44</f>
        <v>9516.9314159092391</v>
      </c>
      <c r="M46" s="156">
        <f>Allocation!$I$12*IS!L44</f>
        <v>8997.1868531618984</v>
      </c>
      <c r="N46" s="156">
        <f>Allocation!$I$12*IS!M44</f>
        <v>8404.526386549891</v>
      </c>
      <c r="O46" s="156">
        <f>Allocation!$I$12*IS!N44</f>
        <v>7684.7032204328516</v>
      </c>
      <c r="P46" s="156">
        <f>Allocation!$I$12*IS!O44</f>
        <v>7049.6153112458878</v>
      </c>
      <c r="Q46" s="156">
        <f>Allocation!$I$12*IS!P44</f>
        <v>6440.6706794924194</v>
      </c>
      <c r="R46" s="156">
        <f>Allocation!$I$12*IS!Q44</f>
        <v>5767.9444240434395</v>
      </c>
      <c r="S46" s="156">
        <f>Allocation!$I$12*IS!R44</f>
        <v>5043.1512478739241</v>
      </c>
      <c r="T46" s="156">
        <f>Allocation!$I$12*IS!S44</f>
        <v>4269.1274323588332</v>
      </c>
      <c r="U46" s="156">
        <f>Allocation!$I$12*IS!T44</f>
        <v>3430.8039755770587</v>
      </c>
      <c r="V46" s="156">
        <f>Allocation!$I$12*IS!U44</f>
        <v>2557.5805496992743</v>
      </c>
      <c r="W46" s="156">
        <f>Allocation!$I$12*IS!V44</f>
        <v>1692.3468589825336</v>
      </c>
      <c r="X46" s="156">
        <f>Allocation!$I$12*IS!W44</f>
        <v>901.64969938960633</v>
      </c>
      <c r="Y46" s="156">
        <f>Allocation!$I$12*IS!X44</f>
        <v>216.45784094291992</v>
      </c>
      <c r="Z46" s="156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ca="1">F44-F46</f>
        <v>-786.06162483510343</v>
      </c>
      <c r="G49" s="259">
        <f t="shared" si="5"/>
        <v>3022.1427885798639</v>
      </c>
      <c r="H49" s="259">
        <f t="shared" si="5"/>
        <v>3300.9398325104685</v>
      </c>
      <c r="I49" s="259">
        <f t="shared" si="5"/>
        <v>8776.4588101523696</v>
      </c>
      <c r="J49" s="259">
        <f t="shared" si="5"/>
        <v>13270.800096199475</v>
      </c>
      <c r="K49" s="259">
        <f t="shared" si="5"/>
        <v>13982.147775726045</v>
      </c>
      <c r="L49" s="259">
        <f t="shared" si="5"/>
        <v>14722.785990087308</v>
      </c>
      <c r="M49" s="259">
        <f t="shared" si="5"/>
        <v>16200.578735660683</v>
      </c>
      <c r="N49" s="259">
        <f t="shared" si="5"/>
        <v>17080.482192613403</v>
      </c>
      <c r="O49" s="259">
        <f t="shared" si="5"/>
        <v>18795.712276751488</v>
      </c>
      <c r="P49" s="259">
        <f t="shared" si="5"/>
        <v>19754.236236961002</v>
      </c>
      <c r="Q49" s="259">
        <f t="shared" si="5"/>
        <v>21408.996108213323</v>
      </c>
      <c r="R49" s="259">
        <f t="shared" si="5"/>
        <v>22359.807721151163</v>
      </c>
      <c r="S49" s="259">
        <f t="shared" si="5"/>
        <v>23352.078695822311</v>
      </c>
      <c r="T49" s="259">
        <f t="shared" si="5"/>
        <v>24377.155925829018</v>
      </c>
      <c r="U49" s="259">
        <f t="shared" si="5"/>
        <v>25446.047046072497</v>
      </c>
      <c r="V49" s="259">
        <f t="shared" si="5"/>
        <v>26542.553047097361</v>
      </c>
      <c r="W49" s="259">
        <f t="shared" si="5"/>
        <v>27618.130548122892</v>
      </c>
      <c r="X49" s="259">
        <f t="shared" si="5"/>
        <v>28612.384740083246</v>
      </c>
      <c r="Y49" s="259">
        <f t="shared" si="5"/>
        <v>29476.986724562546</v>
      </c>
      <c r="Z49" s="259">
        <f t="shared" si="5"/>
        <v>29951.460375418472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Assumptions!$P$44</f>
        <v>8.2500000000000004E-2</v>
      </c>
      <c r="D51" s="149"/>
      <c r="E51" s="253">
        <f t="shared" ref="E51:Z51" si="6">E49*-$C$51</f>
        <v>0</v>
      </c>
      <c r="F51" s="253">
        <f t="shared" ca="1" si="6"/>
        <v>64.850084048896036</v>
      </c>
      <c r="G51" s="253">
        <f t="shared" si="6"/>
        <v>-249.32678005783879</v>
      </c>
      <c r="H51" s="187">
        <f t="shared" si="6"/>
        <v>-272.32753618211365</v>
      </c>
      <c r="I51" s="253">
        <f t="shared" si="6"/>
        <v>-724.05785183757052</v>
      </c>
      <c r="J51" s="253">
        <f t="shared" si="6"/>
        <v>-1094.8410079364567</v>
      </c>
      <c r="K51" s="253">
        <f t="shared" si="6"/>
        <v>-1153.5271914973987</v>
      </c>
      <c r="L51" s="253">
        <f t="shared" si="6"/>
        <v>-1214.629844182203</v>
      </c>
      <c r="M51" s="253">
        <f t="shared" si="6"/>
        <v>-1336.5477456920064</v>
      </c>
      <c r="N51" s="253">
        <f t="shared" si="6"/>
        <v>-1409.1397808906058</v>
      </c>
      <c r="O51" s="253">
        <f t="shared" si="6"/>
        <v>-1550.6462628319978</v>
      </c>
      <c r="P51" s="253">
        <f t="shared" si="6"/>
        <v>-1629.7244895492827</v>
      </c>
      <c r="Q51" s="253">
        <f t="shared" si="6"/>
        <v>-1766.2421789275993</v>
      </c>
      <c r="R51" s="253">
        <f t="shared" si="6"/>
        <v>-1844.6841369949709</v>
      </c>
      <c r="S51" s="253">
        <f t="shared" si="6"/>
        <v>-1926.5464924053408</v>
      </c>
      <c r="T51" s="253">
        <f t="shared" si="6"/>
        <v>-2011.1153638808942</v>
      </c>
      <c r="U51" s="253">
        <f t="shared" si="6"/>
        <v>-2099.2988813009811</v>
      </c>
      <c r="V51" s="253">
        <f t="shared" si="6"/>
        <v>-2189.7606263855323</v>
      </c>
      <c r="W51" s="253">
        <f t="shared" si="6"/>
        <v>-2278.4957702201386</v>
      </c>
      <c r="X51" s="253">
        <f t="shared" si="6"/>
        <v>-2360.521741056868</v>
      </c>
      <c r="Y51" s="253">
        <f t="shared" si="6"/>
        <v>-2431.8514047764102</v>
      </c>
      <c r="Z51" s="253">
        <f t="shared" si="6"/>
        <v>-2470.9954809720239</v>
      </c>
    </row>
    <row r="52" spans="1:26">
      <c r="A52" s="4" t="s">
        <v>190</v>
      </c>
      <c r="C52" s="149">
        <f>Assumptions!$P$43</f>
        <v>0.35</v>
      </c>
      <c r="D52" s="149"/>
      <c r="E52" s="228">
        <v>0</v>
      </c>
      <c r="F52" s="228">
        <f t="shared" ref="F52:Z52" ca="1" si="7">(F49+F51)*-$C$52</f>
        <v>252.42403927517256</v>
      </c>
      <c r="G52" s="228">
        <f t="shared" si="7"/>
        <v>-970.48560298270877</v>
      </c>
      <c r="H52" s="228">
        <f t="shared" si="7"/>
        <v>-1060.0143037149242</v>
      </c>
      <c r="I52" s="228">
        <f t="shared" si="7"/>
        <v>-2818.3403354101797</v>
      </c>
      <c r="J52" s="228">
        <f t="shared" si="7"/>
        <v>-4261.5856808920562</v>
      </c>
      <c r="K52" s="228">
        <f t="shared" si="7"/>
        <v>-4490.0172044800265</v>
      </c>
      <c r="L52" s="228">
        <f t="shared" si="7"/>
        <v>-4727.8546510667866</v>
      </c>
      <c r="M52" s="228">
        <f t="shared" si="7"/>
        <v>-5202.410846489036</v>
      </c>
      <c r="N52" s="228">
        <f t="shared" si="7"/>
        <v>-5484.9698441029786</v>
      </c>
      <c r="O52" s="228">
        <f t="shared" si="7"/>
        <v>-6035.7731048718215</v>
      </c>
      <c r="P52" s="228">
        <f t="shared" si="7"/>
        <v>-6343.5791115941011</v>
      </c>
      <c r="Q52" s="228">
        <f t="shared" si="7"/>
        <v>-6874.9638752500032</v>
      </c>
      <c r="R52" s="228">
        <f t="shared" si="7"/>
        <v>-7180.2932544546657</v>
      </c>
      <c r="S52" s="228">
        <f t="shared" si="7"/>
        <v>-7498.9362711959384</v>
      </c>
      <c r="T52" s="228">
        <f t="shared" si="7"/>
        <v>-7828.1141966818432</v>
      </c>
      <c r="U52" s="228">
        <f t="shared" si="7"/>
        <v>-8171.361857670031</v>
      </c>
      <c r="V52" s="228">
        <f t="shared" si="7"/>
        <v>-8523.4773472491397</v>
      </c>
      <c r="W52" s="228">
        <f t="shared" si="7"/>
        <v>-8868.8721722659629</v>
      </c>
      <c r="X52" s="228">
        <f t="shared" si="7"/>
        <v>-9188.1520496592311</v>
      </c>
      <c r="Y52" s="228">
        <f t="shared" si="7"/>
        <v>-9465.7973619251461</v>
      </c>
      <c r="Z52" s="228">
        <f t="shared" si="7"/>
        <v>-9618.1627130562574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300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-468.7875015110348</v>
      </c>
      <c r="G54" s="261">
        <f t="shared" si="8"/>
        <v>1802.3304055393164</v>
      </c>
      <c r="H54" s="261">
        <f t="shared" si="8"/>
        <v>1968.5979926134305</v>
      </c>
      <c r="I54" s="261">
        <f t="shared" si="8"/>
        <v>5234.0606229046189</v>
      </c>
      <c r="J54" s="261">
        <f t="shared" si="8"/>
        <v>7914.373407370962</v>
      </c>
      <c r="K54" s="261">
        <f t="shared" si="8"/>
        <v>8338.6033797486198</v>
      </c>
      <c r="L54" s="261">
        <f t="shared" si="8"/>
        <v>8780.301494838317</v>
      </c>
      <c r="M54" s="261">
        <f t="shared" si="8"/>
        <v>9661.6201434796403</v>
      </c>
      <c r="N54" s="261">
        <f t="shared" si="8"/>
        <v>10186.372567619819</v>
      </c>
      <c r="O54" s="261">
        <f t="shared" si="8"/>
        <v>11209.29290904767</v>
      </c>
      <c r="P54" s="261">
        <f t="shared" si="8"/>
        <v>11780.932635817617</v>
      </c>
      <c r="Q54" s="261">
        <f t="shared" si="8"/>
        <v>12767.790054035722</v>
      </c>
      <c r="R54" s="261">
        <f t="shared" si="8"/>
        <v>13334.830329701525</v>
      </c>
      <c r="S54" s="261">
        <f t="shared" si="8"/>
        <v>13926.595932221031</v>
      </c>
      <c r="T54" s="261">
        <f t="shared" si="8"/>
        <v>14537.926365266281</v>
      </c>
      <c r="U54" s="261">
        <f t="shared" si="8"/>
        <v>15175.386307101486</v>
      </c>
      <c r="V54" s="261">
        <f t="shared" si="8"/>
        <v>15829.315073462687</v>
      </c>
      <c r="W54" s="261">
        <f t="shared" si="8"/>
        <v>16470.762605636788</v>
      </c>
      <c r="X54" s="261">
        <f t="shared" si="8"/>
        <v>17063.710949367145</v>
      </c>
      <c r="Y54" s="261">
        <f t="shared" si="8"/>
        <v>17579.337957860989</v>
      </c>
      <c r="Z54" s="261">
        <f t="shared" si="8"/>
        <v>17862.302181390194</v>
      </c>
    </row>
    <row r="55" spans="1:26" s="146" customFormat="1" ht="9.6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301</v>
      </c>
      <c r="E58" s="135"/>
      <c r="F58" s="135"/>
      <c r="G58" s="135"/>
      <c r="H58" s="142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42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42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42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42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10808.107552379264</v>
      </c>
      <c r="G64" s="135">
        <f t="shared" si="10"/>
        <v>21926.114709992082</v>
      </c>
      <c r="H64" s="142">
        <f t="shared" si="10"/>
        <v>21858.910759175171</v>
      </c>
      <c r="I64" s="135">
        <f t="shared" si="10"/>
        <v>26756.181549104018</v>
      </c>
      <c r="J64" s="135">
        <f t="shared" si="10"/>
        <v>30808.572290158227</v>
      </c>
      <c r="K64" s="135">
        <f t="shared" si="10"/>
        <v>31108.73260461117</v>
      </c>
      <c r="L64" s="135">
        <f t="shared" si="10"/>
        <v>31398.692200365702</v>
      </c>
      <c r="M64" s="135">
        <f t="shared" si="10"/>
        <v>32356.740383191736</v>
      </c>
      <c r="N64" s="135">
        <f t="shared" si="10"/>
        <v>32643.98337353245</v>
      </c>
      <c r="O64" s="135">
        <f t="shared" si="10"/>
        <v>33639.390291553493</v>
      </c>
      <c r="P64" s="135">
        <f t="shared" si="10"/>
        <v>33962.826342576045</v>
      </c>
      <c r="Q64" s="135">
        <f t="shared" si="10"/>
        <v>35008.641582074895</v>
      </c>
      <c r="R64" s="135">
        <f t="shared" si="10"/>
        <v>35286.726939563756</v>
      </c>
      <c r="S64" s="135">
        <f t="shared" si="10"/>
        <v>35554.204738065389</v>
      </c>
      <c r="T64" s="135">
        <f t="shared" si="10"/>
        <v>35805.258152557006</v>
      </c>
      <c r="U64" s="135">
        <f t="shared" si="10"/>
        <v>36035.825816018711</v>
      </c>
      <c r="V64" s="135">
        <f t="shared" si="10"/>
        <v>36259.108391165792</v>
      </c>
      <c r="W64" s="135">
        <f t="shared" si="10"/>
        <v>36469.452201474582</v>
      </c>
      <c r="X64" s="135">
        <f t="shared" si="10"/>
        <v>36673.009233842007</v>
      </c>
      <c r="Y64" s="135">
        <f t="shared" si="10"/>
        <v>36852.419359874621</v>
      </c>
      <c r="Z64" s="135">
        <f t="shared" si="10"/>
        <v>36926.481412562192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Allocation!$I$12*(CF!$G$15+CF!$G$16-CF!$G$14)+CF!$G$14*Allocation!$K$12</f>
        <v>-5201.973349215903</v>
      </c>
      <c r="G66" s="262">
        <f>Allocation!$I$12*(CF!H16+CF!H15)</f>
        <v>-15852.482861176739</v>
      </c>
      <c r="H66" s="262">
        <f>Allocation!$I$12*(CF!I16+CF!I15)</f>
        <v>-15770.159513569557</v>
      </c>
      <c r="I66" s="262">
        <f>Allocation!$I$12*(CF!J16+CF!J15)</f>
        <v>-18821.255507326357</v>
      </c>
      <c r="J66" s="262">
        <f>Allocation!$I$12*(CF!K16+CF!K15)</f>
        <v>-14170.373989556982</v>
      </c>
      <c r="K66" s="262">
        <f>Allocation!$I$12*(CF!L16+CF!L15)</f>
        <v>-14437.32433474432</v>
      </c>
      <c r="L66" s="262">
        <f>Allocation!$I$12*(CF!M16+CF!M15)</f>
        <v>-14518.665356231828</v>
      </c>
      <c r="M66" s="262">
        <f>Allocation!$I$12*(CF!N16+CF!N15)</f>
        <v>-14841.909659830992</v>
      </c>
      <c r="N66" s="262">
        <f>Allocation!$I$12*(CF!O16+CF!O15)</f>
        <v>-14998.57262997143</v>
      </c>
      <c r="O66" s="262">
        <f>Allocation!$I$12*(CF!P16+CF!P15)</f>
        <v>-15326.997001541424</v>
      </c>
      <c r="P66" s="262">
        <f>Allocation!$I$12*(CF!Q16+CF!Q15)</f>
        <v>-13336.085708536693</v>
      </c>
      <c r="Q66" s="262">
        <f>Allocation!$I$12*(CF!R16+CF!R15)</f>
        <v>-12740.899979301399</v>
      </c>
      <c r="R66" s="262">
        <f>Allocation!$I$12*(CF!S16+CF!S15)</f>
        <v>-12708.522142572418</v>
      </c>
      <c r="S66" s="262">
        <f>Allocation!$I$12*(CF!T16+CF!T15)</f>
        <v>-12444.542975217742</v>
      </c>
      <c r="T66" s="262">
        <f>Allocation!$I$12*(CF!U16+CF!U15)</f>
        <v>-12178.557002235182</v>
      </c>
      <c r="U66" s="262">
        <f>Allocation!$I$12*(CF!V16+CF!V15)</f>
        <v>-12050.689987185595</v>
      </c>
      <c r="V66" s="262">
        <f>Allocation!$I$12*(CF!W16+CF!W15)</f>
        <v>-11345.727425285928</v>
      </c>
      <c r="W66" s="262">
        <f>Allocation!$I$12*(CF!X16+CF!X15)</f>
        <v>-10276.519667873861</v>
      </c>
      <c r="X66" s="262">
        <f>Allocation!$I$12*(CF!Y16+CF!Y15)</f>
        <v>-8469.7838964445873</v>
      </c>
      <c r="Y66" s="262">
        <f>Allocation!$I$12*(CF!Z16+CF!Z15)</f>
        <v>-6710.0634227038763</v>
      </c>
      <c r="Z66" s="262">
        <f>Allocation!$I$12*(CF!AA16+CF!AA15)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5606.1342031633612</v>
      </c>
      <c r="G67" s="263">
        <f t="shared" si="11"/>
        <v>6073.6318488153429</v>
      </c>
      <c r="H67" s="263">
        <f t="shared" si="11"/>
        <v>6088.7512456056138</v>
      </c>
      <c r="I67" s="263">
        <f t="shared" si="11"/>
        <v>7934.9260417776604</v>
      </c>
      <c r="J67" s="263">
        <f t="shared" si="11"/>
        <v>16638.198300601245</v>
      </c>
      <c r="K67" s="263">
        <f t="shared" si="11"/>
        <v>16671.40826986685</v>
      </c>
      <c r="L67" s="263">
        <f t="shared" si="11"/>
        <v>16880.026844133874</v>
      </c>
      <c r="M67" s="263">
        <f t="shared" si="11"/>
        <v>17514.830723360745</v>
      </c>
      <c r="N67" s="263">
        <f t="shared" si="11"/>
        <v>17645.41074356102</v>
      </c>
      <c r="O67" s="263">
        <f t="shared" si="11"/>
        <v>18312.393290012071</v>
      </c>
      <c r="P67" s="263">
        <f t="shared" si="11"/>
        <v>20626.74063403935</v>
      </c>
      <c r="Q67" s="263">
        <f t="shared" si="11"/>
        <v>22267.741602773494</v>
      </c>
      <c r="R67" s="263">
        <f t="shared" si="11"/>
        <v>22578.20479699134</v>
      </c>
      <c r="S67" s="263">
        <f t="shared" si="11"/>
        <v>23109.661762847645</v>
      </c>
      <c r="T67" s="263">
        <f t="shared" si="11"/>
        <v>23626.701150321824</v>
      </c>
      <c r="U67" s="263">
        <f t="shared" si="11"/>
        <v>23985.135828833118</v>
      </c>
      <c r="V67" s="263">
        <f t="shared" si="11"/>
        <v>24913.380965879864</v>
      </c>
      <c r="W67" s="263">
        <f t="shared" si="11"/>
        <v>26192.93253360072</v>
      </c>
      <c r="X67" s="263">
        <f t="shared" si="11"/>
        <v>28203.22533739742</v>
      </c>
      <c r="Y67" s="263">
        <f t="shared" si="11"/>
        <v>30142.355937170745</v>
      </c>
      <c r="Z67" s="263">
        <f t="shared" si="11"/>
        <v>36926.481412562192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Allocation!$I$12*CF!G24*7/12</f>
        <v>0</v>
      </c>
      <c r="G69" s="486">
        <f>Allocation!$I$12*CF!H24</f>
        <v>0</v>
      </c>
      <c r="H69" s="486">
        <f>Allocation!$I$12*CF!I24</f>
        <v>0</v>
      </c>
      <c r="I69" s="486">
        <f>Allocation!$I$12*CF!J24</f>
        <v>0</v>
      </c>
      <c r="J69" s="486">
        <f ca="1">Allocation!$I$12*CF!K24</f>
        <v>0</v>
      </c>
      <c r="K69" s="486">
        <f ca="1">Allocation!$I$12*CF!L24</f>
        <v>0</v>
      </c>
      <c r="L69" s="486">
        <f ca="1">Allocation!$I$12*CF!M24</f>
        <v>-160.99820244198236</v>
      </c>
      <c r="M69" s="486">
        <f ca="1">Allocation!$I$12*CF!N24</f>
        <v>-732.07320261816346</v>
      </c>
      <c r="N69" s="486">
        <f ca="1">Allocation!$I$12*CF!O24</f>
        <v>-789.64724154990813</v>
      </c>
      <c r="O69" s="486">
        <f ca="1">Allocation!$I$12*CF!P24</f>
        <v>-880.08266895846384</v>
      </c>
      <c r="P69" s="486">
        <f ca="1">Allocation!$I$12*CF!Q24</f>
        <v>-928.18203055429854</v>
      </c>
      <c r="Q69" s="486">
        <f ca="1">Allocation!$I$12*CF!R24</f>
        <v>-1012.775400412914</v>
      </c>
      <c r="R69" s="486">
        <f ca="1">Allocation!$I$12*CF!S24</f>
        <v>-1076.4367117171712</v>
      </c>
      <c r="S69" s="486">
        <f ca="1">Allocation!$I$12*CF!T24</f>
        <v>-1132.9568194775318</v>
      </c>
      <c r="T69" s="486">
        <f ca="1">Allocation!$I$12*CF!U24</f>
        <v>-1198.1033146375544</v>
      </c>
      <c r="U69" s="486">
        <f ca="1">Allocation!$I$12*CF!V24</f>
        <v>-1788.9630699122752</v>
      </c>
      <c r="V69" s="486">
        <f ca="1">Allocation!$I$12*CF!W24</f>
        <v>-2084.4029323622331</v>
      </c>
      <c r="W69" s="486">
        <f>Allocation!$I$12*CF!X24</f>
        <v>-2156.4378827187088</v>
      </c>
      <c r="X69" s="486">
        <f>Allocation!$I$12*CF!Y24</f>
        <v>-2221.1815776482258</v>
      </c>
      <c r="Y69" s="486">
        <f>Allocation!$I$12*CF!Z24</f>
        <v>-2255.6086575822678</v>
      </c>
      <c r="Z69" s="486">
        <f ca="1">Allocation!$I$12*CF!AA24</f>
        <v>-2308.8015149285347</v>
      </c>
    </row>
    <row r="70" spans="1:26" ht="15" outlineLevel="1">
      <c r="A70" s="15" t="s">
        <v>383</v>
      </c>
      <c r="E70" s="486">
        <v>0</v>
      </c>
      <c r="F70" s="486">
        <f ca="1">Allocation!$I$12*(-Tax!E39)*7/12</f>
        <v>902.85008995252974</v>
      </c>
      <c r="G70" s="486">
        <f>Allocation!$I$12*CF!H25</f>
        <v>3878.943245983035</v>
      </c>
      <c r="H70" s="486">
        <f>Allocation!$I$12*CF!I25</f>
        <v>3102.2685906915117</v>
      </c>
      <c r="I70" s="486">
        <f>Allocation!$I$12*CF!J25</f>
        <v>63.046226539860434</v>
      </c>
      <c r="J70" s="486">
        <f ca="1">Allocation!$I$12*CF!K25</f>
        <v>-2447.4092294575912</v>
      </c>
      <c r="K70" s="486">
        <f ca="1">Allocation!$I$12*CF!L25</f>
        <v>-3301.1129323867649</v>
      </c>
      <c r="L70" s="486">
        <f ca="1">Allocation!$I$12*CF!M25</f>
        <v>-3710.9720852697851</v>
      </c>
      <c r="M70" s="486">
        <f ca="1">Allocation!$I$12*CF!N25</f>
        <v>-3944.5689172137463</v>
      </c>
      <c r="N70" s="486">
        <f ca="1">Allocation!$I$12*CF!O25</f>
        <v>-4254.7903043597362</v>
      </c>
      <c r="O70" s="486">
        <f ca="1">Allocation!$I$12*CF!P25</f>
        <v>-4742.0759674531746</v>
      </c>
      <c r="P70" s="486">
        <f ca="1">Allocation!$I$12*CF!Q25</f>
        <v>-5001.2457417465175</v>
      </c>
      <c r="Q70" s="486">
        <f ca="1">Allocation!$I$12*CF!R25</f>
        <v>-5457.0531338943019</v>
      </c>
      <c r="R70" s="486">
        <f ca="1">Allocation!$I$12*CF!S25</f>
        <v>-5800.0740625415392</v>
      </c>
      <c r="S70" s="486">
        <f ca="1">Allocation!$I$12*CF!T25</f>
        <v>-6104.6166403489888</v>
      </c>
      <c r="T70" s="486">
        <f ca="1">Allocation!$I$12*CF!U25</f>
        <v>-6455.6400611689323</v>
      </c>
      <c r="U70" s="486">
        <f ca="1">Allocation!$I$12*CF!V25</f>
        <v>-9639.3203499075316</v>
      </c>
      <c r="V70" s="486">
        <f ca="1">Allocation!$I$12*CF!W25</f>
        <v>-11231.214294608923</v>
      </c>
      <c r="W70" s="486">
        <f>Allocation!$I$12*CF!X25</f>
        <v>-11619.35420344997</v>
      </c>
      <c r="X70" s="486">
        <f>Allocation!$I$12*CF!Y25</f>
        <v>-11968.207249417488</v>
      </c>
      <c r="Y70" s="486">
        <f>Allocation!$I$12*CF!Z25</f>
        <v>-12153.707809925079</v>
      </c>
      <c r="Z70" s="486">
        <f ca="1">Allocation!$I$12*CF!AA25</f>
        <v>-12440.322442116865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6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6508.984293115891</v>
      </c>
      <c r="G72" s="264">
        <f t="shared" si="12"/>
        <v>9952.5750947983779</v>
      </c>
      <c r="H72" s="264">
        <f t="shared" si="12"/>
        <v>9191.0198362971259</v>
      </c>
      <c r="I72" s="264">
        <f t="shared" si="12"/>
        <v>7997.9722683175205</v>
      </c>
      <c r="J72" s="264">
        <f t="shared" ca="1" si="12"/>
        <v>14190.789071143654</v>
      </c>
      <c r="K72" s="264">
        <f t="shared" ca="1" si="12"/>
        <v>13370.295337480085</v>
      </c>
      <c r="L72" s="264">
        <f t="shared" ca="1" si="12"/>
        <v>13008.056556422107</v>
      </c>
      <c r="M72" s="264">
        <f t="shared" ca="1" si="12"/>
        <v>12838.188603528835</v>
      </c>
      <c r="N72" s="264">
        <f t="shared" ca="1" si="12"/>
        <v>12600.973197651376</v>
      </c>
      <c r="O72" s="264">
        <f t="shared" ca="1" si="12"/>
        <v>12690.234653600432</v>
      </c>
      <c r="P72" s="264">
        <f t="shared" ca="1" si="12"/>
        <v>14697.312861738534</v>
      </c>
      <c r="Q72" s="264">
        <f t="shared" ca="1" si="12"/>
        <v>15797.913068466276</v>
      </c>
      <c r="R72" s="264">
        <f t="shared" ca="1" si="12"/>
        <v>15701.69402273263</v>
      </c>
      <c r="S72" s="264">
        <f t="shared" ca="1" si="12"/>
        <v>15872.088303021126</v>
      </c>
      <c r="T72" s="264">
        <f t="shared" ca="1" si="12"/>
        <v>15972.957774515338</v>
      </c>
      <c r="U72" s="264">
        <f t="shared" ca="1" si="12"/>
        <v>12556.852409013311</v>
      </c>
      <c r="V72" s="264">
        <f t="shared" ca="1" si="12"/>
        <v>11597.763738908709</v>
      </c>
      <c r="W72" s="264">
        <f t="shared" si="12"/>
        <v>12417.140447432042</v>
      </c>
      <c r="X72" s="264">
        <f t="shared" si="12"/>
        <v>14013.836510331706</v>
      </c>
      <c r="Y72" s="264">
        <f t="shared" si="12"/>
        <v>15733.039469663398</v>
      </c>
      <c r="Z72" s="264">
        <f t="shared" ca="1" si="12"/>
        <v>22177.357455516794</v>
      </c>
    </row>
    <row r="73" spans="1:26" outlineLevel="1">
      <c r="A73" s="17"/>
      <c r="E73" s="156"/>
      <c r="F73" s="156"/>
      <c r="G73" s="156"/>
      <c r="H73" s="255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255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-234.3937507555174</v>
      </c>
      <c r="G75" s="155">
        <f t="shared" si="13"/>
        <v>901.16520276965821</v>
      </c>
      <c r="H75" s="263">
        <f t="shared" si="13"/>
        <v>984.29899630671525</v>
      </c>
      <c r="I75" s="155">
        <f t="shared" si="13"/>
        <v>2617.0303114523094</v>
      </c>
      <c r="J75" s="155">
        <f t="shared" si="13"/>
        <v>3957.186703685481</v>
      </c>
      <c r="K75" s="155">
        <f t="shared" si="13"/>
        <v>4169.3016898743099</v>
      </c>
      <c r="L75" s="155">
        <f t="shared" si="13"/>
        <v>4390.1507474191585</v>
      </c>
      <c r="M75" s="155">
        <f t="shared" si="13"/>
        <v>4830.8100717398202</v>
      </c>
      <c r="N75" s="155">
        <f t="shared" si="13"/>
        <v>5093.1862838099096</v>
      </c>
      <c r="O75" s="155">
        <f t="shared" si="13"/>
        <v>5604.646454523835</v>
      </c>
      <c r="P75" s="155">
        <f t="shared" si="13"/>
        <v>5890.4663179088084</v>
      </c>
      <c r="Q75" s="155">
        <f t="shared" si="13"/>
        <v>6383.8950270178611</v>
      </c>
      <c r="R75" s="155">
        <f t="shared" si="13"/>
        <v>6667.4151648507623</v>
      </c>
      <c r="S75" s="155">
        <f t="shared" si="13"/>
        <v>6963.2979661105155</v>
      </c>
      <c r="T75" s="155">
        <f t="shared" si="13"/>
        <v>7268.9631826331406</v>
      </c>
      <c r="U75" s="155">
        <f t="shared" si="13"/>
        <v>7587.6931535507429</v>
      </c>
      <c r="V75" s="155">
        <f t="shared" si="13"/>
        <v>7914.6575367313435</v>
      </c>
      <c r="W75" s="155">
        <f t="shared" si="13"/>
        <v>8235.381302818394</v>
      </c>
      <c r="X75" s="155">
        <f t="shared" si="13"/>
        <v>8531.8554746835725</v>
      </c>
      <c r="Y75" s="155">
        <f t="shared" si="13"/>
        <v>8789.6689789304946</v>
      </c>
      <c r="Z75" s="155">
        <f t="shared" si="13"/>
        <v>8931.1510906950971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3254.4921465579455</v>
      </c>
      <c r="G76" s="155">
        <f t="shared" si="14"/>
        <v>4976.287547399189</v>
      </c>
      <c r="H76" s="263">
        <f t="shared" si="14"/>
        <v>4595.509918148563</v>
      </c>
      <c r="I76" s="155">
        <f t="shared" si="14"/>
        <v>3998.9861341587603</v>
      </c>
      <c r="J76" s="155">
        <f t="shared" ca="1" si="14"/>
        <v>7095.394535571827</v>
      </c>
      <c r="K76" s="155">
        <f t="shared" ca="1" si="14"/>
        <v>6685.1476687400427</v>
      </c>
      <c r="L76" s="155">
        <f t="shared" ca="1" si="14"/>
        <v>6504.0282782110535</v>
      </c>
      <c r="M76" s="155">
        <f t="shared" ca="1" si="14"/>
        <v>6419.0943017644177</v>
      </c>
      <c r="N76" s="155">
        <f t="shared" ca="1" si="14"/>
        <v>6300.4865988256879</v>
      </c>
      <c r="O76" s="155">
        <f t="shared" ca="1" si="14"/>
        <v>6345.1173268002158</v>
      </c>
      <c r="P76" s="155">
        <f t="shared" ca="1" si="14"/>
        <v>7348.6564308692668</v>
      </c>
      <c r="Q76" s="155">
        <f t="shared" ca="1" si="14"/>
        <v>7898.956534233138</v>
      </c>
      <c r="R76" s="155">
        <f t="shared" ca="1" si="14"/>
        <v>7850.8470113663152</v>
      </c>
      <c r="S76" s="155">
        <f t="shared" ca="1" si="14"/>
        <v>7936.0441515105631</v>
      </c>
      <c r="T76" s="155">
        <f t="shared" ca="1" si="14"/>
        <v>7986.4788872576692</v>
      </c>
      <c r="U76" s="155">
        <f t="shared" ca="1" si="14"/>
        <v>6278.4262045066553</v>
      </c>
      <c r="V76" s="155">
        <f t="shared" ca="1" si="14"/>
        <v>5798.8818694543543</v>
      </c>
      <c r="W76" s="155">
        <f t="shared" si="14"/>
        <v>6208.5702237160212</v>
      </c>
      <c r="X76" s="155">
        <f t="shared" si="14"/>
        <v>7006.9182551658532</v>
      </c>
      <c r="Y76" s="155">
        <f t="shared" si="14"/>
        <v>7866.5197348316988</v>
      </c>
      <c r="Z76" s="155">
        <f t="shared" ca="1" si="14"/>
        <v>11088.678727758397</v>
      </c>
    </row>
    <row r="77" spans="1:26" outlineLevel="1">
      <c r="A77" s="16"/>
      <c r="E77" s="135"/>
      <c r="F77" s="135"/>
      <c r="G77" s="135"/>
      <c r="H77" s="142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42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42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42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9"/>
  <sheetViews>
    <sheetView zoomScale="75" workbookViewId="0">
      <selection activeCell="I6" sqref="I6"/>
    </sheetView>
  </sheetViews>
  <sheetFormatPr defaultColWidth="9.109375" defaultRowHeight="13.2" outlineLevelRow="2" outlineLevelCol="1"/>
  <cols>
    <col min="1" max="1" width="53.44140625" style="7" customWidth="1"/>
    <col min="2" max="4" width="8.44140625" style="7" customWidth="1"/>
    <col min="5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2" spans="1:29" ht="17.399999999999999">
      <c r="A2" s="126" t="s">
        <v>302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J4" s="8"/>
      <c r="K4" s="8"/>
      <c r="L4" s="8"/>
      <c r="M4" s="8"/>
      <c r="N4" s="8"/>
      <c r="O4" s="8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>H5+1</f>
        <v>2003</v>
      </c>
      <c r="J5" s="9">
        <f>I5+1</f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>O5+1</f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Assumptions!$Q$30*Assumptions!$Q$53*'Power Price Assumption'!F61</f>
        <v>11280</v>
      </c>
      <c r="G10" s="253">
        <f>Assumptions!$Q$30*12*'Power Price Assumption'!G61</f>
        <v>22560</v>
      </c>
      <c r="H10" s="253">
        <f>Assumptions!$Q$30*12*'Power Price Assumption'!H61</f>
        <v>22560</v>
      </c>
      <c r="I10" s="253">
        <f>Assumptions!$Q$30*5*'Power Price Assumption'!I61</f>
        <v>9400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f>E26</f>
        <v>0</v>
      </c>
      <c r="F11" s="253">
        <f>Assumptions!Q$26*Assumptions!Q$30*Assumptions!Q$14/1000*(1+Assumptions!$Q$39)</f>
        <v>675.88600000000008</v>
      </c>
      <c r="G11" s="253">
        <f>F11*(1+Assumptions!$Q$39)</f>
        <v>696.16258000000005</v>
      </c>
      <c r="H11" s="253">
        <f>G11*(1+Assumptions!$Q$39)</f>
        <v>717.0474574000001</v>
      </c>
      <c r="I11" s="253">
        <f>5/12*Assumptions!$Q$26*Assumptions!$Q$17/1000*(1+Assumptions!$Q$39)^(I5-$E$5)</f>
        <v>307.73286713416667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VLOOKUP(Assumptions!$Q$19,'EGC Start Charge Matrix'!$A$10:$S$35,18)*(1+Assumptions!$Q$39)</f>
        <v>2140.752</v>
      </c>
      <c r="G12" s="253">
        <f>F12*(1+Assumptions!$Q$39)</f>
        <v>2204.9745600000001</v>
      </c>
      <c r="H12" s="253">
        <f>G12*(1+Assumptions!$Q$39)</f>
        <v>2271.1237968</v>
      </c>
      <c r="I12" s="253">
        <f>H12*(1+Assumptions!$Q$39)*5/12</f>
        <v>974.69062945999997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IF(Assumptions!$Q$19=120,Assumptions!$Q$33*(1-Assumptions!$Q$35)*'Power Price Assumption'!I63*(12-MONTH(Assumptions!$L$38)),Assumptions!$Q$33*(1-Assumptions!$Q$35)*'Power Price Assumption'!I63*(12-MONTH(Assumptions!$L$38))-2/3*7/12*VLOOKUP(120,'EGC Start Charge Matrix'!$U$10:$AM$35,18)*(1+Assumptions!$Q$52)^(I5-$E$5))</f>
        <v>21723.920629958615</v>
      </c>
      <c r="J15" s="253">
        <f>IF(Assumptions!$Q$19=120,Assumptions!$Q$33*(1-Assumptions!$Q$35)*'Power Price Assumption'!J63*12,Assumptions!$Q$33*(1-Assumptions!$Q$35)*'Power Price Assumption'!J63*12-2/3*VLOOKUP(120,'EGC Start Charge Matrix'!$U$10:$AM$35,18)*(1+Assumptions!$Q$52)^(J5-Brownsville!$E$5))</f>
        <v>38358.236998041211</v>
      </c>
      <c r="K15" s="253">
        <f>IF(Assumptions!$Q$19=120,Assumptions!$Q$33*(1-Assumptions!$Q$35)*'Power Price Assumption'!K63*12,Assumptions!$Q$33*(1-Assumptions!$Q$35)*'Power Price Assumption'!K63*12-2/3*VLOOKUP(120,'EGC Start Charge Matrix'!$U$10:$AM$35,18)*(1+Assumptions!$Q$52)^(K5-Brownsville!$E$5))</f>
        <v>39508.984107982447</v>
      </c>
      <c r="L15" s="253">
        <f>IF(Assumptions!$Q$19=120,Assumptions!$Q$33*(1-Assumptions!$Q$35)*'Power Price Assumption'!L63*12,Assumptions!$Q$33*(1-Assumptions!$Q$35)*'Power Price Assumption'!L63*12-2/3*VLOOKUP(120,'EGC Start Charge Matrix'!$U$10:$AM$35,18)*(1+Assumptions!$Q$52)^(L5-Brownsville!$E$5))</f>
        <v>40068.188190741588</v>
      </c>
      <c r="M15" s="253">
        <f>IF(Assumptions!$Q$19=120,Assumptions!$Q$33*(1-Assumptions!$Q$35)*'Power Price Assumption'!M63*12,Assumptions!$Q$33*(1-Assumptions!$Q$35)*'Power Price Assumption'!M63*12-2/3*VLOOKUP(120,'EGC Start Charge Matrix'!$U$10:$AM$35,18)*(1+Assumptions!$Q$52)^(M5-Brownsville!$E$5))</f>
        <v>40625.386432769097</v>
      </c>
      <c r="N15" s="253">
        <f>IF(Assumptions!$Q$19=120,Assumptions!$Q$33*(1-Assumptions!$Q$35)*'Power Price Assumption'!N63*12,Assumptions!$Q$33*(1-Assumptions!$Q$35)*'Power Price Assumption'!N63*12-2/3*VLOOKUP(120,'EGC Start Charge Matrix'!$U$10:$AM$35,18)*(1+Assumptions!$Q$52)^(N5-Brownsville!$E$5))</f>
        <v>41179.955199946577</v>
      </c>
      <c r="O15" s="253">
        <f>IF(Assumptions!$Q$19=120,Assumptions!$Q$33*(1-Assumptions!$Q$35)*'Power Price Assumption'!O63*12,Assumptions!$Q$33*(1-Assumptions!$Q$35)*'Power Price Assumption'!O63*12-2/3*VLOOKUP(120,'EGC Start Charge Matrix'!$U$10:$AM$35,18)*(1+Assumptions!$Q$52)^(O5-Brownsville!$E$5))</f>
        <v>41731.235245365213</v>
      </c>
      <c r="P15" s="253">
        <f>IF(Assumptions!$Q$19=120,Assumptions!$Q$33*(1-Assumptions!$Q$35)*'Power Price Assumption'!P63*12,Assumptions!$Q$33*(1-Assumptions!$Q$35)*'Power Price Assumption'!P63*12-2/3*VLOOKUP(120,'EGC Start Charge Matrix'!$U$10:$AM$35,18)*(1+Assumptions!$Q$52)^(P5-Brownsville!$E$5))</f>
        <v>42278.530133829016</v>
      </c>
      <c r="Q15" s="253">
        <f>IF(Assumptions!$Q$19=120,Assumptions!$Q$33*(1-Assumptions!$Q$35)*'Power Price Assumption'!Q63*12,Assumptions!$Q$33*(1-Assumptions!$Q$35)*'Power Price Assumption'!Q63*12-2/3*VLOOKUP(120,'EGC Start Charge Matrix'!$U$10:$AM$35,18)*(1+Assumptions!$Q$52)^(Q5-Brownsville!$E$5))</f>
        <v>42821.104603879816</v>
      </c>
      <c r="R15" s="253">
        <f>IF(Assumptions!$Q$19=120,Assumptions!$Q$33*(1-Assumptions!$Q$35)*'Power Price Assumption'!R63*12,Assumptions!$Q$33*(1-Assumptions!$Q$35)*'Power Price Assumption'!R63*12-2/3*VLOOKUP(120,'EGC Start Charge Matrix'!$U$10:$AM$35,18)*(1+Assumptions!$Q$52)^(R5-Brownsville!$E$5))</f>
        <v>43358.18286501323</v>
      </c>
      <c r="S15" s="253">
        <f>IF(Assumptions!$Q$19=120,Assumptions!$Q$33*(1-Assumptions!$Q$35)*'Power Price Assumption'!S63*12,Assumptions!$Q$33*(1-Assumptions!$Q$35)*'Power Price Assumption'!S63*12-2/3*VLOOKUP(120,'EGC Start Charge Matrix'!$U$10:$AM$35,18)*(1+Assumptions!$Q$52)^(S5-Brownsville!$E$5))</f>
        <v>43118.965304378675</v>
      </c>
      <c r="T15" s="253">
        <f>IF(Assumptions!$Q$19=120,Assumptions!$Q$33*(1-Assumptions!$Q$35)*'Power Price Assumption'!T63*12,Assumptions!$Q$33*(1-Assumptions!$Q$35)*'Power Price Assumption'!T63*12-2/3*VLOOKUP(120,'EGC Start Charge Matrix'!$U$10:$AM$35,18)*(1+Assumptions!$Q$52)^(T5-Brownsville!$E$5))</f>
        <v>43619.453294518782</v>
      </c>
      <c r="U15" s="253">
        <f>IF(Assumptions!$Q$19=120,Assumptions!$Q$33*(1-Assumptions!$Q$35)*'Power Price Assumption'!U63*12,Assumptions!$Q$33*(1-Assumptions!$Q$35)*'Power Price Assumption'!U63*12-2/3*VLOOKUP(120,'EGC Start Charge Matrix'!$U$10:$AM$35,18)*(1+Assumptions!$Q$52)^(U5-Brownsville!$E$5))</f>
        <v>44111.163495293353</v>
      </c>
      <c r="V15" s="253">
        <f>IF(Assumptions!$Q$19=120,Assumptions!$Q$33*(1-Assumptions!$Q$35)*'Power Price Assumption'!V63*12,Assumptions!$Q$33*(1-Assumptions!$Q$35)*'Power Price Assumption'!V63*12-2/3*VLOOKUP(120,'EGC Start Charge Matrix'!$U$10:$AM$35,18)*(1+Assumptions!$Q$52)^(V5-Brownsville!$E$5))</f>
        <v>44593.118800149328</v>
      </c>
      <c r="W15" s="253">
        <f>IF(Assumptions!$Q$19=120,Assumptions!$Q$33*(1-Assumptions!$Q$35)*'Power Price Assumption'!W63*12,Assumptions!$Q$33*(1-Assumptions!$Q$35)*'Power Price Assumption'!W63*12-2/3*VLOOKUP(120,'EGC Start Charge Matrix'!$U$10:$AM$35,18)*(1+Assumptions!$Q$52)^(W5-Brownsville!$E$5))</f>
        <v>45064.291376150912</v>
      </c>
      <c r="X15" s="253">
        <f>IF(Assumptions!$Q$19=120,Assumptions!$Q$33*(1-Assumptions!$Q$35)*'Power Price Assumption'!X63*12,Assumptions!$Q$33*(1-Assumptions!$Q$35)*'Power Price Assumption'!X63*12-2/3*VLOOKUP(120,'EGC Start Charge Matrix'!$U$10:$AM$35,18)*(1+Assumptions!$Q$52)^(X5-Brownsville!$E$5))</f>
        <v>45523.600499792446</v>
      </c>
      <c r="Y15" s="253">
        <f>IF(Assumptions!$Q$19=120,Assumptions!$Q$33*(1-Assumptions!$Q$35)*'Power Price Assumption'!Y63*12,Assumptions!$Q$33*(1-Assumptions!$Q$35)*'Power Price Assumption'!Y63*12-2/3*VLOOKUP(120,'EGC Start Charge Matrix'!$U$10:$AM$35,18)*(1+Assumptions!$Q$52)^(Y5-Brownsville!$E$5))</f>
        <v>45050.512102441658</v>
      </c>
      <c r="Z15" s="253">
        <f>IF(Assumptions!$Q$19=120,Assumptions!$Q$33*(1-Assumptions!$Q$35)*'Power Price Assumption'!Z63*12,Assumptions!$Q$33*(1-Assumptions!$Q$35)*'Power Price Assumption'!Z63*12-2/3*VLOOKUP(120,'EGC Start Charge Matrix'!$U$10:$AM$35,18)*(1+Assumptions!$Q$52)^(Z5-Brownsville!$E$5))</f>
        <v>45455.047313157469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7/12*Assumptions!$Q$26*Assumptions!$Q$34/1000*(1+Assumptions!$Q$39)^(I5-$E$5)+H12*(1+Assumptions!$Q$39)*Assumptions!Q53/12*1/3</f>
        <v>852.15073149075806</v>
      </c>
      <c r="J16" s="253">
        <f>(Assumptions!$Q$26*Assumptions!$Q$34/1000)*(1+Assumptions!$Q$39)^(J5-$E$5)+$F$12*(1+Assumptions!$Q$39)^(J5-$F$5)*1/3</f>
        <v>1619.389731414401</v>
      </c>
      <c r="K16" s="253">
        <f>J16*(1+Assumptions!$Q$39)</f>
        <v>1667.9714233568332</v>
      </c>
      <c r="L16" s="253">
        <f>K16*(1+Assumptions!$Q$39)</f>
        <v>1718.0105660575382</v>
      </c>
      <c r="M16" s="253">
        <f>L16*(1+Assumptions!$Q$39)</f>
        <v>1769.5508830392644</v>
      </c>
      <c r="N16" s="253">
        <f>M16*(1+Assumptions!$Q$39)</f>
        <v>1822.6374095304423</v>
      </c>
      <c r="O16" s="253">
        <f>N16*(1+Assumptions!$Q$39)</f>
        <v>1877.3165318163556</v>
      </c>
      <c r="P16" s="253">
        <f>O16*(1+Assumptions!$Q$39)</f>
        <v>1933.6360277708463</v>
      </c>
      <c r="Q16" s="253">
        <f>P16*(1+Assumptions!$Q$39)</f>
        <v>1991.6451086039717</v>
      </c>
      <c r="R16" s="253">
        <f>Q16*(1+Assumptions!$Q$39)</f>
        <v>2051.3944618620908</v>
      </c>
      <c r="S16" s="253">
        <f>R16*(1+Assumptions!$Q$39)</f>
        <v>2112.9362957179537</v>
      </c>
      <c r="T16" s="253">
        <f>S16*(1+Assumptions!$Q$39)</f>
        <v>2176.3243845894922</v>
      </c>
      <c r="U16" s="253">
        <f>T16*(1+Assumptions!$Q$39)</f>
        <v>2241.6141161271771</v>
      </c>
      <c r="V16" s="253">
        <f>U16*(1+Assumptions!$Q$39)</f>
        <v>2308.8625396109924</v>
      </c>
      <c r="W16" s="253">
        <f>V16*(1+Assumptions!$Q$39)</f>
        <v>2378.1284157993223</v>
      </c>
      <c r="X16" s="253">
        <f>W16*(1+Assumptions!$Q$39)</f>
        <v>2449.4722682733022</v>
      </c>
      <c r="Y16" s="253">
        <f>X16*(1+Assumptions!$Q$39)</f>
        <v>2522.9564363215013</v>
      </c>
      <c r="Z16" s="253">
        <f>Y16*(1+Assumptions!$Q$39)</f>
        <v>2598.6451294111466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Assumptions!$Q$33*Assumptions!$Q$35*Assumptions!$Q$36*Assumptions!$Q$14/1000*7/12</f>
        <v>7.0603119999999997</v>
      </c>
      <c r="J17" s="253">
        <f>Assumptions!$Q$33*Assumptions!$Q$35*Assumptions!$Q$36*Assumptions!$Q$14/1000</f>
        <v>12.103391999999999</v>
      </c>
      <c r="K17" s="253">
        <f>Assumptions!$Q$33*Assumptions!$Q$35*Assumptions!$Q$36*Assumptions!$Q$14/1000</f>
        <v>12.103391999999999</v>
      </c>
      <c r="L17" s="253">
        <f>Assumptions!$Q$33*Assumptions!$Q$35*Assumptions!$Q$36*Assumptions!$Q$14/1000</f>
        <v>12.103391999999999</v>
      </c>
      <c r="M17" s="253">
        <f>Assumptions!$Q$33*Assumptions!$Q$35*Assumptions!$Q$36*Assumptions!$Q$14/1000</f>
        <v>12.103391999999999</v>
      </c>
      <c r="N17" s="253">
        <f>Assumptions!$Q$33*Assumptions!$Q$35*Assumptions!$Q$36*Assumptions!$Q$14/1000</f>
        <v>12.103391999999999</v>
      </c>
      <c r="O17" s="253">
        <f>Assumptions!$Q$33*Assumptions!$Q$35*Assumptions!$Q$36*Assumptions!$Q$14/1000</f>
        <v>12.103391999999999</v>
      </c>
      <c r="P17" s="253">
        <f>Assumptions!$Q$33*Assumptions!$Q$35*Assumptions!$Q$36*Assumptions!$Q$14/1000</f>
        <v>12.103391999999999</v>
      </c>
      <c r="Q17" s="253">
        <f>Assumptions!$Q$33*Assumptions!$Q$35*Assumptions!$Q$36*Assumptions!$Q$14/1000</f>
        <v>12.103391999999999</v>
      </c>
      <c r="R17" s="253">
        <f>Assumptions!$Q$33*Assumptions!$Q$35*Assumptions!$Q$36*Assumptions!$Q$14/1000</f>
        <v>12.103391999999999</v>
      </c>
      <c r="S17" s="253">
        <f>Assumptions!$Q$33*Assumptions!$Q$35*Assumptions!$Q$36*Assumptions!$Q$14/1000</f>
        <v>12.103391999999999</v>
      </c>
      <c r="T17" s="253">
        <f>Assumptions!$Q$33*Assumptions!$Q$35*Assumptions!$Q$36*Assumptions!$Q$14/1000</f>
        <v>12.103391999999999</v>
      </c>
      <c r="U17" s="253">
        <f>Assumptions!$Q$33*Assumptions!$Q$35*Assumptions!$Q$36*Assumptions!$Q$14/1000</f>
        <v>12.103391999999999</v>
      </c>
      <c r="V17" s="253">
        <f>Assumptions!$Q$33*Assumptions!$Q$35*Assumptions!$Q$36*Assumptions!$Q$14/1000</f>
        <v>12.103391999999999</v>
      </c>
      <c r="W17" s="253">
        <f>Assumptions!$Q$33*Assumptions!$Q$35*Assumptions!$Q$36*Assumptions!$Q$14/1000</f>
        <v>12.103391999999999</v>
      </c>
      <c r="X17" s="253">
        <f>Assumptions!$Q$33*Assumptions!$Q$35*Assumptions!$Q$36*Assumptions!$Q$14/1000</f>
        <v>12.103391999999999</v>
      </c>
      <c r="Y17" s="253">
        <f>Assumptions!$Q$33*Assumptions!$Q$35*Assumptions!$Q$36*Assumptions!$Q$14/1000</f>
        <v>12.103391999999999</v>
      </c>
      <c r="Z17" s="253">
        <f>Assumptions!$Q$33*Assumptions!$Q$35*Assumptions!$Q$36*Assumptions!$Q$14/1000</f>
        <v>12.103391999999999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E19" s="254">
        <f>(SUM(E10:E17)-SUM(E25:E35))*Assumptions!$B$34/4</f>
        <v>0</v>
      </c>
      <c r="F19" s="254">
        <f ca="1">(SUM(F10:F17)-SUM(F25:F35))*Assumptions!$B$34/4</f>
        <v>118.91654077528898</v>
      </c>
      <c r="G19" s="254">
        <f>(SUM(G10:G17)-SUM(G25:G35))*Assumptions!$B$34/4</f>
        <v>243.51298965240272</v>
      </c>
      <c r="H19" s="254">
        <f>(SUM(H10:H17)-SUM(H25:H35))*Assumptions!$B$34/4</f>
        <v>241.50661506828411</v>
      </c>
      <c r="I19" s="254">
        <f>(SUM(I10:I17)-SUM(I25:I35))*Assumptions!$B$34/4</f>
        <v>329.04615496422934</v>
      </c>
      <c r="J19" s="254">
        <f>(SUM(J10:J17)-SUM(J25:J35))*Assumptions!$B$34/4</f>
        <v>405.51630314470464</v>
      </c>
      <c r="K19" s="254">
        <f>(SUM(K10:K17)-SUM(K25:K35))*Assumptions!$B$34/4</f>
        <v>416.91947032579867</v>
      </c>
      <c r="L19" s="254">
        <f>(SUM(L10:L17)-SUM(L25:L35))*Assumptions!$B$34/4</f>
        <v>420.66890744150106</v>
      </c>
      <c r="M19" s="254">
        <f>(SUM(M10:M17)-SUM(M25:M35))*Assumptions!$B$34/4</f>
        <v>424.11732546003623</v>
      </c>
      <c r="N19" s="254">
        <f>(SUM(N10:N17)-SUM(N25:N35))*Assumptions!$B$34/4</f>
        <v>427.95883297479031</v>
      </c>
      <c r="O19" s="254">
        <f>(SUM(O10:O17)-SUM(O25:O35))*Assumptions!$B$34/4</f>
        <v>432.50382200750141</v>
      </c>
      <c r="P19" s="254">
        <f>(SUM(P10:P17)-SUM(P25:P35))*Assumptions!$B$34/4</f>
        <v>437.33331535098682</v>
      </c>
      <c r="Q19" s="254">
        <f>(SUM(Q10:Q17)-SUM(Q25:Q35))*Assumptions!$B$34/4</f>
        <v>439.91818534802371</v>
      </c>
      <c r="R19" s="254">
        <f>(SUM(R10:R17)-SUM(R25:R35))*Assumptions!$B$34/4</f>
        <v>444.22248902001979</v>
      </c>
      <c r="S19" s="254">
        <f>(SUM(S10:S17)-SUM(S25:S35))*Assumptions!$B$34/4</f>
        <v>439.15183391112879</v>
      </c>
      <c r="T19" s="254">
        <f>(SUM(T10:T17)-SUM(T25:T35))*Assumptions!$B$34/4</f>
        <v>442.94545876673186</v>
      </c>
      <c r="U19" s="254">
        <f>(SUM(U10:U17)-SUM(U25:U35))*Assumptions!$B$34/4</f>
        <v>446.53296116624392</v>
      </c>
      <c r="V19" s="254">
        <f>(SUM(V10:V17)-SUM(V25:V35))*Assumptions!$B$34/4</f>
        <v>450.07673343010106</v>
      </c>
      <c r="W19" s="254">
        <f>(SUM(W10:W17)-SUM(W25:W35))*Assumptions!$B$34/4</f>
        <v>453.40247294113891</v>
      </c>
      <c r="X19" s="254">
        <f>(SUM(X10:X17)-SUM(X25:X35))*Assumptions!$B$34/4</f>
        <v>456.65143082962499</v>
      </c>
      <c r="Y19" s="254">
        <f>(SUM(Y10:Y17)-SUM(Y25:Y35))*Assumptions!$B$34/4</f>
        <v>448.49614774622427</v>
      </c>
      <c r="Z19" s="254">
        <f>(SUM(Z10:Z17)-SUM(Z25:Z35))*Assumptions!$B$34/4</f>
        <v>461.23536908778345</v>
      </c>
      <c r="AC19" s="141"/>
    </row>
    <row r="20" spans="1:29">
      <c r="A20" s="4" t="s">
        <v>174</v>
      </c>
      <c r="E20" s="253">
        <f t="shared" ref="E20:Z20" si="1">SUM(E10:E19)</f>
        <v>0</v>
      </c>
      <c r="F20" s="253">
        <f t="shared" ca="1" si="1"/>
        <v>14215.554540775291</v>
      </c>
      <c r="G20" s="253">
        <f t="shared" si="1"/>
        <v>25704.6501296524</v>
      </c>
      <c r="H20" s="253">
        <f t="shared" si="1"/>
        <v>25789.677869268282</v>
      </c>
      <c r="I20" s="253">
        <f t="shared" si="1"/>
        <v>33594.601325007767</v>
      </c>
      <c r="J20" s="253">
        <f t="shared" si="1"/>
        <v>40395.246424600315</v>
      </c>
      <c r="K20" s="253">
        <f t="shared" si="1"/>
        <v>41605.978393665071</v>
      </c>
      <c r="L20" s="253">
        <f t="shared" si="1"/>
        <v>42218.971056240625</v>
      </c>
      <c r="M20" s="253">
        <f t="shared" si="1"/>
        <v>42831.158033268395</v>
      </c>
      <c r="N20" s="253">
        <f t="shared" si="1"/>
        <v>43442.654834451809</v>
      </c>
      <c r="O20" s="253">
        <f t="shared" si="1"/>
        <v>44053.158991189062</v>
      </c>
      <c r="P20" s="253">
        <f t="shared" si="1"/>
        <v>44661.602868950846</v>
      </c>
      <c r="Q20" s="253">
        <f t="shared" si="1"/>
        <v>45264.771289831813</v>
      </c>
      <c r="R20" s="253">
        <f t="shared" si="1"/>
        <v>45865.903207895339</v>
      </c>
      <c r="S20" s="253">
        <f t="shared" si="1"/>
        <v>45683.156826007755</v>
      </c>
      <c r="T20" s="253">
        <f t="shared" si="1"/>
        <v>46250.826529875005</v>
      </c>
      <c r="U20" s="253">
        <f t="shared" si="1"/>
        <v>46811.413964586776</v>
      </c>
      <c r="V20" s="253">
        <f t="shared" si="1"/>
        <v>47364.161465190416</v>
      </c>
      <c r="W20" s="253">
        <f t="shared" si="1"/>
        <v>47907.92565689137</v>
      </c>
      <c r="X20" s="253">
        <f t="shared" si="1"/>
        <v>48441.827590895373</v>
      </c>
      <c r="Y20" s="253">
        <f t="shared" si="1"/>
        <v>48034.068078509386</v>
      </c>
      <c r="Z20" s="253">
        <f t="shared" si="1"/>
        <v>48527.031203656399</v>
      </c>
      <c r="AC20" s="141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Assumptions!$Q56*Assumptions!Q53/12*(1+Assumptions!$Q$52)</f>
        <v>599.97500000000002</v>
      </c>
      <c r="G25" s="253">
        <f>Assumptions!$Q56*(1+Assumptions!$Q$52)^2</f>
        <v>1235.9485</v>
      </c>
      <c r="H25" s="187">
        <f>G25*(1+Assumptions!$Q$52)</f>
        <v>1273.026955</v>
      </c>
      <c r="I25" s="253">
        <f>H25*(1+Assumptions!$Q$52)</f>
        <v>1311.2177636500001</v>
      </c>
      <c r="J25" s="253">
        <f>I25*(1+Assumptions!$Q$52)</f>
        <v>1350.5542965595</v>
      </c>
      <c r="K25" s="253">
        <f>J25*(1+Assumptions!$Q$52)</f>
        <v>1391.0709254562851</v>
      </c>
      <c r="L25" s="253">
        <f>K25*(1+Assumptions!$Q$52)</f>
        <v>1432.8030532199737</v>
      </c>
      <c r="M25" s="253">
        <f>L25*(1+Assumptions!$Q$52)</f>
        <v>1475.7871448165729</v>
      </c>
      <c r="N25" s="253">
        <f>M25*(1+Assumptions!$Q$52)</f>
        <v>1520.0607591610701</v>
      </c>
      <c r="O25" s="253">
        <f>N25*(1+Assumptions!$Q$52)</f>
        <v>1565.6625819359022</v>
      </c>
      <c r="P25" s="253">
        <f>O25*(1+Assumptions!$Q$52)</f>
        <v>1612.6324593939792</v>
      </c>
      <c r="Q25" s="253">
        <f>P25*(1+Assumptions!$Q$52)</f>
        <v>1661.0114331757986</v>
      </c>
      <c r="R25" s="253">
        <f>Q25*(1+Assumptions!$Q$52)</f>
        <v>1710.8417761710725</v>
      </c>
      <c r="S25" s="253">
        <f>R25*(1+Assumptions!$Q$52)</f>
        <v>1762.1670294562048</v>
      </c>
      <c r="T25" s="253">
        <f>S25*(1+Assumptions!$Q$52)</f>
        <v>1815.032040339891</v>
      </c>
      <c r="U25" s="253">
        <f>T25*(1+Assumptions!$Q$52)</f>
        <v>1869.4830015500877</v>
      </c>
      <c r="V25" s="253">
        <f>U25*(1+Assumptions!$Q$52)</f>
        <v>1925.5674915965903</v>
      </c>
      <c r="W25" s="253">
        <f>V25*(1+Assumptions!$Q$52)</f>
        <v>1983.3345163444881</v>
      </c>
      <c r="X25" s="253">
        <f>W25*(1+Assumptions!$Q$52)</f>
        <v>2042.8345518348228</v>
      </c>
      <c r="Y25" s="253">
        <f>X25*(1+Assumptions!$Q$52)</f>
        <v>2104.1195883898677</v>
      </c>
      <c r="Z25" s="253">
        <f>Y25*(1+Assumptions!$Q$52)</f>
        <v>2167.2431760415639</v>
      </c>
    </row>
    <row r="26" spans="1:29">
      <c r="A26" s="4" t="s">
        <v>177</v>
      </c>
      <c r="E26" s="253">
        <v>0</v>
      </c>
      <c r="F26" s="253">
        <f>Assumptions!$Q59*(1+Assumptions!$Q$52)</f>
        <v>675.88600000000008</v>
      </c>
      <c r="G26" s="253">
        <f>F26*(1+Assumptions!$Q$52)</f>
        <v>696.16258000000005</v>
      </c>
      <c r="H26" s="187">
        <f>G26*(1+Assumptions!$Q$52)</f>
        <v>717.0474574000001</v>
      </c>
      <c r="I26" s="253">
        <f>5/12*Assumptions!Q59*(1+Assumptions!$Q$52)^(I5-$E$5)+7/12*Assumptions!$Q$60*(1+Assumptions!$Q$52)^4</f>
        <v>770.00734684092458</v>
      </c>
      <c r="J26" s="253">
        <f>Assumptions!$Q$60*(1+Assumptions!$Q$52)^(J5-$E$5)</f>
        <v>816.24465273936119</v>
      </c>
      <c r="K26" s="253">
        <f>J26*(1+Assumptions!$Q$52)</f>
        <v>840.73199232154207</v>
      </c>
      <c r="L26" s="253">
        <f>K26*(1+Assumptions!$Q$52)</f>
        <v>865.9539520911884</v>
      </c>
      <c r="M26" s="253">
        <f>L26*(1+Assumptions!$Q$52)</f>
        <v>891.93257065392402</v>
      </c>
      <c r="N26" s="253">
        <f>M26*(1+Assumptions!$Q$52)</f>
        <v>918.69054777354177</v>
      </c>
      <c r="O26" s="253">
        <f>N26*(1+Assumptions!$Q$52)</f>
        <v>946.25126420674803</v>
      </c>
      <c r="P26" s="253">
        <f>O26*(1+Assumptions!$Q$52)</f>
        <v>974.63880213295045</v>
      </c>
      <c r="Q26" s="253">
        <f>P26*(1+Assumptions!$Q$52)</f>
        <v>1003.8779661969389</v>
      </c>
      <c r="R26" s="253">
        <f>Q26*(1+Assumptions!$Q$52)</f>
        <v>1033.994305182847</v>
      </c>
      <c r="S26" s="253">
        <f>R26*(1+Assumptions!$Q$52)</f>
        <v>1065.0141343383325</v>
      </c>
      <c r="T26" s="253">
        <f>S26*(1+Assumptions!$Q$52)</f>
        <v>1096.9645583684826</v>
      </c>
      <c r="U26" s="253">
        <f>T26*(1+Assumptions!$Q$52)</f>
        <v>1129.873495119537</v>
      </c>
      <c r="V26" s="253">
        <f>U26*(1+Assumptions!$Q$52)</f>
        <v>1163.7696999731231</v>
      </c>
      <c r="W26" s="253">
        <f>V26*(1+Assumptions!$Q$52)</f>
        <v>1198.6827909723168</v>
      </c>
      <c r="X26" s="253">
        <f>W26*(1+Assumptions!$Q$52)</f>
        <v>1234.6432747014862</v>
      </c>
      <c r="Y26" s="253">
        <f>X26*(1+Assumptions!$Q$52)</f>
        <v>1271.6825729425309</v>
      </c>
      <c r="Z26" s="253">
        <f>Y26*(1+Assumptions!$Q$52)</f>
        <v>1309.8330501308069</v>
      </c>
    </row>
    <row r="27" spans="1:29">
      <c r="A27" s="4" t="s">
        <v>131</v>
      </c>
      <c r="E27" s="253">
        <v>0</v>
      </c>
      <c r="F27" s="253">
        <f>VLOOKUP(Assumptions!Q19,'EGC Start Charge Matrix'!$U$10:$AM$35,18)*(1+Assumptions!$Q$52)</f>
        <v>2140.752</v>
      </c>
      <c r="G27" s="253">
        <f>F27*(1+Assumptions!$Q$52)</f>
        <v>2204.9745600000001</v>
      </c>
      <c r="H27" s="253">
        <f>G27*(1+Assumptions!$Q$52)</f>
        <v>2271.1237968</v>
      </c>
      <c r="I27" s="253">
        <f>H27*(1+Assumptions!$Q$52)</f>
        <v>2339.2575107040002</v>
      </c>
      <c r="J27" s="253">
        <f>I27*(1+Assumptions!$Q$52)</f>
        <v>2409.43523602512</v>
      </c>
      <c r="K27" s="253">
        <f>J27*(1+Assumptions!$Q$52)</f>
        <v>2481.7182931058737</v>
      </c>
      <c r="L27" s="253">
        <f>K27*(1+Assumptions!$Q$52)</f>
        <v>2556.16984189905</v>
      </c>
      <c r="M27" s="253">
        <f>L27*(1+Assumptions!$Q$52)</f>
        <v>2632.8549371560216</v>
      </c>
      <c r="N27" s="253">
        <f>M27*(1+Assumptions!$Q$52)</f>
        <v>2711.8405852707024</v>
      </c>
      <c r="O27" s="253">
        <f>N27*(1+Assumptions!$Q$52)</f>
        <v>2793.1958028288236</v>
      </c>
      <c r="P27" s="253">
        <f>O27*(1+Assumptions!$Q$52)</f>
        <v>2876.9916769136885</v>
      </c>
      <c r="Q27" s="253">
        <f>P27*(1+Assumptions!$Q$52)</f>
        <v>2963.3014272210994</v>
      </c>
      <c r="R27" s="253">
        <f>Q27*(1+Assumptions!$Q$52)</f>
        <v>3052.2004700377324</v>
      </c>
      <c r="S27" s="253">
        <f>R27*(1+Assumptions!$Q$52)</f>
        <v>3143.7664841388646</v>
      </c>
      <c r="T27" s="253">
        <f>S27*(1+Assumptions!$Q$52)</f>
        <v>3238.0794786630308</v>
      </c>
      <c r="U27" s="253">
        <f>T27*(1+Assumptions!$Q$52)</f>
        <v>3335.2218630229218</v>
      </c>
      <c r="V27" s="253">
        <f>U27*(1+Assumptions!$Q$52)</f>
        <v>3435.2785189136093</v>
      </c>
      <c r="W27" s="253">
        <f>V27*(1+Assumptions!$Q$52)</f>
        <v>3538.3368744810177</v>
      </c>
      <c r="X27" s="253">
        <f>W27*(1+Assumptions!$Q$52)</f>
        <v>3644.4869807154482</v>
      </c>
      <c r="Y27" s="253">
        <f>X27*(1+Assumptions!$Q$52)</f>
        <v>3753.8215901369117</v>
      </c>
      <c r="Z27" s="253">
        <f>Y27*(1+Assumptions!$Q$52)</f>
        <v>3866.4362378410192</v>
      </c>
    </row>
    <row r="28" spans="1:29">
      <c r="A28" s="4" t="s">
        <v>133</v>
      </c>
      <c r="E28" s="253">
        <v>0</v>
      </c>
      <c r="F28" s="253">
        <f>Assumptions!$Q62*Assumptions!Q53/12*(1+Assumptions!$Q$52)</f>
        <v>136.47499999999999</v>
      </c>
      <c r="G28" s="253">
        <f>Assumptions!$Q62*(1+Assumptions!$Q$52)^2</f>
        <v>281.13849999999996</v>
      </c>
      <c r="H28" s="187">
        <f>G28*(1+Assumptions!$Q$52)</f>
        <v>289.572655</v>
      </c>
      <c r="I28" s="253">
        <f>H28*(1+Assumptions!$Q$52)</f>
        <v>298.25983465000002</v>
      </c>
      <c r="J28" s="253">
        <f>I28*(1+Assumptions!$Q$52)</f>
        <v>307.20762968950004</v>
      </c>
      <c r="K28" s="253">
        <f>J28*(1+Assumptions!$Q$52)</f>
        <v>316.42385858018503</v>
      </c>
      <c r="L28" s="253">
        <f>K28*(1+Assumptions!$Q$52)</f>
        <v>325.91657433759059</v>
      </c>
      <c r="M28" s="253">
        <f>L28*(1+Assumptions!$Q$52)</f>
        <v>335.69407156771831</v>
      </c>
      <c r="N28" s="253">
        <f>M28*(1+Assumptions!$Q$52)</f>
        <v>345.76489371474986</v>
      </c>
      <c r="O28" s="253">
        <f>N28*(1+Assumptions!$Q$52)</f>
        <v>356.13784052619235</v>
      </c>
      <c r="P28" s="253">
        <f>O28*(1+Assumptions!$Q$52)</f>
        <v>366.82197574197812</v>
      </c>
      <c r="Q28" s="253">
        <f>P28*(1+Assumptions!$Q$52)</f>
        <v>377.82663501423747</v>
      </c>
      <c r="R28" s="253">
        <f>Q28*(1+Assumptions!$Q$52)</f>
        <v>389.1614340646646</v>
      </c>
      <c r="S28" s="253">
        <f>R28*(1+Assumptions!$Q$52)</f>
        <v>400.83627708660453</v>
      </c>
      <c r="T28" s="253">
        <f>S28*(1+Assumptions!$Q$52)</f>
        <v>412.86136539920267</v>
      </c>
      <c r="U28" s="253">
        <f>T28*(1+Assumptions!$Q$52)</f>
        <v>425.24720636117877</v>
      </c>
      <c r="V28" s="253">
        <f>U28*(1+Assumptions!$Q$52)</f>
        <v>438.00462255201415</v>
      </c>
      <c r="W28" s="253">
        <f>V28*(1+Assumptions!$Q$52)</f>
        <v>451.14476122857457</v>
      </c>
      <c r="X28" s="253">
        <f>W28*(1+Assumptions!$Q$52)</f>
        <v>464.67910406543183</v>
      </c>
      <c r="Y28" s="253">
        <f>X28*(1+Assumptions!$Q$52)</f>
        <v>478.61947718739481</v>
      </c>
      <c r="Z28" s="253">
        <f>Y28*(1+Assumptions!$Q$52)</f>
        <v>492.97806150301665</v>
      </c>
    </row>
    <row r="29" spans="1:29">
      <c r="A29" s="4" t="s">
        <v>134</v>
      </c>
      <c r="E29" s="253">
        <v>0</v>
      </c>
      <c r="F29" s="253">
        <f>Assumptions!$Q63*Assumptions!Q53/12*(1+Assumptions!$Q$52)</f>
        <v>168.405</v>
      </c>
      <c r="G29" s="253">
        <f>(Assumptions!$Q63)*(1+Assumptions!$Q$52)^2</f>
        <v>346.91429999999997</v>
      </c>
      <c r="H29" s="187">
        <f>G29*(1+Assumptions!$Q$52)</f>
        <v>357.321729</v>
      </c>
      <c r="I29" s="253">
        <f>H29*(1+Assumptions!$Q$52)</f>
        <v>368.04138087000001</v>
      </c>
      <c r="J29" s="253">
        <f>I29*(1+Assumptions!$Q$52)</f>
        <v>379.0826222961</v>
      </c>
      <c r="K29" s="253">
        <f>J29*(1+Assumptions!$Q$52)</f>
        <v>390.45510096498299</v>
      </c>
      <c r="L29" s="253">
        <f>K29*(1+Assumptions!$Q$52)</f>
        <v>402.16875399393251</v>
      </c>
      <c r="M29" s="253">
        <f>L29*(1+Assumptions!$Q$52)</f>
        <v>414.23381661375049</v>
      </c>
      <c r="N29" s="253">
        <f>M29*(1+Assumptions!$Q$52)</f>
        <v>426.66083111216301</v>
      </c>
      <c r="O29" s="253">
        <f>N29*(1+Assumptions!$Q$52)</f>
        <v>439.46065604552791</v>
      </c>
      <c r="P29" s="253">
        <f>O29*(1+Assumptions!$Q$52)</f>
        <v>452.64447572689375</v>
      </c>
      <c r="Q29" s="253">
        <f>P29*(1+Assumptions!$Q$52)</f>
        <v>466.22380999870057</v>
      </c>
      <c r="R29" s="253">
        <f>Q29*(1+Assumptions!$Q$52)</f>
        <v>480.2105242986616</v>
      </c>
      <c r="S29" s="253">
        <f>R29*(1+Assumptions!$Q$52)</f>
        <v>494.61684002762144</v>
      </c>
      <c r="T29" s="253">
        <f>S29*(1+Assumptions!$Q$52)</f>
        <v>509.45534522845008</v>
      </c>
      <c r="U29" s="253">
        <f>T29*(1+Assumptions!$Q$52)</f>
        <v>524.73900558530363</v>
      </c>
      <c r="V29" s="253">
        <f>U29*(1+Assumptions!$Q$52)</f>
        <v>540.48117575286278</v>
      </c>
      <c r="W29" s="253">
        <f>V29*(1+Assumptions!$Q$52)</f>
        <v>556.69561102544867</v>
      </c>
      <c r="X29" s="253">
        <f>W29*(1+Assumptions!$Q$52)</f>
        <v>573.39647935621213</v>
      </c>
      <c r="Y29" s="253">
        <f>X29*(1+Assumptions!$Q$52)</f>
        <v>590.59837373689845</v>
      </c>
      <c r="Z29" s="253">
        <f>Y29*(1+Assumptions!$Q$52)</f>
        <v>608.31632494900543</v>
      </c>
    </row>
    <row r="30" spans="1:29">
      <c r="A30" s="4" t="s">
        <v>287</v>
      </c>
      <c r="E30" s="253">
        <v>0</v>
      </c>
      <c r="F30" s="253">
        <f>+Assumptions!Q64*(1+Assumptions!$Q$52)</f>
        <v>97.850000000000009</v>
      </c>
      <c r="G30" s="253">
        <f>(Assumptions!$Q64)*(1+Assumptions!$Q$52)^2</f>
        <v>100.7855</v>
      </c>
      <c r="H30" s="253">
        <f>G30*(1+Assumptions!$Q$52)</f>
        <v>103.809065</v>
      </c>
      <c r="I30" s="253">
        <f>H30*(1+Assumptions!$Q$52)</f>
        <v>106.92333695000001</v>
      </c>
      <c r="J30" s="253">
        <f>I30*(1+Assumptions!$Q$52)</f>
        <v>110.13103705850001</v>
      </c>
      <c r="K30" s="253">
        <f>J30*(1+Assumptions!$Q$52)</f>
        <v>113.43496817025502</v>
      </c>
      <c r="L30" s="253">
        <f>K30*(1+Assumptions!$Q$52)</f>
        <v>116.83801721536267</v>
      </c>
      <c r="M30" s="253">
        <f>L30*(1+Assumptions!$Q$52)</f>
        <v>120.34315773182355</v>
      </c>
      <c r="N30" s="253">
        <f>M30*(1+Assumptions!$Q$52)</f>
        <v>123.95345246377826</v>
      </c>
      <c r="O30" s="253">
        <f>N30*(1+Assumptions!$Q$52)</f>
        <v>127.67205603769162</v>
      </c>
      <c r="P30" s="253">
        <f>O30*(1+Assumptions!$Q$52)</f>
        <v>131.50221771882238</v>
      </c>
      <c r="Q30" s="253">
        <f>P30*(1+Assumptions!$Q$52)</f>
        <v>135.44728425038704</v>
      </c>
      <c r="R30" s="253">
        <f>Q30*(1+Assumptions!$Q$52)</f>
        <v>139.51070277789864</v>
      </c>
      <c r="S30" s="253">
        <f>R30*(1+Assumptions!$Q$52)</f>
        <v>143.6960238612356</v>
      </c>
      <c r="T30" s="253">
        <f>S30*(1+Assumptions!$Q$52)</f>
        <v>148.00690457707267</v>
      </c>
      <c r="U30" s="253">
        <f>T30*(1+Assumptions!$Q$52)</f>
        <v>152.44711171438485</v>
      </c>
      <c r="V30" s="253">
        <f>U30*(1+Assumptions!$Q$52)</f>
        <v>157.0205250658164</v>
      </c>
      <c r="W30" s="253">
        <f>V30*(1+Assumptions!$Q$52)</f>
        <v>161.7311408177909</v>
      </c>
      <c r="X30" s="253">
        <f>W30*(1+Assumptions!$Q$52)</f>
        <v>166.58307504232462</v>
      </c>
      <c r="Y30" s="253">
        <f>X30*(1+Assumptions!$Q$52)</f>
        <v>171.58056729359436</v>
      </c>
      <c r="Z30" s="253">
        <f>Y30*(1+Assumptions!$Q$52)</f>
        <v>176.72798431240219</v>
      </c>
    </row>
    <row r="31" spans="1:29">
      <c r="A31" s="4" t="s">
        <v>288</v>
      </c>
      <c r="E31" s="253">
        <v>0</v>
      </c>
      <c r="F31" s="253">
        <v>335.11988732968001</v>
      </c>
      <c r="G31" s="253">
        <v>305.53364568000001</v>
      </c>
      <c r="H31" s="187">
        <v>393.96724110845196</v>
      </c>
      <c r="I31" s="253">
        <v>665.74477949137747</v>
      </c>
      <c r="J31" s="253">
        <v>959.06662782192916</v>
      </c>
      <c r="K31" s="253">
        <v>1057.5220431244693</v>
      </c>
      <c r="L31" s="253">
        <v>1172.5316868717089</v>
      </c>
      <c r="M31" s="253">
        <v>1305.2898335680304</v>
      </c>
      <c r="N31" s="253">
        <v>1399.5143461013572</v>
      </c>
      <c r="O31" s="253">
        <v>1429.580905835357</v>
      </c>
      <c r="P31" s="253">
        <v>1467.4053530156434</v>
      </c>
      <c r="Q31" s="253">
        <v>1647.7055532999468</v>
      </c>
      <c r="R31" s="253">
        <v>1668.8480706844998</v>
      </c>
      <c r="S31" s="253">
        <v>1663.088395112042</v>
      </c>
      <c r="T31" s="253">
        <v>1682.609527553574</v>
      </c>
      <c r="U31" s="253">
        <v>1701.6394223576256</v>
      </c>
      <c r="V31" s="253">
        <v>1720.138770763951</v>
      </c>
      <c r="W31" s="253">
        <v>1746.6602556005637</v>
      </c>
      <c r="X31" s="253">
        <v>1776.004310876915</v>
      </c>
      <c r="Y31" s="253">
        <v>1778.1941350779553</v>
      </c>
      <c r="Z31" s="253">
        <v>945.41649859800009</v>
      </c>
    </row>
    <row r="32" spans="1:29">
      <c r="A32" s="4" t="s">
        <v>289</v>
      </c>
      <c r="E32" s="253">
        <v>0</v>
      </c>
      <c r="F32" s="253">
        <f ca="1">Allocation!$I$14*IS!E31*7/12</f>
        <v>216.34752538768774</v>
      </c>
      <c r="G32" s="253">
        <f>Allocation!$I$14*IS!F31</f>
        <v>370.88147209317901</v>
      </c>
      <c r="H32" s="253">
        <f>Allocation!$I$14*IS!G31</f>
        <v>370.88147209317901</v>
      </c>
      <c r="I32" s="253">
        <f>Allocation!$I$14*IS!H31</f>
        <v>370.88147209317901</v>
      </c>
      <c r="J32" s="253">
        <f>Allocation!$I$14*IS!I31</f>
        <v>302.02550560384651</v>
      </c>
      <c r="K32" s="253">
        <f>Allocation!$I$14*IS!J31</f>
        <v>302.02550560384651</v>
      </c>
      <c r="L32" s="253">
        <f>Allocation!$I$14*IS!K31</f>
        <v>302.02550560384651</v>
      </c>
      <c r="M32" s="253">
        <f>Allocation!$I$14*IS!L31</f>
        <v>302.02550560384651</v>
      </c>
      <c r="N32" s="253">
        <f>Allocation!$I$14*IS!M31</f>
        <v>302.02550560384651</v>
      </c>
      <c r="O32" s="253">
        <f>Allocation!$I$14*IS!N31</f>
        <v>302.02550560384651</v>
      </c>
      <c r="P32" s="253">
        <f>Allocation!$I$14*IS!O31</f>
        <v>262.79368544875098</v>
      </c>
      <c r="Q32" s="253">
        <f>Allocation!$I$14*IS!P31</f>
        <v>251.06527767373771</v>
      </c>
      <c r="R32" s="253">
        <f>Allocation!$I$14*IS!Q31</f>
        <v>250.42725755098007</v>
      </c>
      <c r="S32" s="253">
        <f>Allocation!$I$14*IS!R31</f>
        <v>245.22542698487763</v>
      </c>
      <c r="T32" s="253">
        <f>Allocation!$I$14*IS!S31</f>
        <v>239.98405139346144</v>
      </c>
      <c r="U32" s="253">
        <f>Allocation!$I$14*IS!T31</f>
        <v>237.46437321602573</v>
      </c>
      <c r="V32" s="253">
        <f>Allocation!$I$14*IS!U31</f>
        <v>223.57276260449385</v>
      </c>
      <c r="W32" s="253">
        <f>Allocation!$I$14*IS!V31</f>
        <v>202.50353335525097</v>
      </c>
      <c r="X32" s="253">
        <f>Allocation!$I$14*IS!W31</f>
        <v>166.90097632443778</v>
      </c>
      <c r="Y32" s="253">
        <f>Allocation!$I$14*IS!X31</f>
        <v>132.22487729802523</v>
      </c>
      <c r="Z32" s="253">
        <f>Allocation!$I$14*IS!Y31</f>
        <v>132.22487729802523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Assumptions!$Q$50*Assumptions!$Q$33*7</f>
        <v>247.11092000000002</v>
      </c>
      <c r="J33" s="135">
        <f>Assumptions!$Q$50*Assumptions!$Q$33*12*(1+Assumptions!Q52)</f>
        <v>436.32728160000005</v>
      </c>
      <c r="K33" s="135">
        <f>J33*(1+Assumptions!$Q$52)</f>
        <v>449.41710004800007</v>
      </c>
      <c r="L33" s="135">
        <f>K33*(1+Assumptions!$Q$52)</f>
        <v>462.89961304944006</v>
      </c>
      <c r="M33" s="135">
        <f>L33*(1+Assumptions!$Q$52)</f>
        <v>476.78660144092328</v>
      </c>
      <c r="N33" s="135">
        <f>M33*(1+Assumptions!$Q$52)</f>
        <v>491.09019948415101</v>
      </c>
      <c r="O33" s="135">
        <f>N33*(1+Assumptions!$Q$52)</f>
        <v>505.82290546867557</v>
      </c>
      <c r="P33" s="135">
        <f>O33*(1+Assumptions!$Q$52)</f>
        <v>520.99759263273586</v>
      </c>
      <c r="Q33" s="135">
        <f>P33*(1+Assumptions!$Q$52)</f>
        <v>536.62752041171791</v>
      </c>
      <c r="R33" s="135">
        <f>Q33*(1+Assumptions!$Q$52)</f>
        <v>552.72634602406947</v>
      </c>
      <c r="S33" s="135">
        <f>R33*(1+Assumptions!$Q$52)</f>
        <v>569.30813640479153</v>
      </c>
      <c r="T33" s="135">
        <f>S33*(1+Assumptions!$Q$52)</f>
        <v>586.38738049693529</v>
      </c>
      <c r="U33" s="135">
        <f>T33*(1+Assumptions!$Q$52)</f>
        <v>603.9790019118434</v>
      </c>
      <c r="V33" s="135">
        <f>U33*(1+Assumptions!$Q$52)</f>
        <v>622.09837196919875</v>
      </c>
      <c r="W33" s="135">
        <f>V33*(1+Assumptions!$Q$52)</f>
        <v>640.76132312827474</v>
      </c>
      <c r="X33" s="135">
        <f>W33*(1+Assumptions!$Q$52)</f>
        <v>659.98416282212304</v>
      </c>
      <c r="Y33" s="135">
        <f>X33*(1+Assumptions!$Q$52)</f>
        <v>679.78368770678674</v>
      </c>
      <c r="Z33" s="135">
        <f>Y33*(1+Assumptions!$Q$52)</f>
        <v>700.17719833799038</v>
      </c>
    </row>
    <row r="34" spans="1:26">
      <c r="A34" s="4" t="s">
        <v>181</v>
      </c>
      <c r="E34" s="253">
        <v>0</v>
      </c>
      <c r="F34" s="253">
        <f>Assumptions!$Q65*Assumptions!Q53/12*(1+Assumptions!$Q$52)</f>
        <v>83.754325259515568</v>
      </c>
      <c r="G34" s="255">
        <f>Assumptions!$Q65*(1+Assumptions!$Q$52)^2</f>
        <v>172.53391003460206</v>
      </c>
      <c r="H34" s="255">
        <f>G34*(1+Assumptions!$Q$52)</f>
        <v>177.70992733564012</v>
      </c>
      <c r="I34" s="255">
        <f>H34*(1+Assumptions!$Q$52)</f>
        <v>183.04122515570933</v>
      </c>
      <c r="J34" s="255">
        <f>I34*(1+Assumptions!$Q$52)</f>
        <v>188.53246191038062</v>
      </c>
      <c r="K34" s="255">
        <f>J34*(1+Assumptions!$Q$52)</f>
        <v>194.18843576769206</v>
      </c>
      <c r="L34" s="255">
        <f>K34*(1+Assumptions!$Q$52)</f>
        <v>200.01408884072282</v>
      </c>
      <c r="M34" s="255">
        <f>L34*(1+Assumptions!$Q$52)</f>
        <v>206.01451150594451</v>
      </c>
      <c r="N34" s="255">
        <f>M34*(1+Assumptions!$Q$52)</f>
        <v>212.19494685112286</v>
      </c>
      <c r="O34" s="255">
        <f>N34*(1+Assumptions!$Q$52)</f>
        <v>218.56079525665655</v>
      </c>
      <c r="P34" s="255">
        <f>O34*(1+Assumptions!$Q$52)</f>
        <v>225.11761911435624</v>
      </c>
      <c r="Q34" s="255">
        <f>P34*(1+Assumptions!$Q$52)</f>
        <v>231.87114768778693</v>
      </c>
      <c r="R34" s="255">
        <f>Q34*(1+Assumptions!$Q$52)</f>
        <v>238.82728211842056</v>
      </c>
      <c r="S34" s="255">
        <f>R34*(1+Assumptions!$Q$52)</f>
        <v>245.99210058197318</v>
      </c>
      <c r="T34" s="255">
        <f>S34*(1+Assumptions!$Q$52)</f>
        <v>253.37186359943237</v>
      </c>
      <c r="U34" s="255">
        <f>T34*(1+Assumptions!$Q$52)</f>
        <v>260.97301950741536</v>
      </c>
      <c r="V34" s="255">
        <f>U34*(1+Assumptions!$Q$52)</f>
        <v>268.80221009263784</v>
      </c>
      <c r="W34" s="255">
        <f>V34*(1+Assumptions!$Q$52)</f>
        <v>276.866276395417</v>
      </c>
      <c r="X34" s="255">
        <f>W34*(1+Assumptions!$Q$52)</f>
        <v>285.17226468727949</v>
      </c>
      <c r="Y34" s="255">
        <f>X34*(1+Assumptions!$Q$52)</f>
        <v>293.72743262789788</v>
      </c>
      <c r="Z34" s="255">
        <f>Y34*(1+Assumptions!$Q$52)</f>
        <v>302.53925560673486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Assumptions!$Q66*Assumptions!Q53/12*(1+Assumptions!$Q$52)</f>
        <v>128.75</v>
      </c>
      <c r="G35" s="254">
        <f>Assumptions!$Q66*(1+Assumptions!$Q$52)^2</f>
        <v>265.22499999999997</v>
      </c>
      <c r="H35" s="254">
        <f>G35*(1+Assumptions!$Q$52)</f>
        <v>273.18174999999997</v>
      </c>
      <c r="I35" s="254">
        <f>H35*(1+Assumptions!$Q$52)</f>
        <v>281.37720249999995</v>
      </c>
      <c r="J35" s="254">
        <f>I35*(1+Assumptions!$Q$52)</f>
        <v>289.81851857499998</v>
      </c>
      <c r="K35" s="254">
        <f>J35*(1+Assumptions!$Q$52)</f>
        <v>298.51307413224998</v>
      </c>
      <c r="L35" s="254">
        <f>K35*(1+Assumptions!$Q$52)</f>
        <v>307.4684663562175</v>
      </c>
      <c r="M35" s="254">
        <f>L35*(1+Assumptions!$Q$52)</f>
        <v>316.69252034690402</v>
      </c>
      <c r="N35" s="254">
        <f>M35*(1+Assumptions!$Q$52)</f>
        <v>326.19329595731114</v>
      </c>
      <c r="O35" s="254">
        <f>N35*(1+Assumptions!$Q$52)</f>
        <v>335.97909483603047</v>
      </c>
      <c r="P35" s="254">
        <f>O35*(1+Assumptions!$Q$52)</f>
        <v>346.05846768111138</v>
      </c>
      <c r="Q35" s="254">
        <f>P35*(1+Assumptions!$Q$52)</f>
        <v>356.44022171154472</v>
      </c>
      <c r="R35" s="254">
        <f>Q35*(1+Assumptions!$Q$52)</f>
        <v>367.1334283628911</v>
      </c>
      <c r="S35" s="254">
        <f>R35*(1+Assumptions!$Q$52)</f>
        <v>378.14743121377785</v>
      </c>
      <c r="T35" s="254">
        <f>S35*(1+Assumptions!$Q$52)</f>
        <v>389.49185415019122</v>
      </c>
      <c r="U35" s="254">
        <f>T35*(1+Assumptions!$Q$52)</f>
        <v>401.17660977469694</v>
      </c>
      <c r="V35" s="254">
        <f>U35*(1+Assumptions!$Q$52)</f>
        <v>413.21190806793788</v>
      </c>
      <c r="W35" s="254">
        <f>V35*(1+Assumptions!$Q$52)</f>
        <v>425.60826530997605</v>
      </c>
      <c r="X35" s="254">
        <f>W35*(1+Assumptions!$Q$52)</f>
        <v>438.37651326927534</v>
      </c>
      <c r="Y35" s="254">
        <f>X35*(1+Assumptions!$Q$52)</f>
        <v>451.52780866735361</v>
      </c>
      <c r="Z35" s="254">
        <f>Y35*(1+Assumptions!$Q$52)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4583.3147379768843</v>
      </c>
      <c r="G36" s="253">
        <f t="shared" si="2"/>
        <v>5980.0979678077811</v>
      </c>
      <c r="H36" s="187">
        <f t="shared" si="2"/>
        <v>6227.6420487372707</v>
      </c>
      <c r="I36" s="253">
        <f t="shared" si="2"/>
        <v>6941.8627729051905</v>
      </c>
      <c r="J36" s="253">
        <f t="shared" si="2"/>
        <v>7548.4258698792364</v>
      </c>
      <c r="K36" s="253">
        <f t="shared" si="2"/>
        <v>7835.5012972753821</v>
      </c>
      <c r="L36" s="253">
        <f t="shared" si="2"/>
        <v>8144.7895534790341</v>
      </c>
      <c r="M36" s="253">
        <f t="shared" si="2"/>
        <v>8477.6546710054608</v>
      </c>
      <c r="N36" s="253">
        <f t="shared" si="2"/>
        <v>8777.9893634937944</v>
      </c>
      <c r="O36" s="253">
        <f t="shared" si="2"/>
        <v>9020.3494085814509</v>
      </c>
      <c r="P36" s="253">
        <f t="shared" si="2"/>
        <v>9237.6043255209115</v>
      </c>
      <c r="Q36" s="253">
        <f t="shared" si="2"/>
        <v>9631.398276641894</v>
      </c>
      <c r="R36" s="253">
        <f t="shared" si="2"/>
        <v>9883.8815972737375</v>
      </c>
      <c r="S36" s="253">
        <f t="shared" si="2"/>
        <v>10111.858279206326</v>
      </c>
      <c r="T36" s="253">
        <f t="shared" si="2"/>
        <v>10372.244369769724</v>
      </c>
      <c r="U36" s="253">
        <f t="shared" si="2"/>
        <v>10642.244110121021</v>
      </c>
      <c r="V36" s="253">
        <f t="shared" si="2"/>
        <v>10907.946057352237</v>
      </c>
      <c r="W36" s="253">
        <f t="shared" si="2"/>
        <v>11182.325348659118</v>
      </c>
      <c r="X36" s="253">
        <f t="shared" si="2"/>
        <v>11453.061693695756</v>
      </c>
      <c r="Y36" s="253">
        <f t="shared" si="2"/>
        <v>11705.880111065218</v>
      </c>
      <c r="Z36" s="253">
        <f t="shared" si="2"/>
        <v>11166.966307545939</v>
      </c>
    </row>
    <row r="37" spans="1:26" s="146" customFormat="1" ht="9.6" outlineLevel="1">
      <c r="A37" s="6"/>
      <c r="B37" s="143"/>
      <c r="C37" s="143"/>
      <c r="D37" s="143"/>
      <c r="E37" s="256"/>
      <c r="F37" s="257"/>
      <c r="G37" s="276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9632.2398027984054</v>
      </c>
      <c r="G39" s="259">
        <f t="shared" si="3"/>
        <v>19724.552161844618</v>
      </c>
      <c r="H39" s="260">
        <f t="shared" si="3"/>
        <v>19562.035820531011</v>
      </c>
      <c r="I39" s="259">
        <f t="shared" si="3"/>
        <v>26652.738552102575</v>
      </c>
      <c r="J39" s="259">
        <f t="shared" si="3"/>
        <v>32846.820554721082</v>
      </c>
      <c r="K39" s="259">
        <f t="shared" si="3"/>
        <v>33770.477096389688</v>
      </c>
      <c r="L39" s="259">
        <f t="shared" si="3"/>
        <v>34074.181502761588</v>
      </c>
      <c r="M39" s="259">
        <f t="shared" si="3"/>
        <v>34353.503362262934</v>
      </c>
      <c r="N39" s="259">
        <f t="shared" si="3"/>
        <v>34664.665470958018</v>
      </c>
      <c r="O39" s="259">
        <f t="shared" si="3"/>
        <v>35032.80958260761</v>
      </c>
      <c r="P39" s="259">
        <f t="shared" si="3"/>
        <v>35423.998543429931</v>
      </c>
      <c r="Q39" s="259">
        <f t="shared" si="3"/>
        <v>35633.373013189921</v>
      </c>
      <c r="R39" s="259">
        <f t="shared" si="3"/>
        <v>35982.021610621603</v>
      </c>
      <c r="S39" s="259">
        <f t="shared" si="3"/>
        <v>35571.29854680143</v>
      </c>
      <c r="T39" s="259">
        <f t="shared" si="3"/>
        <v>35878.582160105281</v>
      </c>
      <c r="U39" s="259">
        <f t="shared" si="3"/>
        <v>36169.169854465756</v>
      </c>
      <c r="V39" s="259">
        <f t="shared" si="3"/>
        <v>36456.215407838179</v>
      </c>
      <c r="W39" s="259">
        <f t="shared" si="3"/>
        <v>36725.60030823225</v>
      </c>
      <c r="X39" s="259">
        <f t="shared" si="3"/>
        <v>36988.765897199613</v>
      </c>
      <c r="Y39" s="259">
        <f t="shared" si="3"/>
        <v>36328.187967444166</v>
      </c>
      <c r="Z39" s="259">
        <f t="shared" si="3"/>
        <v>37360.06489611046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Allocation!$G$14*IS!E40</f>
        <v>4920.3511715438372</v>
      </c>
      <c r="G41" s="253">
        <f>Allocation!$G$14*IS!F40</f>
        <v>6764.1783902679163</v>
      </c>
      <c r="H41" s="253">
        <f>Allocation!$G$14*IS!G40</f>
        <v>6764.1783902679163</v>
      </c>
      <c r="I41" s="253">
        <f>Allocation!$G$14*IS!H40</f>
        <v>6764.1783902679163</v>
      </c>
      <c r="J41" s="253">
        <f>Allocation!$G$14*IS!I40</f>
        <v>6764.1783902679163</v>
      </c>
      <c r="K41" s="253">
        <f>Allocation!$G$14*IS!J40</f>
        <v>6764.1783902679163</v>
      </c>
      <c r="L41" s="253">
        <f>Allocation!$G$14*IS!K40</f>
        <v>6764.1783902679163</v>
      </c>
      <c r="M41" s="253">
        <f>Allocation!$G$14*IS!L40</f>
        <v>6764.1783902679163</v>
      </c>
      <c r="N41" s="253">
        <f>Allocation!$G$14*IS!M40</f>
        <v>6764.1783902679163</v>
      </c>
      <c r="O41" s="253">
        <f>Allocation!$G$14*IS!N40</f>
        <v>6764.1783902679163</v>
      </c>
      <c r="P41" s="253">
        <f>Allocation!$G$14*IS!O40</f>
        <v>6764.1783902679163</v>
      </c>
      <c r="Q41" s="253">
        <f>Allocation!$G$14*IS!P40</f>
        <v>6764.1783902679163</v>
      </c>
      <c r="R41" s="253">
        <f>Allocation!$G$14*IS!Q40</f>
        <v>6764.1783902679163</v>
      </c>
      <c r="S41" s="253">
        <f>Allocation!$G$14*IS!R40</f>
        <v>6764.1783902679163</v>
      </c>
      <c r="T41" s="253">
        <f>Allocation!$G$14*IS!S40</f>
        <v>6764.1783902679163</v>
      </c>
      <c r="U41" s="253">
        <f>Allocation!$G$14*IS!T40</f>
        <v>6764.1783902679163</v>
      </c>
      <c r="V41" s="253">
        <f>Allocation!$G$14*IS!U40</f>
        <v>6764.1783902679163</v>
      </c>
      <c r="W41" s="253">
        <f>Allocation!$G$14*IS!V40</f>
        <v>6764.1783902679163</v>
      </c>
      <c r="X41" s="253">
        <f>Allocation!$G$14*IS!W40</f>
        <v>6764.1783902679163</v>
      </c>
      <c r="Y41" s="253">
        <f>Allocation!$G$14*IS!X40</f>
        <v>6764.1783902679163</v>
      </c>
      <c r="Z41" s="253">
        <f>Allocation!$G$14*IS!Y40</f>
        <v>6590.3691417130021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4711.8886312545683</v>
      </c>
      <c r="G44" s="259">
        <f t="shared" si="4"/>
        <v>12960.373771576702</v>
      </c>
      <c r="H44" s="259">
        <f t="shared" si="4"/>
        <v>12797.857430263095</v>
      </c>
      <c r="I44" s="259">
        <f t="shared" si="4"/>
        <v>19888.560161834659</v>
      </c>
      <c r="J44" s="259">
        <f t="shared" si="4"/>
        <v>26082.642164453166</v>
      </c>
      <c r="K44" s="259">
        <f t="shared" si="4"/>
        <v>27006.298706121772</v>
      </c>
      <c r="L44" s="259">
        <f t="shared" si="4"/>
        <v>27310.003112493672</v>
      </c>
      <c r="M44" s="259">
        <f t="shared" si="4"/>
        <v>27589.324971995018</v>
      </c>
      <c r="N44" s="259">
        <f t="shared" si="4"/>
        <v>27900.487080690102</v>
      </c>
      <c r="O44" s="259">
        <f t="shared" si="4"/>
        <v>28268.631192339693</v>
      </c>
      <c r="P44" s="259">
        <f t="shared" si="4"/>
        <v>28659.820153162014</v>
      </c>
      <c r="Q44" s="259">
        <f t="shared" si="4"/>
        <v>28869.194622922005</v>
      </c>
      <c r="R44" s="259">
        <f t="shared" si="4"/>
        <v>29217.843220353687</v>
      </c>
      <c r="S44" s="259">
        <f t="shared" si="4"/>
        <v>28807.120156533514</v>
      </c>
      <c r="T44" s="259">
        <f t="shared" si="4"/>
        <v>29114.403769837365</v>
      </c>
      <c r="U44" s="259">
        <f t="shared" si="4"/>
        <v>29404.991464197839</v>
      </c>
      <c r="V44" s="259">
        <f t="shared" si="4"/>
        <v>29692.037017570263</v>
      </c>
      <c r="W44" s="259">
        <f t="shared" si="4"/>
        <v>29961.421917964333</v>
      </c>
      <c r="X44" s="259">
        <f t="shared" si="4"/>
        <v>30224.587506931697</v>
      </c>
      <c r="Y44" s="259">
        <f t="shared" si="4"/>
        <v>29564.00957717625</v>
      </c>
      <c r="Z44" s="259">
        <f t="shared" si="4"/>
        <v>30769.695754397457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28">
        <v>0</v>
      </c>
      <c r="F46" s="156">
        <f>Allocation!$I$14*(IS!$E$44-Debt!C136)+Debt!C136*Allocation!$K$14</f>
        <v>6292.5815268230472</v>
      </c>
      <c r="G46" s="253">
        <f>Allocation!$I$14*IS!F44</f>
        <v>11572.027760082938</v>
      </c>
      <c r="H46" s="253">
        <f>Allocation!$I$14*IS!G44</f>
        <v>11231.122345383819</v>
      </c>
      <c r="I46" s="253">
        <f>Allocation!$I$14*IS!H44</f>
        <v>10661.390057835973</v>
      </c>
      <c r="J46" s="253">
        <f>Allocation!$I$14*IS!I44</f>
        <v>10225.948148406649</v>
      </c>
      <c r="K46" s="253">
        <f>Allocation!$I$14*IS!J44</f>
        <v>9820.8163674655225</v>
      </c>
      <c r="L46" s="253">
        <f>Allocation!$I$14*IS!K44</f>
        <v>9376.7749233527193</v>
      </c>
      <c r="M46" s="253">
        <f>Allocation!$I$14*IS!L44</f>
        <v>8864.6846739293378</v>
      </c>
      <c r="N46" s="253">
        <f>Allocation!$I$14*IS!M44</f>
        <v>8280.7523580885318</v>
      </c>
      <c r="O46" s="253">
        <f>Allocation!$I$14*IS!N44</f>
        <v>7571.5300764178419</v>
      </c>
      <c r="P46" s="253">
        <f>Allocation!$I$14*IS!O44</f>
        <v>6945.7951498180919</v>
      </c>
      <c r="Q46" s="253">
        <f>Allocation!$I$14*IS!P44</f>
        <v>6345.8184868371009</v>
      </c>
      <c r="R46" s="253">
        <f>Allocation!$I$14*IS!Q44</f>
        <v>5682.9995164460752</v>
      </c>
      <c r="S46" s="253">
        <f>Allocation!$I$14*IS!R44</f>
        <v>4968.880418397056</v>
      </c>
      <c r="T46" s="253">
        <f>Allocation!$I$14*IS!S44</f>
        <v>4206.2557039573876</v>
      </c>
      <c r="U46" s="253">
        <f>Allocation!$I$14*IS!T44</f>
        <v>3380.2782934163129</v>
      </c>
      <c r="V46" s="253">
        <f>Allocation!$I$14*IS!U44</f>
        <v>2519.9148879842605</v>
      </c>
      <c r="W46" s="253">
        <f>Allocation!$I$14*IS!V44</f>
        <v>1667.4235523432187</v>
      </c>
      <c r="X46" s="253">
        <f>Allocation!$I$14*IS!W44</f>
        <v>888.37104329150361</v>
      </c>
      <c r="Y46" s="253">
        <f>Allocation!$I$14*IS!X44</f>
        <v>213.27005168112052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-1580.6928955684789</v>
      </c>
      <c r="G49" s="259">
        <f t="shared" si="5"/>
        <v>1388.3460114937643</v>
      </c>
      <c r="H49" s="259">
        <f t="shared" si="5"/>
        <v>1566.7350848792757</v>
      </c>
      <c r="I49" s="259">
        <f t="shared" si="5"/>
        <v>9227.1701039986856</v>
      </c>
      <c r="J49" s="259">
        <f t="shared" si="5"/>
        <v>15856.694016046516</v>
      </c>
      <c r="K49" s="259">
        <f t="shared" si="5"/>
        <v>17185.482338656249</v>
      </c>
      <c r="L49" s="259">
        <f t="shared" si="5"/>
        <v>17933.228189140951</v>
      </c>
      <c r="M49" s="259">
        <f t="shared" si="5"/>
        <v>18724.640298065679</v>
      </c>
      <c r="N49" s="259">
        <f t="shared" si="5"/>
        <v>19619.73472260157</v>
      </c>
      <c r="O49" s="259">
        <f t="shared" si="5"/>
        <v>20697.101115921851</v>
      </c>
      <c r="P49" s="259">
        <f t="shared" si="5"/>
        <v>21714.025003343922</v>
      </c>
      <c r="Q49" s="259">
        <f t="shared" si="5"/>
        <v>22523.376136084902</v>
      </c>
      <c r="R49" s="259">
        <f t="shared" si="5"/>
        <v>23534.843703907613</v>
      </c>
      <c r="S49" s="259">
        <f t="shared" si="5"/>
        <v>23838.239738136457</v>
      </c>
      <c r="T49" s="259">
        <f t="shared" si="5"/>
        <v>24908.148065879977</v>
      </c>
      <c r="U49" s="259">
        <f t="shared" si="5"/>
        <v>26024.713170781528</v>
      </c>
      <c r="V49" s="259">
        <f t="shared" si="5"/>
        <v>27172.122129586001</v>
      </c>
      <c r="W49" s="259">
        <f t="shared" si="5"/>
        <v>28293.998365621115</v>
      </c>
      <c r="X49" s="259">
        <f t="shared" si="5"/>
        <v>29336.216463640194</v>
      </c>
      <c r="Y49" s="259">
        <f t="shared" si="5"/>
        <v>29350.73952549513</v>
      </c>
      <c r="Z49" s="259">
        <f t="shared" si="5"/>
        <v>30769.695754397457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Assumptions!$Q$44</f>
        <v>4.4999999999999998E-2</v>
      </c>
      <c r="D51" s="149"/>
      <c r="E51" s="253">
        <f t="shared" ref="E51:Z51" si="6">E49*-$C$51</f>
        <v>0</v>
      </c>
      <c r="F51" s="253">
        <f t="shared" ca="1" si="6"/>
        <v>71.131180300581548</v>
      </c>
      <c r="G51" s="253">
        <f t="shared" si="6"/>
        <v>-62.475570517219388</v>
      </c>
      <c r="H51" s="187">
        <f t="shared" si="6"/>
        <v>-70.503078819567406</v>
      </c>
      <c r="I51" s="253">
        <f t="shared" si="6"/>
        <v>-415.22265467994083</v>
      </c>
      <c r="J51" s="253">
        <f t="shared" si="6"/>
        <v>-713.55123072209324</v>
      </c>
      <c r="K51" s="253">
        <f t="shared" si="6"/>
        <v>-773.34670523953116</v>
      </c>
      <c r="L51" s="253">
        <f t="shared" si="6"/>
        <v>-806.99526851134272</v>
      </c>
      <c r="M51" s="253">
        <f t="shared" si="6"/>
        <v>-842.60881341295556</v>
      </c>
      <c r="N51" s="253">
        <f t="shared" si="6"/>
        <v>-882.88806251707058</v>
      </c>
      <c r="O51" s="253">
        <f t="shared" si="6"/>
        <v>-931.36955021648328</v>
      </c>
      <c r="P51" s="253">
        <f t="shared" si="6"/>
        <v>-977.13112515047646</v>
      </c>
      <c r="Q51" s="253">
        <f t="shared" si="6"/>
        <v>-1013.5519261238205</v>
      </c>
      <c r="R51" s="253">
        <f t="shared" si="6"/>
        <v>-1059.0679666758426</v>
      </c>
      <c r="S51" s="253">
        <f t="shared" si="6"/>
        <v>-1072.7207882161406</v>
      </c>
      <c r="T51" s="253">
        <f t="shared" si="6"/>
        <v>-1120.8666629645988</v>
      </c>
      <c r="U51" s="253">
        <f t="shared" si="6"/>
        <v>-1171.1120926851688</v>
      </c>
      <c r="V51" s="253">
        <f t="shared" si="6"/>
        <v>-1222.7454958313699</v>
      </c>
      <c r="W51" s="253">
        <f t="shared" si="6"/>
        <v>-1273.2299264529502</v>
      </c>
      <c r="X51" s="253">
        <f t="shared" si="6"/>
        <v>-1320.1297408638086</v>
      </c>
      <c r="Y51" s="253">
        <f t="shared" si="6"/>
        <v>-1320.7832786472809</v>
      </c>
      <c r="Z51" s="253">
        <f t="shared" si="6"/>
        <v>-1384.6363089478855</v>
      </c>
    </row>
    <row r="52" spans="1:26">
      <c r="A52" s="4" t="s">
        <v>190</v>
      </c>
      <c r="C52" s="149">
        <f>Assumptions!$Q$43</f>
        <v>0.35</v>
      </c>
      <c r="D52" s="149"/>
      <c r="E52" s="228">
        <v>0</v>
      </c>
      <c r="F52" s="228">
        <f t="shared" ref="F52:Z52" ca="1" si="7">(F49+F51)*-$C$52</f>
        <v>528.34660034376407</v>
      </c>
      <c r="G52" s="228">
        <f t="shared" si="7"/>
        <v>-464.05465434179064</v>
      </c>
      <c r="H52" s="228">
        <f t="shared" si="7"/>
        <v>-523.68120212089786</v>
      </c>
      <c r="I52" s="228">
        <f t="shared" si="7"/>
        <v>-3084.1816072615602</v>
      </c>
      <c r="J52" s="228">
        <f t="shared" si="7"/>
        <v>-5300.0999748635477</v>
      </c>
      <c r="K52" s="228">
        <f t="shared" si="7"/>
        <v>-5744.2474716958504</v>
      </c>
      <c r="L52" s="228">
        <f t="shared" si="7"/>
        <v>-5994.1815222203631</v>
      </c>
      <c r="M52" s="228">
        <f t="shared" si="7"/>
        <v>-6258.711019628452</v>
      </c>
      <c r="N52" s="228">
        <f t="shared" si="7"/>
        <v>-6557.896331029574</v>
      </c>
      <c r="O52" s="228">
        <f t="shared" si="7"/>
        <v>-6918.0060479968779</v>
      </c>
      <c r="P52" s="228">
        <f t="shared" si="7"/>
        <v>-7257.9128573677053</v>
      </c>
      <c r="Q52" s="228">
        <f t="shared" si="7"/>
        <v>-7528.438473486377</v>
      </c>
      <c r="R52" s="228">
        <f t="shared" si="7"/>
        <v>-7866.5215080311182</v>
      </c>
      <c r="S52" s="228">
        <f t="shared" si="7"/>
        <v>-7967.9316324721094</v>
      </c>
      <c r="T52" s="228">
        <f t="shared" si="7"/>
        <v>-8325.5484910203813</v>
      </c>
      <c r="U52" s="228">
        <f t="shared" si="7"/>
        <v>-8698.760377333725</v>
      </c>
      <c r="V52" s="228">
        <f t="shared" si="7"/>
        <v>-9082.2818218141201</v>
      </c>
      <c r="W52" s="228">
        <f t="shared" si="7"/>
        <v>-9457.2689537088572</v>
      </c>
      <c r="X52" s="228">
        <f t="shared" si="7"/>
        <v>-9805.6303529717334</v>
      </c>
      <c r="Y52" s="228">
        <f t="shared" si="7"/>
        <v>-9810.484686396745</v>
      </c>
      <c r="Z52" s="228">
        <f t="shared" si="7"/>
        <v>-10284.77080590735</v>
      </c>
    </row>
    <row r="53" spans="1:26" ht="6" customHeight="1">
      <c r="E53" s="253"/>
      <c r="F53" s="253"/>
      <c r="G53" s="253"/>
      <c r="H53" s="187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303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-981.21511492413333</v>
      </c>
      <c r="G54" s="261">
        <f t="shared" si="8"/>
        <v>861.8157866347542</v>
      </c>
      <c r="H54" s="261">
        <f t="shared" si="8"/>
        <v>972.55080393881042</v>
      </c>
      <c r="I54" s="261">
        <f t="shared" si="8"/>
        <v>5727.7658420571843</v>
      </c>
      <c r="J54" s="261">
        <f t="shared" si="8"/>
        <v>9843.0428104608764</v>
      </c>
      <c r="K54" s="261">
        <f t="shared" si="8"/>
        <v>10667.888161720868</v>
      </c>
      <c r="L54" s="261">
        <f t="shared" si="8"/>
        <v>11132.051398409247</v>
      </c>
      <c r="M54" s="261">
        <f t="shared" si="8"/>
        <v>11623.32046502427</v>
      </c>
      <c r="N54" s="261">
        <f t="shared" si="8"/>
        <v>12178.950329054926</v>
      </c>
      <c r="O54" s="261">
        <f t="shared" si="8"/>
        <v>12847.725517708488</v>
      </c>
      <c r="P54" s="261">
        <f t="shared" si="8"/>
        <v>13478.98102082574</v>
      </c>
      <c r="Q54" s="261">
        <f t="shared" si="8"/>
        <v>13981.385736474702</v>
      </c>
      <c r="R54" s="261">
        <f t="shared" si="8"/>
        <v>14609.254229200651</v>
      </c>
      <c r="S54" s="261">
        <f t="shared" si="8"/>
        <v>14797.587317448206</v>
      </c>
      <c r="T54" s="261">
        <f t="shared" si="8"/>
        <v>15461.732911894997</v>
      </c>
      <c r="U54" s="261">
        <f t="shared" si="8"/>
        <v>16154.840700762634</v>
      </c>
      <c r="V54" s="261">
        <f t="shared" si="8"/>
        <v>16867.094811940515</v>
      </c>
      <c r="W54" s="261">
        <f t="shared" si="8"/>
        <v>17563.49948545931</v>
      </c>
      <c r="X54" s="261">
        <f t="shared" si="8"/>
        <v>18210.456369804651</v>
      </c>
      <c r="Y54" s="261">
        <f t="shared" si="8"/>
        <v>18219.4715604511</v>
      </c>
      <c r="Z54" s="261">
        <f t="shared" si="8"/>
        <v>19100.288639542225</v>
      </c>
    </row>
    <row r="55" spans="1:26" s="146" customFormat="1" ht="9.6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304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52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>I62+1</f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>O62+1</f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9632.2398027984054</v>
      </c>
      <c r="G64" s="135">
        <f t="shared" si="10"/>
        <v>19724.552161844618</v>
      </c>
      <c r="H64" s="135">
        <f t="shared" si="10"/>
        <v>19562.035820531011</v>
      </c>
      <c r="I64" s="135">
        <f t="shared" si="10"/>
        <v>26652.738552102575</v>
      </c>
      <c r="J64" s="135">
        <f t="shared" si="10"/>
        <v>32846.820554721082</v>
      </c>
      <c r="K64" s="135">
        <f t="shared" si="10"/>
        <v>33770.477096389688</v>
      </c>
      <c r="L64" s="135">
        <f t="shared" si="10"/>
        <v>34074.181502761588</v>
      </c>
      <c r="M64" s="135">
        <f t="shared" si="10"/>
        <v>34353.503362262934</v>
      </c>
      <c r="N64" s="135">
        <f t="shared" si="10"/>
        <v>34664.665470958018</v>
      </c>
      <c r="O64" s="135">
        <f t="shared" si="10"/>
        <v>35032.80958260761</v>
      </c>
      <c r="P64" s="135">
        <f t="shared" si="10"/>
        <v>35423.998543429931</v>
      </c>
      <c r="Q64" s="135">
        <f t="shared" si="10"/>
        <v>35633.373013189921</v>
      </c>
      <c r="R64" s="135">
        <f t="shared" si="10"/>
        <v>35982.021610621603</v>
      </c>
      <c r="S64" s="135">
        <f t="shared" si="10"/>
        <v>35571.29854680143</v>
      </c>
      <c r="T64" s="135">
        <f t="shared" si="10"/>
        <v>35878.582160105281</v>
      </c>
      <c r="U64" s="135">
        <f t="shared" si="10"/>
        <v>36169.169854465756</v>
      </c>
      <c r="V64" s="135">
        <f t="shared" si="10"/>
        <v>36456.215407838179</v>
      </c>
      <c r="W64" s="135">
        <f t="shared" si="10"/>
        <v>36725.60030823225</v>
      </c>
      <c r="X64" s="135">
        <f t="shared" si="10"/>
        <v>36988.765897199613</v>
      </c>
      <c r="Y64" s="135">
        <f t="shared" si="10"/>
        <v>36328.187967444166</v>
      </c>
      <c r="Z64" s="135">
        <f t="shared" si="10"/>
        <v>37360.06489611046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Allocation!$I$14*(CF!$G$15+CF!$G$16-CF!$G$14)+CF!$G$14*Allocation!$K$14</f>
        <v>-5125.3635359120281</v>
      </c>
      <c r="G66" s="262">
        <f>Allocation!$I$14*(CF!H16+CF!H15)</f>
        <v>-15619.02227403615</v>
      </c>
      <c r="H66" s="262">
        <f>Allocation!$I$14*(CF!I16+CF!I15)</f>
        <v>-15537.9113079364</v>
      </c>
      <c r="I66" s="262">
        <f>Allocation!$I$14*(CF!J16+CF!J15)</f>
        <v>-18544.073604658948</v>
      </c>
      <c r="J66" s="262">
        <f>Allocation!$I$14*(CF!K16+CF!K15)</f>
        <v>-13961.68593352346</v>
      </c>
      <c r="K66" s="262">
        <f>Allocation!$I$14*(CF!L16+CF!L15)</f>
        <v>-14224.704882924372</v>
      </c>
      <c r="L66" s="262">
        <f>Allocation!$I$14*(CF!M16+CF!M15)</f>
        <v>-14304.847989687645</v>
      </c>
      <c r="M66" s="262">
        <f>Allocation!$I$14*(CF!N16+CF!N15)</f>
        <v>-14623.331852567902</v>
      </c>
      <c r="N66" s="262">
        <f>Allocation!$I$14*(CF!O16+CF!O15)</f>
        <v>-14777.687636552553</v>
      </c>
      <c r="O66" s="262">
        <f>Allocation!$I$14*(CF!P16+CF!P15)</f>
        <v>-15101.275280192325</v>
      </c>
      <c r="P66" s="262">
        <f>Allocation!$I$14*(CF!Q16+CF!Q15)</f>
        <v>-13139.684272437549</v>
      </c>
      <c r="Q66" s="262">
        <f>Allocation!$I$14*(CF!R16+CF!R15)</f>
        <v>-12553.263883686885</v>
      </c>
      <c r="R66" s="262">
        <f>Allocation!$I$14*(CF!S16+CF!S15)</f>
        <v>-12521.362877549001</v>
      </c>
      <c r="S66" s="262">
        <f>Allocation!$I$14*(CF!T16+CF!T15)</f>
        <v>-12261.271349243882</v>
      </c>
      <c r="T66" s="262">
        <f>Allocation!$I$14*(CF!U16+CF!U15)</f>
        <v>-11999.202569673071</v>
      </c>
      <c r="U66" s="262">
        <f>Allocation!$I$14*(CF!V16+CF!V15)</f>
        <v>-11873.218660801285</v>
      </c>
      <c r="V66" s="262">
        <f>Allocation!$I$14*(CF!W16+CF!W15)</f>
        <v>-11178.638130224694</v>
      </c>
      <c r="W66" s="262">
        <f>Allocation!$I$14*(CF!X16+CF!X15)</f>
        <v>-10125.176667762549</v>
      </c>
      <c r="X66" s="262">
        <f>Allocation!$I$14*(CF!Y16+CF!Y15)</f>
        <v>-8345.048816221888</v>
      </c>
      <c r="Y66" s="262">
        <f>Allocation!$I$14*(CF!Z16+CF!Z15)</f>
        <v>-6611.2438649012611</v>
      </c>
      <c r="Z66" s="262">
        <f>Allocation!$I$14*(CF!AA16+CF!AA15)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153">
        <f t="shared" ref="E67:Z67" si="11">SUM(E64:E66)</f>
        <v>0</v>
      </c>
      <c r="F67" s="153">
        <f t="shared" ca="1" si="11"/>
        <v>4506.8762668863774</v>
      </c>
      <c r="G67" s="153">
        <f t="shared" si="11"/>
        <v>4105.5298878084686</v>
      </c>
      <c r="H67" s="153">
        <f t="shared" si="11"/>
        <v>4024.1245125946116</v>
      </c>
      <c r="I67" s="153">
        <f t="shared" si="11"/>
        <v>8108.6649474436272</v>
      </c>
      <c r="J67" s="153">
        <f t="shared" si="11"/>
        <v>18885.13462119762</v>
      </c>
      <c r="K67" s="153">
        <f t="shared" si="11"/>
        <v>19545.772213465316</v>
      </c>
      <c r="L67" s="153">
        <f t="shared" si="11"/>
        <v>19769.333513073943</v>
      </c>
      <c r="M67" s="153">
        <f t="shared" si="11"/>
        <v>19730.171509695032</v>
      </c>
      <c r="N67" s="153">
        <f t="shared" si="11"/>
        <v>19886.977834405465</v>
      </c>
      <c r="O67" s="153">
        <f t="shared" si="11"/>
        <v>19931.534302415283</v>
      </c>
      <c r="P67" s="153">
        <f t="shared" si="11"/>
        <v>22284.314270992381</v>
      </c>
      <c r="Q67" s="153">
        <f t="shared" si="11"/>
        <v>23080.109129503035</v>
      </c>
      <c r="R67" s="153">
        <f t="shared" si="11"/>
        <v>23460.658733072603</v>
      </c>
      <c r="S67" s="153">
        <f t="shared" si="11"/>
        <v>23310.027197557549</v>
      </c>
      <c r="T67" s="153">
        <f t="shared" si="11"/>
        <v>23879.379590432211</v>
      </c>
      <c r="U67" s="153">
        <f t="shared" si="11"/>
        <v>24295.95119366447</v>
      </c>
      <c r="V67" s="153">
        <f t="shared" si="11"/>
        <v>25277.577277613484</v>
      </c>
      <c r="W67" s="153">
        <f t="shared" si="11"/>
        <v>26600.4236404697</v>
      </c>
      <c r="X67" s="153">
        <f t="shared" si="11"/>
        <v>28643.717080977724</v>
      </c>
      <c r="Y67" s="153">
        <f t="shared" si="11"/>
        <v>29716.944102542904</v>
      </c>
      <c r="Z67" s="153">
        <f t="shared" si="11"/>
        <v>37360.06489611046</v>
      </c>
    </row>
    <row r="68" spans="1:26" outlineLevel="1">
      <c r="A68" s="14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E69" s="486">
        <v>0</v>
      </c>
      <c r="F69" s="486">
        <f ca="1">Allocation!$I$14*CF!G24*7/12</f>
        <v>0</v>
      </c>
      <c r="G69" s="486">
        <f>Allocation!$I$14*CF!H24</f>
        <v>0</v>
      </c>
      <c r="H69" s="486">
        <f>Allocation!$I$14*CF!I24</f>
        <v>0</v>
      </c>
      <c r="I69" s="486">
        <f>Allocation!$I$14*CF!J24</f>
        <v>0</v>
      </c>
      <c r="J69" s="486">
        <f ca="1">Allocation!$I$14*CF!K24</f>
        <v>0</v>
      </c>
      <c r="K69" s="486">
        <f ca="1">Allocation!$I$14*CF!L24</f>
        <v>0</v>
      </c>
      <c r="L69" s="486">
        <f ca="1">Allocation!$I$14*CF!M24</f>
        <v>-158.62717102691389</v>
      </c>
      <c r="M69" s="486">
        <f ca="1">Allocation!$I$14*CF!N24</f>
        <v>-721.2919110558372</v>
      </c>
      <c r="N69" s="486">
        <f ca="1">Allocation!$I$14*CF!O24</f>
        <v>-778.01805322271741</v>
      </c>
      <c r="O69" s="486">
        <f ca="1">Allocation!$I$14*CF!P24</f>
        <v>-867.12163197601808</v>
      </c>
      <c r="P69" s="486">
        <f ca="1">Allocation!$I$14*CF!Q24</f>
        <v>-914.51263102085136</v>
      </c>
      <c r="Q69" s="486">
        <f ca="1">Allocation!$I$14*CF!R24</f>
        <v>-997.86018860082618</v>
      </c>
      <c r="R69" s="486">
        <f ca="1">Allocation!$I$14*CF!S24</f>
        <v>-1060.5839554683296</v>
      </c>
      <c r="S69" s="486">
        <f ca="1">Allocation!$I$14*CF!T24</f>
        <v>-1116.2716877794603</v>
      </c>
      <c r="T69" s="486">
        <f ca="1">Allocation!$I$14*CF!U24</f>
        <v>-1180.4587660996476</v>
      </c>
      <c r="U69" s="486">
        <f ca="1">Allocation!$I$14*CF!V24</f>
        <v>-1762.6168898008057</v>
      </c>
      <c r="V69" s="486">
        <f ca="1">Allocation!$I$14*CF!W24</f>
        <v>-2053.7057894169716</v>
      </c>
      <c r="W69" s="486">
        <f>Allocation!$I$14*CF!X24</f>
        <v>-2124.6798761880937</v>
      </c>
      <c r="X69" s="486">
        <f>Allocation!$I$14*CF!Y24</f>
        <v>-2188.4700863440103</v>
      </c>
      <c r="Y69" s="486">
        <f>Allocation!$I$14*CF!Z24</f>
        <v>-2222.3901563436889</v>
      </c>
      <c r="Z69" s="486">
        <f ca="1">Allocation!$I$14*CF!AA24</f>
        <v>-2274.7996388825836</v>
      </c>
    </row>
    <row r="70" spans="1:26" ht="15" outlineLevel="1">
      <c r="A70" s="15" t="s">
        <v>383</v>
      </c>
      <c r="E70" s="486">
        <v>0</v>
      </c>
      <c r="F70" s="486">
        <f ca="1">Allocation!$I$14*(-Tax!E39)*7/12</f>
        <v>889.55375562142899</v>
      </c>
      <c r="G70" s="486">
        <f>Allocation!$I$14*CF!H25</f>
        <v>3821.81778648104</v>
      </c>
      <c r="H70" s="486">
        <f>Allocation!$I$14*CF!I25</f>
        <v>3056.5812713615928</v>
      </c>
      <c r="I70" s="486">
        <f>Allocation!$I$14*CF!J25</f>
        <v>62.117740498027757</v>
      </c>
      <c r="J70" s="486">
        <f ca="1">Allocation!$I$14*CF!K25</f>
        <v>-2411.3660682262503</v>
      </c>
      <c r="K70" s="486">
        <f ca="1">Allocation!$I$14*CF!L25</f>
        <v>-3252.4972189896021</v>
      </c>
      <c r="L70" s="486">
        <f ca="1">Allocation!$I$14*CF!M25</f>
        <v>-3656.3203484108749</v>
      </c>
      <c r="M70" s="486">
        <f ca="1">Allocation!$I$14*CF!N25</f>
        <v>-3886.4769840135186</v>
      </c>
      <c r="N70" s="486">
        <f ca="1">Allocation!$I$14*CF!O25</f>
        <v>-4192.1297198118991</v>
      </c>
      <c r="O70" s="486">
        <f ca="1">Allocation!$I$14*CF!P25</f>
        <v>-4672.2390939916559</v>
      </c>
      <c r="P70" s="486">
        <f ca="1">Allocation!$I$14*CF!Q25</f>
        <v>-4927.5920574923002</v>
      </c>
      <c r="Q70" s="486">
        <f ca="1">Allocation!$I$14*CF!R25</f>
        <v>-5376.6867433513771</v>
      </c>
      <c r="R70" s="486">
        <f ca="1">Allocation!$I$14*CF!S25</f>
        <v>-5714.6559795852063</v>
      </c>
      <c r="S70" s="486">
        <f ca="1">Allocation!$I$14*CF!T25</f>
        <v>-6014.7135382542119</v>
      </c>
      <c r="T70" s="486">
        <f ca="1">Allocation!$I$14*CF!U25</f>
        <v>-6360.5674134173405</v>
      </c>
      <c r="U70" s="486">
        <f ca="1">Allocation!$I$14*CF!V25</f>
        <v>-9497.3614272433133</v>
      </c>
      <c r="V70" s="486">
        <f ca="1">Allocation!$I$14*CF!W25</f>
        <v>-11065.811442167262</v>
      </c>
      <c r="W70" s="486">
        <f>Allocation!$I$14*CF!X25</f>
        <v>-11448.23518832236</v>
      </c>
      <c r="X70" s="486">
        <f>Allocation!$I$14*CF!Y25</f>
        <v>-11791.950651890289</v>
      </c>
      <c r="Y70" s="486">
        <f>Allocation!$I$14*CF!Z25</f>
        <v>-11974.719333098577</v>
      </c>
      <c r="Z70" s="486">
        <f ca="1">Allocation!$I$14*CF!AA25</f>
        <v>-12257.1129722194</v>
      </c>
    </row>
    <row r="71" spans="1:26" ht="15" outlineLevel="1">
      <c r="A71" s="15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s="150" customFormat="1" ht="15.6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5396.4300225078059</v>
      </c>
      <c r="G72" s="264">
        <f t="shared" si="12"/>
        <v>7927.3476742895091</v>
      </c>
      <c r="H72" s="264">
        <f t="shared" si="12"/>
        <v>7080.705783956204</v>
      </c>
      <c r="I72" s="264">
        <f t="shared" si="12"/>
        <v>8170.7826879416552</v>
      </c>
      <c r="J72" s="264">
        <f t="shared" ca="1" si="12"/>
        <v>16473.768552971371</v>
      </c>
      <c r="K72" s="264">
        <f t="shared" ca="1" si="12"/>
        <v>16293.274994475714</v>
      </c>
      <c r="L72" s="264">
        <f t="shared" ca="1" si="12"/>
        <v>15954.385993636155</v>
      </c>
      <c r="M72" s="264">
        <f t="shared" ca="1" si="12"/>
        <v>15122.402614625675</v>
      </c>
      <c r="N72" s="264">
        <f t="shared" ca="1" si="12"/>
        <v>14916.830061370849</v>
      </c>
      <c r="O72" s="264">
        <f t="shared" ca="1" si="12"/>
        <v>14392.173576447609</v>
      </c>
      <c r="P72" s="264">
        <f t="shared" ca="1" si="12"/>
        <v>16442.20958247923</v>
      </c>
      <c r="Q72" s="264">
        <f t="shared" ca="1" si="12"/>
        <v>16705.562197550833</v>
      </c>
      <c r="R72" s="264">
        <f t="shared" ca="1" si="12"/>
        <v>16685.418798019065</v>
      </c>
      <c r="S72" s="264">
        <f t="shared" ca="1" si="12"/>
        <v>16179.041971523877</v>
      </c>
      <c r="T72" s="264">
        <f t="shared" ca="1" si="12"/>
        <v>16338.353410915224</v>
      </c>
      <c r="U72" s="264">
        <f t="shared" ca="1" si="12"/>
        <v>13035.972876620352</v>
      </c>
      <c r="V72" s="264">
        <f t="shared" ca="1" si="12"/>
        <v>12158.06004602925</v>
      </c>
      <c r="W72" s="264">
        <f t="shared" si="12"/>
        <v>13027.508575959248</v>
      </c>
      <c r="X72" s="264">
        <f t="shared" si="12"/>
        <v>14663.296342743424</v>
      </c>
      <c r="Y72" s="264">
        <f t="shared" si="12"/>
        <v>15519.83461310064</v>
      </c>
      <c r="Z72" s="264">
        <f t="shared" ca="1" si="12"/>
        <v>22828.152285008473</v>
      </c>
    </row>
    <row r="73" spans="1:26" outlineLevel="1">
      <c r="A73" s="17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C75" s="152">
        <f>$C$60</f>
        <v>0.5</v>
      </c>
      <c r="E75" s="155">
        <f t="shared" ref="E75:Z75" si="13">$C$75*E54</f>
        <v>0</v>
      </c>
      <c r="F75" s="155">
        <f t="shared" ca="1" si="13"/>
        <v>-490.60755746206667</v>
      </c>
      <c r="G75" s="155">
        <f t="shared" si="13"/>
        <v>430.9078933173771</v>
      </c>
      <c r="H75" s="155">
        <f t="shared" si="13"/>
        <v>486.27540196940521</v>
      </c>
      <c r="I75" s="155">
        <f t="shared" si="13"/>
        <v>2863.8829210285921</v>
      </c>
      <c r="J75" s="155">
        <f t="shared" si="13"/>
        <v>4921.5214052304382</v>
      </c>
      <c r="K75" s="155">
        <f t="shared" si="13"/>
        <v>5333.944080860434</v>
      </c>
      <c r="L75" s="155">
        <f t="shared" si="13"/>
        <v>5566.0256992046234</v>
      </c>
      <c r="M75" s="155">
        <f t="shared" si="13"/>
        <v>5811.6602325121348</v>
      </c>
      <c r="N75" s="155">
        <f t="shared" si="13"/>
        <v>6089.4751645274628</v>
      </c>
      <c r="O75" s="155">
        <f t="shared" si="13"/>
        <v>6423.862758854244</v>
      </c>
      <c r="P75" s="155">
        <f t="shared" si="13"/>
        <v>6739.4905104128702</v>
      </c>
      <c r="Q75" s="155">
        <f t="shared" si="13"/>
        <v>6990.6928682373509</v>
      </c>
      <c r="R75" s="155">
        <f t="shared" si="13"/>
        <v>7304.6271146003255</v>
      </c>
      <c r="S75" s="155">
        <f t="shared" si="13"/>
        <v>7398.7936587241029</v>
      </c>
      <c r="T75" s="155">
        <f t="shared" si="13"/>
        <v>7730.8664559474983</v>
      </c>
      <c r="U75" s="155">
        <f t="shared" si="13"/>
        <v>8077.4203503813169</v>
      </c>
      <c r="V75" s="155">
        <f t="shared" si="13"/>
        <v>8433.5474059702574</v>
      </c>
      <c r="W75" s="155">
        <f t="shared" si="13"/>
        <v>8781.7497427296548</v>
      </c>
      <c r="X75" s="155">
        <f t="shared" si="13"/>
        <v>9105.2281849023257</v>
      </c>
      <c r="Y75" s="155">
        <f t="shared" si="13"/>
        <v>9109.7357802255501</v>
      </c>
      <c r="Z75" s="155">
        <f t="shared" si="13"/>
        <v>9550.1443197711124</v>
      </c>
    </row>
    <row r="76" spans="1:26" outlineLevel="1">
      <c r="A76" s="16" t="s">
        <v>294</v>
      </c>
      <c r="C76" s="152">
        <f>$C$60</f>
        <v>0.5</v>
      </c>
      <c r="E76" s="155">
        <f t="shared" ref="E76:Z76" si="14">$C$76*E72</f>
        <v>0</v>
      </c>
      <c r="F76" s="155">
        <f t="shared" ca="1" si="14"/>
        <v>2698.215011253903</v>
      </c>
      <c r="G76" s="155">
        <f t="shared" si="14"/>
        <v>3963.6738371447545</v>
      </c>
      <c r="H76" s="155">
        <f t="shared" si="14"/>
        <v>3540.352891978102</v>
      </c>
      <c r="I76" s="155">
        <f t="shared" si="14"/>
        <v>4085.3913439708276</v>
      </c>
      <c r="J76" s="155">
        <f t="shared" ca="1" si="14"/>
        <v>8236.8842764856854</v>
      </c>
      <c r="K76" s="155">
        <f t="shared" ca="1" si="14"/>
        <v>8146.6374972378571</v>
      </c>
      <c r="L76" s="155">
        <f t="shared" ca="1" si="14"/>
        <v>7977.1929968180775</v>
      </c>
      <c r="M76" s="155">
        <f t="shared" ca="1" si="14"/>
        <v>7561.2013073128373</v>
      </c>
      <c r="N76" s="155">
        <f t="shared" ca="1" si="14"/>
        <v>7458.4150306854244</v>
      </c>
      <c r="O76" s="155">
        <f t="shared" ca="1" si="14"/>
        <v>7196.0867882238044</v>
      </c>
      <c r="P76" s="155">
        <f t="shared" ca="1" si="14"/>
        <v>8221.1047912396152</v>
      </c>
      <c r="Q76" s="155">
        <f t="shared" ca="1" si="14"/>
        <v>8352.7810987754165</v>
      </c>
      <c r="R76" s="155">
        <f t="shared" ca="1" si="14"/>
        <v>8342.7093990095327</v>
      </c>
      <c r="S76" s="155">
        <f t="shared" ca="1" si="14"/>
        <v>8089.5209857619384</v>
      </c>
      <c r="T76" s="155">
        <f t="shared" ca="1" si="14"/>
        <v>8169.1767054576121</v>
      </c>
      <c r="U76" s="155">
        <f t="shared" ca="1" si="14"/>
        <v>6517.9864383101758</v>
      </c>
      <c r="V76" s="155">
        <f t="shared" ca="1" si="14"/>
        <v>6079.0300230146249</v>
      </c>
      <c r="W76" s="155">
        <f t="shared" si="14"/>
        <v>6513.7542879796238</v>
      </c>
      <c r="X76" s="155">
        <f t="shared" si="14"/>
        <v>7331.6481713717121</v>
      </c>
      <c r="Y76" s="155">
        <f t="shared" si="14"/>
        <v>7759.9173065503201</v>
      </c>
      <c r="Z76" s="155">
        <f t="shared" ca="1" si="14"/>
        <v>11414.076142504236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7.399999999999999" hidden="1" outlineLevel="1">
      <c r="A79" s="177" t="s">
        <v>305</v>
      </c>
      <c r="B79" s="8"/>
      <c r="C79" s="8"/>
      <c r="D79" s="8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idden="1" outlineLevel="1">
      <c r="A80" s="176"/>
      <c r="B80" s="8"/>
      <c r="C80" s="8"/>
      <c r="D80" s="8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9" ht="15.6" hidden="1" outlineLevel="1">
      <c r="A81" s="512" t="s">
        <v>306</v>
      </c>
      <c r="B81" s="543"/>
      <c r="C81" s="543"/>
      <c r="D81" s="543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</row>
    <row r="82" spans="1:29" hidden="1" outlineLevel="1">
      <c r="A82" s="36" t="s">
        <v>307</v>
      </c>
      <c r="B82" s="543"/>
      <c r="C82" s="543"/>
      <c r="D82" s="543"/>
      <c r="E82" s="8"/>
      <c r="F82" s="32">
        <f ca="1">F49</f>
        <v>-1580.6928955684789</v>
      </c>
      <c r="G82" s="32">
        <f t="shared" ref="G82:Z82" si="15">G49</f>
        <v>1388.3460114937643</v>
      </c>
      <c r="H82" s="32">
        <f t="shared" si="15"/>
        <v>1566.7350848792757</v>
      </c>
      <c r="I82" s="32">
        <f t="shared" si="15"/>
        <v>9227.1701039986856</v>
      </c>
      <c r="J82" s="32">
        <f t="shared" si="15"/>
        <v>15856.694016046516</v>
      </c>
      <c r="K82" s="32">
        <f t="shared" si="15"/>
        <v>17185.482338656249</v>
      </c>
      <c r="L82" s="32">
        <f t="shared" si="15"/>
        <v>17933.228189140951</v>
      </c>
      <c r="M82" s="32">
        <f t="shared" si="15"/>
        <v>18724.640298065679</v>
      </c>
      <c r="N82" s="32">
        <f t="shared" si="15"/>
        <v>19619.73472260157</v>
      </c>
      <c r="O82" s="32">
        <f t="shared" si="15"/>
        <v>20697.101115921851</v>
      </c>
      <c r="P82" s="32">
        <f t="shared" si="15"/>
        <v>21714.025003343922</v>
      </c>
      <c r="Q82" s="32">
        <f t="shared" si="15"/>
        <v>22523.376136084902</v>
      </c>
      <c r="R82" s="32">
        <f t="shared" si="15"/>
        <v>23534.843703907613</v>
      </c>
      <c r="S82" s="32">
        <f t="shared" si="15"/>
        <v>23838.239738136457</v>
      </c>
      <c r="T82" s="32">
        <f t="shared" si="15"/>
        <v>24908.148065879977</v>
      </c>
      <c r="U82" s="32">
        <f t="shared" si="15"/>
        <v>26024.713170781528</v>
      </c>
      <c r="V82" s="32">
        <f t="shared" si="15"/>
        <v>27172.122129586001</v>
      </c>
      <c r="W82" s="32">
        <f t="shared" si="15"/>
        <v>28293.998365621115</v>
      </c>
      <c r="X82" s="32">
        <f t="shared" si="15"/>
        <v>29336.216463640194</v>
      </c>
      <c r="Y82" s="32">
        <f t="shared" si="15"/>
        <v>29350.73952549513</v>
      </c>
      <c r="Z82" s="32">
        <f t="shared" si="15"/>
        <v>30769.695754397457</v>
      </c>
      <c r="AA82" s="32"/>
      <c r="AB82" s="32"/>
      <c r="AC82" s="32"/>
    </row>
    <row r="83" spans="1:29" hidden="1" outlineLevel="1">
      <c r="A83" s="36" t="s">
        <v>308</v>
      </c>
      <c r="B83" s="543"/>
      <c r="C83" s="543"/>
      <c r="D83" s="543"/>
      <c r="E83" s="8"/>
      <c r="F83" s="550">
        <v>3.4000000000000002E-2</v>
      </c>
      <c r="G83" s="550">
        <v>3.4000000000000002E-2</v>
      </c>
      <c r="H83" s="550">
        <v>3.4000000000000002E-2</v>
      </c>
      <c r="I83" s="550">
        <v>3.4000000000000002E-2</v>
      </c>
      <c r="J83" s="550">
        <v>3.4000000000000002E-2</v>
      </c>
      <c r="K83" s="550">
        <v>3.4000000000000002E-2</v>
      </c>
      <c r="L83" s="550">
        <v>3.4000000000000002E-2</v>
      </c>
      <c r="M83" s="550">
        <v>3.4000000000000002E-2</v>
      </c>
      <c r="N83" s="550">
        <v>3.4000000000000002E-2</v>
      </c>
      <c r="O83" s="550">
        <v>3.4000000000000002E-2</v>
      </c>
      <c r="P83" s="550">
        <v>3.4000000000000002E-2</v>
      </c>
      <c r="Q83" s="550">
        <v>3.4000000000000002E-2</v>
      </c>
      <c r="R83" s="550">
        <v>3.4000000000000002E-2</v>
      </c>
      <c r="S83" s="550">
        <v>3.4000000000000002E-2</v>
      </c>
      <c r="T83" s="550">
        <v>3.4000000000000002E-2</v>
      </c>
      <c r="U83" s="550">
        <v>3.4000000000000002E-2</v>
      </c>
      <c r="V83" s="550">
        <v>3.4000000000000002E-2</v>
      </c>
      <c r="W83" s="550">
        <v>3.4000000000000002E-2</v>
      </c>
      <c r="X83" s="550">
        <v>3.4000000000000002E-2</v>
      </c>
      <c r="Y83" s="550">
        <v>3.4000000000000002E-2</v>
      </c>
      <c r="Z83" s="550">
        <v>3.4000000000000002E-2</v>
      </c>
      <c r="AA83" s="498"/>
      <c r="AB83" s="498"/>
      <c r="AC83" s="498"/>
    </row>
    <row r="84" spans="1:29" ht="15.6" hidden="1" outlineLevel="1">
      <c r="A84" s="468" t="s">
        <v>309</v>
      </c>
      <c r="B84" s="548"/>
      <c r="C84" s="548"/>
      <c r="D84" s="548"/>
      <c r="E84" s="8"/>
      <c r="F84" s="75">
        <f ca="1">F82*F83</f>
        <v>-53.743558449328283</v>
      </c>
      <c r="G84" s="75">
        <f t="shared" ref="G84:Z84" si="16">G82*G83</f>
        <v>47.203764390787988</v>
      </c>
      <c r="H84" s="75">
        <f t="shared" si="16"/>
        <v>53.268992885895379</v>
      </c>
      <c r="I84" s="75">
        <f t="shared" si="16"/>
        <v>313.72378353595531</v>
      </c>
      <c r="J84" s="75">
        <f t="shared" si="16"/>
        <v>539.12759654558158</v>
      </c>
      <c r="K84" s="75">
        <f t="shared" si="16"/>
        <v>584.30639951431249</v>
      </c>
      <c r="L84" s="75">
        <f t="shared" si="16"/>
        <v>609.72975843079234</v>
      </c>
      <c r="M84" s="75">
        <f t="shared" si="16"/>
        <v>636.63777013423316</v>
      </c>
      <c r="N84" s="75">
        <f t="shared" si="16"/>
        <v>667.07098056845348</v>
      </c>
      <c r="O84" s="75">
        <f t="shared" si="16"/>
        <v>703.70143794134299</v>
      </c>
      <c r="P84" s="75">
        <f t="shared" si="16"/>
        <v>738.2768501136934</v>
      </c>
      <c r="Q84" s="75">
        <f t="shared" si="16"/>
        <v>765.79478862688677</v>
      </c>
      <c r="R84" s="75">
        <f t="shared" si="16"/>
        <v>800.18468593285888</v>
      </c>
      <c r="S84" s="75">
        <f t="shared" si="16"/>
        <v>810.50015109663957</v>
      </c>
      <c r="T84" s="75">
        <f t="shared" si="16"/>
        <v>846.87703423991934</v>
      </c>
      <c r="U84" s="75">
        <f t="shared" si="16"/>
        <v>884.84024780657205</v>
      </c>
      <c r="V84" s="75">
        <f t="shared" si="16"/>
        <v>923.85215240592413</v>
      </c>
      <c r="W84" s="75">
        <f t="shared" si="16"/>
        <v>961.99594443111801</v>
      </c>
      <c r="X84" s="75">
        <f t="shared" si="16"/>
        <v>997.43135976376664</v>
      </c>
      <c r="Y84" s="75">
        <f t="shared" si="16"/>
        <v>997.92514386683445</v>
      </c>
      <c r="Z84" s="75">
        <f t="shared" si="16"/>
        <v>1046.1696556495135</v>
      </c>
      <c r="AA84" s="75"/>
      <c r="AB84" s="75"/>
      <c r="AC84" s="75"/>
    </row>
    <row r="85" spans="1:29" ht="15.6" hidden="1" outlineLevel="1">
      <c r="A85" s="338"/>
      <c r="B85" s="543"/>
      <c r="C85" s="549"/>
      <c r="D85" s="549"/>
      <c r="E85" s="8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</row>
    <row r="86" spans="1:29" ht="15.6" hidden="1" outlineLevel="1">
      <c r="A86" s="512" t="s">
        <v>310</v>
      </c>
      <c r="B86" s="543"/>
      <c r="C86" s="543"/>
      <c r="D86" s="543"/>
      <c r="E86" s="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idden="1" outlineLevel="1">
      <c r="A87" s="36" t="s">
        <v>311</v>
      </c>
      <c r="B87" s="543"/>
      <c r="C87" s="543"/>
      <c r="D87" s="543"/>
      <c r="E87" s="8"/>
      <c r="F87" s="32">
        <f>F10+G15</f>
        <v>11280</v>
      </c>
      <c r="G87" s="32">
        <f t="shared" ref="G87:Y87" si="17">G10+H15</f>
        <v>22560</v>
      </c>
      <c r="H87" s="32">
        <f t="shared" si="17"/>
        <v>44283.920629958615</v>
      </c>
      <c r="I87" s="32">
        <f t="shared" si="17"/>
        <v>47758.236998041211</v>
      </c>
      <c r="J87" s="32">
        <f t="shared" si="17"/>
        <v>39508.984107982447</v>
      </c>
      <c r="K87" s="32">
        <f t="shared" si="17"/>
        <v>40068.188190741588</v>
      </c>
      <c r="L87" s="32">
        <f t="shared" si="17"/>
        <v>40625.386432769097</v>
      </c>
      <c r="M87" s="32">
        <f t="shared" si="17"/>
        <v>41179.955199946577</v>
      </c>
      <c r="N87" s="32">
        <f t="shared" si="17"/>
        <v>41731.235245365213</v>
      </c>
      <c r="O87" s="32">
        <f t="shared" si="17"/>
        <v>42278.530133829016</v>
      </c>
      <c r="P87" s="32">
        <f t="shared" si="17"/>
        <v>42821.104603879816</v>
      </c>
      <c r="Q87" s="32">
        <f t="shared" si="17"/>
        <v>43358.18286501323</v>
      </c>
      <c r="R87" s="32">
        <f t="shared" si="17"/>
        <v>43118.965304378675</v>
      </c>
      <c r="S87" s="32">
        <f t="shared" si="17"/>
        <v>43619.453294518782</v>
      </c>
      <c r="T87" s="32">
        <f t="shared" si="17"/>
        <v>44111.163495293353</v>
      </c>
      <c r="U87" s="32">
        <f t="shared" si="17"/>
        <v>44593.118800149328</v>
      </c>
      <c r="V87" s="32">
        <f t="shared" si="17"/>
        <v>45064.291376150912</v>
      </c>
      <c r="W87" s="32">
        <f t="shared" si="17"/>
        <v>45523.600499792446</v>
      </c>
      <c r="X87" s="32">
        <f t="shared" si="17"/>
        <v>45050.512102441658</v>
      </c>
      <c r="Y87" s="32">
        <f t="shared" si="17"/>
        <v>45455.047313157469</v>
      </c>
      <c r="Z87" s="32" t="e">
        <f>Z10+#REF!</f>
        <v>#REF!</v>
      </c>
      <c r="AA87" s="32"/>
      <c r="AB87" s="32"/>
      <c r="AC87" s="32"/>
    </row>
    <row r="88" spans="1:29" hidden="1" outlineLevel="1">
      <c r="A88" s="36" t="s">
        <v>312</v>
      </c>
      <c r="B88" s="543"/>
      <c r="C88" s="543"/>
      <c r="D88" s="543"/>
      <c r="E88" s="8"/>
      <c r="F88" s="550">
        <v>1.2E-2</v>
      </c>
      <c r="G88" s="550">
        <v>1.2E-2</v>
      </c>
      <c r="H88" s="550">
        <v>1.2E-2</v>
      </c>
      <c r="I88" s="550">
        <v>1.2E-2</v>
      </c>
      <c r="J88" s="550">
        <v>1.2E-2</v>
      </c>
      <c r="K88" s="550">
        <v>1.2E-2</v>
      </c>
      <c r="L88" s="550">
        <v>1.2E-2</v>
      </c>
      <c r="M88" s="550">
        <v>1.2E-2</v>
      </c>
      <c r="N88" s="550">
        <v>1.2E-2</v>
      </c>
      <c r="O88" s="550">
        <v>1.2E-2</v>
      </c>
      <c r="P88" s="550">
        <v>1.2E-2</v>
      </c>
      <c r="Q88" s="550">
        <v>1.2E-2</v>
      </c>
      <c r="R88" s="550">
        <v>1.2E-2</v>
      </c>
      <c r="S88" s="550">
        <v>1.2E-2</v>
      </c>
      <c r="T88" s="550">
        <v>1.2E-2</v>
      </c>
      <c r="U88" s="550">
        <v>1.2E-2</v>
      </c>
      <c r="V88" s="550">
        <v>1.2E-2</v>
      </c>
      <c r="W88" s="550">
        <v>1.2E-2</v>
      </c>
      <c r="X88" s="550">
        <v>1.2E-2</v>
      </c>
      <c r="Y88" s="550">
        <v>1.2E-2</v>
      </c>
      <c r="Z88" s="550">
        <v>0</v>
      </c>
      <c r="AA88" s="498"/>
      <c r="AB88" s="498"/>
      <c r="AC88" s="498"/>
    </row>
    <row r="89" spans="1:29" ht="15.6" hidden="1" outlineLevel="1">
      <c r="A89" s="530" t="s">
        <v>313</v>
      </c>
      <c r="B89" s="548"/>
      <c r="C89" s="548"/>
      <c r="D89" s="548"/>
      <c r="E89" s="8"/>
      <c r="F89" s="75">
        <f>F87*F88</f>
        <v>135.36000000000001</v>
      </c>
      <c r="G89" s="75">
        <f t="shared" ref="G89:Z89" si="18">G87*G88</f>
        <v>270.72000000000003</v>
      </c>
      <c r="H89" s="75">
        <f t="shared" si="18"/>
        <v>531.40704755950344</v>
      </c>
      <c r="I89" s="75">
        <f t="shared" si="18"/>
        <v>573.09884397649455</v>
      </c>
      <c r="J89" s="75">
        <f t="shared" si="18"/>
        <v>474.10780929578937</v>
      </c>
      <c r="K89" s="75">
        <f t="shared" si="18"/>
        <v>480.81825828889907</v>
      </c>
      <c r="L89" s="75">
        <f t="shared" si="18"/>
        <v>487.5046371932292</v>
      </c>
      <c r="M89" s="75">
        <f t="shared" si="18"/>
        <v>494.15946239935892</v>
      </c>
      <c r="N89" s="75">
        <f t="shared" si="18"/>
        <v>500.77482294438255</v>
      </c>
      <c r="O89" s="75">
        <f t="shared" si="18"/>
        <v>507.34236160594821</v>
      </c>
      <c r="P89" s="75">
        <f t="shared" si="18"/>
        <v>513.85325524655775</v>
      </c>
      <c r="Q89" s="75">
        <f t="shared" si="18"/>
        <v>520.29819438015875</v>
      </c>
      <c r="R89" s="75">
        <f t="shared" si="18"/>
        <v>517.42758365254406</v>
      </c>
      <c r="S89" s="75">
        <f t="shared" si="18"/>
        <v>523.43343953422539</v>
      </c>
      <c r="T89" s="75">
        <f t="shared" si="18"/>
        <v>529.33396194352019</v>
      </c>
      <c r="U89" s="75">
        <f t="shared" si="18"/>
        <v>535.11742560179198</v>
      </c>
      <c r="V89" s="75">
        <f t="shared" si="18"/>
        <v>540.77149651381092</v>
      </c>
      <c r="W89" s="75">
        <f t="shared" si="18"/>
        <v>546.28320599750941</v>
      </c>
      <c r="X89" s="75">
        <f t="shared" si="18"/>
        <v>540.60614522929995</v>
      </c>
      <c r="Y89" s="75">
        <f t="shared" si="18"/>
        <v>545.46056775788963</v>
      </c>
      <c r="Z89" s="75" t="e">
        <f t="shared" si="18"/>
        <v>#REF!</v>
      </c>
      <c r="AA89" s="75"/>
      <c r="AB89" s="75"/>
      <c r="AC89" s="75"/>
    </row>
    <row r="90" spans="1:29" ht="15.6" hidden="1">
      <c r="A90" s="530"/>
      <c r="B90" s="548"/>
      <c r="C90" s="548"/>
      <c r="D90" s="548"/>
      <c r="E90" s="8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spans="1:29" ht="15.6" hidden="1" outlineLevel="1">
      <c r="A91" s="530" t="s">
        <v>314</v>
      </c>
      <c r="B91" s="548"/>
      <c r="C91" s="548"/>
      <c r="D91" s="548"/>
      <c r="E91" s="8"/>
      <c r="F91" s="75">
        <f ca="1">MAX(F89,F84)</f>
        <v>135.36000000000001</v>
      </c>
      <c r="G91" s="75">
        <f t="shared" ref="G91:Z91" si="19">MAX(G89,G84)</f>
        <v>270.72000000000003</v>
      </c>
      <c r="H91" s="75">
        <f t="shared" si="19"/>
        <v>531.40704755950344</v>
      </c>
      <c r="I91" s="75">
        <f t="shared" si="19"/>
        <v>573.09884397649455</v>
      </c>
      <c r="J91" s="75">
        <f t="shared" si="19"/>
        <v>539.12759654558158</v>
      </c>
      <c r="K91" s="75">
        <f t="shared" si="19"/>
        <v>584.30639951431249</v>
      </c>
      <c r="L91" s="75">
        <f t="shared" si="19"/>
        <v>609.72975843079234</v>
      </c>
      <c r="M91" s="75">
        <f t="shared" si="19"/>
        <v>636.63777013423316</v>
      </c>
      <c r="N91" s="75">
        <f t="shared" si="19"/>
        <v>667.07098056845348</v>
      </c>
      <c r="O91" s="75">
        <f t="shared" si="19"/>
        <v>703.70143794134299</v>
      </c>
      <c r="P91" s="75">
        <f t="shared" si="19"/>
        <v>738.2768501136934</v>
      </c>
      <c r="Q91" s="75">
        <f t="shared" si="19"/>
        <v>765.79478862688677</v>
      </c>
      <c r="R91" s="75">
        <f t="shared" si="19"/>
        <v>800.18468593285888</v>
      </c>
      <c r="S91" s="75">
        <f t="shared" si="19"/>
        <v>810.50015109663957</v>
      </c>
      <c r="T91" s="75">
        <f t="shared" si="19"/>
        <v>846.87703423991934</v>
      </c>
      <c r="U91" s="75">
        <f t="shared" si="19"/>
        <v>884.84024780657205</v>
      </c>
      <c r="V91" s="75">
        <f t="shared" si="19"/>
        <v>923.85215240592413</v>
      </c>
      <c r="W91" s="75">
        <f t="shared" si="19"/>
        <v>961.99594443111801</v>
      </c>
      <c r="X91" s="75">
        <f t="shared" si="19"/>
        <v>997.43135976376664</v>
      </c>
      <c r="Y91" s="75">
        <f t="shared" si="19"/>
        <v>997.92514386683445</v>
      </c>
      <c r="Z91" s="75" t="e">
        <f t="shared" si="19"/>
        <v>#REF!</v>
      </c>
      <c r="AA91" s="75"/>
      <c r="AB91" s="75"/>
      <c r="AC91" s="75"/>
    </row>
    <row r="92" spans="1:29" outlineLevel="1">
      <c r="A92" s="8"/>
      <c r="B92" s="8"/>
      <c r="C92" s="163"/>
      <c r="D92" s="163"/>
      <c r="E92" s="163"/>
      <c r="F92" s="163"/>
      <c r="G92" s="163"/>
      <c r="H92" s="8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9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9" outlineLevel="1">
      <c r="A94" s="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9" outlineLevel="1">
      <c r="A95" s="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9" outlineLevel="1">
      <c r="A96" s="13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138"/>
      <c r="B99" s="8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8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8"/>
      <c r="B102" s="13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outlineLevel="1">
      <c r="A103" s="138"/>
      <c r="B103" s="13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outlineLevel="1">
      <c r="A104" s="138"/>
      <c r="B104" s="8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3.8" outlineLevel="1">
      <c r="A105" s="165"/>
      <c r="B105" s="8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3.8" outlineLevel="1">
      <c r="A106" s="8"/>
      <c r="B106" s="165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6.2" outlineLevel="1">
      <c r="A107" s="162"/>
      <c r="B107" s="8"/>
      <c r="C107" s="8"/>
      <c r="D107" s="8"/>
      <c r="E107" s="163"/>
      <c r="F107" s="8"/>
      <c r="G107" s="8"/>
      <c r="H107" s="163"/>
      <c r="I107" s="8"/>
      <c r="J107" s="8"/>
      <c r="K107" s="8"/>
      <c r="L107" s="8"/>
      <c r="M107" s="8"/>
      <c r="N107" s="8"/>
      <c r="O107" s="8"/>
      <c r="P107" s="8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38"/>
      <c r="B108" s="8"/>
      <c r="C108" s="166"/>
      <c r="D108" s="166"/>
      <c r="E108" s="163"/>
      <c r="F108" s="163"/>
      <c r="G108" s="163"/>
      <c r="H108" s="167"/>
      <c r="I108" s="168"/>
      <c r="J108" s="168"/>
      <c r="K108" s="168"/>
      <c r="L108" s="168"/>
      <c r="M108" s="168"/>
      <c r="N108" s="168"/>
      <c r="O108" s="168"/>
      <c r="P108" s="168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38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169"/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69"/>
      <c r="B112" s="8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8"/>
      <c r="B113" s="138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138"/>
      <c r="B114" s="138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13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outlineLevel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8"/>
      <c r="B117" s="138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3.8" outlineLevel="1">
      <c r="A118" s="165"/>
      <c r="B118" s="8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1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2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2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3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4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2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2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5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5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2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2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5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1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outlineLevel="1">
      <c r="A140" s="173"/>
      <c r="B140" s="8"/>
      <c r="C140" s="8"/>
      <c r="D140" s="8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4.25" customHeight="1" outlineLevel="1">
      <c r="A144" s="173"/>
      <c r="B144" s="8"/>
      <c r="C144" s="8"/>
      <c r="D144" s="8"/>
      <c r="E144" s="8"/>
      <c r="F144" s="158"/>
      <c r="G144" s="158"/>
      <c r="H144" s="158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outlineLevel="1">
      <c r="A145" s="173"/>
      <c r="B145" s="8"/>
      <c r="C145" s="8"/>
      <c r="D145" s="8"/>
      <c r="E145" s="8"/>
      <c r="F145" s="158"/>
      <c r="G145" s="158"/>
      <c r="H145" s="158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outlineLevel="1">
      <c r="A146" s="173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76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176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15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outlineLevel="1">
      <c r="A152" s="8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ht="17.399999999999999" outlineLevel="1">
      <c r="A154" s="177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13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13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8"/>
      <c r="B157" s="8"/>
      <c r="C157" s="8"/>
      <c r="D157" s="8"/>
      <c r="E157" s="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outlineLevel="1">
      <c r="A158" s="8"/>
      <c r="B158" s="8"/>
      <c r="C158" s="8"/>
      <c r="D158" s="8"/>
      <c r="E158" s="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outlineLevel="1">
      <c r="A159" s="3"/>
      <c r="B159" s="3"/>
      <c r="C159" s="3"/>
      <c r="D159" s="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outlineLevel="1">
      <c r="A160" s="173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2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72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1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58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3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8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72"/>
      <c r="B168" s="8"/>
      <c r="C168" s="8"/>
      <c r="D168" s="8"/>
      <c r="E168" s="142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2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58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2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3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5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1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2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2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3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4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2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5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5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2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2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1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173"/>
      <c r="B200" s="8"/>
      <c r="C200" s="8"/>
      <c r="D200" s="8"/>
      <c r="E200" s="8"/>
      <c r="F200" s="158"/>
      <c r="G200" s="158"/>
      <c r="H200" s="158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outlineLevel="1">
      <c r="A201" s="173"/>
      <c r="B201" s="8"/>
      <c r="C201" s="8"/>
      <c r="D201" s="8"/>
      <c r="E201" s="8"/>
      <c r="F201" s="158"/>
      <c r="G201" s="158"/>
      <c r="H201" s="158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outlineLevel="1">
      <c r="A202" s="8"/>
      <c r="B202" s="8"/>
      <c r="C202" s="8"/>
      <c r="D202" s="8"/>
      <c r="E202" s="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outlineLevel="1">
      <c r="A203" s="8"/>
      <c r="B203" s="8"/>
      <c r="C203" s="8"/>
      <c r="D203" s="8"/>
      <c r="E203" s="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spans="1:26" outlineLevel="1">
      <c r="A204" s="8"/>
      <c r="B204" s="8"/>
      <c r="C204" s="8"/>
      <c r="D204" s="8"/>
      <c r="E204" s="8"/>
      <c r="F204" s="8"/>
      <c r="G204" s="8"/>
      <c r="H204" s="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spans="1:26" ht="17.399999999999999" outlineLevel="1">
      <c r="A205" s="178"/>
      <c r="B205" s="178"/>
      <c r="C205" s="178"/>
      <c r="D205" s="17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138"/>
      <c r="B206" s="138"/>
      <c r="C206" s="138"/>
      <c r="D206" s="13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138"/>
      <c r="B207" s="179"/>
      <c r="C207" s="179"/>
      <c r="D207" s="17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38"/>
      <c r="B210" s="138"/>
      <c r="C210" s="138"/>
      <c r="D210" s="138"/>
      <c r="E210" s="13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38"/>
      <c r="C211" s="138"/>
      <c r="D211" s="138"/>
      <c r="E211" s="138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38"/>
      <c r="C212" s="138"/>
      <c r="D212" s="138"/>
      <c r="E212" s="138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180"/>
      <c r="C213" s="180"/>
      <c r="D213" s="180"/>
      <c r="E213" s="180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180"/>
      <c r="B214" s="180"/>
      <c r="C214" s="180"/>
      <c r="D214" s="180"/>
      <c r="E214" s="180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80"/>
      <c r="B215" s="3"/>
      <c r="C215" s="3"/>
      <c r="D215" s="3"/>
      <c r="E215" s="3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8"/>
      <c r="B216" s="8"/>
      <c r="C216" s="8"/>
      <c r="D216" s="8"/>
      <c r="E216" s="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38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38"/>
      <c r="C225" s="138"/>
      <c r="D225" s="138"/>
      <c r="E225" s="138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38"/>
      <c r="C226" s="138"/>
      <c r="D226" s="138"/>
      <c r="E226" s="138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80"/>
      <c r="B227" s="180"/>
      <c r="C227" s="180"/>
      <c r="D227" s="180"/>
      <c r="E227" s="180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38"/>
      <c r="B229" s="138"/>
      <c r="C229" s="138"/>
      <c r="D229" s="138"/>
      <c r="E229" s="138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80"/>
      <c r="B230" s="180"/>
      <c r="C230" s="180"/>
      <c r="D230" s="180"/>
      <c r="E230" s="180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80"/>
      <c r="B231" s="180"/>
      <c r="C231" s="180"/>
      <c r="D231" s="180"/>
      <c r="E231" s="180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13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138"/>
      <c r="B233" s="138"/>
      <c r="C233" s="138"/>
      <c r="D233" s="138"/>
      <c r="E233" s="138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8"/>
      <c r="B234" s="138"/>
      <c r="C234" s="138"/>
      <c r="D234" s="138"/>
      <c r="E234" s="138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8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82"/>
      <c r="C236" s="182"/>
      <c r="D236" s="182"/>
      <c r="E236" s="182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180"/>
      <c r="B237" s="182"/>
      <c r="C237" s="182"/>
      <c r="D237" s="182"/>
      <c r="E237" s="182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8"/>
      <c r="B239" s="8"/>
      <c r="C239" s="8"/>
      <c r="D239" s="8"/>
      <c r="E239" s="8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38"/>
      <c r="B240" s="138"/>
      <c r="C240" s="138"/>
      <c r="D240" s="138"/>
      <c r="E240" s="138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180"/>
      <c r="C244" s="180"/>
      <c r="D244" s="180"/>
      <c r="E244" s="180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80"/>
      <c r="B245" s="180"/>
      <c r="C245" s="180"/>
      <c r="D245" s="180"/>
      <c r="E245" s="180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80"/>
      <c r="B246" s="8"/>
      <c r="C246" s="8"/>
      <c r="D246" s="8"/>
      <c r="E246" s="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138"/>
      <c r="B247" s="138"/>
      <c r="C247" s="138"/>
      <c r="D247" s="138"/>
      <c r="E247" s="13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38"/>
      <c r="C248" s="138"/>
      <c r="D248" s="138"/>
      <c r="E248" s="13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8"/>
      <c r="B249" s="8"/>
      <c r="C249" s="8"/>
      <c r="D249" s="8"/>
      <c r="E249" s="8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138"/>
      <c r="B250" s="183"/>
      <c r="C250" s="183"/>
      <c r="D250" s="183"/>
      <c r="E250" s="8"/>
      <c r="F250" s="181"/>
      <c r="G250" s="181"/>
      <c r="H250" s="181"/>
      <c r="I250" s="181"/>
      <c r="J250" s="181"/>
      <c r="K250" s="181"/>
      <c r="L250" s="181"/>
      <c r="M250" s="181"/>
      <c r="N250" s="8"/>
      <c r="O250" s="18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79"/>
      <c r="C251" s="179"/>
      <c r="D251" s="179"/>
      <c r="E251" s="179"/>
      <c r="F251" s="181"/>
      <c r="G251" s="181"/>
      <c r="H251" s="181"/>
      <c r="I251" s="181"/>
      <c r="J251" s="181"/>
      <c r="K251" s="181"/>
      <c r="L251" s="181"/>
      <c r="M251" s="181"/>
      <c r="N251" s="8"/>
      <c r="O251" s="18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184"/>
      <c r="C253" s="184"/>
      <c r="D253" s="184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138"/>
      <c r="B255" s="8"/>
      <c r="C255" s="8"/>
      <c r="D255" s="8"/>
      <c r="E255" s="8"/>
      <c r="F255" s="8"/>
      <c r="G255" s="8"/>
      <c r="H255" s="142"/>
      <c r="I255" s="142"/>
      <c r="J255" s="142"/>
      <c r="K255" s="142"/>
      <c r="L255" s="142"/>
      <c r="M255" s="142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outlineLevel="1">
      <c r="A256" s="138"/>
      <c r="B256" s="8"/>
      <c r="C256" s="8"/>
      <c r="D256" s="8"/>
      <c r="E256" s="8"/>
      <c r="F256" s="8"/>
      <c r="G256" s="8"/>
      <c r="H256" s="142"/>
      <c r="I256" s="142"/>
      <c r="J256" s="142"/>
      <c r="K256" s="142"/>
      <c r="L256" s="142"/>
      <c r="M256" s="142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7.399999999999999" outlineLevel="1">
      <c r="A258" s="17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1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outlineLevel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outlineLevel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s="186" customFormat="1" outlineLevel="1">
      <c r="A262" s="185"/>
    </row>
    <row r="263" spans="1:26" outlineLevel="1">
      <c r="A263" s="1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138"/>
      <c r="B264" s="8"/>
      <c r="C264" s="8"/>
      <c r="D264" s="8"/>
      <c r="E264" s="8"/>
      <c r="F264" s="8"/>
      <c r="G264" s="8"/>
      <c r="H264" s="187"/>
      <c r="I264" s="187"/>
      <c r="J264" s="187"/>
      <c r="K264" s="187"/>
      <c r="L264" s="187"/>
      <c r="M264" s="187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8"/>
      <c r="C265" s="8"/>
      <c r="D265" s="8"/>
      <c r="E265" s="8"/>
      <c r="F265" s="8"/>
      <c r="G265" s="8"/>
      <c r="H265" s="187"/>
      <c r="I265" s="187"/>
      <c r="J265" s="187"/>
      <c r="K265" s="187"/>
      <c r="L265" s="187"/>
      <c r="M265" s="187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8"/>
      <c r="B266" s="188"/>
      <c r="C266" s="188"/>
      <c r="D266" s="188"/>
      <c r="E266" s="188"/>
      <c r="F266" s="8"/>
      <c r="G266" s="8"/>
      <c r="H266" s="189"/>
      <c r="I266" s="189"/>
      <c r="J266" s="189"/>
      <c r="K266" s="189"/>
      <c r="L266" s="189"/>
      <c r="M266" s="18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38"/>
      <c r="B267" s="190"/>
      <c r="C267" s="190"/>
      <c r="D267" s="190"/>
      <c r="E267" s="19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8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42"/>
      <c r="I271" s="142"/>
      <c r="J271" s="142"/>
      <c r="K271" s="142"/>
      <c r="L271" s="142"/>
      <c r="M271" s="142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91"/>
      <c r="B272" s="8"/>
      <c r="C272" s="8"/>
      <c r="D272" s="8"/>
      <c r="E272" s="8"/>
      <c r="F272" s="8"/>
      <c r="G272" s="8"/>
      <c r="H272" s="142"/>
      <c r="I272" s="142"/>
      <c r="J272" s="142"/>
      <c r="K272" s="142"/>
      <c r="L272" s="142"/>
      <c r="M272" s="14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8"/>
      <c r="C273" s="8"/>
      <c r="D273" s="8"/>
      <c r="E273" s="8"/>
      <c r="F273" s="8"/>
      <c r="G273" s="8"/>
      <c r="H273" s="187"/>
      <c r="I273" s="187"/>
      <c r="J273" s="187"/>
      <c r="K273" s="187"/>
      <c r="L273" s="187"/>
      <c r="M273" s="187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38"/>
      <c r="B274" s="8"/>
      <c r="C274" s="8"/>
      <c r="D274" s="8"/>
      <c r="E274" s="8"/>
      <c r="F274" s="8"/>
      <c r="G274" s="8"/>
      <c r="H274" s="192"/>
      <c r="I274" s="192"/>
      <c r="J274" s="192"/>
      <c r="K274" s="192"/>
      <c r="L274" s="192"/>
      <c r="M274" s="192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35"/>
      <c r="C275" s="35"/>
      <c r="D275" s="35"/>
      <c r="E275" s="35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3"/>
      <c r="I277" s="193"/>
      <c r="J277" s="193"/>
      <c r="K277" s="193"/>
      <c r="L277" s="193"/>
      <c r="M277" s="193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91"/>
      <c r="B278" s="8"/>
      <c r="C278" s="8"/>
      <c r="D278" s="8"/>
      <c r="E278" s="8"/>
      <c r="F278" s="8"/>
      <c r="G278" s="8"/>
      <c r="H278" s="193"/>
      <c r="I278" s="193"/>
      <c r="J278" s="193"/>
      <c r="K278" s="193"/>
      <c r="L278" s="193"/>
      <c r="M278" s="193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191"/>
      <c r="B279" s="8"/>
      <c r="C279" s="8"/>
      <c r="D279" s="8"/>
      <c r="E279" s="8"/>
      <c r="F279" s="8"/>
      <c r="G279" s="8"/>
      <c r="H279" s="192"/>
      <c r="I279" s="192"/>
      <c r="J279" s="192"/>
      <c r="K279" s="192"/>
      <c r="L279" s="192"/>
      <c r="M279" s="19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1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8"/>
      <c r="G282" s="8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142"/>
      <c r="I283" s="142"/>
      <c r="J283" s="142"/>
      <c r="K283" s="142"/>
      <c r="L283" s="142"/>
      <c r="M283" s="142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8"/>
      <c r="B284" s="8"/>
      <c r="C284" s="8"/>
      <c r="D284" s="8"/>
      <c r="E284" s="8"/>
      <c r="F284" s="194"/>
      <c r="G284" s="194"/>
      <c r="H284" s="142"/>
      <c r="I284" s="142"/>
      <c r="J284" s="142"/>
      <c r="K284" s="142"/>
      <c r="L284" s="142"/>
      <c r="M284" s="142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8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8"/>
      <c r="G288" s="8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191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191"/>
      <c r="B290" s="8"/>
      <c r="C290" s="8"/>
      <c r="D290" s="8"/>
      <c r="E290" s="8"/>
      <c r="F290" s="194"/>
      <c r="G290" s="194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187"/>
      <c r="I295" s="187"/>
      <c r="J295" s="187"/>
      <c r="K295" s="187"/>
      <c r="L295" s="187"/>
      <c r="M295" s="187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8"/>
      <c r="B296" s="8"/>
      <c r="C296" s="8"/>
      <c r="D296" s="8"/>
      <c r="E296" s="8"/>
      <c r="F296" s="8"/>
      <c r="G296" s="8"/>
      <c r="H296" s="187"/>
      <c r="I296" s="187"/>
      <c r="J296" s="187"/>
      <c r="K296" s="187"/>
      <c r="L296" s="187"/>
      <c r="M296" s="187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35"/>
      <c r="F299" s="194"/>
      <c r="G299" s="194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138"/>
      <c r="B300" s="8"/>
      <c r="C300" s="8"/>
      <c r="D300" s="8"/>
      <c r="E300" s="8"/>
      <c r="F300" s="195"/>
      <c r="G300" s="195"/>
      <c r="H300" s="195"/>
      <c r="I300" s="195"/>
      <c r="J300" s="195"/>
      <c r="K300" s="195"/>
      <c r="L300" s="195"/>
      <c r="M300" s="195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195"/>
      <c r="I301" s="195"/>
      <c r="J301" s="195"/>
      <c r="K301" s="195"/>
      <c r="L301" s="195"/>
      <c r="M301" s="19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1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1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81"/>
      <c r="I306" s="181"/>
      <c r="J306" s="181"/>
      <c r="K306" s="181"/>
      <c r="L306" s="181"/>
      <c r="M306" s="181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95"/>
      <c r="I307" s="195"/>
      <c r="J307" s="195"/>
      <c r="K307" s="195"/>
      <c r="L307" s="195"/>
      <c r="M307" s="19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81"/>
      <c r="I309" s="181"/>
      <c r="J309" s="181"/>
      <c r="K309" s="181"/>
      <c r="L309" s="181"/>
      <c r="M309" s="181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6"/>
      <c r="I310" s="196"/>
      <c r="J310" s="196"/>
      <c r="K310" s="196"/>
      <c r="L310" s="196"/>
      <c r="M310" s="19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outlineLevel="1">
      <c r="A311" s="8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1">
      <c r="A312" s="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7.399999999999999" hidden="1" outlineLevel="2">
      <c r="A313" s="177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8"/>
      <c r="C314" s="8"/>
      <c r="D314" s="8"/>
      <c r="E314" s="8"/>
      <c r="F314" s="8"/>
      <c r="G314" s="8"/>
      <c r="H314" s="197"/>
      <c r="I314" s="197"/>
      <c r="J314" s="197"/>
      <c r="K314" s="197"/>
      <c r="L314" s="197"/>
      <c r="M314" s="197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 outlineLevel="2">
      <c r="A315" s="8"/>
      <c r="B315" s="8"/>
      <c r="C315" s="8"/>
      <c r="D315" s="8"/>
      <c r="E315" s="8"/>
      <c r="F315" s="8"/>
      <c r="G315" s="8"/>
      <c r="H315" s="197"/>
      <c r="I315" s="197"/>
      <c r="J315" s="197"/>
      <c r="K315" s="197"/>
      <c r="L315" s="197"/>
      <c r="M315" s="197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138"/>
      <c r="B316" s="12"/>
      <c r="C316" s="12"/>
      <c r="D316" s="12"/>
      <c r="E316" s="12"/>
      <c r="F316" s="13"/>
      <c r="G316" s="13"/>
      <c r="H316" s="13"/>
      <c r="I316" s="12"/>
      <c r="J316" s="12"/>
      <c r="K316" s="13"/>
      <c r="L316" s="13"/>
      <c r="M316" s="12"/>
      <c r="N316" s="13"/>
      <c r="O316" s="13"/>
      <c r="P316" s="13"/>
      <c r="Q316" s="12"/>
      <c r="R316" s="13"/>
      <c r="S316" s="13"/>
      <c r="T316" s="8"/>
      <c r="U316" s="8"/>
      <c r="V316" s="8"/>
      <c r="W316" s="8"/>
      <c r="X316" s="8"/>
      <c r="Y316" s="13"/>
      <c r="Z316" s="8"/>
    </row>
    <row r="317" spans="1:26" hidden="1" outlineLevel="2">
      <c r="A317" s="1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95"/>
      <c r="C321" s="195"/>
      <c r="D321" s="195"/>
      <c r="E321" s="195"/>
      <c r="F321" s="195"/>
      <c r="G321" s="195"/>
      <c r="H321" s="195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8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181"/>
      <c r="AA323" s="181"/>
      <c r="AB323" s="181"/>
      <c r="AC323" s="181"/>
      <c r="AD323" s="181"/>
      <c r="AE323" s="181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8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hidden="1" outlineLevel="2">
      <c r="A329" s="8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8"/>
      <c r="U329" s="8"/>
      <c r="V329" s="8"/>
      <c r="W329" s="8"/>
      <c r="X329" s="8"/>
      <c r="Y329" s="181"/>
      <c r="Z329" s="181"/>
    </row>
    <row r="330" spans="1:31" hidden="1" outlineLevel="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 collapsed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outlineLevel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ht="17.399999999999999" outlineLevel="1">
      <c r="A334" s="178"/>
      <c r="B334" s="178"/>
      <c r="C334" s="178"/>
      <c r="D334" s="17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138"/>
      <c r="B335" s="138"/>
      <c r="C335" s="138"/>
      <c r="D335" s="13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138"/>
      <c r="B336" s="179"/>
      <c r="C336" s="179"/>
      <c r="D336" s="17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outlineLevel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outlineLevel="1">
      <c r="A339" s="138"/>
      <c r="B339" s="138"/>
      <c r="C339" s="138"/>
      <c r="D339" s="13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outlineLevel="1">
      <c r="A340" s="180"/>
      <c r="B340" s="138"/>
      <c r="C340" s="138"/>
      <c r="D340" s="138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38"/>
      <c r="C341" s="138"/>
      <c r="D341" s="138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180"/>
      <c r="C342" s="180"/>
      <c r="D342" s="180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180"/>
      <c r="B343" s="180"/>
      <c r="C343" s="180"/>
      <c r="D343" s="180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80"/>
      <c r="B344" s="3"/>
      <c r="C344" s="3"/>
      <c r="D344" s="3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8"/>
      <c r="B345" s="8"/>
      <c r="C345" s="8"/>
      <c r="D345" s="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38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38"/>
      <c r="C354" s="138"/>
      <c r="D354" s="138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38"/>
      <c r="C355" s="138"/>
      <c r="D355" s="138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80"/>
      <c r="B356" s="180"/>
      <c r="C356" s="180"/>
      <c r="D356" s="180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0"/>
      <c r="C359" s="180"/>
      <c r="D359" s="180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180"/>
      <c r="B361" s="182"/>
      <c r="C361" s="182"/>
      <c r="D361" s="182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8"/>
      <c r="B363" s="8"/>
      <c r="C363" s="8"/>
      <c r="D363" s="8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38"/>
      <c r="B364" s="138"/>
      <c r="C364" s="138"/>
      <c r="D364" s="138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180"/>
      <c r="C366" s="180"/>
      <c r="D366" s="180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80"/>
      <c r="B367" s="180"/>
      <c r="C367" s="180"/>
      <c r="D367" s="180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80"/>
      <c r="B368" s="8"/>
      <c r="C368" s="8"/>
      <c r="D368" s="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38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38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180"/>
      <c r="B374" s="138"/>
      <c r="C374" s="138"/>
      <c r="D374" s="138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80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3"/>
      <c r="B376" s="182"/>
      <c r="C376" s="182"/>
      <c r="D376" s="182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38"/>
      <c r="C377" s="138"/>
      <c r="D377" s="138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8"/>
      <c r="B378" s="8"/>
      <c r="C378" s="8"/>
      <c r="D378" s="8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138"/>
      <c r="B380" s="179"/>
      <c r="C380" s="179"/>
      <c r="D380" s="179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outlineLevel="1">
      <c r="A381" s="138"/>
      <c r="B381" s="179"/>
      <c r="C381" s="179"/>
      <c r="D381" s="179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outlineLevel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7.399999999999999" outlineLevel="1">
      <c r="A384" s="178"/>
      <c r="B384" s="178"/>
      <c r="C384" s="178"/>
      <c r="D384" s="17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138"/>
      <c r="B385" s="138"/>
      <c r="C385" s="138"/>
      <c r="D385" s="13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138"/>
      <c r="B386" s="179"/>
      <c r="C386" s="179"/>
      <c r="D386" s="17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outlineLevel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"/>
      <c r="U388" s="8"/>
      <c r="V388" s="8"/>
      <c r="W388" s="8"/>
      <c r="X388" s="8"/>
      <c r="Y388" s="8"/>
      <c r="Z388" s="8"/>
    </row>
    <row r="389" spans="1:26" outlineLevel="1">
      <c r="A389" s="138"/>
      <c r="B389" s="138"/>
      <c r="C389" s="138"/>
      <c r="D389" s="138"/>
      <c r="E389" s="13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38"/>
      <c r="C390" s="138"/>
      <c r="D390" s="138"/>
      <c r="E390" s="13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38"/>
      <c r="C391" s="138"/>
      <c r="D391" s="138"/>
      <c r="E391" s="13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180"/>
      <c r="C392" s="180"/>
      <c r="D392" s="180"/>
      <c r="E392" s="180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180"/>
      <c r="C393" s="180"/>
      <c r="D393" s="180"/>
      <c r="E393" s="180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80"/>
      <c r="B394" s="3"/>
      <c r="C394" s="3"/>
      <c r="D394" s="3"/>
      <c r="E394" s="3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3"/>
      <c r="C395" s="3"/>
      <c r="D395" s="3"/>
      <c r="E395" s="3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38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38"/>
      <c r="C405" s="138"/>
      <c r="D405" s="138"/>
      <c r="E405" s="13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38"/>
      <c r="C406" s="138"/>
      <c r="D406" s="138"/>
      <c r="E406" s="13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80"/>
      <c r="B407" s="180"/>
      <c r="C407" s="180"/>
      <c r="D407" s="180"/>
      <c r="E407" s="180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180"/>
      <c r="B408" s="180"/>
      <c r="C408" s="180"/>
      <c r="D408" s="180"/>
      <c r="E408" s="180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38"/>
      <c r="B409" s="138"/>
      <c r="C409" s="138"/>
      <c r="D409" s="138"/>
      <c r="E409" s="13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0"/>
      <c r="C411" s="180"/>
      <c r="D411" s="180"/>
      <c r="E411" s="180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80"/>
      <c r="B413" s="182"/>
      <c r="C413" s="182"/>
      <c r="D413" s="182"/>
      <c r="E413" s="182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38"/>
      <c r="C415" s="138"/>
      <c r="D415" s="138"/>
      <c r="E415" s="13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38"/>
      <c r="C416" s="138"/>
      <c r="D416" s="138"/>
      <c r="E416" s="13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13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8"/>
      <c r="U420" s="8"/>
      <c r="V420" s="8"/>
      <c r="W420" s="8"/>
      <c r="X420" s="8"/>
      <c r="Y420" s="8"/>
      <c r="Z420" s="8"/>
    </row>
    <row r="421" spans="1:26" outlineLevel="1">
      <c r="A421" s="138"/>
      <c r="B421" s="179"/>
      <c r="C421" s="179"/>
      <c r="D421" s="179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8"/>
      <c r="U421" s="8"/>
      <c r="V421" s="8"/>
      <c r="W421" s="8"/>
      <c r="X421" s="8"/>
      <c r="Y421" s="8"/>
      <c r="Z421" s="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98"/>
      <c r="C423" s="198"/>
      <c r="D423" s="198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13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13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13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</row>
    <row r="439" spans="1:26" outlineLevel="1">
      <c r="A439" s="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</row>
    <row r="440" spans="1:26" outlineLevel="1">
      <c r="A440" s="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8"/>
      <c r="U443" s="8"/>
      <c r="V443" s="8"/>
      <c r="W443" s="8"/>
      <c r="X443" s="8"/>
      <c r="Y443" s="8"/>
      <c r="Z443" s="8"/>
    </row>
    <row r="444" spans="1:26" outlineLevel="1">
      <c r="A444" s="138"/>
      <c r="B444" s="179"/>
      <c r="C444" s="179"/>
      <c r="D444" s="179"/>
      <c r="E444" s="179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8"/>
      <c r="U444" s="8"/>
      <c r="V444" s="8"/>
      <c r="W444" s="8"/>
      <c r="X444" s="8"/>
      <c r="Y444" s="8"/>
      <c r="Z444" s="8"/>
    </row>
    <row r="445" spans="1:26" outlineLevel="1">
      <c r="A445" s="138"/>
      <c r="B445" s="179"/>
      <c r="C445" s="179"/>
      <c r="D445" s="179"/>
      <c r="E445" s="179"/>
      <c r="F445" s="199"/>
      <c r="G445" s="199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8"/>
      <c r="U445" s="8"/>
      <c r="V445" s="8"/>
      <c r="W445" s="8"/>
      <c r="X445" s="8"/>
      <c r="Y445" s="8"/>
      <c r="Z445" s="8"/>
    </row>
    <row r="446" spans="1:26" outlineLevel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7.399999999999999" outlineLevel="1">
      <c r="A447" s="17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1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outlineLevel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outlineLevel="1">
      <c r="A453" s="13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8"/>
      <c r="U455" s="8"/>
      <c r="V455" s="8"/>
      <c r="W455" s="8"/>
      <c r="X455" s="8"/>
      <c r="Y455" s="8"/>
      <c r="Z455" s="8"/>
    </row>
    <row r="456" spans="1:26" outlineLevel="1">
      <c r="A456" s="8"/>
      <c r="B456" s="8"/>
      <c r="C456" s="8"/>
      <c r="D456" s="8"/>
      <c r="E456" s="8"/>
      <c r="F456" s="8"/>
      <c r="G456" s="8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8"/>
      <c r="U456" s="8"/>
      <c r="V456" s="8"/>
      <c r="W456" s="8"/>
      <c r="X456" s="8"/>
      <c r="Y456" s="8"/>
      <c r="Z456" s="8"/>
    </row>
    <row r="457" spans="1:26" outlineLevel="1">
      <c r="A457" s="8"/>
      <c r="B457" s="8"/>
      <c r="C457" s="8"/>
      <c r="D457" s="8"/>
      <c r="E457" s="8"/>
      <c r="F457" s="8"/>
      <c r="G457" s="8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8"/>
      <c r="U457" s="8"/>
      <c r="V457" s="8"/>
      <c r="W457" s="8"/>
      <c r="X457" s="8"/>
      <c r="Y457" s="8"/>
      <c r="Z457" s="8"/>
    </row>
    <row r="458" spans="1:26" outlineLevel="1">
      <c r="A458" s="191"/>
      <c r="B458" s="8"/>
      <c r="C458" s="8"/>
      <c r="D458" s="8"/>
      <c r="E458" s="8"/>
      <c r="F458" s="8"/>
      <c r="G458" s="8"/>
      <c r="H458" s="163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8"/>
      <c r="U458" s="8"/>
      <c r="V458" s="8"/>
      <c r="W458" s="8"/>
      <c r="X458" s="8"/>
      <c r="Y458" s="8"/>
      <c r="Z458" s="8"/>
    </row>
    <row r="459" spans="1:26" outlineLevel="1">
      <c r="A459" s="191"/>
      <c r="B459" s="8"/>
      <c r="C459" s="8"/>
      <c r="D459" s="8"/>
      <c r="E459" s="8"/>
      <c r="F459" s="8"/>
      <c r="G459" s="8"/>
      <c r="H459" s="163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8"/>
      <c r="U459" s="8"/>
      <c r="V459" s="8"/>
      <c r="W459" s="8"/>
      <c r="X459" s="8"/>
      <c r="Y459" s="8"/>
      <c r="Z459" s="8"/>
    </row>
    <row r="460" spans="1:26" outlineLevel="1">
      <c r="A460" s="13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8"/>
      <c r="B461" s="8"/>
      <c r="C461" s="8"/>
      <c r="D461" s="8"/>
      <c r="E461" s="199"/>
      <c r="F461" s="199"/>
      <c r="G461" s="199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8"/>
      <c r="C462" s="8"/>
      <c r="D462" s="8"/>
      <c r="E462" s="8"/>
      <c r="F462" s="8"/>
      <c r="G462" s="8"/>
      <c r="H462" s="163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201"/>
      <c r="C464" s="201"/>
      <c r="D464" s="201"/>
      <c r="E464" s="8"/>
      <c r="F464" s="8"/>
      <c r="G464" s="8"/>
      <c r="H464" s="163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8"/>
      <c r="U464" s="8"/>
      <c r="V464" s="8"/>
      <c r="W464" s="8"/>
      <c r="X464" s="8"/>
      <c r="Y464" s="8"/>
      <c r="Z464" s="8"/>
    </row>
    <row r="465" spans="1:26" outlineLevel="1">
      <c r="A465" s="138"/>
      <c r="B465" s="8"/>
      <c r="C465" s="8"/>
      <c r="D465" s="8"/>
      <c r="E465" s="8"/>
      <c r="F465" s="8"/>
      <c r="G465" s="8"/>
      <c r="H465" s="163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8"/>
      <c r="U465" s="8"/>
      <c r="V465" s="8"/>
      <c r="W465" s="8"/>
      <c r="X465" s="8"/>
      <c r="Y465" s="8"/>
      <c r="Z465" s="8"/>
    </row>
    <row r="466" spans="1:26" outlineLevel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outlineLevel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s="204" customFormat="1" ht="17.399999999999999" outlineLevel="1">
      <c r="A468" s="202"/>
      <c r="B468" s="203"/>
      <c r="C468" s="203"/>
      <c r="D468" s="203"/>
      <c r="E468" s="203"/>
      <c r="F468" s="203"/>
      <c r="G468" s="203"/>
      <c r="H468" s="203"/>
    </row>
    <row r="469" spans="1:26" s="204" customFormat="1" outlineLevel="1">
      <c r="A469" s="203"/>
      <c r="B469" s="203"/>
      <c r="C469" s="203"/>
      <c r="D469" s="203"/>
      <c r="E469" s="203"/>
      <c r="F469" s="203"/>
      <c r="G469" s="205"/>
      <c r="H469" s="206"/>
      <c r="I469" s="203"/>
      <c r="J469" s="207"/>
    </row>
    <row r="470" spans="1:26" s="204" customFormat="1" outlineLevel="1">
      <c r="A470" s="203"/>
      <c r="B470" s="206"/>
      <c r="C470" s="206"/>
      <c r="D470" s="206"/>
      <c r="E470" s="206"/>
      <c r="F470" s="206"/>
      <c r="G470" s="208"/>
      <c r="H470" s="183"/>
      <c r="I470" s="183"/>
      <c r="J470" s="207"/>
    </row>
    <row r="471" spans="1:26" s="204" customFormat="1" outlineLevel="1">
      <c r="A471" s="203"/>
      <c r="B471" s="183"/>
      <c r="C471" s="183"/>
      <c r="D471" s="183"/>
      <c r="E471" s="183"/>
      <c r="F471" s="183"/>
      <c r="G471" s="183"/>
      <c r="H471" s="207"/>
      <c r="I471" s="183"/>
      <c r="J471" s="208"/>
    </row>
    <row r="472" spans="1:26" s="204" customFormat="1" outlineLevel="1">
      <c r="A472" s="209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s="204" customFormat="1" outlineLevel="1">
      <c r="A473" s="173"/>
      <c r="B473" s="203"/>
      <c r="C473" s="203"/>
      <c r="D473" s="203"/>
      <c r="E473" s="203"/>
      <c r="F473" s="203"/>
      <c r="G473" s="203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03"/>
      <c r="C474" s="203"/>
      <c r="D474" s="203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2"/>
      <c r="B475" s="211"/>
      <c r="C475" s="211"/>
      <c r="D475" s="211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72"/>
      <c r="B476" s="212"/>
      <c r="C476" s="212"/>
      <c r="D476" s="212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1"/>
      <c r="B477" s="209"/>
      <c r="C477" s="209"/>
      <c r="D477" s="209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158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173"/>
      <c r="B479" s="203"/>
      <c r="C479" s="203"/>
      <c r="D479" s="203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213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176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4"/>
      <c r="C488" s="214"/>
      <c r="D488" s="214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21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213"/>
      <c r="B490" s="215"/>
      <c r="C490" s="215"/>
      <c r="D490" s="215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3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3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2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2"/>
      <c r="B496" s="214"/>
      <c r="C496" s="214"/>
      <c r="D496" s="214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 s="204" customFormat="1" outlineLevel="1">
      <c r="A497" s="173"/>
      <c r="B497" s="214"/>
      <c r="C497" s="214"/>
      <c r="D497" s="214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outlineLevel="1">
      <c r="A498" s="175"/>
      <c r="B498" s="214"/>
      <c r="C498" s="214"/>
      <c r="D498" s="214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</row>
    <row r="499" spans="1:26" s="204" customFormat="1" outlineLevel="1">
      <c r="A499" s="172"/>
      <c r="B499" s="217"/>
      <c r="C499" s="217"/>
      <c r="D499" s="217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ht="13.95" customHeight="1" outlineLevel="1">
      <c r="A500" s="171"/>
      <c r="B500" s="217"/>
      <c r="C500" s="217"/>
      <c r="D500" s="217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20" customFormat="1" outlineLevel="1">
      <c r="A501" s="218"/>
      <c r="B501" s="219"/>
      <c r="C501" s="219"/>
      <c r="D501" s="219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1"/>
      <c r="B502" s="211"/>
      <c r="C502" s="211"/>
      <c r="D502" s="21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11"/>
      <c r="C503" s="211"/>
      <c r="D503" s="21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2"/>
      <c r="B505" s="221"/>
      <c r="C505" s="221"/>
      <c r="D505" s="221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04" customFormat="1" outlineLevel="1">
      <c r="A506" s="172"/>
      <c r="B506" s="221"/>
      <c r="C506" s="221"/>
      <c r="D506" s="221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20" customFormat="1" outlineLevel="1">
      <c r="A508" s="222"/>
      <c r="B508" s="223"/>
      <c r="C508" s="223"/>
      <c r="D508" s="22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2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5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04" customFormat="1" outlineLevel="1">
      <c r="A512" s="175"/>
      <c r="B512" s="203"/>
      <c r="C512" s="203"/>
      <c r="D512" s="20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03"/>
      <c r="C513" s="203"/>
      <c r="D513" s="203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20" customFormat="1" outlineLevel="1">
      <c r="A514" s="218"/>
      <c r="B514" s="223"/>
      <c r="C514" s="223"/>
      <c r="D514" s="223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2"/>
      <c r="B515" s="224"/>
      <c r="C515" s="224"/>
      <c r="D515" s="224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04" customFormat="1" outlineLevel="1">
      <c r="A516" s="175"/>
      <c r="B516" s="224"/>
      <c r="C516" s="224"/>
      <c r="D516" s="224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1"/>
      <c r="B517" s="217"/>
      <c r="C517" s="217"/>
      <c r="D517" s="217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03"/>
      <c r="C519" s="203"/>
      <c r="D519" s="203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20" customFormat="1" outlineLevel="1">
      <c r="A520" s="222"/>
      <c r="B520" s="223"/>
      <c r="C520" s="223"/>
      <c r="D520" s="223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s="204" customFormat="1" outlineLevel="1">
      <c r="A522" s="173"/>
      <c r="B522" s="217"/>
      <c r="C522" s="217"/>
      <c r="D522" s="217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 s="204" customFormat="1" outlineLevel="1">
      <c r="A523" s="173"/>
      <c r="B523" s="217"/>
      <c r="C523" s="217"/>
      <c r="D523" s="217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outlineLevel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7.399999999999999" outlineLevel="1">
      <c r="A527" s="17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1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225"/>
      <c r="B529" s="8"/>
      <c r="C529" s="8"/>
      <c r="D529" s="8"/>
      <c r="E529" s="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1">
      <c r="A531" s="3"/>
      <c r="B531" s="3"/>
      <c r="C531" s="3"/>
      <c r="D531" s="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180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226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80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8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38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180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180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8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180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8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idden="1" outlineLevel="2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idden="1" outlineLevel="2">
      <c r="A556" s="180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 collapsed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13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13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 outlineLevel="1">
      <c r="A564" s="138"/>
      <c r="B564" s="8"/>
      <c r="C564" s="8"/>
      <c r="D564" s="8"/>
      <c r="E564" s="8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 outlineLevel="1">
      <c r="A565" s="138"/>
      <c r="B565" s="8"/>
      <c r="C565" s="8"/>
      <c r="D565" s="8"/>
      <c r="E565" s="8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181"/>
      <c r="J569" s="181"/>
      <c r="K569" s="181"/>
      <c r="L569" s="181"/>
      <c r="M569" s="181"/>
      <c r="N569" s="181"/>
      <c r="O569" s="181"/>
      <c r="P569" s="181"/>
      <c r="Q569" s="181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181"/>
      <c r="J570" s="181"/>
      <c r="K570" s="181"/>
      <c r="L570" s="181"/>
      <c r="M570" s="181"/>
      <c r="N570" s="181"/>
      <c r="O570" s="181"/>
      <c r="P570" s="181"/>
      <c r="Q570" s="181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</sheetData>
  <pageMargins left="0.18" right="0.17" top="0.37" bottom="0.4" header="0.17" footer="0.21"/>
  <pageSetup scale="38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9" sqref="I9"/>
    </sheetView>
  </sheetViews>
  <sheetFormatPr defaultColWidth="9.109375" defaultRowHeight="13.2" outlineLevelRow="2" outlineLevelCol="1"/>
  <cols>
    <col min="1" max="1" width="53.44140625" style="7" customWidth="1"/>
    <col min="2" max="2" width="8.44140625" style="7" customWidth="1"/>
    <col min="3" max="4" width="9.88671875" style="7" customWidth="1"/>
    <col min="5" max="5" width="9.33203125" style="7" customWidth="1" outlineLevel="1"/>
    <col min="6" max="6" width="10.109375" style="7" customWidth="1" outlineLevel="1"/>
    <col min="7" max="8" width="10.6640625" style="7" customWidth="1" outlineLevel="1"/>
    <col min="9" max="26" width="10.6640625" style="7" customWidth="1"/>
    <col min="27" max="16384" width="9.109375" style="8"/>
  </cols>
  <sheetData>
    <row r="2" spans="1:29" ht="17.399999999999999">
      <c r="A2" s="126" t="s">
        <v>352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</row>
    <row r="5" spans="1:29" ht="13.8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>G5+1</f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Assumptions!$R$30*Assumptions!$R$53*'Power Price Assumption'!F42</f>
        <v>17024</v>
      </c>
      <c r="G10" s="253">
        <f>Assumptions!$R$30*'Power Price Assumption'!G42*12</f>
        <v>29184</v>
      </c>
      <c r="H10" s="253">
        <f>Assumptions!$R$30*'Power Price Assumption'!H42*12</f>
        <v>29184</v>
      </c>
      <c r="I10" s="253">
        <f>Assumptions!$R$30*'Power Price Assumption'!I42*MONTH(Assumptions!$L$38)</f>
        <v>12160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  <c r="S10" s="253">
        <v>0</v>
      </c>
      <c r="T10" s="253">
        <v>0</v>
      </c>
      <c r="U10" s="253">
        <v>0</v>
      </c>
      <c r="V10" s="253">
        <v>0</v>
      </c>
      <c r="W10" s="253">
        <v>0</v>
      </c>
      <c r="X10" s="253">
        <v>0</v>
      </c>
      <c r="Y10" s="253">
        <v>0</v>
      </c>
      <c r="Z10" s="253"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Assumptions!R$26*Assumptions!R$30*Assumptions!R$14/1000*(1+Assumptions!$R$39)</f>
        <v>648.36440000000016</v>
      </c>
      <c r="G11" s="253">
        <f>F11*(1+Assumptions!$R$39)</f>
        <v>667.81533200000013</v>
      </c>
      <c r="H11" s="187">
        <f>G11*(1+Assumptions!$R$39)</f>
        <v>687.84979196000018</v>
      </c>
      <c r="I11" s="253">
        <f>5/12*Assumptions!$R$26*Assumptions!$R$17/1000*(1+Assumptions!$R$39)^(I5-$E$5)</f>
        <v>295.20220238283332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VLOOKUP(Assumptions!$R$19,'EGC Start Charge Matrix'!$A$10:$S$35,19)*(1+Assumptions!$R$39)</f>
        <v>1853.0111999999999</v>
      </c>
      <c r="G12" s="253">
        <f>F12*(1+Assumptions!$R$39)</f>
        <v>1908.6015359999999</v>
      </c>
      <c r="H12" s="253">
        <f>G12*(1+Assumptions!$R$39)</f>
        <v>1965.8595820799999</v>
      </c>
      <c r="I12" s="253">
        <f>H12*(1+Assumptions!$R$39)*5/12</f>
        <v>843.68140397600007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IF(Assumptions!$R$19=120,Assumptions!$R$33*(1-Assumptions!$R$35)*'Power Price Assumption'!I44*(12-MONTH(Assumptions!$L$38)),Assumptions!$R$33*(1-Assumptions!$R$35)*'Power Price Assumption'!I44*(12-MONTH(Assumptions!$L$38))-2/3*7/12*VLOOKUP(120,'EGC Start Charge Matrix'!$U$10:$AM$35,19)*(1+Assumptions!$R$52)^(I5-$E$5))</f>
        <v>28111.074130372021</v>
      </c>
      <c r="J15" s="253">
        <f>IF(Assumptions!$R$19=120,Assumptions!$R$33*(1-Assumptions!$R$35)*'Power Price Assumption'!J44*(12),Assumptions!$R$33*(1-Assumptions!$R$35)*'Power Price Assumption'!J44*(12)-2/3*VLOOKUP(120,'EGC Start Charge Matrix'!$U$10:$AM$35,19)*(1+Assumptions!$R$52)^(J5-Brownsville!$E$5))</f>
        <v>48872.492483713148</v>
      </c>
      <c r="K15" s="253">
        <f>IF(Assumptions!$R$19=120,Assumptions!$R$33*(1-Assumptions!$R$35)*'Power Price Assumption'!K44*(12),Assumptions!$R$33*(1-Assumptions!$R$35)*'Power Price Assumption'!K44*(12)-2/3*VLOOKUP(120,'EGC Start Charge Matrix'!$U$10:$AM$35,19)*(1+Assumptions!$R$52)^(K5-Brownsville!$E$5))</f>
        <v>50338.667258224545</v>
      </c>
      <c r="L15" s="253">
        <f>IF(Assumptions!$R$19=120,Assumptions!$R$33*(1-Assumptions!$R$35)*'Power Price Assumption'!L44*(12),Assumptions!$R$33*(1-Assumptions!$R$35)*'Power Price Assumption'!L44*(12)-2/3*VLOOKUP(120,'EGC Start Charge Matrix'!$U$10:$AM$35,19)*(1+Assumptions!$R$52)^(L5-Brownsville!$E$5))</f>
        <v>50228.551423597179</v>
      </c>
      <c r="M15" s="253">
        <f>IF(Assumptions!$R$19=120,Assumptions!$R$33*(1-Assumptions!$R$35)*'Power Price Assumption'!M44*(12),Assumptions!$R$33*(1-Assumptions!$R$35)*'Power Price Assumption'!M44*(12)-2/3*VLOOKUP(120,'EGC Start Charge Matrix'!$U$10:$AM$35,19)*(1+Assumptions!$R$52)^(M5-Brownsville!$E$5))</f>
        <v>50900.965902332435</v>
      </c>
      <c r="N15" s="253">
        <f>IF(Assumptions!$R$19=120,Assumptions!$R$33*(1-Assumptions!$R$35)*'Power Price Assumption'!N44*(12),Assumptions!$R$33*(1-Assumptions!$R$35)*'Power Price Assumption'!N44*(12)-2/3*VLOOKUP(120,'EGC Start Charge Matrix'!$U$10:$AM$35,19)*(1+Assumptions!$R$52)^(N5-Brownsville!$E$5))</f>
        <v>51568.519553510559</v>
      </c>
      <c r="O15" s="253">
        <f>IF(Assumptions!$R$19=120,Assumptions!$R$33*(1-Assumptions!$R$35)*'Power Price Assumption'!O44*(12),Assumptions!$R$33*(1-Assumptions!$R$35)*'Power Price Assumption'!O44*(12)-2/3*VLOOKUP(120,'EGC Start Charge Matrix'!$U$10:$AM$35,19)*(1+Assumptions!$R$52)^(O5-Brownsville!$E$5))</f>
        <v>52230.315554447283</v>
      </c>
      <c r="P15" s="253">
        <f>IF(Assumptions!$R$19=120,Assumptions!$R$33*(1-Assumptions!$R$35)*'Power Price Assumption'!P44*(12),Assumptions!$R$33*(1-Assumptions!$R$35)*'Power Price Assumption'!P44*(12)-2/3*VLOOKUP(120,'EGC Start Charge Matrix'!$U$10:$AM$35,19)*(1+Assumptions!$R$52)^(P5-Brownsville!$E$5))</f>
        <v>52885.407647842032</v>
      </c>
      <c r="Q15" s="253">
        <f>IF(Assumptions!$R$19=120,Assumptions!$R$33*(1-Assumptions!$R$35)*'Power Price Assumption'!Q44*(12),Assumptions!$R$33*(1-Assumptions!$R$35)*'Power Price Assumption'!Q44*(12)-2/3*VLOOKUP(120,'EGC Start Charge Matrix'!$U$10:$AM$35,19)*(1+Assumptions!$R$52)^(Q5-Brownsville!$E$5))</f>
        <v>53532.79798284149</v>
      </c>
      <c r="R15" s="253">
        <f>IF(Assumptions!$R$19=120,Assumptions!$R$33*(1-Assumptions!$R$35)*'Power Price Assumption'!R44*(12),Assumptions!$R$33*(1-Assumptions!$R$35)*'Power Price Assumption'!R44*(12)-2/3*VLOOKUP(120,'EGC Start Charge Matrix'!$U$10:$AM$35,19)*(1+Assumptions!$R$52)^(R5-Brownsville!$E$5))</f>
        <v>54171.434871057834</v>
      </c>
      <c r="S15" s="253">
        <f>IF(Assumptions!$R$19=120,Assumptions!$R$33*(1-Assumptions!$R$35)*'Power Price Assumption'!S44*(12),Assumptions!$R$33*(1-Assumptions!$R$35)*'Power Price Assumption'!S44*(12)-2/3*VLOOKUP(120,'EGC Start Charge Matrix'!$U$10:$AM$35,19)*(1+Assumptions!$R$52)^(S5-Brownsville!$E$5))</f>
        <v>54800.210454382635</v>
      </c>
      <c r="T15" s="253">
        <f>IF(Assumptions!$R$19=120,Assumptions!$R$33*(1-Assumptions!$R$35)*'Power Price Assumption'!T44*(12),Assumptions!$R$33*(1-Assumptions!$R$35)*'Power Price Assumption'!T44*(12)-2/3*VLOOKUP(120,'EGC Start Charge Matrix'!$U$10:$AM$35,19)*(1+Assumptions!$R$52)^(T5-Brownsville!$E$5))</f>
        <v>55417.958281322935</v>
      </c>
      <c r="U15" s="253">
        <f>IF(Assumptions!$R$19=120,Assumptions!$R$33*(1-Assumptions!$R$35)*'Power Price Assumption'!U44*(12),Assumptions!$R$33*(1-Assumptions!$R$35)*'Power Price Assumption'!U44*(12)-2/3*VLOOKUP(120,'EGC Start Charge Matrix'!$U$10:$AM$35,19)*(1+Assumptions!$R$52)^(U5-Brownsville!$E$5))</f>
        <v>56023.450788470727</v>
      </c>
      <c r="V15" s="253">
        <f>IF(Assumptions!$R$19=120,Assumptions!$R$33*(1-Assumptions!$R$35)*'Power Price Assumption'!V44*(12),Assumptions!$R$33*(1-Assumptions!$R$35)*'Power Price Assumption'!V44*(12)-2/3*VLOOKUP(120,'EGC Start Charge Matrix'!$U$10:$AM$35,19)*(1+Assumptions!$R$52)^(V5-Brownsville!$E$5))</f>
        <v>56615.396683594176</v>
      </c>
      <c r="W15" s="253">
        <f>IF(Assumptions!$R$19=120,Assumptions!$R$33*(1-Assumptions!$R$35)*'Power Price Assumption'!W44*(12),Assumptions!$R$33*(1-Assumptions!$R$35)*'Power Price Assumption'!W44*(12)-2/3*VLOOKUP(120,'EGC Start Charge Matrix'!$U$10:$AM$35,19)*(1+Assumptions!$R$52)^(W5-Brownsville!$E$5))</f>
        <v>57192.438226715421</v>
      </c>
      <c r="X15" s="253">
        <f>IF(Assumptions!$R$19=120,Assumptions!$R$33*(1-Assumptions!$R$35)*'Power Price Assumption'!X44*(12),Assumptions!$R$33*(1-Assumptions!$R$35)*'Power Price Assumption'!X44*(12)-2/3*VLOOKUP(120,'EGC Start Charge Matrix'!$U$10:$AM$35,19)*(1+Assumptions!$R$52)^(X5-Brownsville!$E$5))</f>
        <v>57753.14840540872</v>
      </c>
      <c r="Y15" s="253">
        <f>IF(Assumptions!$R$19=120,Assumptions!$R$33*(1-Assumptions!$R$35)*'Power Price Assumption'!Y44*(12),Assumptions!$R$33*(1-Assumptions!$R$35)*'Power Price Assumption'!Y44*(12)-2/3*VLOOKUP(120,'EGC Start Charge Matrix'!$U$10:$AM$35,19)*(1+Assumptions!$R$52)^(Y5-Brownsville!$E$5))</f>
        <v>57106.313143268133</v>
      </c>
      <c r="Z15" s="253">
        <f>IF(Assumptions!$R$19=120,Assumptions!$R$33*(1-Assumptions!$R$35)*'Power Price Assumption'!Z44*(12),Assumptions!$R$33*(1-Assumptions!$R$35)*'Power Price Assumption'!Z44*(12)-2/3*VLOOKUP(120,'EGC Start Charge Matrix'!$U$10:$AM$35,19)*(1+Assumptions!$R$52)^(Z5-Brownsville!$E$5))</f>
        <v>57594.096234700221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7/12*Assumptions!$R$26*Assumptions!$R$34/1000*(1+Assumptions!$R$39)^(I5-$E$5)+H12*(1+Assumptions!$R$39)*Assumptions!R53/12*1/3</f>
        <v>837.30532584047512</v>
      </c>
      <c r="J16" s="253">
        <f>(Assumptions!$R$26*Assumptions!$R$34/1000)*(1+Assumptions!$R$39)^(J5-$E$5)+$F$12*(1+Assumptions!$Q$39)^(J5-Caledonia!$F$5)*1/3</f>
        <v>1478.4419753411817</v>
      </c>
      <c r="K16" s="253">
        <f>J16*(1+Assumptions!$R$39)</f>
        <v>1522.7952346014172</v>
      </c>
      <c r="L16" s="253">
        <f>K16*(1+Assumptions!$R$39)</f>
        <v>1568.4790916394597</v>
      </c>
      <c r="M16" s="253">
        <f>L16*(1+Assumptions!$R$39)</f>
        <v>1615.5334643886436</v>
      </c>
      <c r="N16" s="253">
        <f>M16*(1+Assumptions!$R$39)</f>
        <v>1663.9994683203029</v>
      </c>
      <c r="O16" s="253">
        <f>N16*(1+Assumptions!$R$39)</f>
        <v>1713.9194523699121</v>
      </c>
      <c r="P16" s="253">
        <f>O16*(1+Assumptions!$R$39)</f>
        <v>1765.3370359410094</v>
      </c>
      <c r="Q16" s="253">
        <f>P16*(1+Assumptions!$R$39)</f>
        <v>1818.2971470192397</v>
      </c>
      <c r="R16" s="253">
        <f>Q16*(1+Assumptions!$R$39)</f>
        <v>1872.8460614298169</v>
      </c>
      <c r="S16" s="253">
        <f>R16*(1+Assumptions!$R$39)</f>
        <v>1929.0314432727114</v>
      </c>
      <c r="T16" s="253">
        <f>S16*(1+Assumptions!$R$39)</f>
        <v>1986.9023865708928</v>
      </c>
      <c r="U16" s="253">
        <f>T16*(1+Assumptions!$R$39)</f>
        <v>2046.5094581680196</v>
      </c>
      <c r="V16" s="253">
        <f>U16*(1+Assumptions!$R$39)</f>
        <v>2107.9047419130602</v>
      </c>
      <c r="W16" s="253">
        <f>V16*(1+Assumptions!$R$39)</f>
        <v>2171.1418841704522</v>
      </c>
      <c r="X16" s="253">
        <f>W16*(1+Assumptions!$R$39)</f>
        <v>2236.2761406955656</v>
      </c>
      <c r="Y16" s="253">
        <f>X16*(1+Assumptions!$R$39)</f>
        <v>2303.3644249164327</v>
      </c>
      <c r="Z16" s="253">
        <f>Y16*(1+Assumptions!$R$39)</f>
        <v>2372.4653576639257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Assumptions!$R$33*Assumptions!$R$35*Assumptions!$R$36*Assumptions!$R$14/1000*7/12</f>
        <v>9.1361480000000004</v>
      </c>
      <c r="J17" s="253">
        <f>Assumptions!$R$33*Assumptions!$R$35*Assumptions!$R$36*Assumptions!$R$14/1000</f>
        <v>15.661968</v>
      </c>
      <c r="K17" s="253">
        <f>Assumptions!$R$33*Assumptions!$R$35*Assumptions!$R$36*Assumptions!$R$14/1000</f>
        <v>15.661968</v>
      </c>
      <c r="L17" s="253">
        <f>Assumptions!$R$33*Assumptions!$R$35*Assumptions!$R$36*Assumptions!$R$14/1000</f>
        <v>15.661968</v>
      </c>
      <c r="M17" s="253">
        <f>Assumptions!$R$33*Assumptions!$R$35*Assumptions!$R$36*Assumptions!$R$14/1000</f>
        <v>15.661968</v>
      </c>
      <c r="N17" s="253">
        <f>Assumptions!$R$33*Assumptions!$R$35*Assumptions!$R$36*Assumptions!$R$14/1000</f>
        <v>15.661968</v>
      </c>
      <c r="O17" s="253">
        <f>Assumptions!$R$33*Assumptions!$R$35*Assumptions!$R$36*Assumptions!$R$14/1000</f>
        <v>15.661968</v>
      </c>
      <c r="P17" s="253">
        <f>Assumptions!$R$33*Assumptions!$R$35*Assumptions!$R$36*Assumptions!$R$14/1000</f>
        <v>15.661968</v>
      </c>
      <c r="Q17" s="253">
        <f>Assumptions!$R$33*Assumptions!$R$35*Assumptions!$R$36*Assumptions!$R$14/1000</f>
        <v>15.661968</v>
      </c>
      <c r="R17" s="253">
        <f>Assumptions!$R$33*Assumptions!$R$35*Assumptions!$R$36*Assumptions!$R$14/1000</f>
        <v>15.661968</v>
      </c>
      <c r="S17" s="253">
        <f>Assumptions!$R$33*Assumptions!$R$35*Assumptions!$R$36*Assumptions!$R$14/1000</f>
        <v>15.661968</v>
      </c>
      <c r="T17" s="253">
        <f>Assumptions!$R$33*Assumptions!$R$35*Assumptions!$R$36*Assumptions!$R$14/1000</f>
        <v>15.661968</v>
      </c>
      <c r="U17" s="253">
        <f>Assumptions!$R$33*Assumptions!$R$35*Assumptions!$R$36*Assumptions!$R$14/1000</f>
        <v>15.661968</v>
      </c>
      <c r="V17" s="253">
        <f>Assumptions!$R$33*Assumptions!$R$35*Assumptions!$R$36*Assumptions!$R$14/1000</f>
        <v>15.661968</v>
      </c>
      <c r="W17" s="253">
        <f>Assumptions!$R$33*Assumptions!$R$35*Assumptions!$R$36*Assumptions!$R$14/1000</f>
        <v>15.661968</v>
      </c>
      <c r="X17" s="253">
        <f>Assumptions!$R$33*Assumptions!$R$35*Assumptions!$R$36*Assumptions!$R$14/1000</f>
        <v>15.661968</v>
      </c>
      <c r="Y17" s="253">
        <f>Assumptions!$R$33*Assumptions!$R$35*Assumptions!$R$36*Assumptions!$R$14/1000</f>
        <v>15.661968</v>
      </c>
      <c r="Z17" s="253">
        <f>Assumptions!$R$33*Assumptions!$R$35*Assumptions!$R$36*Assumptions!$R$14/1000</f>
        <v>15.661968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191.36465887696363</v>
      </c>
      <c r="G19" s="254">
        <f>(SUM(G10:G17)-SUM(G25:G35))*Assumptions!$B$34/4</f>
        <v>323.02410787500912</v>
      </c>
      <c r="H19" s="254">
        <f>(SUM(H10:H17)-SUM(H25:H35))*Assumptions!$B$34/4</f>
        <v>322.10757755147114</v>
      </c>
      <c r="I19" s="254">
        <f>(SUM(I10:I17)-SUM(I25:I35))*Assumptions!$B$34/4</f>
        <v>446.02616533482382</v>
      </c>
      <c r="J19" s="254">
        <f>(SUM(J10:J17)-SUM(J25:J35))*Assumptions!$B$34/4</f>
        <v>543.20577822917414</v>
      </c>
      <c r="K19" s="254">
        <f>(SUM(K10:K17)-SUM(K25:K35))*Assumptions!$B$34/4</f>
        <v>560.32350279922582</v>
      </c>
      <c r="L19" s="254">
        <f>(SUM(L10:L17)-SUM(L25:L35))*Assumptions!$B$34/4</f>
        <v>557.16037281492572</v>
      </c>
      <c r="M19" s="254">
        <f>(SUM(M10:M17)-SUM(M25:M35))*Assumptions!$B$34/4</f>
        <v>563.72527128611455</v>
      </c>
      <c r="N19" s="254">
        <f>(SUM(N10:N17)-SUM(N25:N35))*Assumptions!$B$34/4</f>
        <v>570.1742009374492</v>
      </c>
      <c r="O19" s="254">
        <f>(SUM(O10:O17)-SUM(O25:O35))*Assumptions!$B$34/4</f>
        <v>577.01947788817984</v>
      </c>
      <c r="P19" s="254">
        <f>(SUM(P10:P17)-SUM(P25:P35))*Assumptions!$B$34/4</f>
        <v>583.85252214281832</v>
      </c>
      <c r="Q19" s="254">
        <f>(SUM(Q10:Q17)-SUM(Q25:Q35))*Assumptions!$B$34/4</f>
        <v>590.06955582766534</v>
      </c>
      <c r="R19" s="254">
        <f>(SUM(R10:R17)-SUM(R25:R35))*Assumptions!$B$34/4</f>
        <v>595.92978246791097</v>
      </c>
      <c r="S19" s="254">
        <f>(SUM(S10:S17)-SUM(S25:S35))*Assumptions!$B$34/4</f>
        <v>602.20415656034697</v>
      </c>
      <c r="T19" s="254">
        <f>(SUM(T10:T17)-SUM(T25:T35))*Assumptions!$B$34/4</f>
        <v>607.75023978526929</v>
      </c>
      <c r="U19" s="254">
        <f>(SUM(U10:U17)-SUM(U25:U35))*Assumptions!$B$34/4</f>
        <v>613.02976943191379</v>
      </c>
      <c r="V19" s="254">
        <f>(SUM(V10:V17)-SUM(V25:V35))*Assumptions!$B$34/4</f>
        <v>618.25998417831067</v>
      </c>
      <c r="W19" s="254">
        <f>(SUM(W10:W17)-SUM(W25:W35))*Assumptions!$B$34/4</f>
        <v>623.87693596665144</v>
      </c>
      <c r="X19" s="254">
        <f>(SUM(X10:X17)-SUM(X25:X35))*Assumptions!$B$34/4</f>
        <v>628.93312889810693</v>
      </c>
      <c r="Y19" s="254">
        <f>(SUM(Y10:Y17)-SUM(Y25:Y35))*Assumptions!$B$34/4</f>
        <v>618.80310703197074</v>
      </c>
      <c r="Z19" s="254">
        <f>(SUM(Z10:Z17)-SUM(Z25:Z35))*Assumptions!$B$34/4</f>
        <v>621.35694237746964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19716.740258876962</v>
      </c>
      <c r="G20" s="253">
        <f t="shared" si="1"/>
        <v>32083.440975875004</v>
      </c>
      <c r="H20" s="253">
        <f t="shared" si="1"/>
        <v>32159.816951591474</v>
      </c>
      <c r="I20" s="253">
        <f t="shared" si="1"/>
        <v>42702.425375906147</v>
      </c>
      <c r="J20" s="253">
        <f t="shared" si="1"/>
        <v>50909.8022052835</v>
      </c>
      <c r="K20" s="253">
        <f t="shared" si="1"/>
        <v>52437.447963625185</v>
      </c>
      <c r="L20" s="253">
        <f t="shared" si="1"/>
        <v>52369.85285605157</v>
      </c>
      <c r="M20" s="253">
        <f t="shared" si="1"/>
        <v>53095.886606007196</v>
      </c>
      <c r="N20" s="253">
        <f t="shared" si="1"/>
        <v>53818.355190768314</v>
      </c>
      <c r="O20" s="253">
        <f t="shared" si="1"/>
        <v>54536.916452705373</v>
      </c>
      <c r="P20" s="253">
        <f t="shared" si="1"/>
        <v>55250.259173925864</v>
      </c>
      <c r="Q20" s="253">
        <f t="shared" si="1"/>
        <v>55956.826653688397</v>
      </c>
      <c r="R20" s="253">
        <f t="shared" si="1"/>
        <v>56655.87268295556</v>
      </c>
      <c r="S20" s="253">
        <f t="shared" si="1"/>
        <v>57347.108022215696</v>
      </c>
      <c r="T20" s="253">
        <f t="shared" si="1"/>
        <v>58028.272875679097</v>
      </c>
      <c r="U20" s="253">
        <f t="shared" si="1"/>
        <v>58698.651984070661</v>
      </c>
      <c r="V20" s="253">
        <f t="shared" si="1"/>
        <v>59357.223377685543</v>
      </c>
      <c r="W20" s="253">
        <f t="shared" si="1"/>
        <v>60003.119014852527</v>
      </c>
      <c r="X20" s="253">
        <f t="shared" si="1"/>
        <v>60634.019643002393</v>
      </c>
      <c r="Y20" s="253">
        <f t="shared" si="1"/>
        <v>60044.142643216539</v>
      </c>
      <c r="Z20" s="253">
        <f t="shared" si="1"/>
        <v>60603.580502741614</v>
      </c>
      <c r="AA20" s="140"/>
      <c r="AB20" s="140"/>
      <c r="AC20" s="140"/>
    </row>
    <row r="21" spans="1:29">
      <c r="A21" s="1"/>
      <c r="B21" s="12"/>
      <c r="C21" s="12"/>
      <c r="D21" s="12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s="140"/>
      <c r="AB21" s="140"/>
      <c r="AC21" s="140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Assumptions!$R56*Assumptions!R53/12*(1+Assumptions!$R$52)</f>
        <v>599.03083333333336</v>
      </c>
      <c r="G25" s="253">
        <f>Assumptions!$R56*(1+Assumptions!$R$52)^2</f>
        <v>1057.7173</v>
      </c>
      <c r="H25" s="187">
        <f>G25*(1+Assumptions!$R$52)</f>
        <v>1089.448819</v>
      </c>
      <c r="I25" s="187">
        <f>H25*(1+Assumptions!$R$52)</f>
        <v>1122.13228357</v>
      </c>
      <c r="J25" s="187">
        <f>I25*(1+Assumptions!$R$52)</f>
        <v>1155.7962520771</v>
      </c>
      <c r="K25" s="187">
        <f>J25*(1+Assumptions!$R$52)</f>
        <v>1190.470139639413</v>
      </c>
      <c r="L25" s="187">
        <f>K25*(1+Assumptions!$R$52)</f>
        <v>1226.1842438285953</v>
      </c>
      <c r="M25" s="187">
        <f>L25*(1+Assumptions!$R$52)</f>
        <v>1262.9697711434533</v>
      </c>
      <c r="N25" s="187">
        <f>M25*(1+Assumptions!$R$52)</f>
        <v>1300.858864277757</v>
      </c>
      <c r="O25" s="187">
        <f>N25*(1+Assumptions!$R$52)</f>
        <v>1339.8846302060897</v>
      </c>
      <c r="P25" s="187">
        <f>O25*(1+Assumptions!$R$52)</f>
        <v>1380.0811691122724</v>
      </c>
      <c r="Q25" s="187">
        <f>P25*(1+Assumptions!$R$52)</f>
        <v>1421.4836041856406</v>
      </c>
      <c r="R25" s="187">
        <f>Q25*(1+Assumptions!$R$52)</f>
        <v>1464.1281123112099</v>
      </c>
      <c r="S25" s="187">
        <f>R25*(1+Assumptions!$R$52)</f>
        <v>1508.0519556805461</v>
      </c>
      <c r="T25" s="187">
        <f>S25*(1+Assumptions!$R$52)</f>
        <v>1553.2935143509626</v>
      </c>
      <c r="U25" s="187">
        <f>T25*(1+Assumptions!$R$52)</f>
        <v>1599.8923197814916</v>
      </c>
      <c r="V25" s="187">
        <f>U25*(1+Assumptions!$R$52)</f>
        <v>1647.8890893749362</v>
      </c>
      <c r="W25" s="187">
        <f>V25*(1+Assumptions!$R$52)</f>
        <v>1697.3257620561844</v>
      </c>
      <c r="X25" s="187">
        <f>W25*(1+Assumptions!$R$52)</f>
        <v>1748.2455349178699</v>
      </c>
      <c r="Y25" s="187">
        <f>X25*(1+Assumptions!$R$52)</f>
        <v>1800.6929009654061</v>
      </c>
      <c r="Z25" s="187">
        <f>Y25*(1+Assumptions!$R$52)</f>
        <v>1854.7136879943685</v>
      </c>
    </row>
    <row r="26" spans="1:29">
      <c r="A26" s="4" t="s">
        <v>177</v>
      </c>
      <c r="E26" s="253">
        <v>0</v>
      </c>
      <c r="F26" s="253">
        <f>Assumptions!$R59*(1+Assumptions!$R$52)</f>
        <v>648.36440000000005</v>
      </c>
      <c r="G26" s="253">
        <f>F26*(1+Assumptions!$R$52)</f>
        <v>667.81533200000001</v>
      </c>
      <c r="H26" s="187">
        <f>G26*(1+Assumptions!$R$52)</f>
        <v>687.84979196000006</v>
      </c>
      <c r="I26" s="253">
        <f>5/12*Assumptions!R59*(1+Assumptions!$R$52)^(I5-$E$5)+7/12*Assumptions!$R$60*(1+Assumptions!$R$52)^4</f>
        <v>738.78953970117516</v>
      </c>
      <c r="J26" s="253">
        <f>Assumptions!$R$60*(1+Assumptions!$R$52)^(J5-$E$5)</f>
        <v>783.24849846495783</v>
      </c>
      <c r="K26" s="187">
        <f>J26*(1+Assumptions!$R$52)</f>
        <v>806.74595341890654</v>
      </c>
      <c r="L26" s="187">
        <f>K26*(1+Assumptions!$R$52)</f>
        <v>830.94833202147379</v>
      </c>
      <c r="M26" s="187">
        <f>L26*(1+Assumptions!$R$52)</f>
        <v>855.87678198211802</v>
      </c>
      <c r="N26" s="187">
        <f>M26*(1+Assumptions!$R$52)</f>
        <v>881.55308544158163</v>
      </c>
      <c r="O26" s="187">
        <f>N26*(1+Assumptions!$R$52)</f>
        <v>907.99967800482909</v>
      </c>
      <c r="P26" s="187">
        <f>O26*(1+Assumptions!$R$52)</f>
        <v>935.23966834497401</v>
      </c>
      <c r="Q26" s="187">
        <f>P26*(1+Assumptions!$R$52)</f>
        <v>963.29685839532328</v>
      </c>
      <c r="R26" s="187">
        <f>Q26*(1+Assumptions!$R$52)</f>
        <v>992.19576414718301</v>
      </c>
      <c r="S26" s="187">
        <f>R26*(1+Assumptions!$R$52)</f>
        <v>1021.9616370715985</v>
      </c>
      <c r="T26" s="187">
        <f>S26*(1+Assumptions!$R$52)</f>
        <v>1052.6204861837464</v>
      </c>
      <c r="U26" s="187">
        <f>T26*(1+Assumptions!$R$52)</f>
        <v>1084.1991007692588</v>
      </c>
      <c r="V26" s="187">
        <f>U26*(1+Assumptions!$R$52)</f>
        <v>1116.7250737923366</v>
      </c>
      <c r="W26" s="187">
        <f>V26*(1+Assumptions!$R$52)</f>
        <v>1150.2268260061066</v>
      </c>
      <c r="X26" s="187">
        <f>W26*(1+Assumptions!$R$52)</f>
        <v>1184.73363078629</v>
      </c>
      <c r="Y26" s="187">
        <f>X26*(1+Assumptions!$R$52)</f>
        <v>1220.2756397098788</v>
      </c>
      <c r="Z26" s="187">
        <f>Y26*(1+Assumptions!$R$52)</f>
        <v>1256.8839089011751</v>
      </c>
    </row>
    <row r="27" spans="1:29">
      <c r="A27" s="4" t="s">
        <v>131</v>
      </c>
      <c r="E27" s="253">
        <v>0</v>
      </c>
      <c r="F27" s="253">
        <f>VLOOKUP(Assumptions!R19,'EGC Start Charge Matrix'!$U$10:$AM$35,19)*(1+Assumptions!$R$52)</f>
        <v>1853.0111999999999</v>
      </c>
      <c r="G27" s="253">
        <f>F27*(1+Assumptions!$R$52)</f>
        <v>1908.6015359999999</v>
      </c>
      <c r="H27" s="253">
        <f>G27*(1+Assumptions!$R$52)</f>
        <v>1965.8595820799999</v>
      </c>
      <c r="I27" s="253">
        <f>H27*(1+Assumptions!$R$52)</f>
        <v>2024.8353695424</v>
      </c>
      <c r="J27" s="253">
        <f>I27*(1+Assumptions!$R$52)</f>
        <v>2085.5804306286723</v>
      </c>
      <c r="K27" s="253">
        <f>J27*(1+Assumptions!$R$52)</f>
        <v>2148.1478435475324</v>
      </c>
      <c r="L27" s="253">
        <f>K27*(1+Assumptions!$R$52)</f>
        <v>2212.5922788539583</v>
      </c>
      <c r="M27" s="253">
        <f>L27*(1+Assumptions!$R$52)</f>
        <v>2278.9700472195773</v>
      </c>
      <c r="N27" s="253">
        <f>M27*(1+Assumptions!$R$52)</f>
        <v>2347.3391486361647</v>
      </c>
      <c r="O27" s="253">
        <f>N27*(1+Assumptions!$R$52)</f>
        <v>2417.7593230952498</v>
      </c>
      <c r="P27" s="253">
        <f>O27*(1+Assumptions!$R$52)</f>
        <v>2490.2921027881075</v>
      </c>
      <c r="Q27" s="253">
        <f>P27*(1+Assumptions!$R$52)</f>
        <v>2565.0008658717506</v>
      </c>
      <c r="R27" s="253">
        <f>Q27*(1+Assumptions!$R$52)</f>
        <v>2641.9508918479032</v>
      </c>
      <c r="S27" s="253">
        <f>R27*(1+Assumptions!$R$52)</f>
        <v>2721.2094186033405</v>
      </c>
      <c r="T27" s="253">
        <f>S27*(1+Assumptions!$R$52)</f>
        <v>2802.845701161441</v>
      </c>
      <c r="U27" s="253">
        <f>T27*(1+Assumptions!$R$52)</f>
        <v>2886.9310721962843</v>
      </c>
      <c r="V27" s="253">
        <f>U27*(1+Assumptions!$R$52)</f>
        <v>2973.5390043621728</v>
      </c>
      <c r="W27" s="253">
        <f>V27*(1+Assumptions!$R$52)</f>
        <v>3062.7451744930381</v>
      </c>
      <c r="X27" s="253">
        <f>W27*(1+Assumptions!$R$52)</f>
        <v>3154.6275297278294</v>
      </c>
      <c r="Y27" s="253">
        <f>X27*(1+Assumptions!$R$52)</f>
        <v>3249.2663556196644</v>
      </c>
      <c r="Z27" s="253">
        <f>Y27*(1+Assumptions!$R$52)</f>
        <v>3346.7443462882543</v>
      </c>
    </row>
    <row r="28" spans="1:29">
      <c r="A28" s="4" t="s">
        <v>133</v>
      </c>
      <c r="E28" s="253">
        <v>0</v>
      </c>
      <c r="F28" s="253">
        <f>Assumptions!$R62*Assumptions!$Q$53*(1+Assumptions!$R$52)/12</f>
        <v>149.86500000000001</v>
      </c>
      <c r="G28" s="253">
        <f>Assumptions!$R62*(1+Assumptions!$R$52)^2</f>
        <v>308.72190000000001</v>
      </c>
      <c r="H28" s="187">
        <f>G28*(1+Assumptions!$R$52)</f>
        <v>317.98355700000002</v>
      </c>
      <c r="I28" s="187">
        <f>H28*(1+Assumptions!$R$52)</f>
        <v>327.52306371000003</v>
      </c>
      <c r="J28" s="187">
        <f>I28*(1+Assumptions!$R$52)</f>
        <v>337.34875562130003</v>
      </c>
      <c r="K28" s="187">
        <f>J28*(1+Assumptions!$R$52)</f>
        <v>347.46921828993902</v>
      </c>
      <c r="L28" s="187">
        <f>K28*(1+Assumptions!$R$52)</f>
        <v>357.89329483863719</v>
      </c>
      <c r="M28" s="187">
        <f>L28*(1+Assumptions!$R$52)</f>
        <v>368.6300936837963</v>
      </c>
      <c r="N28" s="187">
        <f>M28*(1+Assumptions!$R$52)</f>
        <v>379.68899649431017</v>
      </c>
      <c r="O28" s="187">
        <f>N28*(1+Assumptions!$R$52)</f>
        <v>391.0796663891395</v>
      </c>
      <c r="P28" s="187">
        <f>O28*(1+Assumptions!$R$52)</f>
        <v>402.81205638081371</v>
      </c>
      <c r="Q28" s="187">
        <f>P28*(1+Assumptions!$R$52)</f>
        <v>414.89641807223813</v>
      </c>
      <c r="R28" s="187">
        <f>Q28*(1+Assumptions!$R$52)</f>
        <v>427.34331061440531</v>
      </c>
      <c r="S28" s="187">
        <f>R28*(1+Assumptions!$R$52)</f>
        <v>440.16360993283746</v>
      </c>
      <c r="T28" s="187">
        <f>S28*(1+Assumptions!$R$52)</f>
        <v>453.36851823082259</v>
      </c>
      <c r="U28" s="187">
        <f>T28*(1+Assumptions!$R$52)</f>
        <v>466.96957377774726</v>
      </c>
      <c r="V28" s="187">
        <f>U28*(1+Assumptions!$R$52)</f>
        <v>480.97866099107966</v>
      </c>
      <c r="W28" s="187">
        <f>V28*(1+Assumptions!$R$52)</f>
        <v>495.40802082081206</v>
      </c>
      <c r="X28" s="187">
        <f>W28*(1+Assumptions!$R$52)</f>
        <v>510.2702614454364</v>
      </c>
      <c r="Y28" s="187">
        <f>X28*(1+Assumptions!$R$52)</f>
        <v>525.57836928879954</v>
      </c>
      <c r="Z28" s="187">
        <f>Y28*(1+Assumptions!$R$52)</f>
        <v>541.34572036746351</v>
      </c>
    </row>
    <row r="29" spans="1:29">
      <c r="A29" s="4" t="s">
        <v>134</v>
      </c>
      <c r="E29" s="253">
        <v>0</v>
      </c>
      <c r="F29" s="253">
        <f>Assumptions!$R63*Assumptions!R53/12*(1+Assumptions!$R$52)</f>
        <v>295.00916666666672</v>
      </c>
      <c r="G29" s="253">
        <f>(Assumptions!$R63)*(1+Assumptions!$R$52)^2</f>
        <v>520.90189999999996</v>
      </c>
      <c r="H29" s="187">
        <f>G29*(1+Assumptions!$R$52)</f>
        <v>536.52895699999999</v>
      </c>
      <c r="I29" s="187">
        <f>H29*(1+Assumptions!$R$52)</f>
        <v>552.62482570999998</v>
      </c>
      <c r="J29" s="187">
        <f>I29*(1+Assumptions!$R$52)</f>
        <v>569.20357048129995</v>
      </c>
      <c r="K29" s="187">
        <f>J29*(1+Assumptions!$R$52)</f>
        <v>586.27967759573892</v>
      </c>
      <c r="L29" s="187">
        <f>K29*(1+Assumptions!$R$52)</f>
        <v>603.86806792361108</v>
      </c>
      <c r="M29" s="187">
        <f>L29*(1+Assumptions!$R$52)</f>
        <v>621.9841099613194</v>
      </c>
      <c r="N29" s="187">
        <f>M29*(1+Assumptions!$R$52)</f>
        <v>640.64363326015905</v>
      </c>
      <c r="O29" s="187">
        <f>N29*(1+Assumptions!$R$52)</f>
        <v>659.86294225796382</v>
      </c>
      <c r="P29" s="187">
        <f>O29*(1+Assumptions!$R$52)</f>
        <v>679.6588305257028</v>
      </c>
      <c r="Q29" s="187">
        <f>P29*(1+Assumptions!$R$52)</f>
        <v>700.04859544147394</v>
      </c>
      <c r="R29" s="187">
        <f>Q29*(1+Assumptions!$R$52)</f>
        <v>721.05005330471818</v>
      </c>
      <c r="S29" s="187">
        <f>R29*(1+Assumptions!$R$52)</f>
        <v>742.68155490385971</v>
      </c>
      <c r="T29" s="187">
        <f>S29*(1+Assumptions!$R$52)</f>
        <v>764.96200155097551</v>
      </c>
      <c r="U29" s="187">
        <f>T29*(1+Assumptions!$R$52)</f>
        <v>787.91086159750478</v>
      </c>
      <c r="V29" s="187">
        <f>U29*(1+Assumptions!$R$52)</f>
        <v>811.5481874454299</v>
      </c>
      <c r="W29" s="187">
        <f>V29*(1+Assumptions!$R$52)</f>
        <v>835.89463306879281</v>
      </c>
      <c r="X29" s="187">
        <f>W29*(1+Assumptions!$R$52)</f>
        <v>860.97147206085663</v>
      </c>
      <c r="Y29" s="187">
        <f>X29*(1+Assumptions!$R$52)</f>
        <v>886.80061622268238</v>
      </c>
      <c r="Z29" s="187">
        <f>Y29*(1+Assumptions!$R$52)</f>
        <v>913.40463470936288</v>
      </c>
    </row>
    <row r="30" spans="1:29">
      <c r="A30" s="4" t="s">
        <v>287</v>
      </c>
      <c r="E30" s="253">
        <v>0</v>
      </c>
      <c r="F30" s="253">
        <f>+Assumptions!R64*(1+Assumptions!$R$52)</f>
        <v>66.332000000000008</v>
      </c>
      <c r="G30" s="253">
        <f>(Assumptions!$R64)*(1+Assumptions!$R$52)^2</f>
        <v>68.321960000000004</v>
      </c>
      <c r="H30" s="253">
        <f>G30*(1+Assumptions!$R$52)</f>
        <v>70.371618800000007</v>
      </c>
      <c r="I30" s="253">
        <f>H30*(1+Assumptions!$R$52)</f>
        <v>72.482767364000011</v>
      </c>
      <c r="J30" s="253">
        <f>I30*(1+Assumptions!$R$52)</f>
        <v>74.657250384920019</v>
      </c>
      <c r="K30" s="253">
        <f>J30*(1+Assumptions!$R$52)</f>
        <v>76.896967896467615</v>
      </c>
      <c r="L30" s="253">
        <f>K30*(1+Assumptions!$R$52)</f>
        <v>79.203876933361641</v>
      </c>
      <c r="M30" s="253">
        <f>L30*(1+Assumptions!$R$52)</f>
        <v>81.579993241362487</v>
      </c>
      <c r="N30" s="253">
        <f>M30*(1+Assumptions!$R$52)</f>
        <v>84.027393038603364</v>
      </c>
      <c r="O30" s="253">
        <f>N30*(1+Assumptions!$R$52)</f>
        <v>86.548214829761463</v>
      </c>
      <c r="P30" s="253">
        <f>O30*(1+Assumptions!$R$52)</f>
        <v>89.144661274654311</v>
      </c>
      <c r="Q30" s="253">
        <f>P30*(1+Assumptions!$R$52)</f>
        <v>91.819001112893943</v>
      </c>
      <c r="R30" s="253">
        <f>Q30*(1+Assumptions!$R$52)</f>
        <v>94.57357114628077</v>
      </c>
      <c r="S30" s="253">
        <f>R30*(1+Assumptions!$R$52)</f>
        <v>97.410778280669192</v>
      </c>
      <c r="T30" s="253">
        <f>S30*(1+Assumptions!$R$52)</f>
        <v>100.33310162908927</v>
      </c>
      <c r="U30" s="253">
        <f>T30*(1+Assumptions!$R$52)</f>
        <v>103.34309467796196</v>
      </c>
      <c r="V30" s="253">
        <f>U30*(1+Assumptions!$R$52)</f>
        <v>106.44338751830082</v>
      </c>
      <c r="W30" s="253">
        <f>V30*(1+Assumptions!$R$52)</f>
        <v>109.63668914384985</v>
      </c>
      <c r="X30" s="253">
        <f>W30*(1+Assumptions!$R$52)</f>
        <v>112.92578981816534</v>
      </c>
      <c r="Y30" s="253">
        <f>X30*(1+Assumptions!$R$52)</f>
        <v>116.3135635127103</v>
      </c>
      <c r="Z30" s="253">
        <f>Y30*(1+Assumptions!$R$52)</f>
        <v>119.80297041809162</v>
      </c>
    </row>
    <row r="31" spans="1:29">
      <c r="A31" s="4" t="s">
        <v>288</v>
      </c>
      <c r="E31" s="253">
        <v>0</v>
      </c>
      <c r="F31" s="253">
        <v>78.388646999999992</v>
      </c>
      <c r="G31" s="253">
        <v>402.3808693768251</v>
      </c>
      <c r="H31" s="187">
        <v>402.3808693768251</v>
      </c>
      <c r="I31" s="253">
        <v>402.3808693768251</v>
      </c>
      <c r="J31" s="253">
        <v>402.3808693768251</v>
      </c>
      <c r="K31" s="253">
        <v>360.36625681160609</v>
      </c>
      <c r="L31" s="253">
        <v>360.36625681160609</v>
      </c>
      <c r="M31" s="253">
        <v>360.36625681160609</v>
      </c>
      <c r="N31" s="253">
        <v>360.36625681160609</v>
      </c>
      <c r="O31" s="253">
        <v>318.35164424638714</v>
      </c>
      <c r="P31" s="253">
        <v>318.35164424638714</v>
      </c>
      <c r="Q31" s="253">
        <v>318.35164424638714</v>
      </c>
      <c r="R31" s="253">
        <v>318.35164424638714</v>
      </c>
      <c r="S31" s="253">
        <v>276.33703168116813</v>
      </c>
      <c r="T31" s="253">
        <v>276.33703168116813</v>
      </c>
      <c r="U31" s="253">
        <v>276.33703168116813</v>
      </c>
      <c r="V31" s="253">
        <v>276.33703168116813</v>
      </c>
      <c r="W31" s="253">
        <v>234.32241911594906</v>
      </c>
      <c r="X31" s="253">
        <v>234.32241911594906</v>
      </c>
      <c r="Y31" s="253">
        <v>234.32241911594906</v>
      </c>
      <c r="Z31" s="253">
        <v>301.59732989863613</v>
      </c>
    </row>
    <row r="32" spans="1:29">
      <c r="A32" s="4" t="s">
        <v>289</v>
      </c>
      <c r="E32" s="253">
        <v>0</v>
      </c>
      <c r="F32" s="253">
        <f ca="1">Allocation!$I$13*IS!E31*7/12</f>
        <v>289.10562208166283</v>
      </c>
      <c r="G32" s="253">
        <f>Allocation!$I$13*IS!F31</f>
        <v>495.60963785427907</v>
      </c>
      <c r="H32" s="253">
        <f>Allocation!$I$13*IS!G31</f>
        <v>495.60963785427907</v>
      </c>
      <c r="I32" s="253">
        <f>Allocation!$I$13*IS!H31</f>
        <v>495.60963785427907</v>
      </c>
      <c r="J32" s="253">
        <f>Allocation!$I$13*IS!I31</f>
        <v>403.5972749198728</v>
      </c>
      <c r="K32" s="253">
        <f>Allocation!$I$13*IS!J31</f>
        <v>403.5972749198728</v>
      </c>
      <c r="L32" s="253">
        <f>Allocation!$I$13*IS!K31</f>
        <v>403.5972749198728</v>
      </c>
      <c r="M32" s="253">
        <f>Allocation!$I$13*IS!L31</f>
        <v>403.5972749198728</v>
      </c>
      <c r="N32" s="253">
        <f>Allocation!$I$13*IS!M31</f>
        <v>403.5972749198728</v>
      </c>
      <c r="O32" s="253">
        <f>Allocation!$I$13*IS!N31</f>
        <v>403.5972749198728</v>
      </c>
      <c r="P32" s="253">
        <f>Allocation!$I$13*IS!O31</f>
        <v>351.1717167767415</v>
      </c>
      <c r="Q32" s="253">
        <f>Allocation!$I$13*IS!P31</f>
        <v>335.49902248663341</v>
      </c>
      <c r="R32" s="253">
        <f>Allocation!$I$13*IS!Q31</f>
        <v>334.64643494647117</v>
      </c>
      <c r="S32" s="253">
        <f>Allocation!$I$13*IS!R31</f>
        <v>327.69521856864787</v>
      </c>
      <c r="T32" s="253">
        <f>Allocation!$I$13*IS!S31</f>
        <v>320.69115809601414</v>
      </c>
      <c r="U32" s="253">
        <f>Allocation!$I$13*IS!T31</f>
        <v>317.32410721051048</v>
      </c>
      <c r="V32" s="253">
        <f>Allocation!$I$13*IS!U31</f>
        <v>298.76072073143541</v>
      </c>
      <c r="W32" s="253">
        <f>Allocation!$I$13*IS!V31</f>
        <v>270.60586840313522</v>
      </c>
      <c r="X32" s="253">
        <f>Allocation!$I$13*IS!W31</f>
        <v>223.03010168407252</v>
      </c>
      <c r="Y32" s="253">
        <f>Allocation!$I$13*IS!X31</f>
        <v>176.69236261156973</v>
      </c>
      <c r="Z32" s="253">
        <f>Allocation!$I$13*IS!Y31</f>
        <v>176.69236261156973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Assumptions!$R$50*Assumptions!$R$33*7</f>
        <v>319.76518000000004</v>
      </c>
      <c r="J33" s="135">
        <f>Assumptions!$R$50*Assumptions!$R$33*12*(1+Assumptions!R52)</f>
        <v>564.61394640000003</v>
      </c>
      <c r="K33" s="135">
        <f>J33*(1+Assumptions!$R$39)</f>
        <v>581.55236479200005</v>
      </c>
      <c r="L33" s="135">
        <f>K33*(1+Assumptions!$R$39)</f>
        <v>598.99893573576003</v>
      </c>
      <c r="M33" s="135">
        <f>L33*(1+Assumptions!$R$39)</f>
        <v>616.96890380783282</v>
      </c>
      <c r="N33" s="135">
        <f>M33*(1+Assumptions!$R$39)</f>
        <v>635.47797092206781</v>
      </c>
      <c r="O33" s="135">
        <f>N33*(1+Assumptions!$R$39)</f>
        <v>654.54231004972985</v>
      </c>
      <c r="P33" s="135">
        <f>O33*(1+Assumptions!$R$39)</f>
        <v>674.17857935122174</v>
      </c>
      <c r="Q33" s="135">
        <f>P33*(1+Assumptions!$R$39)</f>
        <v>694.40393673175845</v>
      </c>
      <c r="R33" s="135">
        <f>Q33*(1+Assumptions!$R$39)</f>
        <v>715.23605483371125</v>
      </c>
      <c r="S33" s="135">
        <f>R33*(1+Assumptions!$R$39)</f>
        <v>736.69313647872264</v>
      </c>
      <c r="T33" s="135">
        <f>S33*(1+Assumptions!$R$39)</f>
        <v>758.79393057308437</v>
      </c>
      <c r="U33" s="135">
        <f>T33*(1+Assumptions!$R$39)</f>
        <v>781.55774849027694</v>
      </c>
      <c r="V33" s="135">
        <f>U33*(1+Assumptions!$R$39)</f>
        <v>805.00448094498529</v>
      </c>
      <c r="W33" s="135">
        <f>V33*(1+Assumptions!$R$39)</f>
        <v>829.15461537333488</v>
      </c>
      <c r="X33" s="135">
        <f>W33*(1+Assumptions!$R$39)</f>
        <v>854.02925383453498</v>
      </c>
      <c r="Y33" s="135">
        <f>X33*(1+Assumptions!$R$39)</f>
        <v>879.65013144957106</v>
      </c>
      <c r="Z33" s="135">
        <f>Y33*(1+Assumptions!$R$39)</f>
        <v>906.03963539305823</v>
      </c>
    </row>
    <row r="34" spans="1:26">
      <c r="A34" s="4" t="s">
        <v>181</v>
      </c>
      <c r="E34" s="253"/>
      <c r="F34" s="253">
        <f>Assumptions!$R65*(1+Assumptions!$R$52)*Assumptions!$Q$53/12</f>
        <v>108.3460207612457</v>
      </c>
      <c r="G34" s="253">
        <f>Assumptions!$R65*(1+Assumptions!$R$52)^2</f>
        <v>223.1928027681661</v>
      </c>
      <c r="H34" s="253">
        <f>G34*(1+Assumptions!$R$52)</f>
        <v>229.8885868512111</v>
      </c>
      <c r="I34" s="253">
        <f>H34*(1+Assumptions!$R$52)</f>
        <v>236.78524445674745</v>
      </c>
      <c r="J34" s="253">
        <f>I34*(1+Assumptions!$R$52)</f>
        <v>243.88880179044989</v>
      </c>
      <c r="K34" s="253">
        <f>J34*(1+Assumptions!$R$52)</f>
        <v>251.2054658441634</v>
      </c>
      <c r="L34" s="253">
        <f>K34*(1+Assumptions!$R$52)</f>
        <v>258.74162981948831</v>
      </c>
      <c r="M34" s="253">
        <f>L34*(1+Assumptions!$R$52)</f>
        <v>266.50387871407298</v>
      </c>
      <c r="N34" s="253">
        <f>M34*(1+Assumptions!$R$52)</f>
        <v>274.4989950754952</v>
      </c>
      <c r="O34" s="253">
        <f>N34*(1+Assumptions!$R$52)</f>
        <v>282.73396492776004</v>
      </c>
      <c r="P34" s="253">
        <f>O34*(1+Assumptions!$R$52)</f>
        <v>291.21598387559283</v>
      </c>
      <c r="Q34" s="253">
        <f>P34*(1+Assumptions!$R$52)</f>
        <v>299.95246339186065</v>
      </c>
      <c r="R34" s="253">
        <f>Q34*(1+Assumptions!$R$52)</f>
        <v>308.95103729361648</v>
      </c>
      <c r="S34" s="253">
        <f>R34*(1+Assumptions!$R$52)</f>
        <v>318.21956841242496</v>
      </c>
      <c r="T34" s="253">
        <f>S34*(1+Assumptions!$R$52)</f>
        <v>327.76615546479769</v>
      </c>
      <c r="U34" s="253">
        <f>T34*(1+Assumptions!$R$52)</f>
        <v>337.59914012874162</v>
      </c>
      <c r="V34" s="253">
        <f>U34*(1+Assumptions!$R$52)</f>
        <v>347.72711433260389</v>
      </c>
      <c r="W34" s="253">
        <f>V34*(1+Assumptions!$R$52)</f>
        <v>358.15892776258204</v>
      </c>
      <c r="X34" s="253">
        <f>W34*(1+Assumptions!$R$52)</f>
        <v>368.90369559545951</v>
      </c>
      <c r="Y34" s="253">
        <f>X34*(1+Assumptions!$R$52)</f>
        <v>379.9708064633233</v>
      </c>
      <c r="Z34" s="253">
        <f>Y34*(1+Assumptions!$R$52)</f>
        <v>391.36993065722299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Assumptions!$R66*Assumptions!$Q$53*(1+Assumptions!$R$52)/12</f>
        <v>128.75</v>
      </c>
      <c r="G35" s="254">
        <f>Assumptions!$R66*(1+Assumptions!$R$52)^2</f>
        <v>265.22499999999997</v>
      </c>
      <c r="H35" s="254">
        <f>G35*(1+Assumptions!$R$52)</f>
        <v>273.18174999999997</v>
      </c>
      <c r="I35" s="254">
        <f>H35*(1+Assumptions!$R$52)</f>
        <v>281.37720249999995</v>
      </c>
      <c r="J35" s="254">
        <f>I35*(1+Assumptions!$R$52)</f>
        <v>289.81851857499998</v>
      </c>
      <c r="K35" s="254">
        <f>J35*(1+Assumptions!$R$52)</f>
        <v>298.51307413224998</v>
      </c>
      <c r="L35" s="254">
        <f>K35*(1+Assumptions!$R$52)</f>
        <v>307.4684663562175</v>
      </c>
      <c r="M35" s="254">
        <f>L35*(1+Assumptions!$R$52)</f>
        <v>316.69252034690402</v>
      </c>
      <c r="N35" s="254">
        <f>M35*(1+Assumptions!$R$52)</f>
        <v>326.19329595731114</v>
      </c>
      <c r="O35" s="254">
        <f>N35*(1+Assumptions!$R$52)</f>
        <v>335.97909483603047</v>
      </c>
      <c r="P35" s="254">
        <f>O35*(1+Assumptions!$R$52)</f>
        <v>346.05846768111138</v>
      </c>
      <c r="Q35" s="254">
        <f>P35*(1+Assumptions!$R$52)</f>
        <v>356.44022171154472</v>
      </c>
      <c r="R35" s="254">
        <f>Q35*(1+Assumptions!$R$52)</f>
        <v>367.1334283628911</v>
      </c>
      <c r="S35" s="254">
        <f>R35*(1+Assumptions!$R$52)</f>
        <v>378.14743121377785</v>
      </c>
      <c r="T35" s="254">
        <f>S35*(1+Assumptions!$R$52)</f>
        <v>389.49185415019122</v>
      </c>
      <c r="U35" s="254">
        <f>T35*(1+Assumptions!$R$52)</f>
        <v>401.17660977469694</v>
      </c>
      <c r="V35" s="254">
        <f>U35*(1+Assumptions!$R$52)</f>
        <v>413.21190806793788</v>
      </c>
      <c r="W35" s="254">
        <f>V35*(1+Assumptions!$R$52)</f>
        <v>425.60826530997605</v>
      </c>
      <c r="X35" s="254">
        <f>W35*(1+Assumptions!$R$52)</f>
        <v>438.37651326927534</v>
      </c>
      <c r="Y35" s="254">
        <f>X35*(1+Assumptions!$R$52)</f>
        <v>451.52780866735361</v>
      </c>
      <c r="Z35" s="254">
        <f>Y35*(1+Assumptions!$R$52)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4216.2028898429089</v>
      </c>
      <c r="G36" s="253">
        <f t="shared" si="2"/>
        <v>5918.4882379992705</v>
      </c>
      <c r="H36" s="187">
        <f t="shared" si="2"/>
        <v>6069.103169922314</v>
      </c>
      <c r="I36" s="253">
        <f t="shared" si="2"/>
        <v>6574.3059837854262</v>
      </c>
      <c r="J36" s="253">
        <f t="shared" si="2"/>
        <v>6910.1341687203976</v>
      </c>
      <c r="K36" s="253">
        <f t="shared" si="2"/>
        <v>7051.2442368878892</v>
      </c>
      <c r="L36" s="253">
        <f t="shared" si="2"/>
        <v>7239.8626580425816</v>
      </c>
      <c r="M36" s="253">
        <f t="shared" si="2"/>
        <v>7434.1396318319157</v>
      </c>
      <c r="N36" s="253">
        <f t="shared" si="2"/>
        <v>7634.2449148349297</v>
      </c>
      <c r="O36" s="253">
        <f t="shared" si="2"/>
        <v>7798.3387437628144</v>
      </c>
      <c r="P36" s="253">
        <f t="shared" si="2"/>
        <v>7958.2048803575781</v>
      </c>
      <c r="Q36" s="253">
        <f t="shared" si="2"/>
        <v>8161.1926316475046</v>
      </c>
      <c r="R36" s="253">
        <f t="shared" si="2"/>
        <v>8385.5603030547773</v>
      </c>
      <c r="S36" s="253">
        <f t="shared" si="2"/>
        <v>8568.5713408275933</v>
      </c>
      <c r="T36" s="253">
        <f t="shared" si="2"/>
        <v>8800.5034530722933</v>
      </c>
      <c r="U36" s="253">
        <f t="shared" si="2"/>
        <v>9043.2406600856411</v>
      </c>
      <c r="V36" s="253">
        <f t="shared" si="2"/>
        <v>9278.1646592423858</v>
      </c>
      <c r="W36" s="253">
        <f t="shared" si="2"/>
        <v>9469.0872015537625</v>
      </c>
      <c r="X36" s="253">
        <f t="shared" si="2"/>
        <v>9690.436202255738</v>
      </c>
      <c r="Y36" s="253">
        <f t="shared" si="2"/>
        <v>9921.0909736269077</v>
      </c>
      <c r="Z36" s="253">
        <f t="shared" si="2"/>
        <v>10273.668170166577</v>
      </c>
    </row>
    <row r="37" spans="1:26" s="146" customFormat="1" ht="9.6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 ht="18.75" customHeigh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15500.537369034053</v>
      </c>
      <c r="G39" s="259">
        <f t="shared" si="3"/>
        <v>26164.952737875734</v>
      </c>
      <c r="H39" s="260">
        <f t="shared" si="3"/>
        <v>26090.713781669161</v>
      </c>
      <c r="I39" s="259">
        <f t="shared" si="3"/>
        <v>36128.119392120723</v>
      </c>
      <c r="J39" s="259">
        <f t="shared" si="3"/>
        <v>43999.668036563104</v>
      </c>
      <c r="K39" s="259">
        <f t="shared" si="3"/>
        <v>45386.203726737294</v>
      </c>
      <c r="L39" s="259">
        <f t="shared" si="3"/>
        <v>45129.990198008985</v>
      </c>
      <c r="M39" s="259">
        <f t="shared" si="3"/>
        <v>45661.746974175279</v>
      </c>
      <c r="N39" s="259">
        <f t="shared" si="3"/>
        <v>46184.110275933388</v>
      </c>
      <c r="O39" s="259">
        <f t="shared" si="3"/>
        <v>46738.577708942561</v>
      </c>
      <c r="P39" s="259">
        <f t="shared" si="3"/>
        <v>47292.05429356829</v>
      </c>
      <c r="Q39" s="259">
        <f t="shared" si="3"/>
        <v>47795.634022040889</v>
      </c>
      <c r="R39" s="259">
        <f t="shared" si="3"/>
        <v>48270.312379900781</v>
      </c>
      <c r="S39" s="259">
        <f t="shared" si="3"/>
        <v>48778.536681388105</v>
      </c>
      <c r="T39" s="259">
        <f t="shared" si="3"/>
        <v>49227.769422606805</v>
      </c>
      <c r="U39" s="259">
        <f t="shared" si="3"/>
        <v>49655.411323985019</v>
      </c>
      <c r="V39" s="259">
        <f t="shared" si="3"/>
        <v>50079.058718443157</v>
      </c>
      <c r="W39" s="259">
        <f t="shared" si="3"/>
        <v>50534.031813298767</v>
      </c>
      <c r="X39" s="259">
        <f t="shared" si="3"/>
        <v>50943.583440746654</v>
      </c>
      <c r="Y39" s="259">
        <f t="shared" si="3"/>
        <v>50123.051669589629</v>
      </c>
      <c r="Z39" s="259">
        <f t="shared" si="3"/>
        <v>50329.912332575041</v>
      </c>
    </row>
    <row r="40" spans="1:26" s="138" customFormat="1" ht="18.75" customHeigh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Allocation!$G$13*IS!E40</f>
        <v>6432.832660072876</v>
      </c>
      <c r="G41" s="253">
        <f>Allocation!$G$13*IS!F40</f>
        <v>8843.43945186778</v>
      </c>
      <c r="H41" s="253">
        <f>Allocation!$G$13*IS!G40</f>
        <v>8843.43945186778</v>
      </c>
      <c r="I41" s="253">
        <f>Allocation!$G$13*IS!H40</f>
        <v>8843.43945186778</v>
      </c>
      <c r="J41" s="253">
        <f>Allocation!$G$13*IS!I40</f>
        <v>8843.43945186778</v>
      </c>
      <c r="K41" s="253">
        <f>Allocation!$G$13*IS!J40</f>
        <v>8843.43945186778</v>
      </c>
      <c r="L41" s="253">
        <f>Allocation!$G$13*IS!K40</f>
        <v>8843.43945186778</v>
      </c>
      <c r="M41" s="253">
        <f>Allocation!$G$13*IS!L40</f>
        <v>8843.43945186778</v>
      </c>
      <c r="N41" s="253">
        <f>Allocation!$G$13*IS!M40</f>
        <v>8843.43945186778</v>
      </c>
      <c r="O41" s="253">
        <f>Allocation!$G$13*IS!N40</f>
        <v>8843.43945186778</v>
      </c>
      <c r="P41" s="253">
        <f>Allocation!$G$13*IS!O40</f>
        <v>8843.43945186778</v>
      </c>
      <c r="Q41" s="253">
        <f>Allocation!$G$13*IS!P40</f>
        <v>8843.43945186778</v>
      </c>
      <c r="R41" s="253">
        <f>Allocation!$G$13*IS!Q40</f>
        <v>8843.43945186778</v>
      </c>
      <c r="S41" s="253">
        <f>Allocation!$G$13*IS!R40</f>
        <v>8843.43945186778</v>
      </c>
      <c r="T41" s="253">
        <f>Allocation!$G$13*IS!S40</f>
        <v>8843.43945186778</v>
      </c>
      <c r="U41" s="253">
        <f>Allocation!$G$13*IS!T40</f>
        <v>8843.43945186778</v>
      </c>
      <c r="V41" s="253">
        <f>Allocation!$G$13*IS!U40</f>
        <v>8843.43945186778</v>
      </c>
      <c r="W41" s="253">
        <f>Allocation!$G$13*IS!V40</f>
        <v>8843.43945186778</v>
      </c>
      <c r="X41" s="253">
        <f>Allocation!$G$13*IS!W40</f>
        <v>8843.43945186778</v>
      </c>
      <c r="Y41" s="253">
        <f>Allocation!$G$13*IS!X40</f>
        <v>8843.43945186778</v>
      </c>
      <c r="Z41" s="253">
        <f>Allocation!$G$13*IS!Y40</f>
        <v>8616.2024576481272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9067.7047089611769</v>
      </c>
      <c r="G44" s="259">
        <f t="shared" si="4"/>
        <v>17321.513286007954</v>
      </c>
      <c r="H44" s="259">
        <f t="shared" si="4"/>
        <v>17247.274329801381</v>
      </c>
      <c r="I44" s="259">
        <f t="shared" si="4"/>
        <v>27284.679940252943</v>
      </c>
      <c r="J44" s="259">
        <f t="shared" si="4"/>
        <v>35156.228584695324</v>
      </c>
      <c r="K44" s="259">
        <f t="shared" si="4"/>
        <v>36542.764274869514</v>
      </c>
      <c r="L44" s="259">
        <f t="shared" si="4"/>
        <v>36286.550746141205</v>
      </c>
      <c r="M44" s="259">
        <f t="shared" si="4"/>
        <v>36818.307522307499</v>
      </c>
      <c r="N44" s="259">
        <f t="shared" si="4"/>
        <v>37340.670824065608</v>
      </c>
      <c r="O44" s="259">
        <f t="shared" si="4"/>
        <v>37895.138257074781</v>
      </c>
      <c r="P44" s="259">
        <f t="shared" si="4"/>
        <v>38448.61484170051</v>
      </c>
      <c r="Q44" s="259">
        <f t="shared" si="4"/>
        <v>38952.194570173109</v>
      </c>
      <c r="R44" s="259">
        <f t="shared" si="4"/>
        <v>39426.872928033001</v>
      </c>
      <c r="S44" s="259">
        <f t="shared" si="4"/>
        <v>39935.097229520325</v>
      </c>
      <c r="T44" s="259">
        <f t="shared" si="4"/>
        <v>40384.329970739025</v>
      </c>
      <c r="U44" s="259">
        <f t="shared" si="4"/>
        <v>40811.971872117239</v>
      </c>
      <c r="V44" s="259">
        <f t="shared" si="4"/>
        <v>41235.619266575377</v>
      </c>
      <c r="W44" s="259">
        <f t="shared" si="4"/>
        <v>41690.592361430987</v>
      </c>
      <c r="X44" s="259">
        <f t="shared" si="4"/>
        <v>42100.143988878874</v>
      </c>
      <c r="Y44" s="259">
        <f t="shared" si="4"/>
        <v>41279.612217721849</v>
      </c>
      <c r="Z44" s="259">
        <f t="shared" si="4"/>
        <v>41713.709874926913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Allocation!$I$13*(IS!$E$44-Debt!C136)+Debt!C136*Allocation!$K$13</f>
        <v>8408.7890238253094</v>
      </c>
      <c r="G46" s="253">
        <f>Allocation!$I$13*IS!F44</f>
        <v>15463.723369749445</v>
      </c>
      <c r="H46" s="253">
        <f>Allocation!$I$13*IS!G44</f>
        <v>15008.17079612521</v>
      </c>
      <c r="I46" s="253">
        <f>Allocation!$I$13*IS!H44</f>
        <v>14246.836423955394</v>
      </c>
      <c r="J46" s="253">
        <f>Allocation!$I$13*IS!I44</f>
        <v>13664.954547190666</v>
      </c>
      <c r="K46" s="253">
        <f>Allocation!$I$13*IS!J44</f>
        <v>13123.57615451365</v>
      </c>
      <c r="L46" s="253">
        <f>Allocation!$I$13*IS!K44</f>
        <v>12530.202702701674</v>
      </c>
      <c r="M46" s="253">
        <f>Allocation!$I$13*IS!L44</f>
        <v>11845.895499019989</v>
      </c>
      <c r="N46" s="253">
        <f>Allocation!$I$13*IS!M44</f>
        <v>11065.585601219098</v>
      </c>
      <c r="O46" s="253">
        <f>Allocation!$I$13*IS!N44</f>
        <v>10117.850476589614</v>
      </c>
      <c r="P46" s="253">
        <f>Allocation!$I$13*IS!O44</f>
        <v>9281.6796681245232</v>
      </c>
      <c r="Q46" s="253">
        <f>Allocation!$I$13*IS!P44</f>
        <v>8479.9296778032985</v>
      </c>
      <c r="R46" s="253">
        <f>Allocation!$I$13*IS!Q44</f>
        <v>7594.2033889583518</v>
      </c>
      <c r="S46" s="253">
        <f>Allocation!$I$13*IS!R44</f>
        <v>6639.9246390078015</v>
      </c>
      <c r="T46" s="253">
        <f>Allocation!$I$13*IS!S44</f>
        <v>5620.8277388336974</v>
      </c>
      <c r="U46" s="253">
        <f>Allocation!$I$13*IS!T44</f>
        <v>4517.072506727548</v>
      </c>
      <c r="V46" s="253">
        <f>Allocation!$I$13*IS!U44</f>
        <v>3367.3672022735004</v>
      </c>
      <c r="W46" s="253">
        <f>Allocation!$I$13*IS!V44</f>
        <v>2228.1813601055233</v>
      </c>
      <c r="X46" s="253">
        <f>Allocation!$I$13*IS!W44</f>
        <v>1187.1319658031189</v>
      </c>
      <c r="Y46" s="253">
        <f>Allocation!$I$13*IS!X44</f>
        <v>284.99318793764962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658.91568513586753</v>
      </c>
      <c r="G49" s="259">
        <f t="shared" si="5"/>
        <v>1857.789916258509</v>
      </c>
      <c r="H49" s="259">
        <f t="shared" si="5"/>
        <v>2239.1035336761706</v>
      </c>
      <c r="I49" s="259">
        <f t="shared" si="5"/>
        <v>13037.843516297549</v>
      </c>
      <c r="J49" s="259">
        <f t="shared" si="5"/>
        <v>21491.274037504656</v>
      </c>
      <c r="K49" s="259">
        <f t="shared" si="5"/>
        <v>23419.188120355866</v>
      </c>
      <c r="L49" s="259">
        <f t="shared" si="5"/>
        <v>23756.348043439531</v>
      </c>
      <c r="M49" s="259">
        <f t="shared" si="5"/>
        <v>24972.41202328751</v>
      </c>
      <c r="N49" s="259">
        <f t="shared" si="5"/>
        <v>26275.085222846508</v>
      </c>
      <c r="O49" s="259">
        <f t="shared" si="5"/>
        <v>27777.287780485167</v>
      </c>
      <c r="P49" s="259">
        <f t="shared" si="5"/>
        <v>29166.935173575985</v>
      </c>
      <c r="Q49" s="259">
        <f t="shared" si="5"/>
        <v>30472.264892369811</v>
      </c>
      <c r="R49" s="259">
        <f t="shared" si="5"/>
        <v>31832.66953907465</v>
      </c>
      <c r="S49" s="259">
        <f t="shared" si="5"/>
        <v>33295.17259051252</v>
      </c>
      <c r="T49" s="259">
        <f t="shared" si="5"/>
        <v>34763.502231905324</v>
      </c>
      <c r="U49" s="259">
        <f t="shared" si="5"/>
        <v>36294.899365389691</v>
      </c>
      <c r="V49" s="259">
        <f t="shared" si="5"/>
        <v>37868.25206430188</v>
      </c>
      <c r="W49" s="259">
        <f t="shared" si="5"/>
        <v>39462.411001325461</v>
      </c>
      <c r="X49" s="259">
        <f t="shared" si="5"/>
        <v>40913.012023075753</v>
      </c>
      <c r="Y49" s="259">
        <f t="shared" si="5"/>
        <v>40994.619029784197</v>
      </c>
      <c r="Z49" s="259">
        <f t="shared" si="5"/>
        <v>41713.709874926913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Assumptions!$R$44</f>
        <v>7.1800000000000003E-2</v>
      </c>
      <c r="D51" s="149"/>
      <c r="E51" s="253">
        <f t="shared" ref="E51:Z51" si="6">E49*-$C$51</f>
        <v>0</v>
      </c>
      <c r="F51" s="253">
        <f t="shared" ca="1" si="6"/>
        <v>-47.31014619275529</v>
      </c>
      <c r="G51" s="253">
        <f t="shared" si="6"/>
        <v>-133.38931598736096</v>
      </c>
      <c r="H51" s="187">
        <f t="shared" si="6"/>
        <v>-160.76763371794905</v>
      </c>
      <c r="I51" s="253">
        <f t="shared" si="6"/>
        <v>-936.11716447016408</v>
      </c>
      <c r="J51" s="253">
        <f t="shared" si="6"/>
        <v>-1543.0734758928343</v>
      </c>
      <c r="K51" s="253">
        <f t="shared" si="6"/>
        <v>-1681.4977070415512</v>
      </c>
      <c r="L51" s="253">
        <f t="shared" si="6"/>
        <v>-1705.7057895189585</v>
      </c>
      <c r="M51" s="253">
        <f t="shared" si="6"/>
        <v>-1793.0191832720434</v>
      </c>
      <c r="N51" s="253">
        <f t="shared" si="6"/>
        <v>-1886.5511190003795</v>
      </c>
      <c r="O51" s="253">
        <f t="shared" si="6"/>
        <v>-1994.4092626388351</v>
      </c>
      <c r="P51" s="253">
        <f t="shared" si="6"/>
        <v>-2094.1859454627556</v>
      </c>
      <c r="Q51" s="253">
        <f t="shared" si="6"/>
        <v>-2187.9086192721525</v>
      </c>
      <c r="R51" s="253">
        <f t="shared" si="6"/>
        <v>-2285.5856729055599</v>
      </c>
      <c r="S51" s="253">
        <f t="shared" si="6"/>
        <v>-2390.5933919987992</v>
      </c>
      <c r="T51" s="253">
        <f t="shared" si="6"/>
        <v>-2496.0194602508022</v>
      </c>
      <c r="U51" s="253">
        <f t="shared" si="6"/>
        <v>-2605.97377443498</v>
      </c>
      <c r="V51" s="253">
        <f t="shared" si="6"/>
        <v>-2718.9404982168749</v>
      </c>
      <c r="W51" s="253">
        <f t="shared" si="6"/>
        <v>-2833.4011098951682</v>
      </c>
      <c r="X51" s="253">
        <f t="shared" si="6"/>
        <v>-2937.554263256839</v>
      </c>
      <c r="Y51" s="253">
        <f t="shared" si="6"/>
        <v>-2943.4136463385053</v>
      </c>
      <c r="Z51" s="253">
        <f t="shared" si="6"/>
        <v>-2995.0443690197526</v>
      </c>
    </row>
    <row r="52" spans="1:26">
      <c r="A52" s="4" t="s">
        <v>190</v>
      </c>
      <c r="C52" s="149">
        <f>Assumptions!$R$43</f>
        <v>0.35</v>
      </c>
      <c r="D52" s="149"/>
      <c r="E52" s="228">
        <v>0</v>
      </c>
      <c r="F52" s="228">
        <f t="shared" ref="F52:Z52" ca="1" si="7">(F49+F51)*-$C$52</f>
        <v>-214.06193863008929</v>
      </c>
      <c r="G52" s="228">
        <f t="shared" si="7"/>
        <v>-603.54021009490179</v>
      </c>
      <c r="H52" s="228">
        <f t="shared" si="7"/>
        <v>-727.41756498537745</v>
      </c>
      <c r="I52" s="228">
        <f t="shared" si="7"/>
        <v>-4235.6042231395841</v>
      </c>
      <c r="J52" s="228">
        <f t="shared" si="7"/>
        <v>-6981.8701965641376</v>
      </c>
      <c r="K52" s="228">
        <f t="shared" si="7"/>
        <v>-7608.1916446600098</v>
      </c>
      <c r="L52" s="228">
        <f t="shared" si="7"/>
        <v>-7717.7247888722004</v>
      </c>
      <c r="M52" s="228">
        <f t="shared" si="7"/>
        <v>-8112.7874940054126</v>
      </c>
      <c r="N52" s="228">
        <f t="shared" si="7"/>
        <v>-8535.9869363461457</v>
      </c>
      <c r="O52" s="228">
        <f t="shared" si="7"/>
        <v>-9024.0074812462153</v>
      </c>
      <c r="P52" s="228">
        <f t="shared" si="7"/>
        <v>-9475.4622298396298</v>
      </c>
      <c r="Q52" s="228">
        <f t="shared" si="7"/>
        <v>-9899.5246955841794</v>
      </c>
      <c r="R52" s="228">
        <f t="shared" si="7"/>
        <v>-10341.47935315918</v>
      </c>
      <c r="S52" s="228">
        <f t="shared" si="7"/>
        <v>-10816.602719479803</v>
      </c>
      <c r="T52" s="228">
        <f t="shared" si="7"/>
        <v>-11293.618970079082</v>
      </c>
      <c r="U52" s="228">
        <f t="shared" si="7"/>
        <v>-11791.12395683415</v>
      </c>
      <c r="V52" s="228">
        <f t="shared" si="7"/>
        <v>-12302.25904812975</v>
      </c>
      <c r="W52" s="228">
        <f t="shared" si="7"/>
        <v>-12820.153462000602</v>
      </c>
      <c r="X52" s="228">
        <f t="shared" si="7"/>
        <v>-13291.410215936619</v>
      </c>
      <c r="Y52" s="228">
        <f t="shared" si="7"/>
        <v>-13317.921884205991</v>
      </c>
      <c r="Z52" s="228">
        <f t="shared" si="7"/>
        <v>-13551.532927067507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6">
      <c r="A54" s="106" t="s">
        <v>315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397.54360031302298</v>
      </c>
      <c r="G54" s="261">
        <f t="shared" si="8"/>
        <v>1120.8603901762463</v>
      </c>
      <c r="H54" s="261">
        <f t="shared" si="8"/>
        <v>1350.9183349728441</v>
      </c>
      <c r="I54" s="261">
        <f t="shared" si="8"/>
        <v>7866.1221286878008</v>
      </c>
      <c r="J54" s="261">
        <f t="shared" si="8"/>
        <v>12966.330365047685</v>
      </c>
      <c r="K54" s="261">
        <f t="shared" si="8"/>
        <v>14129.498768654305</v>
      </c>
      <c r="L54" s="261">
        <f t="shared" si="8"/>
        <v>14332.917465048373</v>
      </c>
      <c r="M54" s="261">
        <f t="shared" si="8"/>
        <v>15066.605346010052</v>
      </c>
      <c r="N54" s="261">
        <f t="shared" si="8"/>
        <v>15852.547167499984</v>
      </c>
      <c r="O54" s="261">
        <f t="shared" si="8"/>
        <v>16758.871036600118</v>
      </c>
      <c r="P54" s="261">
        <f t="shared" si="8"/>
        <v>17597.286998273601</v>
      </c>
      <c r="Q54" s="261">
        <f t="shared" si="8"/>
        <v>18384.83157751348</v>
      </c>
      <c r="R54" s="261">
        <f t="shared" si="8"/>
        <v>19205.604513009908</v>
      </c>
      <c r="S54" s="261">
        <f t="shared" si="8"/>
        <v>20087.976479033918</v>
      </c>
      <c r="T54" s="261">
        <f t="shared" si="8"/>
        <v>20973.86380157544</v>
      </c>
      <c r="U54" s="261">
        <f t="shared" si="8"/>
        <v>21897.801634120566</v>
      </c>
      <c r="V54" s="261">
        <f t="shared" si="8"/>
        <v>22847.05251795525</v>
      </c>
      <c r="W54" s="261">
        <f t="shared" si="8"/>
        <v>23808.856429429692</v>
      </c>
      <c r="X54" s="261">
        <f t="shared" si="8"/>
        <v>24684.047543882294</v>
      </c>
      <c r="Y54" s="261">
        <f t="shared" si="8"/>
        <v>24733.283499239697</v>
      </c>
      <c r="Z54" s="261">
        <f t="shared" si="8"/>
        <v>25167.132578839657</v>
      </c>
    </row>
    <row r="55" spans="1:26" s="146" customFormat="1" ht="9.6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s="146" customFormat="1" ht="9.6" outlineLevel="1">
      <c r="A56" s="5"/>
      <c r="B56" s="143"/>
      <c r="C56" s="143"/>
      <c r="D56" s="143"/>
      <c r="E56" s="5"/>
      <c r="F56" s="144"/>
      <c r="G56" s="144"/>
      <c r="H56" s="145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7.399999999999999" outlineLevel="1">
      <c r="A58" s="132" t="s">
        <v>316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8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>G62+1</f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56">
        <f t="shared" ref="E64:Z64" si="10">E39</f>
        <v>0</v>
      </c>
      <c r="F64" s="156">
        <f t="shared" ca="1" si="10"/>
        <v>15500.537369034053</v>
      </c>
      <c r="G64" s="156">
        <f t="shared" si="10"/>
        <v>26164.952737875734</v>
      </c>
      <c r="H64" s="156">
        <f t="shared" si="10"/>
        <v>26090.713781669161</v>
      </c>
      <c r="I64" s="156">
        <f t="shared" si="10"/>
        <v>36128.119392120723</v>
      </c>
      <c r="J64" s="156">
        <f t="shared" si="10"/>
        <v>43999.668036563104</v>
      </c>
      <c r="K64" s="156">
        <f t="shared" si="10"/>
        <v>45386.203726737294</v>
      </c>
      <c r="L64" s="156">
        <f t="shared" si="10"/>
        <v>45129.990198008985</v>
      </c>
      <c r="M64" s="156">
        <f t="shared" si="10"/>
        <v>45661.746974175279</v>
      </c>
      <c r="N64" s="156">
        <f t="shared" si="10"/>
        <v>46184.110275933388</v>
      </c>
      <c r="O64" s="156">
        <f t="shared" si="10"/>
        <v>46738.577708942561</v>
      </c>
      <c r="P64" s="156">
        <f t="shared" si="10"/>
        <v>47292.05429356829</v>
      </c>
      <c r="Q64" s="156">
        <f t="shared" si="10"/>
        <v>47795.634022040889</v>
      </c>
      <c r="R64" s="156">
        <f t="shared" si="10"/>
        <v>48270.312379900781</v>
      </c>
      <c r="S64" s="156">
        <f t="shared" si="10"/>
        <v>48778.536681388105</v>
      </c>
      <c r="T64" s="156">
        <f t="shared" si="10"/>
        <v>49227.769422606805</v>
      </c>
      <c r="U64" s="156">
        <f t="shared" si="10"/>
        <v>49655.411323985019</v>
      </c>
      <c r="V64" s="156">
        <f t="shared" si="10"/>
        <v>50079.058718443157</v>
      </c>
      <c r="W64" s="156">
        <f t="shared" si="10"/>
        <v>50534.031813298767</v>
      </c>
      <c r="X64" s="156">
        <f t="shared" si="10"/>
        <v>50943.583440746654</v>
      </c>
      <c r="Y64" s="156">
        <f t="shared" si="10"/>
        <v>50123.051669589629</v>
      </c>
      <c r="Z64" s="156">
        <f t="shared" si="10"/>
        <v>50329.912332575041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Allocation!$I$13*(CF!$G$15+CF!$G$16-CF!$G$14)+CF!$G$14*Allocation!$K$13</f>
        <v>-6849.0333355522853</v>
      </c>
      <c r="G66" s="262">
        <f>Allocation!$I$13*(CF!H16+CF!H15)</f>
        <v>-20871.730068328052</v>
      </c>
      <c r="H66" s="262">
        <f>Allocation!$I$13*(CF!I16+CF!I15)</f>
        <v>-20763.341325402092</v>
      </c>
      <c r="I66" s="262">
        <f>Allocation!$I$13*(CF!J16+CF!J15)</f>
        <v>-24780.481892713953</v>
      </c>
      <c r="J66" s="262">
        <f>Allocation!$I$13*(CF!K16+CF!K15)</f>
        <v>-18657.028269156301</v>
      </c>
      <c r="K66" s="262">
        <f>Allocation!$I$13*(CF!L16+CF!L15)</f>
        <v>-19008.501006593691</v>
      </c>
      <c r="L66" s="262">
        <f>Allocation!$I$13*(CF!M16+CF!M15)</f>
        <v>-19115.596397191915</v>
      </c>
      <c r="M66" s="262">
        <f>Allocation!$I$13*(CF!N16+CF!N15)</f>
        <v>-19541.18700718836</v>
      </c>
      <c r="N66" s="262">
        <f>Allocation!$I$13*(CF!O16+CF!O15)</f>
        <v>-19747.452943768028</v>
      </c>
      <c r="O66" s="262">
        <f>Allocation!$I$13*(CF!P16+CF!P15)</f>
        <v>-20179.86374599364</v>
      </c>
      <c r="P66" s="262">
        <f>Allocation!$I$13*(CF!Q16+CF!Q15)</f>
        <v>-17558.585838837073</v>
      </c>
      <c r="Q66" s="262">
        <f>Allocation!$I$13*(CF!R16+CF!R15)</f>
        <v>-16774.95112433167</v>
      </c>
      <c r="R66" s="262">
        <f>Allocation!$I$13*(CF!S16+CF!S15)</f>
        <v>-16732.32174732356</v>
      </c>
      <c r="S66" s="262">
        <f>Allocation!$I$13*(CF!T16+CF!T15)</f>
        <v>-16384.760928432392</v>
      </c>
      <c r="T66" s="262">
        <f>Allocation!$I$13*(CF!U16+CF!U15)</f>
        <v>-16034.557904800706</v>
      </c>
      <c r="U66" s="262">
        <f>Allocation!$I$13*(CF!V16+CF!V15)</f>
        <v>-15866.205360525522</v>
      </c>
      <c r="V66" s="262">
        <f>Allocation!$I$13*(CF!W16+CF!W15)</f>
        <v>-14938.03603657177</v>
      </c>
      <c r="W66" s="262">
        <f>Allocation!$I$13*(CF!X16+CF!X15)</f>
        <v>-13530.29342015676</v>
      </c>
      <c r="X66" s="262">
        <f>Allocation!$I$13*(CF!Y16+CF!Y15)</f>
        <v>-11151.505084203625</v>
      </c>
      <c r="Y66" s="262">
        <f>Allocation!$I$13*(CF!Z16+CF!Z15)</f>
        <v>-8834.6181305784867</v>
      </c>
      <c r="Z66" s="262">
        <f>Allocation!$I$13*(CF!AA16+CF!AA15)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8651.5040334817677</v>
      </c>
      <c r="G67" s="263">
        <f t="shared" si="11"/>
        <v>5293.222669547682</v>
      </c>
      <c r="H67" s="263">
        <f t="shared" si="11"/>
        <v>5327.3724562670686</v>
      </c>
      <c r="I67" s="263">
        <f t="shared" si="11"/>
        <v>11347.63749940677</v>
      </c>
      <c r="J67" s="263">
        <f t="shared" si="11"/>
        <v>25342.639767406803</v>
      </c>
      <c r="K67" s="263">
        <f t="shared" si="11"/>
        <v>26377.702720143603</v>
      </c>
      <c r="L67" s="263">
        <f t="shared" si="11"/>
        <v>26014.39380081707</v>
      </c>
      <c r="M67" s="263">
        <f t="shared" si="11"/>
        <v>26120.559966986919</v>
      </c>
      <c r="N67" s="263">
        <f t="shared" si="11"/>
        <v>26436.65733216536</v>
      </c>
      <c r="O67" s="263">
        <f t="shared" si="11"/>
        <v>26558.713962948921</v>
      </c>
      <c r="P67" s="263">
        <f t="shared" si="11"/>
        <v>29733.468454731217</v>
      </c>
      <c r="Q67" s="263">
        <f t="shared" si="11"/>
        <v>31020.682897709219</v>
      </c>
      <c r="R67" s="263">
        <f t="shared" si="11"/>
        <v>31537.990632577221</v>
      </c>
      <c r="S67" s="263">
        <f t="shared" si="11"/>
        <v>32393.775752955713</v>
      </c>
      <c r="T67" s="263">
        <f t="shared" si="11"/>
        <v>33193.211517806099</v>
      </c>
      <c r="U67" s="263">
        <f t="shared" si="11"/>
        <v>33789.205963459499</v>
      </c>
      <c r="V67" s="263">
        <f t="shared" si="11"/>
        <v>35141.022681871385</v>
      </c>
      <c r="W67" s="263">
        <f t="shared" si="11"/>
        <v>37003.738393142004</v>
      </c>
      <c r="X67" s="263">
        <f t="shared" si="11"/>
        <v>39792.078356543032</v>
      </c>
      <c r="Y67" s="263">
        <f t="shared" si="11"/>
        <v>41288.433539011145</v>
      </c>
      <c r="Z67" s="263">
        <f t="shared" si="11"/>
        <v>50329.912332575041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Allocation!$I$13*CF!G24*7/12</f>
        <v>0</v>
      </c>
      <c r="G69" s="486">
        <f>Allocation!$I$13*CF!H24</f>
        <v>0</v>
      </c>
      <c r="H69" s="486">
        <f>Allocation!$I$13*CF!I24</f>
        <v>0</v>
      </c>
      <c r="I69" s="486">
        <f>Allocation!$I$13*CF!J24</f>
        <v>0</v>
      </c>
      <c r="J69" s="486">
        <f ca="1">Allocation!$I$13*CF!K24</f>
        <v>0</v>
      </c>
      <c r="K69" s="486">
        <f ca="1">Allocation!$I$13*CF!L24</f>
        <v>0</v>
      </c>
      <c r="L69" s="486">
        <f ca="1">Allocation!$I$13*CF!M24</f>
        <v>-211.97379945349783</v>
      </c>
      <c r="M69" s="486">
        <f ca="1">Allocation!$I$13*CF!N24</f>
        <v>-963.86379402579723</v>
      </c>
      <c r="N69" s="486">
        <f ca="1">Allocation!$I$13*CF!O24</f>
        <v>-1039.6670489512269</v>
      </c>
      <c r="O69" s="486">
        <f ca="1">Allocation!$I$13*CF!P24</f>
        <v>-1158.7363358266543</v>
      </c>
      <c r="P69" s="486">
        <f ca="1">Allocation!$I$13*CF!Q24</f>
        <v>-1222.0650207070394</v>
      </c>
      <c r="Q69" s="486">
        <f ca="1">Allocation!$I$13*CF!R24</f>
        <v>-1333.4425252103433</v>
      </c>
      <c r="R69" s="486">
        <f ca="1">Allocation!$I$13*CF!S24</f>
        <v>-1417.260417774816</v>
      </c>
      <c r="S69" s="486">
        <f ca="1">Allocation!$I$13*CF!T24</f>
        <v>-1491.6760435753724</v>
      </c>
      <c r="T69" s="486">
        <f ca="1">Allocation!$I$13*CF!U24</f>
        <v>-1577.4493621012437</v>
      </c>
      <c r="U69" s="486">
        <f ca="1">Allocation!$I$13*CF!V24</f>
        <v>-2355.3884034696139</v>
      </c>
      <c r="V69" s="486">
        <f ca="1">Allocation!$I$13*CF!W24</f>
        <v>-2744.3710703792285</v>
      </c>
      <c r="W69" s="486">
        <f>Allocation!$I$13*CF!X24</f>
        <v>-2839.2138815963835</v>
      </c>
      <c r="X69" s="486">
        <f>Allocation!$I$13*CF!Y24</f>
        <v>-2924.4568644167261</v>
      </c>
      <c r="Y69" s="486">
        <f>Allocation!$I$13*CF!Z24</f>
        <v>-2969.7843204194592</v>
      </c>
      <c r="Z69" s="486">
        <f ca="1">Allocation!$I$13*CF!AA24</f>
        <v>-3039.819214626054</v>
      </c>
    </row>
    <row r="70" spans="1:26" ht="15" outlineLevel="1">
      <c r="A70" s="15" t="s">
        <v>383</v>
      </c>
      <c r="E70" s="486">
        <v>0</v>
      </c>
      <c r="F70" s="486">
        <f ca="1">Allocation!$I$13*(-Tax!E39)*7/12</f>
        <v>1188.7124266069761</v>
      </c>
      <c r="G70" s="486">
        <f>Allocation!$I$13*CF!H25</f>
        <v>5107.1025964517203</v>
      </c>
      <c r="H70" s="486">
        <f>Allocation!$I$13*CF!I25</f>
        <v>4084.5155419117295</v>
      </c>
      <c r="I70" s="486">
        <f>Allocation!$I$13*CF!J25</f>
        <v>83.008058339509105</v>
      </c>
      <c r="J70" s="486">
        <f ca="1">Allocation!$I$13*CF!K25</f>
        <v>-3222.3132017429461</v>
      </c>
      <c r="K70" s="486">
        <f ca="1">Allocation!$I$13*CF!L25</f>
        <v>-4346.3184065999958</v>
      </c>
      <c r="L70" s="486">
        <f ca="1">Allocation!$I$13*CF!M25</f>
        <v>-4885.9480456868914</v>
      </c>
      <c r="M70" s="486">
        <f ca="1">Allocation!$I$13*CF!N25</f>
        <v>-5193.5068088060352</v>
      </c>
      <c r="N70" s="486">
        <f ca="1">Allocation!$I$13*CF!O25</f>
        <v>-5601.9511585419705</v>
      </c>
      <c r="O70" s="486">
        <f ca="1">Allocation!$I$13*CF!P25</f>
        <v>-6243.5222559730464</v>
      </c>
      <c r="P70" s="486">
        <f ca="1">Allocation!$I$13*CF!Q25</f>
        <v>-6584.7509214313632</v>
      </c>
      <c r="Q70" s="486">
        <f ca="1">Allocation!$I$13*CF!R25</f>
        <v>-7184.877030090086</v>
      </c>
      <c r="R70" s="486">
        <f ca="1">Allocation!$I$13*CF!S25</f>
        <v>-7636.5059826780789</v>
      </c>
      <c r="S70" s="486">
        <f ca="1">Allocation!$I$13*CF!T25</f>
        <v>-8037.4734862529758</v>
      </c>
      <c r="T70" s="486">
        <f ca="1">Allocation!$I$13*CF!U25</f>
        <v>-8499.6386972911623</v>
      </c>
      <c r="U70" s="486">
        <f ca="1">Allocation!$I$13*CF!V25</f>
        <v>-12691.342684124946</v>
      </c>
      <c r="V70" s="486">
        <f ca="1">Allocation!$I$13*CF!W25</f>
        <v>-14787.265512250749</v>
      </c>
      <c r="W70" s="486">
        <f>Allocation!$I$13*CF!X25</f>
        <v>-15298.299113549621</v>
      </c>
      <c r="X70" s="486">
        <f>Allocation!$I$13*CF!Y25</f>
        <v>-15757.606760983192</v>
      </c>
      <c r="Y70" s="486">
        <f>Allocation!$I$13*CF!Z25</f>
        <v>-16001.840907794349</v>
      </c>
      <c r="Z70" s="486">
        <f ca="1">Allocation!$I$13*CF!AA25</f>
        <v>-16379.204081066755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6" outlineLevel="1">
      <c r="A72" s="108" t="s">
        <v>197</v>
      </c>
      <c r="B72" s="106"/>
      <c r="C72" s="106"/>
      <c r="D72" s="106"/>
      <c r="E72" s="264">
        <f>E67+E70</f>
        <v>0</v>
      </c>
      <c r="F72" s="264">
        <f ca="1">F67+F70+F69</f>
        <v>9840.2164600887445</v>
      </c>
      <c r="G72" s="264">
        <f t="shared" ref="G72:Z72" si="12">G67+G70+G69</f>
        <v>10400.325265999403</v>
      </c>
      <c r="H72" s="264">
        <f t="shared" si="12"/>
        <v>9411.8879981787977</v>
      </c>
      <c r="I72" s="264">
        <f t="shared" si="12"/>
        <v>11430.645557746278</v>
      </c>
      <c r="J72" s="264">
        <f t="shared" ca="1" si="12"/>
        <v>22120.326565663858</v>
      </c>
      <c r="K72" s="264">
        <f t="shared" ca="1" si="12"/>
        <v>22031.384313543607</v>
      </c>
      <c r="L72" s="264">
        <f t="shared" ca="1" si="12"/>
        <v>20916.471955676679</v>
      </c>
      <c r="M72" s="264">
        <f t="shared" ca="1" si="12"/>
        <v>19963.189364155085</v>
      </c>
      <c r="N72" s="264">
        <f t="shared" ca="1" si="12"/>
        <v>19795.039124672163</v>
      </c>
      <c r="O72" s="264">
        <f t="shared" ca="1" si="12"/>
        <v>19156.455371149219</v>
      </c>
      <c r="P72" s="264">
        <f t="shared" ca="1" si="12"/>
        <v>21926.652512592813</v>
      </c>
      <c r="Q72" s="264">
        <f t="shared" ca="1" si="12"/>
        <v>22502.363342408789</v>
      </c>
      <c r="R72" s="264">
        <f t="shared" ca="1" si="12"/>
        <v>22484.224232124328</v>
      </c>
      <c r="S72" s="264">
        <f t="shared" ca="1" si="12"/>
        <v>22864.626223127365</v>
      </c>
      <c r="T72" s="264">
        <f t="shared" ca="1" si="12"/>
        <v>23116.123458413691</v>
      </c>
      <c r="U72" s="264">
        <f t="shared" ca="1" si="12"/>
        <v>18742.47487586494</v>
      </c>
      <c r="V72" s="264">
        <f t="shared" ca="1" si="12"/>
        <v>17609.386099241408</v>
      </c>
      <c r="W72" s="264">
        <f t="shared" si="12"/>
        <v>18866.225397996001</v>
      </c>
      <c r="X72" s="264">
        <f t="shared" si="12"/>
        <v>21110.014731143114</v>
      </c>
      <c r="Y72" s="264">
        <f t="shared" si="12"/>
        <v>22316.808310797336</v>
      </c>
      <c r="Z72" s="264">
        <f t="shared" ca="1" si="12"/>
        <v>30910.889036882232</v>
      </c>
    </row>
    <row r="73" spans="1:26" outlineLevel="1">
      <c r="A73" s="17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198.77180015651149</v>
      </c>
      <c r="G75" s="155">
        <f t="shared" si="13"/>
        <v>560.43019508812313</v>
      </c>
      <c r="H75" s="155">
        <f t="shared" si="13"/>
        <v>675.45916748642207</v>
      </c>
      <c r="I75" s="155">
        <f t="shared" si="13"/>
        <v>3933.0610643439004</v>
      </c>
      <c r="J75" s="155">
        <f t="shared" si="13"/>
        <v>6483.1651825238423</v>
      </c>
      <c r="K75" s="155">
        <f t="shared" si="13"/>
        <v>7064.7493843271523</v>
      </c>
      <c r="L75" s="155">
        <f t="shared" si="13"/>
        <v>7166.4587325241864</v>
      </c>
      <c r="M75" s="155">
        <f t="shared" si="13"/>
        <v>7533.302673005026</v>
      </c>
      <c r="N75" s="155">
        <f t="shared" si="13"/>
        <v>7926.2735837499922</v>
      </c>
      <c r="O75" s="155">
        <f t="shared" si="13"/>
        <v>8379.4355183000589</v>
      </c>
      <c r="P75" s="155">
        <f t="shared" si="13"/>
        <v>8798.6434991368005</v>
      </c>
      <c r="Q75" s="155">
        <f t="shared" si="13"/>
        <v>9192.4157887567399</v>
      </c>
      <c r="R75" s="155">
        <f t="shared" si="13"/>
        <v>9602.8022565049541</v>
      </c>
      <c r="S75" s="155">
        <f t="shared" si="13"/>
        <v>10043.988239516959</v>
      </c>
      <c r="T75" s="155">
        <f t="shared" si="13"/>
        <v>10486.93190078772</v>
      </c>
      <c r="U75" s="155">
        <f t="shared" si="13"/>
        <v>10948.900817060283</v>
      </c>
      <c r="V75" s="155">
        <f t="shared" si="13"/>
        <v>11423.526258977625</v>
      </c>
      <c r="W75" s="155">
        <f t="shared" si="13"/>
        <v>11904.428214714846</v>
      </c>
      <c r="X75" s="155">
        <f t="shared" si="13"/>
        <v>12342.023771941147</v>
      </c>
      <c r="Y75" s="155">
        <f t="shared" si="13"/>
        <v>12366.641749619848</v>
      </c>
      <c r="Z75" s="155">
        <f t="shared" si="13"/>
        <v>12583.566289419829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4920.1082300443722</v>
      </c>
      <c r="G76" s="155">
        <f t="shared" si="14"/>
        <v>5200.1626329997016</v>
      </c>
      <c r="H76" s="155">
        <f t="shared" si="14"/>
        <v>4705.9439990893989</v>
      </c>
      <c r="I76" s="155">
        <f t="shared" si="14"/>
        <v>5715.3227788731392</v>
      </c>
      <c r="J76" s="155">
        <f t="shared" ca="1" si="14"/>
        <v>11060.163282831929</v>
      </c>
      <c r="K76" s="155">
        <f t="shared" ca="1" si="14"/>
        <v>11015.692156771804</v>
      </c>
      <c r="L76" s="155">
        <f t="shared" ca="1" si="14"/>
        <v>10458.23597783834</v>
      </c>
      <c r="M76" s="155">
        <f t="shared" ca="1" si="14"/>
        <v>9981.5946820775425</v>
      </c>
      <c r="N76" s="155">
        <f t="shared" ca="1" si="14"/>
        <v>9897.5195623360814</v>
      </c>
      <c r="O76" s="155">
        <f t="shared" ca="1" si="14"/>
        <v>9578.2276855746095</v>
      </c>
      <c r="P76" s="155">
        <f t="shared" ca="1" si="14"/>
        <v>10963.326256296406</v>
      </c>
      <c r="Q76" s="155">
        <f t="shared" ca="1" si="14"/>
        <v>11251.181671204395</v>
      </c>
      <c r="R76" s="155">
        <f t="shared" ca="1" si="14"/>
        <v>11242.112116062164</v>
      </c>
      <c r="S76" s="155">
        <f t="shared" ca="1" si="14"/>
        <v>11432.313111563682</v>
      </c>
      <c r="T76" s="155">
        <f t="shared" ca="1" si="14"/>
        <v>11558.061729206845</v>
      </c>
      <c r="U76" s="155">
        <f t="shared" ca="1" si="14"/>
        <v>9371.2374379324701</v>
      </c>
      <c r="V76" s="155">
        <f t="shared" ca="1" si="14"/>
        <v>8804.6930496207042</v>
      </c>
      <c r="W76" s="155">
        <f t="shared" si="14"/>
        <v>9433.1126989980003</v>
      </c>
      <c r="X76" s="155">
        <f t="shared" si="14"/>
        <v>10555.007365571557</v>
      </c>
      <c r="Y76" s="155">
        <f t="shared" si="14"/>
        <v>11158.404155398668</v>
      </c>
      <c r="Z76" s="155">
        <f t="shared" ca="1" si="14"/>
        <v>15455.444518441116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8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6.2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3.8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3.8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6.2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3.8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7.399999999999999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7.399999999999999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.399999999999999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.399999999999999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7.399999999999999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.399999999999999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.399999999999999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7.399999999999999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5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.399999999999999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D81"/>
  <sheetViews>
    <sheetView zoomScale="75" workbookViewId="0">
      <selection activeCell="I21" sqref="I21"/>
    </sheetView>
  </sheetViews>
  <sheetFormatPr defaultColWidth="15.109375" defaultRowHeight="13.2"/>
  <sheetData>
    <row r="2" spans="1:56" ht="20.399999999999999">
      <c r="A2" s="65" t="s">
        <v>317</v>
      </c>
      <c r="B2" s="66"/>
      <c r="C2" s="66"/>
      <c r="D2" s="66"/>
      <c r="E2" s="7"/>
      <c r="F2" s="7"/>
      <c r="G2" s="7"/>
      <c r="H2" s="7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65" t="s">
        <v>318</v>
      </c>
      <c r="V2" s="66"/>
      <c r="W2" s="66"/>
      <c r="X2" s="7"/>
      <c r="Y2" s="7"/>
      <c r="Z2" s="7"/>
      <c r="AA2" s="7"/>
      <c r="AB2" s="7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BB2" s="22"/>
      <c r="BC2" s="22"/>
      <c r="BD2" s="22"/>
    </row>
    <row r="3" spans="1:56" ht="15.6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BB3" s="22"/>
      <c r="BC3" s="22"/>
      <c r="BD3" s="22"/>
    </row>
    <row r="4" spans="1:56" ht="15.6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574"/>
      <c r="O4" s="574"/>
      <c r="P4" s="574"/>
      <c r="Q4" s="574"/>
      <c r="R4" s="574"/>
      <c r="S4" s="574"/>
      <c r="T4" s="77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BB4" s="22"/>
      <c r="BC4" s="22"/>
      <c r="BD4" s="22"/>
    </row>
    <row r="5" spans="1:56" ht="16.2" thickBot="1">
      <c r="A5" s="398" t="s">
        <v>319</v>
      </c>
      <c r="B5" s="399"/>
      <c r="C5" s="399"/>
      <c r="D5" s="399"/>
      <c r="E5" s="399"/>
      <c r="F5" s="399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77"/>
      <c r="T5" s="77"/>
      <c r="U5" s="398"/>
      <c r="V5" s="399"/>
      <c r="W5" s="399"/>
      <c r="X5" s="399"/>
      <c r="Y5" s="399"/>
      <c r="Z5" s="399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77"/>
      <c r="AN5" s="77"/>
      <c r="AO5" s="77"/>
      <c r="AP5" s="77"/>
      <c r="AQ5" s="77"/>
      <c r="AR5" s="77"/>
      <c r="AS5" s="77"/>
      <c r="AT5" s="77"/>
      <c r="AU5" s="107"/>
      <c r="AV5" s="107"/>
      <c r="BB5" s="22"/>
      <c r="BC5" s="22"/>
      <c r="BD5" s="22"/>
    </row>
    <row r="6" spans="1:56" ht="16.2" thickBot="1">
      <c r="A6" s="401" t="s">
        <v>320</v>
      </c>
      <c r="B6" s="491" t="s">
        <v>321</v>
      </c>
      <c r="C6" s="405"/>
      <c r="D6" s="406"/>
      <c r="E6" s="406"/>
      <c r="G6" s="404" t="s">
        <v>322</v>
      </c>
      <c r="H6" s="405"/>
      <c r="I6" s="405"/>
      <c r="J6" s="405"/>
      <c r="K6" s="405"/>
      <c r="L6" s="406"/>
      <c r="N6" s="407" t="s">
        <v>323</v>
      </c>
      <c r="O6" s="402"/>
      <c r="P6" s="402"/>
      <c r="Q6" s="402"/>
      <c r="R6" s="402"/>
      <c r="S6" s="403"/>
      <c r="U6" s="401" t="s">
        <v>320</v>
      </c>
      <c r="V6" s="491" t="s">
        <v>324</v>
      </c>
      <c r="W6" s="405"/>
      <c r="X6" s="406"/>
      <c r="Y6" s="406"/>
      <c r="AA6" s="404" t="s">
        <v>325</v>
      </c>
      <c r="AB6" s="405"/>
      <c r="AC6" s="405"/>
      <c r="AD6" s="405"/>
      <c r="AE6" s="405"/>
      <c r="AF6" s="406"/>
      <c r="AH6" s="407" t="s">
        <v>326</v>
      </c>
      <c r="AI6" s="402"/>
      <c r="AJ6" s="402"/>
      <c r="AK6" s="402"/>
      <c r="AL6" s="402"/>
      <c r="AM6" s="403"/>
      <c r="AP6" s="77"/>
      <c r="AQ6" s="77"/>
      <c r="AR6" s="77"/>
      <c r="AS6" s="77"/>
      <c r="AT6" s="77"/>
      <c r="AU6" s="107"/>
      <c r="AV6" s="107"/>
      <c r="BB6" s="22"/>
      <c r="BC6" s="22"/>
      <c r="BD6" s="22"/>
    </row>
    <row r="7" spans="1:56" ht="16.2" thickBot="1">
      <c r="A7" s="408"/>
      <c r="B7" s="441" t="s">
        <v>327</v>
      </c>
      <c r="C7" s="442" t="s">
        <v>328</v>
      </c>
      <c r="D7" s="442" t="s">
        <v>329</v>
      </c>
      <c r="E7" s="443" t="s">
        <v>330</v>
      </c>
      <c r="G7" s="444" t="s">
        <v>48</v>
      </c>
      <c r="H7" s="445" t="s">
        <v>49</v>
      </c>
      <c r="I7" s="445" t="s">
        <v>50</v>
      </c>
      <c r="J7" s="445" t="s">
        <v>51</v>
      </c>
      <c r="K7" s="445" t="s">
        <v>52</v>
      </c>
      <c r="L7" s="446" t="s">
        <v>53</v>
      </c>
      <c r="N7" s="441" t="s">
        <v>48</v>
      </c>
      <c r="O7" s="442" t="s">
        <v>49</v>
      </c>
      <c r="P7" s="442" t="s">
        <v>50</v>
      </c>
      <c r="Q7" s="442" t="s">
        <v>51</v>
      </c>
      <c r="R7" s="442" t="s">
        <v>52</v>
      </c>
      <c r="S7" s="443" t="s">
        <v>53</v>
      </c>
      <c r="U7" s="408"/>
      <c r="V7" s="441" t="s">
        <v>327</v>
      </c>
      <c r="W7" s="442" t="s">
        <v>328</v>
      </c>
      <c r="X7" s="442" t="s">
        <v>329</v>
      </c>
      <c r="Y7" s="443" t="s">
        <v>330</v>
      </c>
      <c r="AA7" s="479" t="s">
        <v>48</v>
      </c>
      <c r="AB7" s="480" t="s">
        <v>49</v>
      </c>
      <c r="AC7" s="480" t="s">
        <v>50</v>
      </c>
      <c r="AD7" s="480" t="s">
        <v>51</v>
      </c>
      <c r="AE7" s="480" t="s">
        <v>52</v>
      </c>
      <c r="AF7" s="481" t="s">
        <v>53</v>
      </c>
      <c r="AH7" s="441" t="s">
        <v>48</v>
      </c>
      <c r="AI7" s="442" t="s">
        <v>49</v>
      </c>
      <c r="AJ7" s="442" t="s">
        <v>50</v>
      </c>
      <c r="AK7" s="442" t="s">
        <v>51</v>
      </c>
      <c r="AL7" s="442" t="s">
        <v>52</v>
      </c>
      <c r="AM7" s="443" t="s">
        <v>53</v>
      </c>
      <c r="AP7" s="77"/>
      <c r="AQ7" s="77"/>
      <c r="AR7" s="77"/>
      <c r="AS7" s="77"/>
      <c r="AT7" s="77"/>
      <c r="AU7" s="107"/>
      <c r="AV7" s="107"/>
      <c r="BB7" s="22"/>
      <c r="BC7" s="22"/>
      <c r="BD7" s="22"/>
    </row>
    <row r="8" spans="1:56" ht="15.6">
      <c r="A8" s="487"/>
      <c r="B8" s="351"/>
      <c r="C8" s="338"/>
      <c r="D8" s="338"/>
      <c r="E8" s="352"/>
      <c r="G8" s="409" t="s">
        <v>60</v>
      </c>
      <c r="H8" s="410"/>
      <c r="I8" s="410"/>
      <c r="J8" s="410"/>
      <c r="K8" s="410"/>
      <c r="L8" s="411"/>
      <c r="N8" s="351"/>
      <c r="O8" s="338"/>
      <c r="P8" s="338"/>
      <c r="Q8" s="338"/>
      <c r="R8" s="338"/>
      <c r="S8" s="352"/>
      <c r="U8" s="487"/>
      <c r="V8" s="351"/>
      <c r="W8" s="338"/>
      <c r="X8" s="338"/>
      <c r="Y8" s="352"/>
      <c r="AA8" s="409" t="s">
        <v>60</v>
      </c>
      <c r="AB8" s="410"/>
      <c r="AC8" s="410"/>
      <c r="AD8" s="410"/>
      <c r="AE8" s="410"/>
      <c r="AF8" s="411"/>
      <c r="AH8" s="351"/>
      <c r="AI8" s="338"/>
      <c r="AJ8" s="338"/>
      <c r="AK8" s="338"/>
      <c r="AL8" s="338"/>
      <c r="AM8" s="352"/>
      <c r="AP8" s="77"/>
      <c r="AQ8" s="77"/>
      <c r="AR8" s="77"/>
      <c r="AS8" s="77"/>
      <c r="AT8" s="77"/>
      <c r="AU8" s="107"/>
      <c r="AV8" s="107"/>
      <c r="BB8" s="22"/>
      <c r="BC8" s="22"/>
      <c r="BD8" s="22"/>
    </row>
    <row r="9" spans="1:56" ht="16.2" thickBot="1">
      <c r="A9" s="351"/>
      <c r="B9" s="351"/>
      <c r="C9" s="338"/>
      <c r="D9" s="338"/>
      <c r="E9" s="352"/>
      <c r="G9" s="412">
        <v>4</v>
      </c>
      <c r="H9" s="413">
        <v>6</v>
      </c>
      <c r="I9" s="413">
        <v>6</v>
      </c>
      <c r="J9" s="413">
        <v>3</v>
      </c>
      <c r="K9" s="413">
        <v>4</v>
      </c>
      <c r="L9" s="414">
        <v>8</v>
      </c>
      <c r="N9" s="351"/>
      <c r="O9" s="338"/>
      <c r="P9" s="338"/>
      <c r="Q9" s="338"/>
      <c r="R9" s="338"/>
      <c r="S9" s="352"/>
      <c r="U9" s="351"/>
      <c r="V9" s="351"/>
      <c r="W9" s="338"/>
      <c r="X9" s="338"/>
      <c r="Y9" s="352"/>
      <c r="AA9" s="412">
        <v>4</v>
      </c>
      <c r="AB9" s="413">
        <v>6</v>
      </c>
      <c r="AC9" s="413">
        <v>6</v>
      </c>
      <c r="AD9" s="413">
        <v>3</v>
      </c>
      <c r="AE9" s="413">
        <v>4</v>
      </c>
      <c r="AF9" s="414">
        <v>8</v>
      </c>
      <c r="AH9" s="351"/>
      <c r="AI9" s="338"/>
      <c r="AJ9" s="338"/>
      <c r="AK9" s="338"/>
      <c r="AL9" s="338"/>
      <c r="AM9" s="352"/>
      <c r="AP9" s="77"/>
      <c r="AQ9" s="77"/>
      <c r="AR9" s="77"/>
      <c r="AS9" s="77"/>
      <c r="AT9" s="77"/>
      <c r="AU9" s="107"/>
      <c r="AV9" s="107"/>
      <c r="BB9" s="22"/>
      <c r="BC9" s="22"/>
      <c r="BD9" s="22"/>
    </row>
    <row r="10" spans="1:56" ht="15.6">
      <c r="A10" s="488">
        <v>0</v>
      </c>
      <c r="B10" s="415">
        <v>0</v>
      </c>
      <c r="C10" s="416">
        <v>0</v>
      </c>
      <c r="D10" s="416">
        <v>0</v>
      </c>
      <c r="E10" s="417">
        <v>0</v>
      </c>
      <c r="G10" s="415">
        <f t="shared" ref="G10:G35" si="0">(2*B10+2*D10)/4</f>
        <v>0</v>
      </c>
      <c r="H10" s="416">
        <f t="shared" ref="H10:H35" si="1">C10</f>
        <v>0</v>
      </c>
      <c r="I10" s="416">
        <f t="shared" ref="I10:I35" si="2">C10</f>
        <v>0</v>
      </c>
      <c r="J10" s="416">
        <f t="shared" ref="J10:J35" si="3">E10</f>
        <v>0</v>
      </c>
      <c r="K10" s="416">
        <f t="shared" ref="K10:K35" si="4">D10</f>
        <v>0</v>
      </c>
      <c r="L10" s="417">
        <f t="shared" ref="L10:L35" si="5">C10</f>
        <v>0</v>
      </c>
      <c r="N10" s="351">
        <f t="shared" ref="N10:N35" si="6">G10*$A10*G$9/1000</f>
        <v>0</v>
      </c>
      <c r="O10" s="338">
        <f t="shared" ref="O10:O35" si="7">H10*$A10*H$9/1000</f>
        <v>0</v>
      </c>
      <c r="P10" s="338">
        <f t="shared" ref="P10:P35" si="8">I10*$A10*I$9/1000</f>
        <v>0</v>
      </c>
      <c r="Q10" s="338">
        <f t="shared" ref="Q10:Q35" si="9">J10*$A10*J$9/1000</f>
        <v>0</v>
      </c>
      <c r="R10" s="338">
        <f t="shared" ref="R10:R35" si="10">K10*$A10*K$9/1000</f>
        <v>0</v>
      </c>
      <c r="S10" s="352">
        <f t="shared" ref="S10:S35" si="11">L10*$A10*L$9/1000</f>
        <v>0</v>
      </c>
      <c r="U10" s="488">
        <v>0</v>
      </c>
      <c r="V10" s="415">
        <v>0</v>
      </c>
      <c r="W10" s="416">
        <v>0</v>
      </c>
      <c r="X10" s="416">
        <v>0</v>
      </c>
      <c r="Y10" s="417">
        <v>0</v>
      </c>
      <c r="AA10" s="415">
        <f t="shared" ref="AA10:AA35" si="12">(2*V10+2*X10)/4</f>
        <v>0</v>
      </c>
      <c r="AB10" s="416">
        <f t="shared" ref="AB10:AB35" si="13">W10</f>
        <v>0</v>
      </c>
      <c r="AC10" s="416">
        <f t="shared" ref="AC10:AC35" si="14">W10</f>
        <v>0</v>
      </c>
      <c r="AD10" s="416">
        <f t="shared" ref="AD10:AD35" si="15">Y10</f>
        <v>0</v>
      </c>
      <c r="AE10" s="416">
        <f t="shared" ref="AE10:AE35" si="16">X10</f>
        <v>0</v>
      </c>
      <c r="AF10" s="417">
        <f t="shared" ref="AF10:AF35" si="17">W10</f>
        <v>0</v>
      </c>
      <c r="AH10" s="351">
        <f t="shared" ref="AH10:AH35" si="18">AA10*$A10*AA$9/1000</f>
        <v>0</v>
      </c>
      <c r="AI10" s="338">
        <f t="shared" ref="AI10:AI35" si="19">AB10*$A10*AB$9/1000</f>
        <v>0</v>
      </c>
      <c r="AJ10" s="338">
        <f t="shared" ref="AJ10:AJ35" si="20">AC10*$A10*AC$9/1000</f>
        <v>0</v>
      </c>
      <c r="AK10" s="338">
        <f t="shared" ref="AK10:AK35" si="21">AD10*$A10*AD$9/1000</f>
        <v>0</v>
      </c>
      <c r="AL10" s="338">
        <f t="shared" ref="AL10:AL35" si="22">AE10*$A10*AE$9/1000</f>
        <v>0</v>
      </c>
      <c r="AM10" s="352">
        <f t="shared" ref="AM10:AM35" si="23">AF10*$A10*AF$9/1000</f>
        <v>0</v>
      </c>
      <c r="AP10" s="77"/>
      <c r="AQ10" s="77"/>
      <c r="AR10" s="77"/>
      <c r="AS10" s="77"/>
      <c r="AT10" s="77"/>
      <c r="AU10" s="107"/>
      <c r="AV10" s="107"/>
      <c r="BB10" s="22"/>
      <c r="BC10" s="22"/>
      <c r="BD10" s="22"/>
    </row>
    <row r="11" spans="1:56" ht="15.6">
      <c r="A11" s="488">
        <v>10</v>
      </c>
      <c r="B11" s="415">
        <v>0</v>
      </c>
      <c r="C11" s="416">
        <v>0</v>
      </c>
      <c r="D11" s="416">
        <v>0</v>
      </c>
      <c r="E11" s="417">
        <v>0</v>
      </c>
      <c r="G11" s="415">
        <f t="shared" si="0"/>
        <v>0</v>
      </c>
      <c r="H11" s="416">
        <f t="shared" si="1"/>
        <v>0</v>
      </c>
      <c r="I11" s="416">
        <f t="shared" si="2"/>
        <v>0</v>
      </c>
      <c r="J11" s="416">
        <f t="shared" si="3"/>
        <v>0</v>
      </c>
      <c r="K11" s="416">
        <f t="shared" si="4"/>
        <v>0</v>
      </c>
      <c r="L11" s="417">
        <f t="shared" si="5"/>
        <v>0</v>
      </c>
      <c r="N11" s="415">
        <f t="shared" si="6"/>
        <v>0</v>
      </c>
      <c r="O11" s="416">
        <f t="shared" si="7"/>
        <v>0</v>
      </c>
      <c r="P11" s="416">
        <f t="shared" si="8"/>
        <v>0</v>
      </c>
      <c r="Q11" s="416">
        <f t="shared" si="9"/>
        <v>0</v>
      </c>
      <c r="R11" s="416">
        <f t="shared" si="10"/>
        <v>0</v>
      </c>
      <c r="S11" s="417">
        <f t="shared" si="11"/>
        <v>0</v>
      </c>
      <c r="U11" s="488">
        <v>10</v>
      </c>
      <c r="V11" s="415">
        <v>0</v>
      </c>
      <c r="W11" s="416">
        <v>0</v>
      </c>
      <c r="X11" s="416">
        <v>0</v>
      </c>
      <c r="Y11" s="417">
        <v>0</v>
      </c>
      <c r="AA11" s="415">
        <f t="shared" si="12"/>
        <v>0</v>
      </c>
      <c r="AB11" s="416">
        <f t="shared" si="13"/>
        <v>0</v>
      </c>
      <c r="AC11" s="416">
        <f t="shared" si="14"/>
        <v>0</v>
      </c>
      <c r="AD11" s="416">
        <f t="shared" si="15"/>
        <v>0</v>
      </c>
      <c r="AE11" s="416">
        <f t="shared" si="16"/>
        <v>0</v>
      </c>
      <c r="AF11" s="417">
        <f t="shared" si="17"/>
        <v>0</v>
      </c>
      <c r="AH11" s="415">
        <f t="shared" si="18"/>
        <v>0</v>
      </c>
      <c r="AI11" s="416">
        <f t="shared" si="19"/>
        <v>0</v>
      </c>
      <c r="AJ11" s="416">
        <f t="shared" si="20"/>
        <v>0</v>
      </c>
      <c r="AK11" s="416">
        <f t="shared" si="21"/>
        <v>0</v>
      </c>
      <c r="AL11" s="416">
        <f t="shared" si="22"/>
        <v>0</v>
      </c>
      <c r="AM11" s="417">
        <f t="shared" si="23"/>
        <v>0</v>
      </c>
      <c r="AP11" s="77"/>
      <c r="AQ11" s="77"/>
      <c r="AR11" s="77"/>
      <c r="AS11" s="77"/>
      <c r="AT11" s="77"/>
      <c r="AU11" s="107"/>
      <c r="AV11" s="107"/>
      <c r="BB11" s="22"/>
      <c r="BC11" s="22"/>
      <c r="BD11" s="22"/>
    </row>
    <row r="12" spans="1:56" ht="15.6">
      <c r="A12" s="488">
        <f t="shared" ref="A12:A35" si="24">A11+10</f>
        <v>20</v>
      </c>
      <c r="B12" s="415">
        <v>704</v>
      </c>
      <c r="C12" s="416">
        <v>457</v>
      </c>
      <c r="D12" s="416">
        <v>1164</v>
      </c>
      <c r="E12" s="417">
        <v>1374</v>
      </c>
      <c r="G12" s="415">
        <f t="shared" si="0"/>
        <v>934</v>
      </c>
      <c r="H12" s="416">
        <f t="shared" si="1"/>
        <v>457</v>
      </c>
      <c r="I12" s="416">
        <f t="shared" si="2"/>
        <v>457</v>
      </c>
      <c r="J12" s="416">
        <f t="shared" si="3"/>
        <v>1374</v>
      </c>
      <c r="K12" s="416">
        <f t="shared" si="4"/>
        <v>1164</v>
      </c>
      <c r="L12" s="417">
        <f t="shared" si="5"/>
        <v>457</v>
      </c>
      <c r="N12" s="415">
        <f t="shared" si="6"/>
        <v>74.72</v>
      </c>
      <c r="O12" s="416">
        <f t="shared" si="7"/>
        <v>54.84</v>
      </c>
      <c r="P12" s="416">
        <f t="shared" si="8"/>
        <v>54.84</v>
      </c>
      <c r="Q12" s="416">
        <f t="shared" si="9"/>
        <v>82.44</v>
      </c>
      <c r="R12" s="416">
        <f t="shared" si="10"/>
        <v>93.12</v>
      </c>
      <c r="S12" s="417">
        <f t="shared" si="11"/>
        <v>73.12</v>
      </c>
      <c r="U12" s="488">
        <f t="shared" ref="U12:U35" si="25">U11+10</f>
        <v>20</v>
      </c>
      <c r="V12" s="415">
        <v>704</v>
      </c>
      <c r="W12" s="416">
        <v>457</v>
      </c>
      <c r="X12" s="416">
        <v>1164</v>
      </c>
      <c r="Y12" s="417">
        <v>1374</v>
      </c>
      <c r="AA12" s="415">
        <f t="shared" si="12"/>
        <v>934</v>
      </c>
      <c r="AB12" s="416">
        <f t="shared" si="13"/>
        <v>457</v>
      </c>
      <c r="AC12" s="416">
        <f t="shared" si="14"/>
        <v>457</v>
      </c>
      <c r="AD12" s="416">
        <f t="shared" si="15"/>
        <v>1374</v>
      </c>
      <c r="AE12" s="416">
        <f t="shared" si="16"/>
        <v>1164</v>
      </c>
      <c r="AF12" s="417">
        <f t="shared" si="17"/>
        <v>457</v>
      </c>
      <c r="AH12" s="415">
        <f t="shared" si="18"/>
        <v>74.72</v>
      </c>
      <c r="AI12" s="416">
        <f t="shared" si="19"/>
        <v>54.84</v>
      </c>
      <c r="AJ12" s="416">
        <f t="shared" si="20"/>
        <v>54.84</v>
      </c>
      <c r="AK12" s="416">
        <f t="shared" si="21"/>
        <v>82.44</v>
      </c>
      <c r="AL12" s="416">
        <f t="shared" si="22"/>
        <v>93.12</v>
      </c>
      <c r="AM12" s="417">
        <f t="shared" si="23"/>
        <v>73.12</v>
      </c>
      <c r="AP12" s="77"/>
      <c r="AQ12" s="77"/>
      <c r="AR12" s="77"/>
      <c r="AS12" s="77"/>
      <c r="AT12" s="77"/>
      <c r="AU12" s="107"/>
      <c r="AV12" s="107"/>
      <c r="BB12" s="22"/>
      <c r="BC12" s="22"/>
      <c r="BD12" s="22"/>
    </row>
    <row r="13" spans="1:56" ht="15.6">
      <c r="A13" s="488">
        <f t="shared" si="24"/>
        <v>30</v>
      </c>
      <c r="B13" s="415">
        <v>704</v>
      </c>
      <c r="C13" s="416">
        <v>457</v>
      </c>
      <c r="D13" s="416">
        <v>1164</v>
      </c>
      <c r="E13" s="417">
        <v>1374</v>
      </c>
      <c r="G13" s="415">
        <f t="shared" si="0"/>
        <v>934</v>
      </c>
      <c r="H13" s="416">
        <f t="shared" si="1"/>
        <v>457</v>
      </c>
      <c r="I13" s="416">
        <f t="shared" si="2"/>
        <v>457</v>
      </c>
      <c r="J13" s="416">
        <f t="shared" si="3"/>
        <v>1374</v>
      </c>
      <c r="K13" s="416">
        <f t="shared" si="4"/>
        <v>1164</v>
      </c>
      <c r="L13" s="417">
        <f t="shared" si="5"/>
        <v>457</v>
      </c>
      <c r="N13" s="415">
        <f t="shared" si="6"/>
        <v>112.08</v>
      </c>
      <c r="O13" s="416">
        <f t="shared" si="7"/>
        <v>82.26</v>
      </c>
      <c r="P13" s="416">
        <f t="shared" si="8"/>
        <v>82.26</v>
      </c>
      <c r="Q13" s="416">
        <f t="shared" si="9"/>
        <v>123.66</v>
      </c>
      <c r="R13" s="416">
        <f t="shared" si="10"/>
        <v>139.68</v>
      </c>
      <c r="S13" s="417">
        <f t="shared" si="11"/>
        <v>109.68</v>
      </c>
      <c r="U13" s="488">
        <f t="shared" si="25"/>
        <v>30</v>
      </c>
      <c r="V13" s="415">
        <v>704</v>
      </c>
      <c r="W13" s="416">
        <v>457</v>
      </c>
      <c r="X13" s="416">
        <v>1164</v>
      </c>
      <c r="Y13" s="417">
        <v>1374</v>
      </c>
      <c r="AA13" s="415">
        <f t="shared" si="12"/>
        <v>934</v>
      </c>
      <c r="AB13" s="416">
        <f t="shared" si="13"/>
        <v>457</v>
      </c>
      <c r="AC13" s="416">
        <f t="shared" si="14"/>
        <v>457</v>
      </c>
      <c r="AD13" s="416">
        <f t="shared" si="15"/>
        <v>1374</v>
      </c>
      <c r="AE13" s="416">
        <f t="shared" si="16"/>
        <v>1164</v>
      </c>
      <c r="AF13" s="417">
        <f t="shared" si="17"/>
        <v>457</v>
      </c>
      <c r="AH13" s="415">
        <f t="shared" si="18"/>
        <v>112.08</v>
      </c>
      <c r="AI13" s="416">
        <f t="shared" si="19"/>
        <v>82.26</v>
      </c>
      <c r="AJ13" s="416">
        <f t="shared" si="20"/>
        <v>82.26</v>
      </c>
      <c r="AK13" s="416">
        <f t="shared" si="21"/>
        <v>123.66</v>
      </c>
      <c r="AL13" s="416">
        <f t="shared" si="22"/>
        <v>139.68</v>
      </c>
      <c r="AM13" s="417">
        <f t="shared" si="23"/>
        <v>109.68</v>
      </c>
      <c r="AP13" s="77"/>
      <c r="AQ13" s="77"/>
      <c r="AR13" s="77"/>
      <c r="AS13" s="77"/>
      <c r="AT13" s="77"/>
      <c r="AU13" s="107"/>
      <c r="AV13" s="107"/>
      <c r="BB13" s="22"/>
      <c r="BC13" s="22"/>
      <c r="BD13" s="22"/>
    </row>
    <row r="14" spans="1:56" ht="15.6">
      <c r="A14" s="488">
        <f t="shared" si="24"/>
        <v>40</v>
      </c>
      <c r="B14" s="415">
        <v>1407</v>
      </c>
      <c r="C14" s="416">
        <v>457</v>
      </c>
      <c r="D14" s="416">
        <v>2140</v>
      </c>
      <c r="E14" s="417">
        <v>3334</v>
      </c>
      <c r="G14" s="415">
        <f t="shared" si="0"/>
        <v>1773.5</v>
      </c>
      <c r="H14" s="416">
        <f t="shared" si="1"/>
        <v>457</v>
      </c>
      <c r="I14" s="416">
        <f t="shared" si="2"/>
        <v>457</v>
      </c>
      <c r="J14" s="416">
        <f t="shared" si="3"/>
        <v>3334</v>
      </c>
      <c r="K14" s="416">
        <f t="shared" si="4"/>
        <v>2140</v>
      </c>
      <c r="L14" s="417">
        <f t="shared" si="5"/>
        <v>457</v>
      </c>
      <c r="N14" s="415">
        <f t="shared" si="6"/>
        <v>283.76</v>
      </c>
      <c r="O14" s="416">
        <f t="shared" si="7"/>
        <v>109.68</v>
      </c>
      <c r="P14" s="416">
        <f t="shared" si="8"/>
        <v>109.68</v>
      </c>
      <c r="Q14" s="416">
        <f t="shared" si="9"/>
        <v>400.08</v>
      </c>
      <c r="R14" s="416">
        <f t="shared" si="10"/>
        <v>342.4</v>
      </c>
      <c r="S14" s="417">
        <f t="shared" si="11"/>
        <v>146.24</v>
      </c>
      <c r="U14" s="488">
        <f t="shared" si="25"/>
        <v>40</v>
      </c>
      <c r="V14" s="415">
        <v>1407</v>
      </c>
      <c r="W14" s="416">
        <v>457</v>
      </c>
      <c r="X14" s="416">
        <v>2140</v>
      </c>
      <c r="Y14" s="417">
        <v>3334</v>
      </c>
      <c r="AA14" s="415">
        <f t="shared" si="12"/>
        <v>1773.5</v>
      </c>
      <c r="AB14" s="416">
        <f t="shared" si="13"/>
        <v>457</v>
      </c>
      <c r="AC14" s="416">
        <f t="shared" si="14"/>
        <v>457</v>
      </c>
      <c r="AD14" s="416">
        <f t="shared" si="15"/>
        <v>3334</v>
      </c>
      <c r="AE14" s="416">
        <f t="shared" si="16"/>
        <v>2140</v>
      </c>
      <c r="AF14" s="417">
        <f t="shared" si="17"/>
        <v>457</v>
      </c>
      <c r="AH14" s="415">
        <f t="shared" si="18"/>
        <v>283.76</v>
      </c>
      <c r="AI14" s="416">
        <f t="shared" si="19"/>
        <v>109.68</v>
      </c>
      <c r="AJ14" s="416">
        <f t="shared" si="20"/>
        <v>109.68</v>
      </c>
      <c r="AK14" s="416">
        <f t="shared" si="21"/>
        <v>400.08</v>
      </c>
      <c r="AL14" s="416">
        <f t="shared" si="22"/>
        <v>342.4</v>
      </c>
      <c r="AM14" s="417">
        <f t="shared" si="23"/>
        <v>146.24</v>
      </c>
      <c r="AP14" s="77"/>
      <c r="AQ14" s="77"/>
      <c r="AR14" s="77"/>
      <c r="AS14" s="77"/>
      <c r="AT14" s="77"/>
      <c r="AU14" s="107"/>
      <c r="AV14" s="107"/>
      <c r="BB14" s="22"/>
      <c r="BC14" s="22"/>
      <c r="BD14" s="22"/>
    </row>
    <row r="15" spans="1:56" ht="15.6">
      <c r="A15" s="488">
        <f t="shared" si="24"/>
        <v>50</v>
      </c>
      <c r="B15" s="415">
        <v>1407</v>
      </c>
      <c r="C15" s="416">
        <v>457</v>
      </c>
      <c r="D15" s="416">
        <v>2140</v>
      </c>
      <c r="E15" s="417">
        <v>3334</v>
      </c>
      <c r="G15" s="415">
        <f t="shared" si="0"/>
        <v>1773.5</v>
      </c>
      <c r="H15" s="416">
        <f t="shared" si="1"/>
        <v>457</v>
      </c>
      <c r="I15" s="416">
        <f t="shared" si="2"/>
        <v>457</v>
      </c>
      <c r="J15" s="416">
        <f t="shared" si="3"/>
        <v>3334</v>
      </c>
      <c r="K15" s="416">
        <f t="shared" si="4"/>
        <v>2140</v>
      </c>
      <c r="L15" s="417">
        <f t="shared" si="5"/>
        <v>457</v>
      </c>
      <c r="N15" s="415">
        <f t="shared" si="6"/>
        <v>354.7</v>
      </c>
      <c r="O15" s="416">
        <f t="shared" si="7"/>
        <v>137.1</v>
      </c>
      <c r="P15" s="416">
        <f t="shared" si="8"/>
        <v>137.1</v>
      </c>
      <c r="Q15" s="416">
        <f t="shared" si="9"/>
        <v>500.1</v>
      </c>
      <c r="R15" s="416">
        <f t="shared" si="10"/>
        <v>428</v>
      </c>
      <c r="S15" s="417">
        <f t="shared" si="11"/>
        <v>182.8</v>
      </c>
      <c r="U15" s="488">
        <f t="shared" si="25"/>
        <v>50</v>
      </c>
      <c r="V15" s="415">
        <v>1407</v>
      </c>
      <c r="W15" s="416">
        <v>457</v>
      </c>
      <c r="X15" s="416">
        <v>2140</v>
      </c>
      <c r="Y15" s="417">
        <v>3334</v>
      </c>
      <c r="AA15" s="415">
        <f t="shared" si="12"/>
        <v>1773.5</v>
      </c>
      <c r="AB15" s="416">
        <f t="shared" si="13"/>
        <v>457</v>
      </c>
      <c r="AC15" s="416">
        <f t="shared" si="14"/>
        <v>457</v>
      </c>
      <c r="AD15" s="416">
        <f t="shared" si="15"/>
        <v>3334</v>
      </c>
      <c r="AE15" s="416">
        <f t="shared" si="16"/>
        <v>2140</v>
      </c>
      <c r="AF15" s="417">
        <f t="shared" si="17"/>
        <v>457</v>
      </c>
      <c r="AH15" s="415">
        <f t="shared" si="18"/>
        <v>354.7</v>
      </c>
      <c r="AI15" s="416">
        <f t="shared" si="19"/>
        <v>137.1</v>
      </c>
      <c r="AJ15" s="416">
        <f t="shared" si="20"/>
        <v>137.1</v>
      </c>
      <c r="AK15" s="416">
        <f t="shared" si="21"/>
        <v>500.1</v>
      </c>
      <c r="AL15" s="416">
        <f t="shared" si="22"/>
        <v>428</v>
      </c>
      <c r="AM15" s="417">
        <f t="shared" si="23"/>
        <v>182.8</v>
      </c>
      <c r="AP15" s="77"/>
      <c r="AQ15" s="77"/>
      <c r="AR15" s="77"/>
      <c r="AS15" s="77"/>
      <c r="AT15" s="77"/>
      <c r="AU15" s="107"/>
      <c r="AV15" s="107"/>
      <c r="BB15" s="22"/>
      <c r="BC15" s="22"/>
      <c r="BD15" s="22"/>
    </row>
    <row r="16" spans="1:56" ht="15.6">
      <c r="A16" s="488">
        <f t="shared" si="24"/>
        <v>60</v>
      </c>
      <c r="B16" s="415">
        <v>1407</v>
      </c>
      <c r="C16" s="416">
        <v>1243</v>
      </c>
      <c r="D16" s="416">
        <v>2140</v>
      </c>
      <c r="E16" s="417">
        <v>3334</v>
      </c>
      <c r="G16" s="415">
        <f t="shared" si="0"/>
        <v>1773.5</v>
      </c>
      <c r="H16" s="416">
        <f t="shared" si="1"/>
        <v>1243</v>
      </c>
      <c r="I16" s="416">
        <f t="shared" si="2"/>
        <v>1243</v>
      </c>
      <c r="J16" s="416">
        <f t="shared" si="3"/>
        <v>3334</v>
      </c>
      <c r="K16" s="416">
        <f t="shared" si="4"/>
        <v>2140</v>
      </c>
      <c r="L16" s="417">
        <f t="shared" si="5"/>
        <v>1243</v>
      </c>
      <c r="N16" s="415">
        <f t="shared" si="6"/>
        <v>425.64</v>
      </c>
      <c r="O16" s="416">
        <f t="shared" si="7"/>
        <v>447.48</v>
      </c>
      <c r="P16" s="416">
        <f t="shared" si="8"/>
        <v>447.48</v>
      </c>
      <c r="Q16" s="416">
        <f t="shared" si="9"/>
        <v>600.12</v>
      </c>
      <c r="R16" s="416">
        <f t="shared" si="10"/>
        <v>513.6</v>
      </c>
      <c r="S16" s="417">
        <f t="shared" si="11"/>
        <v>596.64</v>
      </c>
      <c r="U16" s="488">
        <f t="shared" si="25"/>
        <v>60</v>
      </c>
      <c r="V16" s="415">
        <v>1407</v>
      </c>
      <c r="W16" s="416">
        <v>1243</v>
      </c>
      <c r="X16" s="416">
        <v>2140</v>
      </c>
      <c r="Y16" s="417">
        <v>3334</v>
      </c>
      <c r="AA16" s="415">
        <f t="shared" si="12"/>
        <v>1773.5</v>
      </c>
      <c r="AB16" s="416">
        <f t="shared" si="13"/>
        <v>1243</v>
      </c>
      <c r="AC16" s="416">
        <f t="shared" si="14"/>
        <v>1243</v>
      </c>
      <c r="AD16" s="416">
        <f t="shared" si="15"/>
        <v>3334</v>
      </c>
      <c r="AE16" s="416">
        <f t="shared" si="16"/>
        <v>2140</v>
      </c>
      <c r="AF16" s="417">
        <f t="shared" si="17"/>
        <v>1243</v>
      </c>
      <c r="AH16" s="415">
        <f t="shared" si="18"/>
        <v>425.64</v>
      </c>
      <c r="AI16" s="416">
        <f t="shared" si="19"/>
        <v>447.48</v>
      </c>
      <c r="AJ16" s="416">
        <f t="shared" si="20"/>
        <v>447.48</v>
      </c>
      <c r="AK16" s="416">
        <f t="shared" si="21"/>
        <v>600.12</v>
      </c>
      <c r="AL16" s="416">
        <f t="shared" si="22"/>
        <v>513.6</v>
      </c>
      <c r="AM16" s="417">
        <f t="shared" si="23"/>
        <v>596.64</v>
      </c>
      <c r="AP16" s="77"/>
      <c r="AQ16" s="77"/>
      <c r="AR16" s="77"/>
      <c r="AS16" s="77"/>
      <c r="AT16" s="77"/>
      <c r="AU16" s="107"/>
      <c r="AV16" s="107"/>
      <c r="BB16" s="22"/>
      <c r="BC16" s="22"/>
      <c r="BD16" s="22"/>
    </row>
    <row r="17" spans="1:56" ht="15.6">
      <c r="A17" s="488">
        <f t="shared" si="24"/>
        <v>70</v>
      </c>
      <c r="B17" s="415">
        <v>1407</v>
      </c>
      <c r="C17" s="416">
        <v>1243</v>
      </c>
      <c r="D17" s="416">
        <v>2140</v>
      </c>
      <c r="E17" s="417">
        <v>3334</v>
      </c>
      <c r="G17" s="415">
        <f t="shared" si="0"/>
        <v>1773.5</v>
      </c>
      <c r="H17" s="416">
        <f t="shared" si="1"/>
        <v>1243</v>
      </c>
      <c r="I17" s="416">
        <f t="shared" si="2"/>
        <v>1243</v>
      </c>
      <c r="J17" s="416">
        <f t="shared" si="3"/>
        <v>3334</v>
      </c>
      <c r="K17" s="416">
        <f t="shared" si="4"/>
        <v>2140</v>
      </c>
      <c r="L17" s="417">
        <f t="shared" si="5"/>
        <v>1243</v>
      </c>
      <c r="N17" s="415">
        <f t="shared" si="6"/>
        <v>496.58</v>
      </c>
      <c r="O17" s="416">
        <f t="shared" si="7"/>
        <v>522.05999999999995</v>
      </c>
      <c r="P17" s="416">
        <f t="shared" si="8"/>
        <v>522.05999999999995</v>
      </c>
      <c r="Q17" s="416">
        <f t="shared" si="9"/>
        <v>700.14</v>
      </c>
      <c r="R17" s="416">
        <f t="shared" si="10"/>
        <v>599.20000000000005</v>
      </c>
      <c r="S17" s="417">
        <f t="shared" si="11"/>
        <v>696.08</v>
      </c>
      <c r="U17" s="488">
        <f t="shared" si="25"/>
        <v>70</v>
      </c>
      <c r="V17" s="415">
        <v>1407</v>
      </c>
      <c r="W17" s="416">
        <v>1243</v>
      </c>
      <c r="X17" s="416">
        <v>2140</v>
      </c>
      <c r="Y17" s="417">
        <v>3334</v>
      </c>
      <c r="AA17" s="415">
        <f t="shared" si="12"/>
        <v>1773.5</v>
      </c>
      <c r="AB17" s="416">
        <f t="shared" si="13"/>
        <v>1243</v>
      </c>
      <c r="AC17" s="416">
        <f t="shared" si="14"/>
        <v>1243</v>
      </c>
      <c r="AD17" s="416">
        <f t="shared" si="15"/>
        <v>3334</v>
      </c>
      <c r="AE17" s="416">
        <f t="shared" si="16"/>
        <v>2140</v>
      </c>
      <c r="AF17" s="417">
        <f t="shared" si="17"/>
        <v>1243</v>
      </c>
      <c r="AH17" s="415">
        <f t="shared" si="18"/>
        <v>496.58</v>
      </c>
      <c r="AI17" s="416">
        <f t="shared" si="19"/>
        <v>522.05999999999995</v>
      </c>
      <c r="AJ17" s="416">
        <f t="shared" si="20"/>
        <v>522.05999999999995</v>
      </c>
      <c r="AK17" s="416">
        <f t="shared" si="21"/>
        <v>700.14</v>
      </c>
      <c r="AL17" s="416">
        <f t="shared" si="22"/>
        <v>599.20000000000005</v>
      </c>
      <c r="AM17" s="417">
        <f t="shared" si="23"/>
        <v>696.08</v>
      </c>
      <c r="AP17" s="77"/>
      <c r="AQ17" s="77"/>
      <c r="AR17" s="77"/>
      <c r="AS17" s="77"/>
      <c r="AT17" s="77"/>
      <c r="AU17" s="107"/>
      <c r="AV17" s="107"/>
      <c r="BB17" s="22"/>
      <c r="BC17" s="22"/>
      <c r="BD17" s="22"/>
    </row>
    <row r="18" spans="1:56" ht="15.6">
      <c r="A18" s="488">
        <f t="shared" si="24"/>
        <v>80</v>
      </c>
      <c r="B18" s="415">
        <v>3479</v>
      </c>
      <c r="C18" s="416">
        <v>1243</v>
      </c>
      <c r="D18" s="416">
        <v>4330</v>
      </c>
      <c r="E18" s="417">
        <v>5634</v>
      </c>
      <c r="G18" s="415">
        <f t="shared" si="0"/>
        <v>3904.5</v>
      </c>
      <c r="H18" s="416">
        <f t="shared" si="1"/>
        <v>1243</v>
      </c>
      <c r="I18" s="416">
        <f t="shared" si="2"/>
        <v>1243</v>
      </c>
      <c r="J18" s="416">
        <f t="shared" si="3"/>
        <v>5634</v>
      </c>
      <c r="K18" s="416">
        <f t="shared" si="4"/>
        <v>4330</v>
      </c>
      <c r="L18" s="417">
        <f t="shared" si="5"/>
        <v>1243</v>
      </c>
      <c r="N18" s="415">
        <f t="shared" si="6"/>
        <v>1249.44</v>
      </c>
      <c r="O18" s="416">
        <f t="shared" si="7"/>
        <v>596.64</v>
      </c>
      <c r="P18" s="416">
        <f t="shared" si="8"/>
        <v>596.64</v>
      </c>
      <c r="Q18" s="416">
        <f t="shared" si="9"/>
        <v>1352.16</v>
      </c>
      <c r="R18" s="416">
        <f t="shared" si="10"/>
        <v>1385.6</v>
      </c>
      <c r="S18" s="417">
        <f t="shared" si="11"/>
        <v>795.52</v>
      </c>
      <c r="U18" s="488">
        <f t="shared" si="25"/>
        <v>80</v>
      </c>
      <c r="V18" s="415">
        <v>3479</v>
      </c>
      <c r="W18" s="416">
        <v>1243</v>
      </c>
      <c r="X18" s="416">
        <v>4330</v>
      </c>
      <c r="Y18" s="417">
        <v>5634</v>
      </c>
      <c r="AA18" s="415">
        <f t="shared" si="12"/>
        <v>3904.5</v>
      </c>
      <c r="AB18" s="416">
        <f t="shared" si="13"/>
        <v>1243</v>
      </c>
      <c r="AC18" s="416">
        <f t="shared" si="14"/>
        <v>1243</v>
      </c>
      <c r="AD18" s="416">
        <f t="shared" si="15"/>
        <v>5634</v>
      </c>
      <c r="AE18" s="416">
        <f t="shared" si="16"/>
        <v>4330</v>
      </c>
      <c r="AF18" s="417">
        <f t="shared" si="17"/>
        <v>1243</v>
      </c>
      <c r="AH18" s="415">
        <f t="shared" si="18"/>
        <v>1249.44</v>
      </c>
      <c r="AI18" s="416">
        <f t="shared" si="19"/>
        <v>596.64</v>
      </c>
      <c r="AJ18" s="416">
        <f t="shared" si="20"/>
        <v>596.64</v>
      </c>
      <c r="AK18" s="416">
        <f t="shared" si="21"/>
        <v>1352.16</v>
      </c>
      <c r="AL18" s="416">
        <f t="shared" si="22"/>
        <v>1385.6</v>
      </c>
      <c r="AM18" s="417">
        <f t="shared" si="23"/>
        <v>795.52</v>
      </c>
      <c r="AP18" s="77"/>
      <c r="AQ18" s="77"/>
      <c r="AR18" s="77"/>
      <c r="AS18" s="77"/>
      <c r="AT18" s="77"/>
      <c r="AU18" s="107"/>
      <c r="AV18" s="107"/>
      <c r="BB18" s="22"/>
      <c r="BC18" s="22"/>
      <c r="BD18" s="22"/>
    </row>
    <row r="19" spans="1:56" ht="15.6">
      <c r="A19" s="488">
        <f t="shared" si="24"/>
        <v>90</v>
      </c>
      <c r="B19" s="415">
        <v>3479</v>
      </c>
      <c r="C19" s="416">
        <v>1243</v>
      </c>
      <c r="D19" s="416">
        <v>4330</v>
      </c>
      <c r="E19" s="417">
        <v>5634</v>
      </c>
      <c r="G19" s="415">
        <f t="shared" si="0"/>
        <v>3904.5</v>
      </c>
      <c r="H19" s="416">
        <f t="shared" si="1"/>
        <v>1243</v>
      </c>
      <c r="I19" s="416">
        <f t="shared" si="2"/>
        <v>1243</v>
      </c>
      <c r="J19" s="416">
        <f t="shared" si="3"/>
        <v>5634</v>
      </c>
      <c r="K19" s="416">
        <f t="shared" si="4"/>
        <v>4330</v>
      </c>
      <c r="L19" s="417">
        <f t="shared" si="5"/>
        <v>1243</v>
      </c>
      <c r="N19" s="415">
        <f t="shared" si="6"/>
        <v>1405.62</v>
      </c>
      <c r="O19" s="416">
        <f t="shared" si="7"/>
        <v>671.22</v>
      </c>
      <c r="P19" s="416">
        <f t="shared" si="8"/>
        <v>671.22</v>
      </c>
      <c r="Q19" s="416">
        <f t="shared" si="9"/>
        <v>1521.18</v>
      </c>
      <c r="R19" s="416">
        <f t="shared" si="10"/>
        <v>1558.8</v>
      </c>
      <c r="S19" s="417">
        <f t="shared" si="11"/>
        <v>894.96</v>
      </c>
      <c r="U19" s="488">
        <f t="shared" si="25"/>
        <v>90</v>
      </c>
      <c r="V19" s="415">
        <v>3479</v>
      </c>
      <c r="W19" s="416">
        <v>1243</v>
      </c>
      <c r="X19" s="416">
        <v>4330</v>
      </c>
      <c r="Y19" s="417">
        <v>5634</v>
      </c>
      <c r="AA19" s="415">
        <f t="shared" si="12"/>
        <v>3904.5</v>
      </c>
      <c r="AB19" s="416">
        <f t="shared" si="13"/>
        <v>1243</v>
      </c>
      <c r="AC19" s="416">
        <f t="shared" si="14"/>
        <v>1243</v>
      </c>
      <c r="AD19" s="416">
        <f t="shared" si="15"/>
        <v>5634</v>
      </c>
      <c r="AE19" s="416">
        <f t="shared" si="16"/>
        <v>4330</v>
      </c>
      <c r="AF19" s="417">
        <f t="shared" si="17"/>
        <v>1243</v>
      </c>
      <c r="AH19" s="415">
        <f t="shared" si="18"/>
        <v>1405.62</v>
      </c>
      <c r="AI19" s="416">
        <f t="shared" si="19"/>
        <v>671.22</v>
      </c>
      <c r="AJ19" s="416">
        <f t="shared" si="20"/>
        <v>671.22</v>
      </c>
      <c r="AK19" s="416">
        <f t="shared" si="21"/>
        <v>1521.18</v>
      </c>
      <c r="AL19" s="416">
        <f t="shared" si="22"/>
        <v>1558.8</v>
      </c>
      <c r="AM19" s="417">
        <f t="shared" si="23"/>
        <v>894.96</v>
      </c>
      <c r="AP19" s="77"/>
      <c r="AQ19" s="77"/>
      <c r="AR19" s="77"/>
      <c r="AS19" s="77"/>
      <c r="AT19" s="77"/>
      <c r="AU19" s="107"/>
      <c r="AV19" s="107"/>
      <c r="BB19" s="22"/>
      <c r="BC19" s="22"/>
      <c r="BD19" s="22"/>
    </row>
    <row r="20" spans="1:56" ht="15.6">
      <c r="A20" s="488">
        <f t="shared" si="24"/>
        <v>100</v>
      </c>
      <c r="B20" s="415">
        <v>3479</v>
      </c>
      <c r="C20" s="416">
        <v>1243</v>
      </c>
      <c r="D20" s="416">
        <v>4330</v>
      </c>
      <c r="E20" s="417">
        <v>5634</v>
      </c>
      <c r="G20" s="415">
        <f t="shared" si="0"/>
        <v>3904.5</v>
      </c>
      <c r="H20" s="416">
        <f t="shared" si="1"/>
        <v>1243</v>
      </c>
      <c r="I20" s="416">
        <f t="shared" si="2"/>
        <v>1243</v>
      </c>
      <c r="J20" s="416">
        <f t="shared" si="3"/>
        <v>5634</v>
      </c>
      <c r="K20" s="416">
        <f t="shared" si="4"/>
        <v>4330</v>
      </c>
      <c r="L20" s="417">
        <f t="shared" si="5"/>
        <v>1243</v>
      </c>
      <c r="N20" s="415">
        <f t="shared" si="6"/>
        <v>1561.8</v>
      </c>
      <c r="O20" s="416">
        <f t="shared" si="7"/>
        <v>745.8</v>
      </c>
      <c r="P20" s="416">
        <f t="shared" si="8"/>
        <v>745.8</v>
      </c>
      <c r="Q20" s="416">
        <f t="shared" si="9"/>
        <v>1690.2</v>
      </c>
      <c r="R20" s="416">
        <f t="shared" si="10"/>
        <v>1732</v>
      </c>
      <c r="S20" s="417">
        <f t="shared" si="11"/>
        <v>994.4</v>
      </c>
      <c r="U20" s="488">
        <f t="shared" si="25"/>
        <v>100</v>
      </c>
      <c r="V20" s="415">
        <v>3479</v>
      </c>
      <c r="W20" s="416">
        <v>1243</v>
      </c>
      <c r="X20" s="416">
        <v>4330</v>
      </c>
      <c r="Y20" s="417">
        <v>5634</v>
      </c>
      <c r="AA20" s="415">
        <f t="shared" si="12"/>
        <v>3904.5</v>
      </c>
      <c r="AB20" s="416">
        <f t="shared" si="13"/>
        <v>1243</v>
      </c>
      <c r="AC20" s="416">
        <f t="shared" si="14"/>
        <v>1243</v>
      </c>
      <c r="AD20" s="416">
        <f t="shared" si="15"/>
        <v>5634</v>
      </c>
      <c r="AE20" s="416">
        <f t="shared" si="16"/>
        <v>4330</v>
      </c>
      <c r="AF20" s="417">
        <f t="shared" si="17"/>
        <v>1243</v>
      </c>
      <c r="AH20" s="415">
        <f t="shared" si="18"/>
        <v>1561.8</v>
      </c>
      <c r="AI20" s="416">
        <f t="shared" si="19"/>
        <v>745.8</v>
      </c>
      <c r="AJ20" s="416">
        <f t="shared" si="20"/>
        <v>745.8</v>
      </c>
      <c r="AK20" s="416">
        <f t="shared" si="21"/>
        <v>1690.2</v>
      </c>
      <c r="AL20" s="416">
        <f t="shared" si="22"/>
        <v>1732</v>
      </c>
      <c r="AM20" s="417">
        <f t="shared" si="23"/>
        <v>994.4</v>
      </c>
      <c r="AP20" s="77"/>
      <c r="AQ20" s="77"/>
      <c r="AR20" s="77"/>
      <c r="AS20" s="77"/>
      <c r="AT20" s="77"/>
      <c r="AU20" s="107"/>
      <c r="AV20" s="107"/>
      <c r="BB20" s="22"/>
      <c r="BC20" s="22"/>
      <c r="BD20" s="22"/>
    </row>
    <row r="21" spans="1:56" ht="15.6">
      <c r="A21" s="488">
        <f t="shared" si="24"/>
        <v>110</v>
      </c>
      <c r="B21" s="415">
        <v>3479</v>
      </c>
      <c r="C21" s="416">
        <v>1243</v>
      </c>
      <c r="D21" s="416">
        <v>4330</v>
      </c>
      <c r="E21" s="417">
        <v>5634</v>
      </c>
      <c r="G21" s="415">
        <f t="shared" si="0"/>
        <v>3904.5</v>
      </c>
      <c r="H21" s="416">
        <f t="shared" si="1"/>
        <v>1243</v>
      </c>
      <c r="I21" s="416">
        <f t="shared" si="2"/>
        <v>1243</v>
      </c>
      <c r="J21" s="416">
        <f t="shared" si="3"/>
        <v>5634</v>
      </c>
      <c r="K21" s="416">
        <f t="shared" si="4"/>
        <v>4330</v>
      </c>
      <c r="L21" s="417">
        <f t="shared" si="5"/>
        <v>1243</v>
      </c>
      <c r="N21" s="415">
        <f t="shared" si="6"/>
        <v>1717.98</v>
      </c>
      <c r="O21" s="416">
        <f t="shared" si="7"/>
        <v>820.38</v>
      </c>
      <c r="P21" s="416">
        <f t="shared" si="8"/>
        <v>820.38</v>
      </c>
      <c r="Q21" s="416">
        <f t="shared" si="9"/>
        <v>1859.22</v>
      </c>
      <c r="R21" s="416">
        <f t="shared" si="10"/>
        <v>1905.2</v>
      </c>
      <c r="S21" s="417">
        <f t="shared" si="11"/>
        <v>1093.8399999999999</v>
      </c>
      <c r="U21" s="488">
        <f t="shared" si="25"/>
        <v>110</v>
      </c>
      <c r="V21" s="415">
        <v>3479</v>
      </c>
      <c r="W21" s="416">
        <v>1243</v>
      </c>
      <c r="X21" s="416">
        <v>4330</v>
      </c>
      <c r="Y21" s="417">
        <v>5634</v>
      </c>
      <c r="AA21" s="415">
        <f t="shared" si="12"/>
        <v>3904.5</v>
      </c>
      <c r="AB21" s="416">
        <f t="shared" si="13"/>
        <v>1243</v>
      </c>
      <c r="AC21" s="416">
        <f t="shared" si="14"/>
        <v>1243</v>
      </c>
      <c r="AD21" s="416">
        <f t="shared" si="15"/>
        <v>5634</v>
      </c>
      <c r="AE21" s="416">
        <f t="shared" si="16"/>
        <v>4330</v>
      </c>
      <c r="AF21" s="417">
        <f t="shared" si="17"/>
        <v>1243</v>
      </c>
      <c r="AH21" s="415">
        <f t="shared" si="18"/>
        <v>1717.98</v>
      </c>
      <c r="AI21" s="416">
        <f t="shared" si="19"/>
        <v>820.38</v>
      </c>
      <c r="AJ21" s="416">
        <f t="shared" si="20"/>
        <v>820.38</v>
      </c>
      <c r="AK21" s="416">
        <f t="shared" si="21"/>
        <v>1859.22</v>
      </c>
      <c r="AL21" s="416">
        <f t="shared" si="22"/>
        <v>1905.2</v>
      </c>
      <c r="AM21" s="417">
        <f t="shared" si="23"/>
        <v>1093.8399999999999</v>
      </c>
      <c r="AP21" s="77"/>
      <c r="AQ21" s="77"/>
      <c r="AR21" s="77"/>
      <c r="AS21" s="77"/>
      <c r="AT21" s="77"/>
      <c r="AU21" s="107"/>
      <c r="AV21" s="107"/>
      <c r="BB21" s="22"/>
      <c r="BC21" s="22"/>
      <c r="BD21" s="22"/>
    </row>
    <row r="22" spans="1:56" ht="15.6">
      <c r="A22" s="489">
        <f t="shared" si="24"/>
        <v>120</v>
      </c>
      <c r="B22" s="431">
        <v>3892</v>
      </c>
      <c r="C22" s="432">
        <v>1874</v>
      </c>
      <c r="D22" s="432">
        <v>4330</v>
      </c>
      <c r="E22" s="433">
        <v>6379</v>
      </c>
      <c r="G22" s="431">
        <f t="shared" si="0"/>
        <v>4111</v>
      </c>
      <c r="H22" s="432">
        <f t="shared" si="1"/>
        <v>1874</v>
      </c>
      <c r="I22" s="432">
        <f t="shared" si="2"/>
        <v>1874</v>
      </c>
      <c r="J22" s="432">
        <f t="shared" si="3"/>
        <v>6379</v>
      </c>
      <c r="K22" s="432">
        <f t="shared" si="4"/>
        <v>4330</v>
      </c>
      <c r="L22" s="433">
        <f t="shared" si="5"/>
        <v>1874</v>
      </c>
      <c r="N22" s="571">
        <f t="shared" si="6"/>
        <v>1973.28</v>
      </c>
      <c r="O22" s="572">
        <f t="shared" si="7"/>
        <v>1349.28</v>
      </c>
      <c r="P22" s="572">
        <f t="shared" si="8"/>
        <v>1349.28</v>
      </c>
      <c r="Q22" s="572">
        <f t="shared" si="9"/>
        <v>2296.44</v>
      </c>
      <c r="R22" s="572">
        <f t="shared" si="10"/>
        <v>2078.4</v>
      </c>
      <c r="S22" s="573">
        <f t="shared" si="11"/>
        <v>1799.04</v>
      </c>
      <c r="U22" s="489">
        <f t="shared" si="25"/>
        <v>120</v>
      </c>
      <c r="V22" s="431">
        <v>3892</v>
      </c>
      <c r="W22" s="432">
        <v>1874</v>
      </c>
      <c r="X22" s="432">
        <v>4330</v>
      </c>
      <c r="Y22" s="433">
        <v>6379</v>
      </c>
      <c r="AA22" s="431">
        <f t="shared" si="12"/>
        <v>4111</v>
      </c>
      <c r="AB22" s="432">
        <f t="shared" si="13"/>
        <v>1874</v>
      </c>
      <c r="AC22" s="432">
        <f t="shared" si="14"/>
        <v>1874</v>
      </c>
      <c r="AD22" s="432">
        <f t="shared" si="15"/>
        <v>6379</v>
      </c>
      <c r="AE22" s="432">
        <f t="shared" si="16"/>
        <v>4330</v>
      </c>
      <c r="AF22" s="433">
        <f t="shared" si="17"/>
        <v>1874</v>
      </c>
      <c r="AH22" s="571">
        <f t="shared" si="18"/>
        <v>1973.28</v>
      </c>
      <c r="AI22" s="572">
        <f t="shared" si="19"/>
        <v>1349.28</v>
      </c>
      <c r="AJ22" s="572">
        <f t="shared" si="20"/>
        <v>1349.28</v>
      </c>
      <c r="AK22" s="572">
        <f t="shared" si="21"/>
        <v>2296.44</v>
      </c>
      <c r="AL22" s="572">
        <f t="shared" si="22"/>
        <v>2078.4</v>
      </c>
      <c r="AM22" s="573">
        <f t="shared" si="23"/>
        <v>1799.04</v>
      </c>
      <c r="AP22" s="77"/>
      <c r="AQ22" s="77"/>
      <c r="AR22" s="77"/>
      <c r="AS22" s="77"/>
      <c r="AT22" s="77"/>
      <c r="AU22" s="107"/>
      <c r="AV22" s="107"/>
      <c r="BB22" s="22"/>
      <c r="BC22" s="22"/>
      <c r="BD22" s="22"/>
    </row>
    <row r="23" spans="1:56" ht="15.6">
      <c r="A23" s="489">
        <f t="shared" si="24"/>
        <v>130</v>
      </c>
      <c r="B23" s="431">
        <v>3892</v>
      </c>
      <c r="C23" s="432">
        <v>1874</v>
      </c>
      <c r="D23" s="432">
        <v>4330</v>
      </c>
      <c r="E23" s="433">
        <v>6379</v>
      </c>
      <c r="G23" s="431">
        <f t="shared" si="0"/>
        <v>4111</v>
      </c>
      <c r="H23" s="432">
        <f t="shared" si="1"/>
        <v>1874</v>
      </c>
      <c r="I23" s="432">
        <f t="shared" si="2"/>
        <v>1874</v>
      </c>
      <c r="J23" s="432">
        <f t="shared" si="3"/>
        <v>6379</v>
      </c>
      <c r="K23" s="432">
        <f t="shared" si="4"/>
        <v>4330</v>
      </c>
      <c r="L23" s="433">
        <f t="shared" si="5"/>
        <v>1874</v>
      </c>
      <c r="N23" s="415">
        <f t="shared" si="6"/>
        <v>2137.7199999999998</v>
      </c>
      <c r="O23" s="416">
        <f t="shared" si="7"/>
        <v>1461.72</v>
      </c>
      <c r="P23" s="416">
        <f t="shared" si="8"/>
        <v>1461.72</v>
      </c>
      <c r="Q23" s="416">
        <f t="shared" si="9"/>
        <v>2487.81</v>
      </c>
      <c r="R23" s="416">
        <f t="shared" si="10"/>
        <v>2251.6</v>
      </c>
      <c r="S23" s="417">
        <f t="shared" si="11"/>
        <v>1948.96</v>
      </c>
      <c r="U23" s="489">
        <f t="shared" si="25"/>
        <v>130</v>
      </c>
      <c r="V23" s="431">
        <v>3892</v>
      </c>
      <c r="W23" s="432">
        <v>1874</v>
      </c>
      <c r="X23" s="432">
        <v>4330</v>
      </c>
      <c r="Y23" s="433">
        <v>6379</v>
      </c>
      <c r="AA23" s="431">
        <f t="shared" si="12"/>
        <v>4111</v>
      </c>
      <c r="AB23" s="432">
        <f t="shared" si="13"/>
        <v>1874</v>
      </c>
      <c r="AC23" s="432">
        <f t="shared" si="14"/>
        <v>1874</v>
      </c>
      <c r="AD23" s="432">
        <f t="shared" si="15"/>
        <v>6379</v>
      </c>
      <c r="AE23" s="432">
        <f t="shared" si="16"/>
        <v>4330</v>
      </c>
      <c r="AF23" s="433">
        <f t="shared" si="17"/>
        <v>1874</v>
      </c>
      <c r="AH23" s="431">
        <f t="shared" si="18"/>
        <v>2137.7199999999998</v>
      </c>
      <c r="AI23" s="432">
        <f t="shared" si="19"/>
        <v>1461.72</v>
      </c>
      <c r="AJ23" s="432">
        <f t="shared" si="20"/>
        <v>1461.72</v>
      </c>
      <c r="AK23" s="432">
        <f t="shared" si="21"/>
        <v>2487.81</v>
      </c>
      <c r="AL23" s="432">
        <f t="shared" si="22"/>
        <v>2251.6</v>
      </c>
      <c r="AM23" s="433">
        <f t="shared" si="23"/>
        <v>1948.96</v>
      </c>
      <c r="AP23" s="77"/>
      <c r="AQ23" s="77"/>
      <c r="AR23" s="77"/>
      <c r="AS23" s="77"/>
      <c r="AT23" s="77"/>
      <c r="AU23" s="107"/>
      <c r="AV23" s="107"/>
      <c r="BB23" s="22"/>
      <c r="BC23" s="22"/>
      <c r="BD23" s="22"/>
    </row>
    <row r="24" spans="1:56" ht="15.6">
      <c r="A24" s="489">
        <f t="shared" si="24"/>
        <v>140</v>
      </c>
      <c r="B24" s="431">
        <v>3892</v>
      </c>
      <c r="C24" s="432">
        <v>1874</v>
      </c>
      <c r="D24" s="432">
        <v>4330</v>
      </c>
      <c r="E24" s="433">
        <v>6379</v>
      </c>
      <c r="G24" s="431">
        <f t="shared" si="0"/>
        <v>4111</v>
      </c>
      <c r="H24" s="432">
        <f t="shared" si="1"/>
        <v>1874</v>
      </c>
      <c r="I24" s="432">
        <f t="shared" si="2"/>
        <v>1874</v>
      </c>
      <c r="J24" s="432">
        <f t="shared" si="3"/>
        <v>6379</v>
      </c>
      <c r="K24" s="432">
        <f t="shared" si="4"/>
        <v>4330</v>
      </c>
      <c r="L24" s="433">
        <f t="shared" si="5"/>
        <v>1874</v>
      </c>
      <c r="N24" s="431">
        <f t="shared" si="6"/>
        <v>2302.16</v>
      </c>
      <c r="O24" s="432">
        <f t="shared" si="7"/>
        <v>1574.16</v>
      </c>
      <c r="P24" s="432">
        <f t="shared" si="8"/>
        <v>1574.16</v>
      </c>
      <c r="Q24" s="432">
        <f t="shared" si="9"/>
        <v>2679.18</v>
      </c>
      <c r="R24" s="432">
        <f t="shared" si="10"/>
        <v>2424.8000000000002</v>
      </c>
      <c r="S24" s="433">
        <f t="shared" si="11"/>
        <v>2098.88</v>
      </c>
      <c r="U24" s="489">
        <f t="shared" si="25"/>
        <v>140</v>
      </c>
      <c r="V24" s="431">
        <v>3892</v>
      </c>
      <c r="W24" s="432">
        <v>1874</v>
      </c>
      <c r="X24" s="432">
        <v>4330</v>
      </c>
      <c r="Y24" s="433">
        <v>6379</v>
      </c>
      <c r="AA24" s="431">
        <f t="shared" si="12"/>
        <v>4111</v>
      </c>
      <c r="AB24" s="432">
        <f t="shared" si="13"/>
        <v>1874</v>
      </c>
      <c r="AC24" s="432">
        <f t="shared" si="14"/>
        <v>1874</v>
      </c>
      <c r="AD24" s="432">
        <f t="shared" si="15"/>
        <v>6379</v>
      </c>
      <c r="AE24" s="432">
        <f t="shared" si="16"/>
        <v>4330</v>
      </c>
      <c r="AF24" s="433">
        <f t="shared" si="17"/>
        <v>1874</v>
      </c>
      <c r="AH24" s="431">
        <f t="shared" si="18"/>
        <v>2302.16</v>
      </c>
      <c r="AI24" s="432">
        <f t="shared" si="19"/>
        <v>1574.16</v>
      </c>
      <c r="AJ24" s="432">
        <f t="shared" si="20"/>
        <v>1574.16</v>
      </c>
      <c r="AK24" s="432">
        <f t="shared" si="21"/>
        <v>2679.18</v>
      </c>
      <c r="AL24" s="432">
        <f t="shared" si="22"/>
        <v>2424.8000000000002</v>
      </c>
      <c r="AM24" s="433">
        <f t="shared" si="23"/>
        <v>2098.88</v>
      </c>
      <c r="AP24" s="77"/>
      <c r="AQ24" s="77"/>
      <c r="AR24" s="77"/>
      <c r="AS24" s="77"/>
      <c r="AT24" s="77"/>
      <c r="AU24" s="107"/>
      <c r="AV24" s="107"/>
      <c r="BB24" s="22"/>
      <c r="BC24" s="22"/>
      <c r="BD24" s="22"/>
    </row>
    <row r="25" spans="1:56" ht="15.6">
      <c r="A25" s="489">
        <f t="shared" si="24"/>
        <v>150</v>
      </c>
      <c r="B25" s="431">
        <v>3892</v>
      </c>
      <c r="C25" s="432">
        <v>1874</v>
      </c>
      <c r="D25" s="432">
        <v>4330</v>
      </c>
      <c r="E25" s="433">
        <v>6379</v>
      </c>
      <c r="G25" s="431">
        <f t="shared" si="0"/>
        <v>4111</v>
      </c>
      <c r="H25" s="432">
        <f t="shared" si="1"/>
        <v>1874</v>
      </c>
      <c r="I25" s="432">
        <f t="shared" si="2"/>
        <v>1874</v>
      </c>
      <c r="J25" s="432">
        <f t="shared" si="3"/>
        <v>6379</v>
      </c>
      <c r="K25" s="432">
        <f t="shared" si="4"/>
        <v>4330</v>
      </c>
      <c r="L25" s="433">
        <f t="shared" si="5"/>
        <v>1874</v>
      </c>
      <c r="N25" s="431">
        <f t="shared" si="6"/>
        <v>2466.6</v>
      </c>
      <c r="O25" s="432">
        <f t="shared" si="7"/>
        <v>1686.6</v>
      </c>
      <c r="P25" s="432">
        <f t="shared" si="8"/>
        <v>1686.6</v>
      </c>
      <c r="Q25" s="432">
        <f t="shared" si="9"/>
        <v>2870.55</v>
      </c>
      <c r="R25" s="432">
        <f t="shared" si="10"/>
        <v>2598</v>
      </c>
      <c r="S25" s="433">
        <f t="shared" si="11"/>
        <v>2248.8000000000002</v>
      </c>
      <c r="U25" s="489">
        <f t="shared" si="25"/>
        <v>150</v>
      </c>
      <c r="V25" s="431">
        <v>3892</v>
      </c>
      <c r="W25" s="432">
        <v>1874</v>
      </c>
      <c r="X25" s="432">
        <v>4330</v>
      </c>
      <c r="Y25" s="433">
        <v>6379</v>
      </c>
      <c r="AA25" s="431">
        <f t="shared" si="12"/>
        <v>4111</v>
      </c>
      <c r="AB25" s="432">
        <f t="shared" si="13"/>
        <v>1874</v>
      </c>
      <c r="AC25" s="432">
        <f t="shared" si="14"/>
        <v>1874</v>
      </c>
      <c r="AD25" s="432">
        <f t="shared" si="15"/>
        <v>6379</v>
      </c>
      <c r="AE25" s="432">
        <f t="shared" si="16"/>
        <v>4330</v>
      </c>
      <c r="AF25" s="433">
        <f t="shared" si="17"/>
        <v>1874</v>
      </c>
      <c r="AH25" s="431">
        <f t="shared" si="18"/>
        <v>2466.6</v>
      </c>
      <c r="AI25" s="432">
        <f t="shared" si="19"/>
        <v>1686.6</v>
      </c>
      <c r="AJ25" s="432">
        <f t="shared" si="20"/>
        <v>1686.6</v>
      </c>
      <c r="AK25" s="432">
        <f t="shared" si="21"/>
        <v>2870.55</v>
      </c>
      <c r="AL25" s="432">
        <f t="shared" si="22"/>
        <v>2598</v>
      </c>
      <c r="AM25" s="433">
        <f t="shared" si="23"/>
        <v>2248.8000000000002</v>
      </c>
      <c r="AP25" s="77"/>
      <c r="AQ25" s="77"/>
      <c r="AR25" s="77"/>
      <c r="AS25" s="77"/>
      <c r="AT25" s="77"/>
      <c r="AU25" s="107"/>
      <c r="AV25" s="107"/>
      <c r="BB25" s="22"/>
      <c r="BC25" s="22"/>
      <c r="BD25" s="22"/>
    </row>
    <row r="26" spans="1:56" ht="15.6">
      <c r="A26" s="489">
        <f t="shared" si="24"/>
        <v>160</v>
      </c>
      <c r="B26" s="431">
        <v>5022</v>
      </c>
      <c r="C26" s="432">
        <v>1874</v>
      </c>
      <c r="D26" s="432">
        <v>6112</v>
      </c>
      <c r="E26" s="433">
        <v>7118</v>
      </c>
      <c r="G26" s="431">
        <f t="shared" si="0"/>
        <v>5567</v>
      </c>
      <c r="H26" s="432">
        <f t="shared" si="1"/>
        <v>1874</v>
      </c>
      <c r="I26" s="432">
        <f t="shared" si="2"/>
        <v>1874</v>
      </c>
      <c r="J26" s="432">
        <f t="shared" si="3"/>
        <v>7118</v>
      </c>
      <c r="K26" s="432">
        <f t="shared" si="4"/>
        <v>6112</v>
      </c>
      <c r="L26" s="433">
        <f t="shared" si="5"/>
        <v>1874</v>
      </c>
      <c r="N26" s="431">
        <f t="shared" si="6"/>
        <v>3562.88</v>
      </c>
      <c r="O26" s="432">
        <f t="shared" si="7"/>
        <v>1799.04</v>
      </c>
      <c r="P26" s="432">
        <f t="shared" si="8"/>
        <v>1799.04</v>
      </c>
      <c r="Q26" s="432">
        <f t="shared" si="9"/>
        <v>3416.64</v>
      </c>
      <c r="R26" s="432">
        <f t="shared" si="10"/>
        <v>3911.68</v>
      </c>
      <c r="S26" s="433">
        <f t="shared" si="11"/>
        <v>2398.7199999999998</v>
      </c>
      <c r="U26" s="489">
        <f t="shared" si="25"/>
        <v>160</v>
      </c>
      <c r="V26" s="431">
        <v>5022</v>
      </c>
      <c r="W26" s="432">
        <v>1874</v>
      </c>
      <c r="X26" s="432">
        <v>6112</v>
      </c>
      <c r="Y26" s="433">
        <v>7118</v>
      </c>
      <c r="AA26" s="431">
        <f t="shared" si="12"/>
        <v>5567</v>
      </c>
      <c r="AB26" s="432">
        <f t="shared" si="13"/>
        <v>1874</v>
      </c>
      <c r="AC26" s="432">
        <f t="shared" si="14"/>
        <v>1874</v>
      </c>
      <c r="AD26" s="432">
        <f t="shared" si="15"/>
        <v>7118</v>
      </c>
      <c r="AE26" s="432">
        <f t="shared" si="16"/>
        <v>6112</v>
      </c>
      <c r="AF26" s="433">
        <f t="shared" si="17"/>
        <v>1874</v>
      </c>
      <c r="AH26" s="431">
        <f t="shared" si="18"/>
        <v>3562.88</v>
      </c>
      <c r="AI26" s="432">
        <f t="shared" si="19"/>
        <v>1799.04</v>
      </c>
      <c r="AJ26" s="432">
        <f t="shared" si="20"/>
        <v>1799.04</v>
      </c>
      <c r="AK26" s="432">
        <f t="shared" si="21"/>
        <v>3416.64</v>
      </c>
      <c r="AL26" s="432">
        <f t="shared" si="22"/>
        <v>3911.68</v>
      </c>
      <c r="AM26" s="433">
        <f t="shared" si="23"/>
        <v>2398.7199999999998</v>
      </c>
      <c r="AP26" s="77"/>
      <c r="AQ26" s="77"/>
      <c r="AR26" s="77"/>
      <c r="AS26" s="77"/>
      <c r="AT26" s="77"/>
      <c r="AU26" s="107"/>
      <c r="AV26" s="107"/>
      <c r="BB26" s="22"/>
      <c r="BC26" s="22"/>
      <c r="BD26" s="22"/>
    </row>
    <row r="27" spans="1:56" ht="15.6">
      <c r="A27" s="489">
        <f t="shared" si="24"/>
        <v>170</v>
      </c>
      <c r="B27" s="431">
        <v>5022</v>
      </c>
      <c r="C27" s="432">
        <v>1874</v>
      </c>
      <c r="D27" s="432">
        <v>6112</v>
      </c>
      <c r="E27" s="433">
        <v>7118</v>
      </c>
      <c r="G27" s="431">
        <f t="shared" si="0"/>
        <v>5567</v>
      </c>
      <c r="H27" s="432">
        <f t="shared" si="1"/>
        <v>1874</v>
      </c>
      <c r="I27" s="432">
        <f t="shared" si="2"/>
        <v>1874</v>
      </c>
      <c r="J27" s="432">
        <f t="shared" si="3"/>
        <v>7118</v>
      </c>
      <c r="K27" s="432">
        <f t="shared" si="4"/>
        <v>6112</v>
      </c>
      <c r="L27" s="433">
        <f t="shared" si="5"/>
        <v>1874</v>
      </c>
      <c r="N27" s="431">
        <f t="shared" si="6"/>
        <v>3785.56</v>
      </c>
      <c r="O27" s="432">
        <f t="shared" si="7"/>
        <v>1911.48</v>
      </c>
      <c r="P27" s="432">
        <f t="shared" si="8"/>
        <v>1911.48</v>
      </c>
      <c r="Q27" s="432">
        <f t="shared" si="9"/>
        <v>3630.18</v>
      </c>
      <c r="R27" s="432">
        <f t="shared" si="10"/>
        <v>4156.16</v>
      </c>
      <c r="S27" s="433">
        <f t="shared" si="11"/>
        <v>2548.64</v>
      </c>
      <c r="U27" s="489">
        <f t="shared" si="25"/>
        <v>170</v>
      </c>
      <c r="V27" s="431">
        <v>5022</v>
      </c>
      <c r="W27" s="432">
        <v>1874</v>
      </c>
      <c r="X27" s="432">
        <v>6112</v>
      </c>
      <c r="Y27" s="433">
        <v>7118</v>
      </c>
      <c r="AA27" s="431">
        <f t="shared" si="12"/>
        <v>5567</v>
      </c>
      <c r="AB27" s="432">
        <f t="shared" si="13"/>
        <v>1874</v>
      </c>
      <c r="AC27" s="432">
        <f t="shared" si="14"/>
        <v>1874</v>
      </c>
      <c r="AD27" s="432">
        <f t="shared" si="15"/>
        <v>7118</v>
      </c>
      <c r="AE27" s="432">
        <f t="shared" si="16"/>
        <v>6112</v>
      </c>
      <c r="AF27" s="433">
        <f t="shared" si="17"/>
        <v>1874</v>
      </c>
      <c r="AH27" s="431">
        <f t="shared" si="18"/>
        <v>3785.56</v>
      </c>
      <c r="AI27" s="432">
        <f t="shared" si="19"/>
        <v>1911.48</v>
      </c>
      <c r="AJ27" s="432">
        <f t="shared" si="20"/>
        <v>1911.48</v>
      </c>
      <c r="AK27" s="432">
        <f t="shared" si="21"/>
        <v>3630.18</v>
      </c>
      <c r="AL27" s="432">
        <f t="shared" si="22"/>
        <v>4156.16</v>
      </c>
      <c r="AM27" s="433">
        <f t="shared" si="23"/>
        <v>2548.64</v>
      </c>
      <c r="AP27" s="77"/>
      <c r="AQ27" s="77"/>
      <c r="AR27" s="77"/>
      <c r="AS27" s="77"/>
      <c r="AT27" s="77"/>
      <c r="AU27" s="107"/>
      <c r="AV27" s="107"/>
      <c r="BB27" s="22"/>
      <c r="BC27" s="22"/>
      <c r="BD27" s="22"/>
    </row>
    <row r="28" spans="1:56" ht="15.6">
      <c r="A28" s="489">
        <f t="shared" si="24"/>
        <v>180</v>
      </c>
      <c r="B28" s="431">
        <v>5022</v>
      </c>
      <c r="C28" s="432">
        <v>2580</v>
      </c>
      <c r="D28" s="432">
        <v>6112</v>
      </c>
      <c r="E28" s="433">
        <v>7118</v>
      </c>
      <c r="G28" s="431">
        <f t="shared" si="0"/>
        <v>5567</v>
      </c>
      <c r="H28" s="432">
        <f t="shared" si="1"/>
        <v>2580</v>
      </c>
      <c r="I28" s="432">
        <f t="shared" si="2"/>
        <v>2580</v>
      </c>
      <c r="J28" s="432">
        <f t="shared" si="3"/>
        <v>7118</v>
      </c>
      <c r="K28" s="432">
        <f t="shared" si="4"/>
        <v>6112</v>
      </c>
      <c r="L28" s="433">
        <f t="shared" si="5"/>
        <v>2580</v>
      </c>
      <c r="N28" s="431">
        <f t="shared" si="6"/>
        <v>4008.24</v>
      </c>
      <c r="O28" s="432">
        <f t="shared" si="7"/>
        <v>2786.4</v>
      </c>
      <c r="P28" s="432">
        <f t="shared" si="8"/>
        <v>2786.4</v>
      </c>
      <c r="Q28" s="432">
        <f t="shared" si="9"/>
        <v>3843.72</v>
      </c>
      <c r="R28" s="432">
        <f t="shared" si="10"/>
        <v>4400.6400000000003</v>
      </c>
      <c r="S28" s="433">
        <f t="shared" si="11"/>
        <v>3715.2</v>
      </c>
      <c r="U28" s="489">
        <f t="shared" si="25"/>
        <v>180</v>
      </c>
      <c r="V28" s="431">
        <v>5022</v>
      </c>
      <c r="W28" s="432">
        <v>2580</v>
      </c>
      <c r="X28" s="432">
        <v>6112</v>
      </c>
      <c r="Y28" s="433">
        <v>7118</v>
      </c>
      <c r="AA28" s="431">
        <f t="shared" si="12"/>
        <v>5567</v>
      </c>
      <c r="AB28" s="432">
        <f t="shared" si="13"/>
        <v>2580</v>
      </c>
      <c r="AC28" s="432">
        <f t="shared" si="14"/>
        <v>2580</v>
      </c>
      <c r="AD28" s="432">
        <f t="shared" si="15"/>
        <v>7118</v>
      </c>
      <c r="AE28" s="432">
        <f t="shared" si="16"/>
        <v>6112</v>
      </c>
      <c r="AF28" s="433">
        <f t="shared" si="17"/>
        <v>2580</v>
      </c>
      <c r="AH28" s="431">
        <f t="shared" si="18"/>
        <v>4008.24</v>
      </c>
      <c r="AI28" s="432">
        <f t="shared" si="19"/>
        <v>2786.4</v>
      </c>
      <c r="AJ28" s="432">
        <f t="shared" si="20"/>
        <v>2786.4</v>
      </c>
      <c r="AK28" s="432">
        <f t="shared" si="21"/>
        <v>3843.72</v>
      </c>
      <c r="AL28" s="432">
        <f t="shared" si="22"/>
        <v>4400.6400000000003</v>
      </c>
      <c r="AM28" s="433">
        <f t="shared" si="23"/>
        <v>3715.2</v>
      </c>
      <c r="AP28" s="77"/>
      <c r="AQ28" s="77"/>
      <c r="AR28" s="77"/>
      <c r="AS28" s="77"/>
      <c r="AT28" s="77"/>
      <c r="AU28" s="107"/>
      <c r="AV28" s="107"/>
      <c r="BB28" s="22"/>
      <c r="BC28" s="22"/>
      <c r="BD28" s="22"/>
    </row>
    <row r="29" spans="1:56" ht="15.6">
      <c r="A29" s="489">
        <f t="shared" si="24"/>
        <v>190</v>
      </c>
      <c r="B29" s="431">
        <v>5022</v>
      </c>
      <c r="C29" s="432">
        <v>2580</v>
      </c>
      <c r="D29" s="432">
        <v>6112</v>
      </c>
      <c r="E29" s="433">
        <v>7118</v>
      </c>
      <c r="G29" s="431">
        <f t="shared" si="0"/>
        <v>5567</v>
      </c>
      <c r="H29" s="432">
        <f t="shared" si="1"/>
        <v>2580</v>
      </c>
      <c r="I29" s="432">
        <f t="shared" si="2"/>
        <v>2580</v>
      </c>
      <c r="J29" s="432">
        <f t="shared" si="3"/>
        <v>7118</v>
      </c>
      <c r="K29" s="432">
        <f t="shared" si="4"/>
        <v>6112</v>
      </c>
      <c r="L29" s="433">
        <f t="shared" si="5"/>
        <v>2580</v>
      </c>
      <c r="N29" s="431">
        <f t="shared" si="6"/>
        <v>4230.92</v>
      </c>
      <c r="O29" s="432">
        <f t="shared" si="7"/>
        <v>2941.2</v>
      </c>
      <c r="P29" s="432">
        <f t="shared" si="8"/>
        <v>2941.2</v>
      </c>
      <c r="Q29" s="432">
        <f t="shared" si="9"/>
        <v>4057.26</v>
      </c>
      <c r="R29" s="432">
        <f t="shared" si="10"/>
        <v>4645.12</v>
      </c>
      <c r="S29" s="433">
        <f t="shared" si="11"/>
        <v>3921.6</v>
      </c>
      <c r="U29" s="489">
        <f t="shared" si="25"/>
        <v>190</v>
      </c>
      <c r="V29" s="431">
        <v>5022</v>
      </c>
      <c r="W29" s="432">
        <v>2580</v>
      </c>
      <c r="X29" s="432">
        <v>6112</v>
      </c>
      <c r="Y29" s="433">
        <v>7118</v>
      </c>
      <c r="AA29" s="431">
        <f t="shared" si="12"/>
        <v>5567</v>
      </c>
      <c r="AB29" s="432">
        <f t="shared" si="13"/>
        <v>2580</v>
      </c>
      <c r="AC29" s="432">
        <f t="shared" si="14"/>
        <v>2580</v>
      </c>
      <c r="AD29" s="432">
        <f t="shared" si="15"/>
        <v>7118</v>
      </c>
      <c r="AE29" s="432">
        <f t="shared" si="16"/>
        <v>6112</v>
      </c>
      <c r="AF29" s="433">
        <f t="shared" si="17"/>
        <v>2580</v>
      </c>
      <c r="AH29" s="431">
        <f t="shared" si="18"/>
        <v>4230.92</v>
      </c>
      <c r="AI29" s="432">
        <f t="shared" si="19"/>
        <v>2941.2</v>
      </c>
      <c r="AJ29" s="432">
        <f t="shared" si="20"/>
        <v>2941.2</v>
      </c>
      <c r="AK29" s="432">
        <f t="shared" si="21"/>
        <v>4057.26</v>
      </c>
      <c r="AL29" s="432">
        <f t="shared" si="22"/>
        <v>4645.12</v>
      </c>
      <c r="AM29" s="433">
        <f t="shared" si="23"/>
        <v>3921.6</v>
      </c>
      <c r="AP29" s="77"/>
      <c r="AQ29" s="77"/>
      <c r="AR29" s="77"/>
      <c r="AS29" s="77"/>
      <c r="AT29" s="77"/>
      <c r="AU29" s="107"/>
      <c r="AV29" s="107"/>
      <c r="BB29" s="22"/>
      <c r="BC29" s="22"/>
      <c r="BD29" s="22"/>
    </row>
    <row r="30" spans="1:56" ht="15.6">
      <c r="A30" s="489">
        <f t="shared" si="24"/>
        <v>200</v>
      </c>
      <c r="B30" s="431">
        <v>5022</v>
      </c>
      <c r="C30" s="432">
        <v>2580</v>
      </c>
      <c r="D30" s="432">
        <v>6112</v>
      </c>
      <c r="E30" s="433">
        <v>7118</v>
      </c>
      <c r="G30" s="431">
        <f t="shared" si="0"/>
        <v>5567</v>
      </c>
      <c r="H30" s="432">
        <f t="shared" si="1"/>
        <v>2580</v>
      </c>
      <c r="I30" s="432">
        <f t="shared" si="2"/>
        <v>2580</v>
      </c>
      <c r="J30" s="432">
        <f t="shared" si="3"/>
        <v>7118</v>
      </c>
      <c r="K30" s="432">
        <f t="shared" si="4"/>
        <v>6112</v>
      </c>
      <c r="L30" s="433">
        <f t="shared" si="5"/>
        <v>2580</v>
      </c>
      <c r="N30" s="431">
        <f t="shared" si="6"/>
        <v>4453.6000000000004</v>
      </c>
      <c r="O30" s="432">
        <f t="shared" si="7"/>
        <v>3096</v>
      </c>
      <c r="P30" s="432">
        <f t="shared" si="8"/>
        <v>3096</v>
      </c>
      <c r="Q30" s="432">
        <f t="shared" si="9"/>
        <v>4270.8</v>
      </c>
      <c r="R30" s="432">
        <f t="shared" si="10"/>
        <v>4889.6000000000004</v>
      </c>
      <c r="S30" s="433">
        <f t="shared" si="11"/>
        <v>4128</v>
      </c>
      <c r="U30" s="489">
        <f t="shared" si="25"/>
        <v>200</v>
      </c>
      <c r="V30" s="431">
        <v>5022</v>
      </c>
      <c r="W30" s="432">
        <v>2580</v>
      </c>
      <c r="X30" s="432">
        <v>6112</v>
      </c>
      <c r="Y30" s="433">
        <v>7118</v>
      </c>
      <c r="AA30" s="431">
        <f t="shared" si="12"/>
        <v>5567</v>
      </c>
      <c r="AB30" s="432">
        <f t="shared" si="13"/>
        <v>2580</v>
      </c>
      <c r="AC30" s="432">
        <f t="shared" si="14"/>
        <v>2580</v>
      </c>
      <c r="AD30" s="432">
        <f t="shared" si="15"/>
        <v>7118</v>
      </c>
      <c r="AE30" s="432">
        <f t="shared" si="16"/>
        <v>6112</v>
      </c>
      <c r="AF30" s="433">
        <f t="shared" si="17"/>
        <v>2580</v>
      </c>
      <c r="AH30" s="431">
        <f t="shared" si="18"/>
        <v>4453.6000000000004</v>
      </c>
      <c r="AI30" s="432">
        <f t="shared" si="19"/>
        <v>3096</v>
      </c>
      <c r="AJ30" s="432">
        <f t="shared" si="20"/>
        <v>3096</v>
      </c>
      <c r="AK30" s="432">
        <f t="shared" si="21"/>
        <v>4270.8</v>
      </c>
      <c r="AL30" s="432">
        <f t="shared" si="22"/>
        <v>4889.6000000000004</v>
      </c>
      <c r="AM30" s="433">
        <f t="shared" si="23"/>
        <v>4128</v>
      </c>
      <c r="AP30" s="77"/>
      <c r="AQ30" s="77"/>
      <c r="AR30" s="77"/>
      <c r="AS30" s="77"/>
      <c r="AT30" s="77"/>
      <c r="AU30" s="107"/>
      <c r="AV30" s="107"/>
      <c r="BB30" s="22"/>
      <c r="BC30" s="22"/>
      <c r="BD30" s="22"/>
    </row>
    <row r="31" spans="1:56" ht="15.6">
      <c r="A31" s="489">
        <f t="shared" si="24"/>
        <v>210</v>
      </c>
      <c r="B31" s="431">
        <v>5022</v>
      </c>
      <c r="C31" s="432">
        <v>2580</v>
      </c>
      <c r="D31" s="432">
        <v>6112</v>
      </c>
      <c r="E31" s="433">
        <v>7118</v>
      </c>
      <c r="G31" s="431">
        <f t="shared" si="0"/>
        <v>5567</v>
      </c>
      <c r="H31" s="432">
        <f t="shared" si="1"/>
        <v>2580</v>
      </c>
      <c r="I31" s="432">
        <f t="shared" si="2"/>
        <v>2580</v>
      </c>
      <c r="J31" s="432">
        <f t="shared" si="3"/>
        <v>7118</v>
      </c>
      <c r="K31" s="432">
        <f t="shared" si="4"/>
        <v>6112</v>
      </c>
      <c r="L31" s="433">
        <f t="shared" si="5"/>
        <v>2580</v>
      </c>
      <c r="N31" s="431">
        <f t="shared" si="6"/>
        <v>4676.28</v>
      </c>
      <c r="O31" s="432">
        <f t="shared" si="7"/>
        <v>3250.8</v>
      </c>
      <c r="P31" s="432">
        <f t="shared" si="8"/>
        <v>3250.8</v>
      </c>
      <c r="Q31" s="432">
        <f t="shared" si="9"/>
        <v>4484.34</v>
      </c>
      <c r="R31" s="432">
        <f t="shared" si="10"/>
        <v>5134.08</v>
      </c>
      <c r="S31" s="433">
        <f t="shared" si="11"/>
        <v>4334.3999999999996</v>
      </c>
      <c r="U31" s="489">
        <f t="shared" si="25"/>
        <v>210</v>
      </c>
      <c r="V31" s="431">
        <v>5022</v>
      </c>
      <c r="W31" s="432">
        <v>2580</v>
      </c>
      <c r="X31" s="432">
        <v>6112</v>
      </c>
      <c r="Y31" s="433">
        <v>7118</v>
      </c>
      <c r="AA31" s="431">
        <f t="shared" si="12"/>
        <v>5567</v>
      </c>
      <c r="AB31" s="432">
        <f t="shared" si="13"/>
        <v>2580</v>
      </c>
      <c r="AC31" s="432">
        <f t="shared" si="14"/>
        <v>2580</v>
      </c>
      <c r="AD31" s="432">
        <f t="shared" si="15"/>
        <v>7118</v>
      </c>
      <c r="AE31" s="432">
        <f t="shared" si="16"/>
        <v>6112</v>
      </c>
      <c r="AF31" s="433">
        <f t="shared" si="17"/>
        <v>2580</v>
      </c>
      <c r="AH31" s="431">
        <f t="shared" si="18"/>
        <v>4676.28</v>
      </c>
      <c r="AI31" s="432">
        <f t="shared" si="19"/>
        <v>3250.8</v>
      </c>
      <c r="AJ31" s="432">
        <f t="shared" si="20"/>
        <v>3250.8</v>
      </c>
      <c r="AK31" s="432">
        <f t="shared" si="21"/>
        <v>4484.34</v>
      </c>
      <c r="AL31" s="432">
        <f t="shared" si="22"/>
        <v>5134.08</v>
      </c>
      <c r="AM31" s="433">
        <f t="shared" si="23"/>
        <v>4334.3999999999996</v>
      </c>
      <c r="AP31" s="77"/>
      <c r="AQ31" s="77"/>
      <c r="AR31" s="77"/>
      <c r="AS31" s="77"/>
      <c r="AT31" s="77"/>
      <c r="AU31" s="107"/>
      <c r="AV31" s="107"/>
      <c r="BB31" s="22"/>
      <c r="BC31" s="22"/>
      <c r="BD31" s="22"/>
    </row>
    <row r="32" spans="1:56" ht="15.6">
      <c r="A32" s="489">
        <f t="shared" si="24"/>
        <v>220</v>
      </c>
      <c r="B32" s="431">
        <v>5022</v>
      </c>
      <c r="C32" s="432">
        <v>2580</v>
      </c>
      <c r="D32" s="432">
        <v>6112</v>
      </c>
      <c r="E32" s="433">
        <v>7118</v>
      </c>
      <c r="G32" s="431">
        <f t="shared" si="0"/>
        <v>5567</v>
      </c>
      <c r="H32" s="432">
        <f t="shared" si="1"/>
        <v>2580</v>
      </c>
      <c r="I32" s="432">
        <f t="shared" si="2"/>
        <v>2580</v>
      </c>
      <c r="J32" s="432">
        <f t="shared" si="3"/>
        <v>7118</v>
      </c>
      <c r="K32" s="432">
        <f t="shared" si="4"/>
        <v>6112</v>
      </c>
      <c r="L32" s="433">
        <f t="shared" si="5"/>
        <v>2580</v>
      </c>
      <c r="N32" s="431">
        <f t="shared" si="6"/>
        <v>4898.96</v>
      </c>
      <c r="O32" s="432">
        <f t="shared" si="7"/>
        <v>3405.6</v>
      </c>
      <c r="P32" s="432">
        <f t="shared" si="8"/>
        <v>3405.6</v>
      </c>
      <c r="Q32" s="432">
        <f t="shared" si="9"/>
        <v>4697.88</v>
      </c>
      <c r="R32" s="432">
        <f t="shared" si="10"/>
        <v>5378.56</v>
      </c>
      <c r="S32" s="433">
        <f t="shared" si="11"/>
        <v>4540.8</v>
      </c>
      <c r="U32" s="489">
        <f t="shared" si="25"/>
        <v>220</v>
      </c>
      <c r="V32" s="431">
        <v>5022</v>
      </c>
      <c r="W32" s="432">
        <v>2580</v>
      </c>
      <c r="X32" s="432">
        <v>6112</v>
      </c>
      <c r="Y32" s="433">
        <v>7118</v>
      </c>
      <c r="AA32" s="431">
        <f t="shared" si="12"/>
        <v>5567</v>
      </c>
      <c r="AB32" s="432">
        <f t="shared" si="13"/>
        <v>2580</v>
      </c>
      <c r="AC32" s="432">
        <f t="shared" si="14"/>
        <v>2580</v>
      </c>
      <c r="AD32" s="432">
        <f t="shared" si="15"/>
        <v>7118</v>
      </c>
      <c r="AE32" s="432">
        <f t="shared" si="16"/>
        <v>6112</v>
      </c>
      <c r="AF32" s="433">
        <f t="shared" si="17"/>
        <v>2580</v>
      </c>
      <c r="AH32" s="431">
        <f t="shared" si="18"/>
        <v>4898.96</v>
      </c>
      <c r="AI32" s="432">
        <f t="shared" si="19"/>
        <v>3405.6</v>
      </c>
      <c r="AJ32" s="432">
        <f t="shared" si="20"/>
        <v>3405.6</v>
      </c>
      <c r="AK32" s="432">
        <f t="shared" si="21"/>
        <v>4697.88</v>
      </c>
      <c r="AL32" s="432">
        <f t="shared" si="22"/>
        <v>5378.56</v>
      </c>
      <c r="AM32" s="433">
        <f t="shared" si="23"/>
        <v>4540.8</v>
      </c>
      <c r="AP32" s="77"/>
      <c r="AQ32" s="77"/>
      <c r="AR32" s="77"/>
      <c r="AS32" s="77"/>
      <c r="AT32" s="77"/>
      <c r="AU32" s="107"/>
      <c r="AV32" s="107"/>
      <c r="BB32" s="22"/>
      <c r="BC32" s="22"/>
      <c r="BD32" s="22"/>
    </row>
    <row r="33" spans="1:56" ht="15.6">
      <c r="A33" s="489">
        <f t="shared" si="24"/>
        <v>230</v>
      </c>
      <c r="B33" s="431">
        <v>5022</v>
      </c>
      <c r="C33" s="432">
        <v>2580</v>
      </c>
      <c r="D33" s="432">
        <v>6112</v>
      </c>
      <c r="E33" s="433">
        <v>7118</v>
      </c>
      <c r="G33" s="431">
        <f t="shared" si="0"/>
        <v>5567</v>
      </c>
      <c r="H33" s="432">
        <f t="shared" si="1"/>
        <v>2580</v>
      </c>
      <c r="I33" s="432">
        <f t="shared" si="2"/>
        <v>2580</v>
      </c>
      <c r="J33" s="432">
        <f t="shared" si="3"/>
        <v>7118</v>
      </c>
      <c r="K33" s="432">
        <f t="shared" si="4"/>
        <v>6112</v>
      </c>
      <c r="L33" s="433">
        <f t="shared" si="5"/>
        <v>2580</v>
      </c>
      <c r="N33" s="431">
        <f t="shared" si="6"/>
        <v>5121.6400000000003</v>
      </c>
      <c r="O33" s="432">
        <f t="shared" si="7"/>
        <v>3560.4</v>
      </c>
      <c r="P33" s="432">
        <f t="shared" si="8"/>
        <v>3560.4</v>
      </c>
      <c r="Q33" s="432">
        <f t="shared" si="9"/>
        <v>4911.42</v>
      </c>
      <c r="R33" s="432">
        <f t="shared" si="10"/>
        <v>5623.04</v>
      </c>
      <c r="S33" s="433">
        <f t="shared" si="11"/>
        <v>4747.2</v>
      </c>
      <c r="U33" s="489">
        <f t="shared" si="25"/>
        <v>230</v>
      </c>
      <c r="V33" s="431">
        <v>5022</v>
      </c>
      <c r="W33" s="432">
        <v>2580</v>
      </c>
      <c r="X33" s="432">
        <v>6112</v>
      </c>
      <c r="Y33" s="433">
        <v>7118</v>
      </c>
      <c r="AA33" s="431">
        <f t="shared" si="12"/>
        <v>5567</v>
      </c>
      <c r="AB33" s="432">
        <f t="shared" si="13"/>
        <v>2580</v>
      </c>
      <c r="AC33" s="432">
        <f t="shared" si="14"/>
        <v>2580</v>
      </c>
      <c r="AD33" s="432">
        <f t="shared" si="15"/>
        <v>7118</v>
      </c>
      <c r="AE33" s="432">
        <f t="shared" si="16"/>
        <v>6112</v>
      </c>
      <c r="AF33" s="433">
        <f t="shared" si="17"/>
        <v>2580</v>
      </c>
      <c r="AH33" s="431">
        <f t="shared" si="18"/>
        <v>5121.6400000000003</v>
      </c>
      <c r="AI33" s="432">
        <f t="shared" si="19"/>
        <v>3560.4</v>
      </c>
      <c r="AJ33" s="432">
        <f t="shared" si="20"/>
        <v>3560.4</v>
      </c>
      <c r="AK33" s="432">
        <f t="shared" si="21"/>
        <v>4911.42</v>
      </c>
      <c r="AL33" s="432">
        <f t="shared" si="22"/>
        <v>5623.04</v>
      </c>
      <c r="AM33" s="433">
        <f t="shared" si="23"/>
        <v>4747.2</v>
      </c>
      <c r="AP33" s="77"/>
      <c r="AQ33" s="77"/>
      <c r="AR33" s="77"/>
      <c r="AS33" s="77"/>
      <c r="AT33" s="77"/>
      <c r="AU33" s="107"/>
      <c r="AV33" s="107"/>
      <c r="BB33" s="22"/>
      <c r="BC33" s="22"/>
      <c r="BD33" s="22"/>
    </row>
    <row r="34" spans="1:56" ht="15.6">
      <c r="A34" s="489">
        <f t="shared" si="24"/>
        <v>240</v>
      </c>
      <c r="B34" s="431">
        <v>5265</v>
      </c>
      <c r="C34" s="432">
        <v>3137</v>
      </c>
      <c r="D34" s="432">
        <v>6393</v>
      </c>
      <c r="E34" s="433">
        <v>9120</v>
      </c>
      <c r="G34" s="431">
        <f t="shared" si="0"/>
        <v>5829</v>
      </c>
      <c r="H34" s="432">
        <f t="shared" si="1"/>
        <v>3137</v>
      </c>
      <c r="I34" s="432">
        <f t="shared" si="2"/>
        <v>3137</v>
      </c>
      <c r="J34" s="432">
        <f t="shared" si="3"/>
        <v>9120</v>
      </c>
      <c r="K34" s="432">
        <f t="shared" si="4"/>
        <v>6393</v>
      </c>
      <c r="L34" s="433">
        <f t="shared" si="5"/>
        <v>3137</v>
      </c>
      <c r="N34" s="431">
        <f t="shared" si="6"/>
        <v>5595.84</v>
      </c>
      <c r="O34" s="432">
        <f t="shared" si="7"/>
        <v>4517.28</v>
      </c>
      <c r="P34" s="432">
        <f t="shared" si="8"/>
        <v>4517.28</v>
      </c>
      <c r="Q34" s="432">
        <f t="shared" si="9"/>
        <v>6566.4</v>
      </c>
      <c r="R34" s="432">
        <f t="shared" si="10"/>
        <v>6137.28</v>
      </c>
      <c r="S34" s="433">
        <f t="shared" si="11"/>
        <v>6023.04</v>
      </c>
      <c r="U34" s="489">
        <f t="shared" si="25"/>
        <v>240</v>
      </c>
      <c r="V34" s="431">
        <v>5265</v>
      </c>
      <c r="W34" s="432">
        <v>3137</v>
      </c>
      <c r="X34" s="432">
        <v>6393</v>
      </c>
      <c r="Y34" s="433">
        <v>9120</v>
      </c>
      <c r="AA34" s="431">
        <f t="shared" si="12"/>
        <v>5829</v>
      </c>
      <c r="AB34" s="432">
        <f t="shared" si="13"/>
        <v>3137</v>
      </c>
      <c r="AC34" s="432">
        <f t="shared" si="14"/>
        <v>3137</v>
      </c>
      <c r="AD34" s="432">
        <f t="shared" si="15"/>
        <v>9120</v>
      </c>
      <c r="AE34" s="432">
        <f t="shared" si="16"/>
        <v>6393</v>
      </c>
      <c r="AF34" s="433">
        <f t="shared" si="17"/>
        <v>3137</v>
      </c>
      <c r="AH34" s="431">
        <f t="shared" si="18"/>
        <v>5595.84</v>
      </c>
      <c r="AI34" s="432">
        <f t="shared" si="19"/>
        <v>4517.28</v>
      </c>
      <c r="AJ34" s="432">
        <f t="shared" si="20"/>
        <v>4517.28</v>
      </c>
      <c r="AK34" s="432">
        <f t="shared" si="21"/>
        <v>6566.4</v>
      </c>
      <c r="AL34" s="432">
        <f t="shared" si="22"/>
        <v>6137.28</v>
      </c>
      <c r="AM34" s="433">
        <f t="shared" si="23"/>
        <v>6023.04</v>
      </c>
      <c r="AP34" s="77"/>
      <c r="AQ34" s="77"/>
      <c r="AR34" s="77"/>
      <c r="AS34" s="77"/>
      <c r="AT34" s="77"/>
      <c r="AU34" s="107"/>
      <c r="AV34" s="107"/>
      <c r="BB34" s="22"/>
      <c r="BC34" s="22"/>
      <c r="BD34" s="22"/>
    </row>
    <row r="35" spans="1:56" ht="16.2" thickBot="1">
      <c r="A35" s="490">
        <f t="shared" si="24"/>
        <v>250</v>
      </c>
      <c r="B35" s="418">
        <v>5265</v>
      </c>
      <c r="C35" s="419">
        <v>3137</v>
      </c>
      <c r="D35" s="419">
        <v>6393</v>
      </c>
      <c r="E35" s="420">
        <v>9120</v>
      </c>
      <c r="G35" s="418">
        <f t="shared" si="0"/>
        <v>5829</v>
      </c>
      <c r="H35" s="419">
        <f t="shared" si="1"/>
        <v>3137</v>
      </c>
      <c r="I35" s="419">
        <f t="shared" si="2"/>
        <v>3137</v>
      </c>
      <c r="J35" s="419">
        <f t="shared" si="3"/>
        <v>9120</v>
      </c>
      <c r="K35" s="419">
        <f t="shared" si="4"/>
        <v>6393</v>
      </c>
      <c r="L35" s="420">
        <f t="shared" si="5"/>
        <v>3137</v>
      </c>
      <c r="N35" s="434">
        <f t="shared" si="6"/>
        <v>5829</v>
      </c>
      <c r="O35" s="435">
        <f t="shared" si="7"/>
        <v>4705.5</v>
      </c>
      <c r="P35" s="435">
        <f t="shared" si="8"/>
        <v>4705.5</v>
      </c>
      <c r="Q35" s="435">
        <f t="shared" si="9"/>
        <v>6840</v>
      </c>
      <c r="R35" s="435">
        <f t="shared" si="10"/>
        <v>6393</v>
      </c>
      <c r="S35" s="436">
        <f t="shared" si="11"/>
        <v>6274</v>
      </c>
      <c r="U35" s="490">
        <f t="shared" si="25"/>
        <v>250</v>
      </c>
      <c r="V35" s="418">
        <v>5265</v>
      </c>
      <c r="W35" s="419">
        <v>3137</v>
      </c>
      <c r="X35" s="419">
        <v>6393</v>
      </c>
      <c r="Y35" s="420">
        <v>9120</v>
      </c>
      <c r="AA35" s="418">
        <f t="shared" si="12"/>
        <v>5829</v>
      </c>
      <c r="AB35" s="419">
        <f t="shared" si="13"/>
        <v>3137</v>
      </c>
      <c r="AC35" s="419">
        <f t="shared" si="14"/>
        <v>3137</v>
      </c>
      <c r="AD35" s="419">
        <f t="shared" si="15"/>
        <v>9120</v>
      </c>
      <c r="AE35" s="419">
        <f t="shared" si="16"/>
        <v>6393</v>
      </c>
      <c r="AF35" s="420">
        <f t="shared" si="17"/>
        <v>3137</v>
      </c>
      <c r="AH35" s="418">
        <f t="shared" si="18"/>
        <v>5829</v>
      </c>
      <c r="AI35" s="419">
        <f t="shared" si="19"/>
        <v>4705.5</v>
      </c>
      <c r="AJ35" s="419">
        <f t="shared" si="20"/>
        <v>4705.5</v>
      </c>
      <c r="AK35" s="419">
        <f t="shared" si="21"/>
        <v>6840</v>
      </c>
      <c r="AL35" s="419">
        <f t="shared" si="22"/>
        <v>6393</v>
      </c>
      <c r="AM35" s="420">
        <f t="shared" si="23"/>
        <v>6274</v>
      </c>
      <c r="AP35" s="77"/>
      <c r="AQ35" s="77"/>
      <c r="AR35" s="77"/>
      <c r="AS35" s="77"/>
      <c r="AT35" s="77"/>
      <c r="AU35" s="107"/>
      <c r="AV35" s="107"/>
      <c r="BB35" s="22"/>
      <c r="BC35" s="22"/>
      <c r="BD35" s="22"/>
    </row>
    <row r="36" spans="1:56" ht="15.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22"/>
      <c r="AX36" s="22"/>
      <c r="AY36" s="22"/>
      <c r="AZ36" s="22"/>
      <c r="BA36" s="22"/>
      <c r="BB36" s="22"/>
      <c r="BC36" s="22"/>
      <c r="BD36" s="22"/>
    </row>
    <row r="37" spans="1:56" ht="15.6">
      <c r="A37" s="400"/>
      <c r="B37" s="400"/>
      <c r="C37" s="400"/>
      <c r="D37" s="400"/>
      <c r="E37" s="400"/>
      <c r="F37" s="400"/>
      <c r="G37" s="77"/>
      <c r="H37" s="400"/>
      <c r="I37" s="400"/>
      <c r="J37" s="400"/>
      <c r="K37" s="400"/>
      <c r="L37" s="400"/>
      <c r="M37" s="400"/>
      <c r="N37" s="77"/>
      <c r="O37" s="400"/>
      <c r="P37" s="400"/>
      <c r="Q37" s="400"/>
      <c r="R37" s="400"/>
      <c r="S37" s="400"/>
      <c r="T37" s="400"/>
      <c r="U37" s="77"/>
      <c r="V37" s="77"/>
      <c r="W37" s="77"/>
      <c r="X37" s="77"/>
      <c r="Y37" s="77"/>
      <c r="Z37" s="77"/>
      <c r="AA37" s="77"/>
      <c r="AB37" s="400"/>
      <c r="AC37" s="400"/>
      <c r="AD37" s="400"/>
      <c r="AE37" s="400"/>
      <c r="AF37" s="400"/>
      <c r="AG37" s="400"/>
      <c r="AH37" s="77"/>
      <c r="AI37" s="400"/>
      <c r="AJ37" s="400"/>
      <c r="AK37" s="400"/>
      <c r="AL37" s="400"/>
      <c r="AM37" s="400"/>
      <c r="AN37" s="400"/>
      <c r="AO37" s="77"/>
      <c r="AP37" s="400"/>
      <c r="AQ37" s="400"/>
      <c r="AR37" s="400"/>
      <c r="AS37" s="400"/>
      <c r="AT37" s="400"/>
      <c r="AU37" s="77"/>
      <c r="AV37" s="77"/>
      <c r="AW37" s="22"/>
      <c r="AX37" s="22"/>
      <c r="AY37" s="22"/>
      <c r="AZ37" s="22"/>
      <c r="BA37" s="22"/>
      <c r="BB37" s="22"/>
      <c r="BC37" s="22"/>
      <c r="BD37" s="22"/>
    </row>
    <row r="68" spans="1:56" ht="15.6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107"/>
      <c r="AQ68" s="107"/>
      <c r="AR68" s="107"/>
      <c r="AS68" s="107"/>
      <c r="AT68" s="107"/>
      <c r="AU68" s="107"/>
      <c r="AV68" s="107"/>
      <c r="AZ68" s="22"/>
      <c r="BA68" s="22"/>
      <c r="BB68" s="22"/>
      <c r="BC68" s="22"/>
      <c r="BD68" s="22"/>
    </row>
    <row r="69" spans="1:56" ht="15.6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107"/>
      <c r="AQ69" s="107"/>
      <c r="AR69" s="107"/>
      <c r="AS69" s="107"/>
      <c r="AT69" s="107"/>
      <c r="AU69" s="107"/>
      <c r="AV69" s="107"/>
      <c r="AZ69" s="22"/>
      <c r="BA69" s="22"/>
      <c r="BB69" s="22"/>
      <c r="BC69" s="22"/>
      <c r="BD69" s="22"/>
    </row>
    <row r="70" spans="1:56" ht="15.6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107"/>
      <c r="AQ70" s="107"/>
      <c r="AR70" s="107"/>
      <c r="AS70" s="107"/>
      <c r="AT70" s="107"/>
      <c r="AU70" s="107"/>
      <c r="AV70" s="107"/>
      <c r="AZ70" s="22"/>
      <c r="BA70" s="22"/>
      <c r="BB70" s="22"/>
      <c r="BC70" s="22"/>
      <c r="BD70" s="22"/>
    </row>
    <row r="71" spans="1:56" ht="15.6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107"/>
      <c r="AQ71" s="107"/>
      <c r="AR71" s="107"/>
      <c r="AS71" s="107"/>
      <c r="AT71" s="107"/>
      <c r="AU71" s="107"/>
      <c r="AV71" s="107"/>
      <c r="AZ71" s="22"/>
      <c r="BA71" s="22"/>
      <c r="BB71" s="22"/>
      <c r="BC71" s="22"/>
      <c r="BD71" s="22"/>
    </row>
    <row r="72" spans="1:56" ht="15.6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107"/>
      <c r="AQ72" s="107"/>
      <c r="AR72" s="107"/>
      <c r="AS72" s="107"/>
      <c r="AT72" s="107"/>
      <c r="AU72" s="107"/>
      <c r="AV72" s="107"/>
      <c r="AZ72" s="22"/>
      <c r="BA72" s="22"/>
      <c r="BB72" s="22"/>
      <c r="BC72" s="22"/>
      <c r="BD72" s="22"/>
    </row>
    <row r="73" spans="1:56" ht="15.6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107"/>
      <c r="AQ73" s="107"/>
      <c r="AR73" s="107"/>
      <c r="AS73" s="107"/>
      <c r="AT73" s="107"/>
      <c r="AU73" s="107"/>
      <c r="AV73" s="107"/>
      <c r="AZ73" s="22"/>
      <c r="BA73" s="22"/>
      <c r="BB73" s="22"/>
      <c r="BC73" s="22"/>
      <c r="BD73" s="22"/>
    </row>
    <row r="74" spans="1:56" ht="15.6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107"/>
      <c r="AQ74" s="107"/>
      <c r="AR74" s="107"/>
      <c r="AS74" s="107"/>
      <c r="AT74" s="107"/>
      <c r="AU74" s="107"/>
      <c r="AV74" s="107"/>
      <c r="AZ74" s="22"/>
      <c r="BA74" s="22"/>
      <c r="BB74" s="22"/>
      <c r="BC74" s="22"/>
      <c r="BD74" s="22"/>
    </row>
    <row r="75" spans="1:56" ht="15.6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107"/>
      <c r="AQ75" s="107"/>
      <c r="AR75" s="107"/>
      <c r="AS75" s="107"/>
      <c r="AT75" s="107"/>
      <c r="AU75" s="107"/>
      <c r="AV75" s="107"/>
      <c r="AZ75" s="22"/>
      <c r="BA75" s="22"/>
      <c r="BB75" s="22"/>
      <c r="BC75" s="22"/>
      <c r="BD75" s="22"/>
    </row>
    <row r="76" spans="1:56" ht="15.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0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107"/>
      <c r="AQ76" s="107"/>
      <c r="AR76" s="107"/>
      <c r="AS76" s="107"/>
      <c r="AT76" s="107"/>
      <c r="AU76" s="107"/>
      <c r="AV76" s="107"/>
      <c r="AZ76" s="22"/>
      <c r="BA76" s="22"/>
      <c r="BB76" s="22"/>
      <c r="BC76" s="22"/>
      <c r="BD76" s="22"/>
    </row>
    <row r="77" spans="1:56" ht="15.6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0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107"/>
      <c r="AQ77" s="107"/>
      <c r="AR77" s="107"/>
      <c r="AS77" s="107"/>
      <c r="AT77" s="107"/>
      <c r="AU77" s="107"/>
      <c r="AV77" s="107"/>
      <c r="AZ77" s="22"/>
      <c r="BA77" s="22"/>
      <c r="BB77" s="22"/>
      <c r="BC77" s="22"/>
      <c r="BD77" s="22"/>
    </row>
    <row r="78" spans="1:56" ht="1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56" ht="1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56" ht="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ht="1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</sheetData>
  <pageMargins left="0.75" right="0.75" top="0.42" bottom="1" header="0.21" footer="0.5"/>
  <pageSetup scale="37" fitToWidth="2" orientation="landscape" r:id="rId1"/>
  <headerFooter alignWithMargins="0">
    <oddHeader>&amp;L&amp;12Enron Generation Company</oddHeader>
  </headerFooter>
  <colBreaks count="1" manualBreakCount="1">
    <brk id="1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C1" zoomScale="75" workbookViewId="0">
      <selection activeCell="I21" sqref="I21"/>
    </sheetView>
  </sheetViews>
  <sheetFormatPr defaultRowHeight="13.2"/>
  <cols>
    <col min="1" max="1" width="21.88671875" customWidth="1"/>
    <col min="2" max="2" width="47.5546875" bestFit="1" customWidth="1"/>
    <col min="3" max="3" width="11.44140625" bestFit="1" customWidth="1"/>
    <col min="5" max="5" width="33.44140625" bestFit="1" customWidth="1"/>
    <col min="7" max="7" width="33.33203125" bestFit="1" customWidth="1"/>
    <col min="9" max="9" width="47.6640625" bestFit="1" customWidth="1"/>
    <col min="11" max="11" width="47.6640625" bestFit="1" customWidth="1"/>
    <col min="13" max="13" width="18" bestFit="1" customWidth="1"/>
    <col min="19" max="19" width="8.33203125" bestFit="1" customWidth="1"/>
  </cols>
  <sheetData>
    <row r="2" spans="1:16" ht="20.399999999999999">
      <c r="A2" s="65" t="s">
        <v>331</v>
      </c>
      <c r="B2" s="615"/>
    </row>
    <row r="3" spans="1:16" ht="20.399999999999999">
      <c r="A3" s="661"/>
      <c r="B3" s="615"/>
    </row>
    <row r="4" spans="1:16">
      <c r="B4" s="754" t="s">
        <v>332</v>
      </c>
      <c r="C4" s="754" t="s">
        <v>388</v>
      </c>
      <c r="D4" s="754"/>
      <c r="E4" s="754" t="s">
        <v>333</v>
      </c>
      <c r="F4" s="754"/>
      <c r="G4" s="754" t="s">
        <v>385</v>
      </c>
      <c r="H4" s="736"/>
      <c r="I4" s="754" t="s">
        <v>386</v>
      </c>
      <c r="J4" s="736"/>
      <c r="K4" s="754" t="s">
        <v>387</v>
      </c>
    </row>
    <row r="5" spans="1:16">
      <c r="G5" s="10"/>
      <c r="I5" s="723"/>
      <c r="M5" s="10"/>
    </row>
    <row r="6" spans="1:16">
      <c r="G6" s="10"/>
      <c r="I6" s="724"/>
      <c r="M6" s="10"/>
    </row>
    <row r="7" spans="1:16">
      <c r="B7" s="137" t="s">
        <v>48</v>
      </c>
      <c r="C7" s="737">
        <f>Assumptions!L44</f>
        <v>0.06</v>
      </c>
      <c r="D7" s="729"/>
      <c r="E7" s="230">
        <f>Assumptions!L9</f>
        <v>500</v>
      </c>
      <c r="F7" s="243"/>
      <c r="G7" s="231">
        <f>E7/$E$10*$G$10</f>
        <v>0.13995801259622115</v>
      </c>
      <c r="H7" s="744"/>
      <c r="I7" s="745">
        <v>0.15695479742911408</v>
      </c>
      <c r="K7" s="737">
        <f>I7/$I$10</f>
        <v>0.35112621442032294</v>
      </c>
      <c r="M7" s="610"/>
      <c r="N7" s="10"/>
      <c r="P7" s="10"/>
    </row>
    <row r="8" spans="1:16">
      <c r="B8" s="137" t="s">
        <v>49</v>
      </c>
      <c r="C8" s="737">
        <f>Assumptions!M44</f>
        <v>0.05</v>
      </c>
      <c r="D8" s="729"/>
      <c r="E8" s="230">
        <f>Assumptions!M9</f>
        <v>504</v>
      </c>
      <c r="F8" s="243"/>
      <c r="G8" s="231">
        <f>E8/$E$10*$G$10</f>
        <v>0.14107767669699089</v>
      </c>
      <c r="H8" s="744"/>
      <c r="I8" s="745">
        <v>0.15737945261526454</v>
      </c>
      <c r="K8" s="737">
        <f>I8/$I$10</f>
        <v>0.35207621767214647</v>
      </c>
      <c r="M8" s="610"/>
      <c r="N8" s="10"/>
      <c r="P8" s="10"/>
    </row>
    <row r="9" spans="1:16">
      <c r="B9" s="137" t="s">
        <v>50</v>
      </c>
      <c r="C9" s="737">
        <f>Assumptions!N44</f>
        <v>0.05</v>
      </c>
      <c r="D9" s="729"/>
      <c r="E9" s="740">
        <f>Assumptions!N9</f>
        <v>425</v>
      </c>
      <c r="F9" s="245"/>
      <c r="G9" s="751">
        <f>E9/$E$10*$G$10</f>
        <v>0.11896431070678798</v>
      </c>
      <c r="H9" s="744"/>
      <c r="I9" s="746">
        <v>0.13266967897935431</v>
      </c>
      <c r="K9" s="752">
        <f>I9/$I$10</f>
        <v>0.29679756790753042</v>
      </c>
      <c r="M9" s="610"/>
      <c r="N9" s="10"/>
      <c r="P9" s="10"/>
    </row>
    <row r="10" spans="1:16">
      <c r="B10" s="275" t="s">
        <v>334</v>
      </c>
      <c r="D10" s="729"/>
      <c r="E10" s="741">
        <f>SUM(E7:E9)</f>
        <v>1429</v>
      </c>
      <c r="F10" s="243"/>
      <c r="G10" s="231">
        <v>0.4</v>
      </c>
      <c r="H10" s="744"/>
      <c r="I10" s="745">
        <f>SUM(I7:I9)</f>
        <v>0.44700392902373298</v>
      </c>
      <c r="K10" s="737">
        <f>SUM(K7:K9)</f>
        <v>0.99999999999999989</v>
      </c>
      <c r="M10" s="10"/>
      <c r="N10" s="10"/>
      <c r="P10" s="10"/>
    </row>
    <row r="11" spans="1:16">
      <c r="B11" s="275"/>
      <c r="D11" s="729"/>
      <c r="E11" s="606"/>
      <c r="G11" s="610"/>
      <c r="H11" s="744"/>
      <c r="I11" s="745"/>
      <c r="K11" s="737"/>
      <c r="M11" s="10"/>
      <c r="N11" s="10"/>
      <c r="P11" s="10"/>
    </row>
    <row r="12" spans="1:16">
      <c r="B12" s="137" t="s">
        <v>51</v>
      </c>
      <c r="C12" s="737">
        <f>Assumptions!P44</f>
        <v>8.2500000000000004E-2</v>
      </c>
      <c r="D12" s="729"/>
      <c r="E12" s="230">
        <f>Assumptions!P9</f>
        <v>544</v>
      </c>
      <c r="F12" s="243"/>
      <c r="G12" s="231">
        <f>E12/$E$15*$G$15</f>
        <v>0.18867052023121386</v>
      </c>
      <c r="H12" s="744"/>
      <c r="I12" s="745">
        <v>0.16747838958292585</v>
      </c>
      <c r="K12" s="737">
        <f>I12/$I$15</f>
        <v>0.30285638248253216</v>
      </c>
      <c r="M12" s="610"/>
      <c r="N12" s="10"/>
      <c r="P12" s="10"/>
    </row>
    <row r="13" spans="1:16">
      <c r="B13" s="137" t="s">
        <v>53</v>
      </c>
      <c r="C13" s="737">
        <f>Assumptions!R44</f>
        <v>7.1800000000000003E-2</v>
      </c>
      <c r="D13" s="729"/>
      <c r="E13" s="230">
        <f>Assumptions!R9</f>
        <v>672</v>
      </c>
      <c r="F13" s="243"/>
      <c r="G13" s="231">
        <f>E13/$E$15*$G$15</f>
        <v>0.23306358381502887</v>
      </c>
      <c r="H13" s="744"/>
      <c r="I13" s="745">
        <v>0.22050575737973926</v>
      </c>
      <c r="K13" s="737">
        <f>I13/$I$15</f>
        <v>0.39874742146079856</v>
      </c>
      <c r="M13" s="610"/>
      <c r="N13" s="10"/>
      <c r="P13" s="10"/>
    </row>
    <row r="14" spans="1:16">
      <c r="B14" s="137" t="s">
        <v>52</v>
      </c>
      <c r="C14" s="737">
        <f>Assumptions!Q44</f>
        <v>4.4999999999999998E-2</v>
      </c>
      <c r="D14" s="729"/>
      <c r="E14" s="740">
        <f>Assumptions!Q9</f>
        <v>514</v>
      </c>
      <c r="F14" s="245"/>
      <c r="G14" s="751">
        <f>E14/$E$15*$G$15</f>
        <v>0.17826589595375722</v>
      </c>
      <c r="H14" s="744"/>
      <c r="I14" s="746">
        <v>0.16501192401360193</v>
      </c>
      <c r="K14" s="752">
        <f>I14/$I$15</f>
        <v>0.29839619605666912</v>
      </c>
      <c r="M14" s="610"/>
      <c r="N14" s="10"/>
      <c r="P14" s="10"/>
    </row>
    <row r="15" spans="1:16">
      <c r="B15" s="275" t="s">
        <v>334</v>
      </c>
      <c r="E15" s="741">
        <f>SUM(E12:E14)</f>
        <v>1730</v>
      </c>
      <c r="F15" s="243"/>
      <c r="G15" s="231">
        <v>0.6</v>
      </c>
      <c r="H15" s="744"/>
      <c r="I15" s="745">
        <f>SUM(I12:I14)</f>
        <v>0.55299607097626713</v>
      </c>
      <c r="K15" s="737">
        <f>SUM(K12:K14)</f>
        <v>0.99999999999999989</v>
      </c>
      <c r="M15" s="10"/>
      <c r="N15" s="10"/>
      <c r="P15" s="10"/>
    </row>
    <row r="16" spans="1:16">
      <c r="B16" s="275"/>
      <c r="E16" s="606"/>
      <c r="G16" s="747"/>
      <c r="H16" s="744"/>
      <c r="I16" s="745"/>
      <c r="M16" s="10"/>
      <c r="N16" s="10"/>
      <c r="P16" s="10"/>
    </row>
    <row r="17" spans="2:16" ht="13.8" thickBot="1">
      <c r="B17" s="137" t="s">
        <v>73</v>
      </c>
      <c r="C17" s="753">
        <f>SUMPRODUCT(C7:C9,I7:I9)+SUMPRODUCT(C12:C14,I12:I14)</f>
        <v>6.0994561526546531E-2</v>
      </c>
      <c r="D17" s="742"/>
      <c r="E17" s="742">
        <f>E15+E10</f>
        <v>3159</v>
      </c>
      <c r="F17" s="743"/>
      <c r="G17" s="750">
        <f>G15+G10</f>
        <v>1</v>
      </c>
      <c r="H17" s="748"/>
      <c r="I17" s="749">
        <f>I15+I10</f>
        <v>1</v>
      </c>
      <c r="J17" s="749"/>
      <c r="K17" s="749"/>
      <c r="M17" s="611"/>
      <c r="N17" s="10"/>
      <c r="P17" s="10"/>
    </row>
    <row r="18" spans="2:16" ht="13.8" thickTop="1">
      <c r="E18" s="10"/>
      <c r="M18" s="10"/>
      <c r="N18" s="10"/>
      <c r="P18" s="10"/>
    </row>
    <row r="19" spans="2:16">
      <c r="M19" s="10"/>
      <c r="N19" s="10"/>
      <c r="O19" s="10"/>
      <c r="P19" s="10"/>
    </row>
    <row r="20" spans="2:16">
      <c r="B20" s="275" t="s">
        <v>335</v>
      </c>
      <c r="D20" s="230"/>
      <c r="E20" s="230"/>
      <c r="F20" s="230"/>
      <c r="K20" s="612"/>
      <c r="L20" s="612"/>
      <c r="M20" s="612"/>
      <c r="N20" s="612"/>
      <c r="O20" s="725"/>
    </row>
    <row r="21" spans="2:16">
      <c r="B21" s="275"/>
      <c r="D21" s="230"/>
      <c r="E21" s="230"/>
      <c r="F21" s="230"/>
      <c r="H21" s="612"/>
      <c r="I21" s="836"/>
      <c r="J21" s="612"/>
    </row>
    <row r="22" spans="2:16">
      <c r="B22" t="s">
        <v>336</v>
      </c>
      <c r="C22" s="614">
        <v>3.47E-3</v>
      </c>
      <c r="I22" s="729"/>
    </row>
    <row r="23" spans="2:16">
      <c r="C23" s="232"/>
    </row>
    <row r="24" spans="2:16">
      <c r="B24" t="s">
        <v>337</v>
      </c>
      <c r="C24" s="614">
        <v>6.1700000000000001E-3</v>
      </c>
    </row>
  </sheetData>
  <pageMargins left="0.18" right="0.17" top="0.37" bottom="0.4" header="0.17" footer="0.21"/>
  <pageSetup scale="43" orientation="landscape" r:id="rId1"/>
  <headerFooter alignWithMargins="0">
    <oddHeader>&amp;LEnron Generation Company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5"/>
  <sheetViews>
    <sheetView tabSelected="1" topLeftCell="A36" zoomScale="75" zoomScaleNormal="75" workbookViewId="0">
      <selection activeCell="A68" sqref="A68"/>
    </sheetView>
  </sheetViews>
  <sheetFormatPr defaultColWidth="9.109375" defaultRowHeight="13.2"/>
  <cols>
    <col min="1" max="1" width="52.6640625" style="22" customWidth="1"/>
    <col min="2" max="2" width="19.33203125" style="22" customWidth="1"/>
    <col min="3" max="3" width="20.6640625" style="22" bestFit="1" customWidth="1"/>
    <col min="4" max="4" width="17.88671875" style="22" customWidth="1"/>
    <col min="5" max="5" width="20.109375" style="22" customWidth="1"/>
    <col min="6" max="6" width="20.33203125" style="22" customWidth="1"/>
    <col min="7" max="8" width="17.6640625" style="22" customWidth="1"/>
    <col min="9" max="9" width="12.109375" style="22" customWidth="1"/>
    <col min="10" max="10" width="14.109375" style="22" customWidth="1"/>
    <col min="11" max="11" width="40.109375" style="22" customWidth="1"/>
    <col min="12" max="13" width="14.44140625" style="22" customWidth="1"/>
    <col min="14" max="14" width="13.88671875" style="22" customWidth="1"/>
    <col min="15" max="15" width="5.109375" style="22" customWidth="1"/>
    <col min="16" max="17" width="14.44140625" style="22" customWidth="1"/>
    <col min="18" max="18" width="12.33203125" style="22" customWidth="1"/>
    <col min="19" max="19" width="9" style="22" customWidth="1"/>
    <col min="20" max="20" width="12" style="22" customWidth="1"/>
    <col min="21" max="21" width="11.44140625" style="22" customWidth="1"/>
    <col min="22" max="22" width="22.44140625" style="22" customWidth="1"/>
    <col min="23" max="23" width="19" style="22" customWidth="1"/>
    <col min="24" max="24" width="10.33203125" style="22" customWidth="1"/>
    <col min="25" max="36" width="12.88671875" style="22" customWidth="1"/>
    <col min="37" max="44" width="12" style="22" customWidth="1"/>
    <col min="45" max="45" width="9.109375" style="22"/>
    <col min="46" max="48" width="10" style="22" customWidth="1"/>
    <col min="49" max="49" width="12" style="22" customWidth="1"/>
    <col min="50" max="50" width="17.5546875" style="22" customWidth="1"/>
    <col min="51" max="51" width="22.44140625" style="22" customWidth="1"/>
    <col min="52" max="52" width="19" style="22" customWidth="1"/>
    <col min="53" max="53" width="10.33203125" style="22" customWidth="1"/>
    <col min="54" max="73" width="13.109375" style="22" customWidth="1"/>
    <col min="74" max="74" width="9.109375" style="22"/>
    <col min="75" max="84" width="10" style="22" customWidth="1"/>
    <col min="85" max="85" width="9.109375" style="22"/>
    <col min="86" max="91" width="10" style="22" customWidth="1"/>
    <col min="92" max="92" width="9.109375" style="22"/>
    <col min="93" max="98" width="10" style="22" customWidth="1"/>
    <col min="99" max="16384" width="9.109375" style="22"/>
  </cols>
  <sheetData>
    <row r="1" spans="1:49" ht="24.6" hidden="1">
      <c r="A1" s="776" t="s">
        <v>393</v>
      </c>
      <c r="T1" s="271"/>
      <c r="AW1" s="271"/>
    </row>
    <row r="2" spans="1:49" ht="20.399999999999999">
      <c r="A2" s="65" t="s">
        <v>37</v>
      </c>
      <c r="B2" s="66"/>
      <c r="C2" s="66"/>
      <c r="D2" s="7"/>
    </row>
    <row r="4" spans="1:49">
      <c r="C4" s="774"/>
      <c r="I4" s="235"/>
      <c r="S4" s="235"/>
    </row>
    <row r="5" spans="1:49" ht="13.8" thickBot="1">
      <c r="I5" s="235"/>
      <c r="S5" s="235"/>
    </row>
    <row r="6" spans="1:49" ht="15.6">
      <c r="A6" s="331" t="s">
        <v>38</v>
      </c>
      <c r="B6" s="333"/>
      <c r="C6" s="333"/>
      <c r="D6" s="333"/>
      <c r="E6" s="67"/>
      <c r="F6" s="67"/>
      <c r="G6" s="68"/>
      <c r="I6" s="235"/>
      <c r="J6" s="330" t="s">
        <v>39</v>
      </c>
      <c r="K6" s="368"/>
      <c r="L6" s="389" t="s">
        <v>40</v>
      </c>
      <c r="M6" s="389"/>
      <c r="N6" s="389"/>
      <c r="O6" s="67"/>
      <c r="P6" s="389" t="s">
        <v>41</v>
      </c>
      <c r="Q6" s="389"/>
      <c r="R6" s="390"/>
      <c r="S6" s="235"/>
      <c r="T6" s="662"/>
    </row>
    <row r="7" spans="1:49" ht="15.6">
      <c r="A7" s="336" t="s">
        <v>42</v>
      </c>
      <c r="B7" s="337" t="s">
        <v>43</v>
      </c>
      <c r="C7" s="437" t="s">
        <v>44</v>
      </c>
      <c r="D7" s="338"/>
      <c r="E7" s="339" t="s">
        <v>45</v>
      </c>
      <c r="F7" s="337" t="s">
        <v>43</v>
      </c>
      <c r="G7" s="438" t="s">
        <v>44</v>
      </c>
      <c r="I7" s="235"/>
      <c r="J7" s="351"/>
      <c r="K7" s="338"/>
      <c r="L7" s="338"/>
      <c r="M7" s="338"/>
      <c r="N7" s="338"/>
      <c r="O7" s="23"/>
      <c r="P7" s="338"/>
      <c r="Q7" s="338"/>
      <c r="R7" s="352"/>
      <c r="S7" s="235"/>
    </row>
    <row r="8" spans="1:49" ht="16.2">
      <c r="A8" s="340" t="s">
        <v>46</v>
      </c>
      <c r="B8" s="608">
        <f>C8/$C$11</f>
        <v>0.42527821939586646</v>
      </c>
      <c r="C8" s="559">
        <f>IRR!B62</f>
        <v>535000</v>
      </c>
      <c r="D8" s="705"/>
      <c r="E8" s="342" t="s">
        <v>47</v>
      </c>
      <c r="F8" s="791">
        <f>G8/G14</f>
        <v>0.39379968203497617</v>
      </c>
      <c r="G8" s="565">
        <f>(G14-G11)*Allocation!G10</f>
        <v>495400</v>
      </c>
      <c r="H8" s="135"/>
      <c r="I8" s="235"/>
      <c r="J8" s="351"/>
      <c r="K8" s="338"/>
      <c r="L8" s="391" t="s">
        <v>48</v>
      </c>
      <c r="M8" s="391" t="s">
        <v>49</v>
      </c>
      <c r="N8" s="391" t="s">
        <v>50</v>
      </c>
      <c r="O8" s="23"/>
      <c r="P8" s="391" t="s">
        <v>51</v>
      </c>
      <c r="Q8" s="391" t="s">
        <v>52</v>
      </c>
      <c r="R8" s="392" t="s">
        <v>53</v>
      </c>
      <c r="S8" s="235"/>
    </row>
    <row r="9" spans="1:49" ht="15.6">
      <c r="A9" s="340" t="s">
        <v>54</v>
      </c>
      <c r="B9" s="609">
        <f>C9/C11</f>
        <v>0.57472178060413359</v>
      </c>
      <c r="C9" s="560">
        <f>Assumptions!B22+Assumptions!C22+Assumptions!D22</f>
        <v>723000</v>
      </c>
      <c r="D9" s="365"/>
      <c r="E9" s="342" t="s">
        <v>55</v>
      </c>
      <c r="F9" s="792">
        <f>G9/G14</f>
        <v>0.57592638516447403</v>
      </c>
      <c r="G9" s="565">
        <f>(G14-G11)*Allocation!G15-G12</f>
        <v>724515.39253690827</v>
      </c>
      <c r="H9" s="7"/>
      <c r="I9" s="235"/>
      <c r="J9" s="351" t="s">
        <v>56</v>
      </c>
      <c r="K9" s="338"/>
      <c r="L9" s="393">
        <v>500</v>
      </c>
      <c r="M9" s="393">
        <v>504</v>
      </c>
      <c r="N9" s="393">
        <v>425</v>
      </c>
      <c r="O9" s="520"/>
      <c r="P9" s="393">
        <v>544</v>
      </c>
      <c r="Q9" s="393">
        <v>514</v>
      </c>
      <c r="R9" s="394">
        <v>672</v>
      </c>
      <c r="S9" s="235"/>
      <c r="T9" s="675"/>
    </row>
    <row r="10" spans="1:49" ht="15.6">
      <c r="A10" s="346"/>
      <c r="B10" s="341"/>
      <c r="C10" s="560"/>
      <c r="D10" s="338"/>
      <c r="E10" s="338"/>
      <c r="F10" s="792"/>
      <c r="G10" s="565"/>
      <c r="H10" s="253"/>
      <c r="I10" s="235"/>
      <c r="J10" s="351" t="s">
        <v>57</v>
      </c>
      <c r="K10" s="338"/>
      <c r="L10" s="395">
        <v>0.02</v>
      </c>
      <c r="M10" s="626">
        <f>L10</f>
        <v>0.02</v>
      </c>
      <c r="N10" s="626">
        <f>M10</f>
        <v>0.02</v>
      </c>
      <c r="O10" s="626"/>
      <c r="P10" s="626">
        <f>N10</f>
        <v>0.02</v>
      </c>
      <c r="Q10" s="626">
        <f>P10</f>
        <v>0.02</v>
      </c>
      <c r="R10" s="627">
        <f>Q10</f>
        <v>0.02</v>
      </c>
      <c r="S10" s="235"/>
      <c r="T10" s="675"/>
    </row>
    <row r="11" spans="1:49" ht="15.6">
      <c r="A11" s="347" t="s">
        <v>58</v>
      </c>
      <c r="B11" s="590">
        <f>C11/$C$11</f>
        <v>1</v>
      </c>
      <c r="C11" s="561">
        <f>SUM(C8:C9)</f>
        <v>1258000</v>
      </c>
      <c r="D11" s="338"/>
      <c r="E11" s="342" t="s">
        <v>59</v>
      </c>
      <c r="F11" s="792">
        <f>G11/$G$14</f>
        <v>1.5500794912559618E-2</v>
      </c>
      <c r="G11" s="565">
        <v>19500</v>
      </c>
      <c r="H11" s="7"/>
      <c r="I11" s="235"/>
      <c r="J11" s="351" t="s">
        <v>60</v>
      </c>
      <c r="K11" s="338"/>
      <c r="L11" s="393">
        <v>4</v>
      </c>
      <c r="M11" s="393">
        <v>6</v>
      </c>
      <c r="N11" s="393">
        <v>6</v>
      </c>
      <c r="O11" s="338"/>
      <c r="P11" s="393">
        <v>3</v>
      </c>
      <c r="Q11" s="393">
        <v>4</v>
      </c>
      <c r="R11" s="394">
        <v>8</v>
      </c>
      <c r="S11" s="235"/>
      <c r="T11" s="675"/>
    </row>
    <row r="12" spans="1:49" ht="15.6">
      <c r="A12" s="348"/>
      <c r="B12" s="349"/>
      <c r="C12" s="562"/>
      <c r="D12" s="338"/>
      <c r="E12" s="338" t="s">
        <v>381</v>
      </c>
      <c r="F12" s="792">
        <f>G12/$G$14</f>
        <v>1.4773137887990288E-2</v>
      </c>
      <c r="G12" s="790">
        <f>-(Debt!C104)</f>
        <v>18584.607463091783</v>
      </c>
      <c r="H12" s="269"/>
      <c r="I12" s="235"/>
      <c r="J12" s="351" t="s">
        <v>61</v>
      </c>
      <c r="K12" s="338"/>
      <c r="L12" s="393">
        <v>11411</v>
      </c>
      <c r="M12" s="393">
        <v>12064</v>
      </c>
      <c r="N12" s="393">
        <v>12228</v>
      </c>
      <c r="O12" s="338"/>
      <c r="P12" s="393">
        <v>10904</v>
      </c>
      <c r="Q12" s="393">
        <v>11735</v>
      </c>
      <c r="R12" s="394">
        <v>11973</v>
      </c>
      <c r="S12" s="235"/>
      <c r="T12" s="675"/>
    </row>
    <row r="13" spans="1:49" ht="15.6">
      <c r="A13" s="351" t="s">
        <v>62</v>
      </c>
      <c r="B13" s="425">
        <v>0.5</v>
      </c>
      <c r="C13" s="563">
        <f>B13*C8</f>
        <v>267500</v>
      </c>
      <c r="D13" s="338"/>
      <c r="E13" s="510"/>
      <c r="F13" s="23"/>
      <c r="G13" s="69"/>
      <c r="H13" s="7"/>
      <c r="I13" s="235"/>
      <c r="J13" s="351" t="s">
        <v>64</v>
      </c>
      <c r="K13" s="338"/>
      <c r="L13" s="393">
        <v>1258</v>
      </c>
      <c r="M13" s="393">
        <v>1500</v>
      </c>
      <c r="N13" s="393">
        <v>1068</v>
      </c>
      <c r="O13" s="338"/>
      <c r="P13" s="393">
        <v>3000</v>
      </c>
      <c r="Q13" s="393">
        <v>3000</v>
      </c>
      <c r="R13" s="394">
        <v>3000</v>
      </c>
      <c r="S13" s="235"/>
      <c r="T13" s="675"/>
    </row>
    <row r="14" spans="1:49" ht="16.2" thickBot="1">
      <c r="A14" s="353" t="s">
        <v>65</v>
      </c>
      <c r="B14" s="516">
        <f>1-B13</f>
        <v>0.5</v>
      </c>
      <c r="C14" s="564">
        <f>B14*C8</f>
        <v>267500</v>
      </c>
      <c r="D14" s="511"/>
      <c r="E14" s="788" t="s">
        <v>63</v>
      </c>
      <c r="F14" s="793">
        <f>SUM(F8:F12)</f>
        <v>1.0000000000000002</v>
      </c>
      <c r="G14" s="789">
        <f>C11</f>
        <v>1258000</v>
      </c>
      <c r="H14" s="7"/>
      <c r="I14" s="235"/>
      <c r="J14" s="351" t="s">
        <v>66</v>
      </c>
      <c r="K14" s="338"/>
      <c r="L14" s="383">
        <f>IF(L19=120,1200,0)</f>
        <v>1200</v>
      </c>
      <c r="M14" s="383">
        <f>IF(M19=120,1200,0)</f>
        <v>1200</v>
      </c>
      <c r="N14" s="383">
        <f>IF(N19=120,1068,0)</f>
        <v>1068</v>
      </c>
      <c r="O14" s="383"/>
      <c r="P14" s="383">
        <f>IF(P19=120,1200,0)</f>
        <v>1200</v>
      </c>
      <c r="Q14" s="383">
        <f>IF(Q19=120,1200,0)</f>
        <v>1200</v>
      </c>
      <c r="R14" s="625">
        <f>IF(R19=120,1200,0)</f>
        <v>1200</v>
      </c>
      <c r="S14" s="235"/>
      <c r="T14" s="675"/>
    </row>
    <row r="15" spans="1:49" ht="15.6">
      <c r="A15" s="23"/>
      <c r="B15" s="23"/>
      <c r="C15" s="23"/>
      <c r="D15" s="338"/>
      <c r="E15" s="342"/>
      <c r="F15" s="343"/>
      <c r="G15" s="344"/>
      <c r="H15" s="7"/>
      <c r="I15" s="235"/>
      <c r="J15" s="351" t="s">
        <v>67</v>
      </c>
      <c r="K15" s="338"/>
      <c r="L15" s="23"/>
      <c r="M15" s="23"/>
      <c r="N15" s="23"/>
      <c r="O15" s="23"/>
      <c r="P15" s="23"/>
      <c r="Q15" s="23"/>
      <c r="R15" s="69"/>
      <c r="S15" s="235"/>
      <c r="T15" s="675"/>
    </row>
    <row r="16" spans="1:49" ht="16.2" thickBot="1">
      <c r="A16" s="23"/>
      <c r="B16" s="23"/>
      <c r="C16" s="23"/>
      <c r="D16" s="338"/>
      <c r="E16" s="342"/>
      <c r="F16" s="345"/>
      <c r="G16" s="350"/>
      <c r="H16" s="7"/>
      <c r="I16" s="235"/>
      <c r="J16" s="351" t="s">
        <v>430</v>
      </c>
      <c r="K16" s="23"/>
      <c r="L16" s="628">
        <f>L29*L14</f>
        <v>549600</v>
      </c>
      <c r="M16" s="628">
        <f>M29*M14</f>
        <v>530400</v>
      </c>
      <c r="N16" s="628">
        <f>N29*N14</f>
        <v>391956</v>
      </c>
      <c r="O16" s="628"/>
      <c r="P16" s="629">
        <v>0</v>
      </c>
      <c r="Q16" s="629">
        <v>0</v>
      </c>
      <c r="R16" s="630">
        <v>0</v>
      </c>
      <c r="S16" s="235"/>
      <c r="T16" s="675"/>
    </row>
    <row r="17" spans="1:31" ht="15.6">
      <c r="A17" s="332" t="s">
        <v>68</v>
      </c>
      <c r="B17" s="794" t="s">
        <v>396</v>
      </c>
      <c r="C17" s="808">
        <v>36526</v>
      </c>
      <c r="D17" s="286"/>
      <c r="E17" s="67"/>
      <c r="F17" s="67"/>
      <c r="G17" s="68"/>
      <c r="H17" s="7"/>
      <c r="J17" s="351" t="s">
        <v>411</v>
      </c>
      <c r="K17" s="23"/>
      <c r="L17" s="628">
        <f>L30*L14</f>
        <v>549600</v>
      </c>
      <c r="M17" s="628">
        <f>M30*M14</f>
        <v>548400</v>
      </c>
      <c r="N17" s="628">
        <f>N30*N14</f>
        <v>404772</v>
      </c>
      <c r="O17" s="628"/>
      <c r="P17" s="628">
        <f>P30*P14</f>
        <v>612000</v>
      </c>
      <c r="Q17" s="628">
        <f>Q30*Q14</f>
        <v>564000</v>
      </c>
      <c r="R17" s="631">
        <f>R30*R14</f>
        <v>729600</v>
      </c>
      <c r="T17" s="675"/>
    </row>
    <row r="18" spans="1:31" ht="15.6">
      <c r="A18" s="806"/>
      <c r="B18" s="807" t="s">
        <v>429</v>
      </c>
      <c r="C18" s="809">
        <v>36525</v>
      </c>
      <c r="D18" s="73"/>
      <c r="E18" s="23"/>
      <c r="F18" s="23"/>
      <c r="G18" s="69"/>
      <c r="H18" s="7"/>
      <c r="J18" s="351" t="s">
        <v>69</v>
      </c>
      <c r="K18" s="338"/>
      <c r="L18" s="393">
        <v>820</v>
      </c>
      <c r="M18" s="393">
        <v>787.8</v>
      </c>
      <c r="N18" s="393">
        <v>813.05</v>
      </c>
      <c r="O18" s="521"/>
      <c r="P18" s="393">
        <v>1000</v>
      </c>
      <c r="Q18" s="393">
        <v>1000</v>
      </c>
      <c r="R18" s="394">
        <v>1204</v>
      </c>
      <c r="S18" s="77"/>
      <c r="T18" s="675"/>
      <c r="U18" s="77"/>
      <c r="V18" s="77"/>
      <c r="W18" s="77"/>
      <c r="X18" s="77"/>
      <c r="Y18"/>
      <c r="Z18"/>
      <c r="AA18"/>
      <c r="AB18"/>
      <c r="AC18"/>
      <c r="AD18"/>
      <c r="AE18"/>
    </row>
    <row r="19" spans="1:31" ht="15.6">
      <c r="A19" s="283"/>
      <c r="B19" s="23"/>
      <c r="C19" s="23"/>
      <c r="D19" s="23"/>
      <c r="E19" s="142"/>
      <c r="F19" s="142"/>
      <c r="G19" s="270"/>
      <c r="H19" s="7"/>
      <c r="J19" s="351" t="s">
        <v>74</v>
      </c>
      <c r="K19" s="338"/>
      <c r="L19" s="383">
        <f>INDEX('Preset Scenarios'!D42:D43,'Preset Scenarios'!D40)</f>
        <v>120</v>
      </c>
      <c r="M19" s="622">
        <f>L19</f>
        <v>120</v>
      </c>
      <c r="N19" s="622">
        <f>L19</f>
        <v>120</v>
      </c>
      <c r="O19" s="623"/>
      <c r="P19" s="622">
        <f>L19</f>
        <v>120</v>
      </c>
      <c r="Q19" s="622">
        <f>L19</f>
        <v>120</v>
      </c>
      <c r="R19" s="624">
        <f>L19</f>
        <v>120</v>
      </c>
      <c r="T19" s="675"/>
      <c r="Y19"/>
      <c r="Z19"/>
      <c r="AA19"/>
      <c r="AB19"/>
      <c r="AC19"/>
      <c r="AD19"/>
      <c r="AE19"/>
    </row>
    <row r="20" spans="1:31" ht="16.8" thickBot="1">
      <c r="A20" s="70"/>
      <c r="B20" s="391" t="s">
        <v>70</v>
      </c>
      <c r="C20" s="391" t="s">
        <v>71</v>
      </c>
      <c r="D20" s="391" t="s">
        <v>72</v>
      </c>
      <c r="E20" s="391" t="s">
        <v>73</v>
      </c>
      <c r="F20" s="73"/>
      <c r="G20" s="525"/>
      <c r="H20" s="7"/>
      <c r="J20" s="353" t="s">
        <v>76</v>
      </c>
      <c r="K20" s="72"/>
      <c r="L20" s="632">
        <v>0</v>
      </c>
      <c r="M20" s="633">
        <v>15</v>
      </c>
      <c r="N20" s="633">
        <v>12</v>
      </c>
      <c r="O20" s="633"/>
      <c r="P20" s="632">
        <v>0</v>
      </c>
      <c r="Q20" s="632">
        <v>0</v>
      </c>
      <c r="R20" s="634">
        <v>0</v>
      </c>
      <c r="S20" s="289"/>
      <c r="T20" s="675"/>
      <c r="Y20"/>
      <c r="Z20"/>
      <c r="AA20"/>
      <c r="AB20"/>
      <c r="AC20"/>
      <c r="AD20"/>
      <c r="AE20"/>
    </row>
    <row r="21" spans="1:31" ht="16.2" thickBot="1">
      <c r="A21" s="355" t="s">
        <v>75</v>
      </c>
      <c r="B21" s="329"/>
      <c r="C21" s="329"/>
      <c r="D21" s="329"/>
      <c r="E21" s="23"/>
      <c r="F21" s="23"/>
      <c r="G21" s="69"/>
      <c r="H21" s="253"/>
      <c r="S21" s="235"/>
      <c r="T21" s="675"/>
      <c r="Y21"/>
      <c r="Z21"/>
      <c r="AA21"/>
      <c r="AB21"/>
      <c r="AC21"/>
      <c r="AD21"/>
      <c r="AE21"/>
    </row>
    <row r="22" spans="1:31" ht="15.6">
      <c r="A22" s="356" t="s">
        <v>77</v>
      </c>
      <c r="B22" s="357">
        <f>Debt!F10</f>
        <v>83000</v>
      </c>
      <c r="C22" s="357">
        <f>Debt!L10</f>
        <v>215000</v>
      </c>
      <c r="D22" s="357">
        <f>Debt!R10</f>
        <v>425000</v>
      </c>
      <c r="E22" s="357">
        <f>SUM(B22:D22)</f>
        <v>723000</v>
      </c>
      <c r="F22" s="287"/>
      <c r="G22" s="526"/>
      <c r="H22" s="253"/>
      <c r="J22" s="330" t="s">
        <v>79</v>
      </c>
      <c r="K22" s="368"/>
      <c r="L22" s="384"/>
      <c r="M22" s="384"/>
      <c r="N22" s="384"/>
      <c r="O22" s="67"/>
      <c r="P22" s="384"/>
      <c r="Q22" s="384"/>
      <c r="R22" s="385"/>
      <c r="S22" s="7"/>
      <c r="T22" s="675"/>
      <c r="Y22"/>
      <c r="Z22"/>
      <c r="AA22"/>
      <c r="AB22"/>
      <c r="AC22"/>
      <c r="AD22"/>
      <c r="AE22"/>
    </row>
    <row r="23" spans="1:31" ht="15.6">
      <c r="A23" s="356" t="s">
        <v>78</v>
      </c>
      <c r="B23" s="358">
        <f>Debt!F8</f>
        <v>3.33</v>
      </c>
      <c r="C23" s="358">
        <f>Debt!L8</f>
        <v>9.83</v>
      </c>
      <c r="D23" s="358">
        <f>Debt!R8</f>
        <v>19.829999999999998</v>
      </c>
      <c r="E23" s="358"/>
      <c r="F23" s="287"/>
      <c r="G23" s="526"/>
      <c r="H23" s="7"/>
      <c r="J23" s="70"/>
      <c r="K23" s="23"/>
      <c r="L23" s="23"/>
      <c r="M23" s="23"/>
      <c r="N23" s="23"/>
      <c r="O23" s="23"/>
      <c r="P23" s="23"/>
      <c r="Q23" s="23"/>
      <c r="R23" s="69"/>
      <c r="S23" s="7"/>
      <c r="T23" s="675"/>
      <c r="Y23"/>
      <c r="Z23"/>
      <c r="AA23"/>
      <c r="AB23"/>
      <c r="AC23"/>
      <c r="AD23"/>
      <c r="AE23"/>
    </row>
    <row r="24" spans="1:31" ht="15.6">
      <c r="A24" s="356" t="s">
        <v>80</v>
      </c>
      <c r="B24" s="551">
        <v>37667</v>
      </c>
      <c r="C24" s="551">
        <v>40040</v>
      </c>
      <c r="D24" s="551">
        <v>43692</v>
      </c>
      <c r="E24" s="357"/>
      <c r="F24" s="23"/>
      <c r="G24" s="69"/>
      <c r="J24" s="355" t="s">
        <v>82</v>
      </c>
      <c r="K24" s="23"/>
      <c r="L24" s="23"/>
      <c r="M24" s="23"/>
      <c r="N24" s="23"/>
      <c r="O24" s="23"/>
      <c r="P24" s="23"/>
      <c r="Q24" s="23"/>
      <c r="R24" s="69"/>
      <c r="S24" s="7"/>
      <c r="T24" s="675"/>
      <c r="Y24"/>
      <c r="Z24"/>
      <c r="AA24"/>
      <c r="AB24"/>
      <c r="AC24"/>
      <c r="AD24"/>
      <c r="AE24"/>
    </row>
    <row r="25" spans="1:31" ht="15.6">
      <c r="A25" s="356" t="s">
        <v>81</v>
      </c>
      <c r="B25" s="421">
        <f>Debt!F9</f>
        <v>2.1137701854974145</v>
      </c>
      <c r="C25" s="421">
        <f>Debt!L9</f>
        <v>7.2762776178110595</v>
      </c>
      <c r="D25" s="421">
        <f>Debt!R9</f>
        <v>15.039434304588985</v>
      </c>
      <c r="E25" s="553"/>
      <c r="F25" s="23"/>
      <c r="G25" s="69"/>
      <c r="J25" s="351" t="s">
        <v>83</v>
      </c>
      <c r="K25" s="338"/>
      <c r="L25" s="482">
        <v>4</v>
      </c>
      <c r="M25" s="635">
        <f>L25</f>
        <v>4</v>
      </c>
      <c r="N25" s="635">
        <f>M25</f>
        <v>4</v>
      </c>
      <c r="O25" s="636"/>
      <c r="P25" s="635">
        <f>N25</f>
        <v>4</v>
      </c>
      <c r="Q25" s="635">
        <f>P25</f>
        <v>4</v>
      </c>
      <c r="R25" s="637">
        <f>Q25</f>
        <v>4</v>
      </c>
      <c r="S25" s="7"/>
      <c r="T25" s="675"/>
      <c r="Y25"/>
      <c r="Z25"/>
      <c r="AA25"/>
      <c r="AB25"/>
      <c r="AC25"/>
      <c r="AD25"/>
      <c r="AE25"/>
    </row>
    <row r="26" spans="1:31" ht="15.6">
      <c r="A26" s="356"/>
      <c r="B26" s="23"/>
      <c r="C26" s="23"/>
      <c r="D26" s="23"/>
      <c r="E26" s="357"/>
      <c r="F26" s="23"/>
      <c r="G26" s="69"/>
      <c r="J26" s="351" t="s">
        <v>84</v>
      </c>
      <c r="K26" s="338"/>
      <c r="L26" s="638">
        <f>L49</f>
        <v>1.4087481804949056</v>
      </c>
      <c r="M26" s="638">
        <f>M49</f>
        <v>0.89012066365007547</v>
      </c>
      <c r="N26" s="638">
        <f>N49</f>
        <v>1.0405254091300602</v>
      </c>
      <c r="O26" s="638"/>
      <c r="P26" s="638">
        <f>P49</f>
        <v>1.2167859477124183</v>
      </c>
      <c r="Q26" s="638">
        <f>Q49</f>
        <v>1.1634751773049645</v>
      </c>
      <c r="R26" s="637">
        <f>R49</f>
        <v>0.8627741228070176</v>
      </c>
      <c r="S26" s="7"/>
      <c r="T26" s="675"/>
      <c r="Y26"/>
      <c r="Z26"/>
      <c r="AA26"/>
      <c r="AB26"/>
      <c r="AC26"/>
      <c r="AD26"/>
      <c r="AE26"/>
    </row>
    <row r="27" spans="1:31" ht="15.6">
      <c r="A27" s="70"/>
      <c r="B27" s="23"/>
      <c r="C27" s="23"/>
      <c r="D27" s="23"/>
      <c r="E27" s="357"/>
      <c r="F27" s="23"/>
      <c r="G27" s="69"/>
      <c r="J27" s="351" t="s">
        <v>86</v>
      </c>
      <c r="K27" s="338"/>
      <c r="L27" s="639">
        <f>'EGC Start Charge Matrix'!G22</f>
        <v>4111</v>
      </c>
      <c r="M27" s="639">
        <f>'EGC Start Charge Matrix'!H22</f>
        <v>1874</v>
      </c>
      <c r="N27" s="639">
        <f>'EGC Start Charge Matrix'!I22</f>
        <v>1874</v>
      </c>
      <c r="O27" s="640"/>
      <c r="P27" s="639">
        <f>'EGC Start Charge Matrix'!J22</f>
        <v>6379</v>
      </c>
      <c r="Q27" s="639">
        <f>'EGC Start Charge Matrix'!K22</f>
        <v>4330</v>
      </c>
      <c r="R27" s="641">
        <f>'EGC Start Charge Matrix'!L22</f>
        <v>1874</v>
      </c>
      <c r="S27" s="7"/>
      <c r="T27" s="675"/>
      <c r="Y27"/>
      <c r="Z27"/>
      <c r="AA27"/>
      <c r="AB27"/>
      <c r="AC27"/>
      <c r="AD27"/>
      <c r="AE27"/>
    </row>
    <row r="28" spans="1:31" ht="15.6">
      <c r="A28" s="359" t="s">
        <v>85</v>
      </c>
      <c r="B28" s="360">
        <f>Debt!F5</f>
        <v>5.9400000000000001E-2</v>
      </c>
      <c r="C28" s="360">
        <f>Debt!L5</f>
        <v>6.2199999999999998E-2</v>
      </c>
      <c r="D28" s="360">
        <f>Debt!R5</f>
        <v>6.3100000000000003E-2</v>
      </c>
      <c r="E28" s="554">
        <f>SUMPRODUCT(B28:D28,$B$22:$D$22)/SUM($B$22:$D$22)</f>
        <v>6.2407607192254494E-2</v>
      </c>
      <c r="F28" s="23"/>
      <c r="G28" s="69"/>
      <c r="J28" s="351" t="s">
        <v>88</v>
      </c>
      <c r="K28" s="338"/>
      <c r="L28" s="23"/>
      <c r="M28" s="280"/>
      <c r="N28" s="280"/>
      <c r="O28" s="23"/>
      <c r="P28" s="23"/>
      <c r="Q28" s="23"/>
      <c r="R28" s="69"/>
      <c r="S28" s="7"/>
      <c r="T28" s="675"/>
      <c r="Y28"/>
      <c r="Z28"/>
      <c r="AA28"/>
      <c r="AB28"/>
      <c r="AC28"/>
      <c r="AD28"/>
      <c r="AE28"/>
    </row>
    <row r="29" spans="1:31" ht="15.6">
      <c r="A29" s="359" t="s">
        <v>87</v>
      </c>
      <c r="B29" s="361">
        <f>Debt!F6</f>
        <v>2.2499999999999999E-2</v>
      </c>
      <c r="C29" s="361">
        <f>Debt!L6</f>
        <v>3.5000000000000003E-2</v>
      </c>
      <c r="D29" s="361">
        <f>Debt!R6</f>
        <v>4.1250000000000002E-2</v>
      </c>
      <c r="E29" s="555">
        <f>SUMPRODUCT(B29:D29,$B$22:$D$22)/SUM($B$22:$D$22)</f>
        <v>3.7238934993084373E-2</v>
      </c>
      <c r="F29" s="23"/>
      <c r="G29" s="69"/>
      <c r="J29" s="351" t="s">
        <v>430</v>
      </c>
      <c r="K29" s="23"/>
      <c r="L29" s="393">
        <v>458</v>
      </c>
      <c r="M29" s="393">
        <f>442</f>
        <v>442</v>
      </c>
      <c r="N29" s="393">
        <f>367</f>
        <v>367</v>
      </c>
      <c r="O29" s="23"/>
      <c r="P29" s="393">
        <v>0</v>
      </c>
      <c r="Q29" s="393">
        <v>0</v>
      </c>
      <c r="R29" s="394">
        <v>0</v>
      </c>
      <c r="S29" s="7"/>
      <c r="T29" s="675"/>
      <c r="Y29"/>
      <c r="Z29"/>
      <c r="AA29"/>
      <c r="AB29"/>
      <c r="AC29"/>
      <c r="AD29"/>
      <c r="AE29"/>
    </row>
    <row r="30" spans="1:31" ht="15.6">
      <c r="A30" s="356" t="s">
        <v>89</v>
      </c>
      <c r="B30" s="362">
        <f>Debt!F7</f>
        <v>8.1900000000000001E-2</v>
      </c>
      <c r="C30" s="362">
        <f>Debt!L7</f>
        <v>9.7200000000000009E-2</v>
      </c>
      <c r="D30" s="362">
        <f>Debt!R7</f>
        <v>0.10435</v>
      </c>
      <c r="E30" s="554">
        <f>SUMPRODUCT(B30:D30,$B$22:$D$22)/SUM($B$22:$D$22)</f>
        <v>9.9646542185338888E-2</v>
      </c>
      <c r="F30" s="23"/>
      <c r="G30" s="69"/>
      <c r="J30" s="351" t="s">
        <v>411</v>
      </c>
      <c r="K30" s="23"/>
      <c r="L30" s="393">
        <f>L29</f>
        <v>458</v>
      </c>
      <c r="M30" s="393">
        <f>M29+M20</f>
        <v>457</v>
      </c>
      <c r="N30" s="393">
        <f>N29+N20</f>
        <v>379</v>
      </c>
      <c r="O30" s="23"/>
      <c r="P30" s="393">
        <v>510</v>
      </c>
      <c r="Q30" s="393">
        <v>470</v>
      </c>
      <c r="R30" s="394">
        <v>608</v>
      </c>
      <c r="S30" s="7"/>
      <c r="T30" s="675"/>
      <c r="Y30"/>
      <c r="Z30"/>
      <c r="AA30"/>
      <c r="AB30"/>
      <c r="AC30"/>
      <c r="AD30"/>
      <c r="AE30"/>
    </row>
    <row r="31" spans="1:31" ht="15.6">
      <c r="A31" s="351"/>
      <c r="B31" s="338"/>
      <c r="C31" s="338"/>
      <c r="D31" s="338"/>
      <c r="E31" s="556"/>
      <c r="F31" s="23"/>
      <c r="G31" s="69"/>
      <c r="J31" s="70"/>
      <c r="K31" s="23"/>
      <c r="L31" s="23"/>
      <c r="M31" s="23"/>
      <c r="N31" s="23"/>
      <c r="O31" s="23"/>
      <c r="P31" s="23"/>
      <c r="Q31" s="23"/>
      <c r="R31" s="69"/>
      <c r="S31" s="7"/>
      <c r="T31" s="675"/>
    </row>
    <row r="32" spans="1:31" ht="15.6">
      <c r="A32" s="351" t="s">
        <v>514</v>
      </c>
      <c r="B32" s="357">
        <f ca="1">MAX(Debt!C106:Z106)</f>
        <v>112380.20352474868</v>
      </c>
      <c r="C32" s="338"/>
      <c r="D32" s="338"/>
      <c r="E32" s="552"/>
      <c r="F32" s="23"/>
      <c r="G32" s="69"/>
      <c r="J32" s="355" t="s">
        <v>91</v>
      </c>
      <c r="K32" s="23"/>
      <c r="L32" s="23"/>
      <c r="M32" s="23"/>
      <c r="N32" s="23"/>
      <c r="O32" s="23"/>
      <c r="P32" s="23"/>
      <c r="Q32" s="23"/>
      <c r="R32" s="69"/>
      <c r="S32" s="7"/>
      <c r="T32" s="675"/>
    </row>
    <row r="33" spans="1:20" ht="15.6">
      <c r="A33" s="351" t="s">
        <v>90</v>
      </c>
      <c r="B33" s="449">
        <v>0.02</v>
      </c>
      <c r="C33" s="338"/>
      <c r="D33" s="338"/>
      <c r="E33" s="552"/>
      <c r="F33" s="23"/>
      <c r="G33" s="69"/>
      <c r="J33" s="351" t="s">
        <v>93</v>
      </c>
      <c r="K33" s="338"/>
      <c r="L33" s="393">
        <f>497.4*(1-L10)</f>
        <v>487.45199999999994</v>
      </c>
      <c r="M33" s="393">
        <f>503.6*(1-M10)</f>
        <v>493.52800000000002</v>
      </c>
      <c r="N33" s="393">
        <f>430.2*(1-N10)</f>
        <v>421.596</v>
      </c>
      <c r="O33" s="23"/>
      <c r="P33" s="393">
        <f>535.3*(1-P10)</f>
        <v>524.59399999999994</v>
      </c>
      <c r="Q33" s="393">
        <f>514.6*(1-Q10)</f>
        <v>504.30799999999999</v>
      </c>
      <c r="R33" s="394">
        <f>665.9*(1-R10)</f>
        <v>652.58199999999999</v>
      </c>
      <c r="S33" s="7"/>
      <c r="T33" s="675"/>
    </row>
    <row r="34" spans="1:20" ht="16.2" thickBot="1">
      <c r="A34" s="353" t="s">
        <v>92</v>
      </c>
      <c r="B34" s="450">
        <v>0.05</v>
      </c>
      <c r="C34" s="72"/>
      <c r="D34" s="72"/>
      <c r="E34" s="72"/>
      <c r="F34" s="72"/>
      <c r="G34" s="272"/>
      <c r="J34" s="351" t="s">
        <v>94</v>
      </c>
      <c r="K34" s="338"/>
      <c r="L34" s="629">
        <f>L33*L14</f>
        <v>584942.39999999991</v>
      </c>
      <c r="M34" s="629">
        <f>M33*M14</f>
        <v>592233.6</v>
      </c>
      <c r="N34" s="629">
        <f>N33*N14</f>
        <v>450264.52799999999</v>
      </c>
      <c r="O34" s="169"/>
      <c r="P34" s="629">
        <f>P33*P14</f>
        <v>629512.79999999993</v>
      </c>
      <c r="Q34" s="629">
        <f>Q33*Q14</f>
        <v>605169.6</v>
      </c>
      <c r="R34" s="630">
        <f>R33*R14</f>
        <v>783098.4</v>
      </c>
      <c r="S34" s="7"/>
      <c r="T34" s="675"/>
    </row>
    <row r="35" spans="1:20" ht="15.6">
      <c r="J35" s="351" t="s">
        <v>95</v>
      </c>
      <c r="K35" s="338"/>
      <c r="L35" s="387">
        <v>0.02</v>
      </c>
      <c r="M35" s="642">
        <f>L35</f>
        <v>0.02</v>
      </c>
      <c r="N35" s="642">
        <f>M35</f>
        <v>0.02</v>
      </c>
      <c r="O35" s="643"/>
      <c r="P35" s="642">
        <f>N35</f>
        <v>0.02</v>
      </c>
      <c r="Q35" s="642">
        <f>P35</f>
        <v>0.02</v>
      </c>
      <c r="R35" s="644">
        <f>Q35</f>
        <v>0.02</v>
      </c>
      <c r="S35" s="7"/>
      <c r="T35" s="675"/>
    </row>
    <row r="36" spans="1:20" ht="16.2" thickBot="1">
      <c r="J36" s="351" t="s">
        <v>97</v>
      </c>
      <c r="K36" s="338"/>
      <c r="L36" s="482">
        <v>1</v>
      </c>
      <c r="M36" s="646">
        <f>L36</f>
        <v>1</v>
      </c>
      <c r="N36" s="646">
        <f>L36</f>
        <v>1</v>
      </c>
      <c r="O36" s="645"/>
      <c r="P36" s="646">
        <f>L36</f>
        <v>1</v>
      </c>
      <c r="Q36" s="646">
        <f>L36</f>
        <v>1</v>
      </c>
      <c r="R36" s="647">
        <f>L36</f>
        <v>1</v>
      </c>
      <c r="S36" s="7"/>
      <c r="T36" s="675"/>
    </row>
    <row r="37" spans="1:20" ht="15.6">
      <c r="A37" s="330" t="s">
        <v>96</v>
      </c>
      <c r="B37" s="368"/>
      <c r="C37" s="369"/>
      <c r="D37" s="369"/>
      <c r="E37" s="384"/>
      <c r="F37" s="384"/>
      <c r="G37" s="68"/>
      <c r="J37" s="528"/>
      <c r="K37" s="238"/>
      <c r="L37" s="338"/>
      <c r="M37" s="338"/>
      <c r="N37" s="338"/>
      <c r="O37" s="23"/>
      <c r="P37" s="338"/>
      <c r="Q37" s="338"/>
      <c r="R37" s="352"/>
      <c r="S37" s="7"/>
      <c r="T37" s="675"/>
    </row>
    <row r="38" spans="1:20" ht="15.6">
      <c r="A38" s="70"/>
      <c r="B38" s="658" t="s">
        <v>98</v>
      </c>
      <c r="C38" s="659"/>
      <c r="D38" s="23"/>
      <c r="E38" s="23"/>
      <c r="F38" s="338"/>
      <c r="G38" s="69"/>
      <c r="J38" s="351" t="s">
        <v>102</v>
      </c>
      <c r="K38" s="338"/>
      <c r="L38" s="529">
        <v>37742</v>
      </c>
      <c r="M38" s="338"/>
      <c r="N38" s="338"/>
      <c r="O38" s="23"/>
      <c r="P38" s="338"/>
      <c r="Q38" s="338"/>
      <c r="R38" s="352"/>
      <c r="S38" s="7"/>
      <c r="T38" s="675"/>
    </row>
    <row r="39" spans="1:20" ht="16.2" thickBot="1">
      <c r="A39" s="351"/>
      <c r="B39" s="585">
        <v>1999</v>
      </c>
      <c r="C39" s="585">
        <v>2000</v>
      </c>
      <c r="D39" s="585" t="s">
        <v>99</v>
      </c>
      <c r="E39" s="585" t="s">
        <v>100</v>
      </c>
      <c r="F39" s="337" t="s">
        <v>101</v>
      </c>
      <c r="G39" s="69"/>
      <c r="J39" s="353" t="s">
        <v>104</v>
      </c>
      <c r="K39" s="354"/>
      <c r="L39" s="584">
        <f>L52</f>
        <v>0.03</v>
      </c>
      <c r="M39" s="617">
        <f>L39</f>
        <v>0.03</v>
      </c>
      <c r="N39" s="617">
        <f>L39</f>
        <v>0.03</v>
      </c>
      <c r="O39" s="616"/>
      <c r="P39" s="617">
        <f>L39</f>
        <v>0.03</v>
      </c>
      <c r="Q39" s="617">
        <f>L39</f>
        <v>0.03</v>
      </c>
      <c r="R39" s="618">
        <f>L39</f>
        <v>0.03</v>
      </c>
      <c r="S39" s="7"/>
      <c r="T39" s="675"/>
    </row>
    <row r="40" spans="1:20" ht="16.2" thickBot="1">
      <c r="A40" s="372" t="s">
        <v>103</v>
      </c>
      <c r="B40" s="373"/>
      <c r="C40" s="23"/>
      <c r="D40" s="373"/>
      <c r="E40" s="373"/>
      <c r="F40" s="338"/>
      <c r="G40" s="69"/>
      <c r="J40" s="77"/>
      <c r="K40" s="77"/>
      <c r="L40" s="77"/>
      <c r="M40" s="77"/>
      <c r="N40" s="338"/>
      <c r="P40" s="77"/>
      <c r="Q40" s="77"/>
      <c r="R40" s="77"/>
      <c r="S40" s="7"/>
      <c r="T40" s="675"/>
    </row>
    <row r="41" spans="1:20" ht="15.6">
      <c r="A41" s="374" t="s">
        <v>105</v>
      </c>
      <c r="B41" s="596">
        <f>Depreciation!B18</f>
        <v>493680.962</v>
      </c>
      <c r="C41" s="366">
        <f>Depreciation!B54</f>
        <v>738629.74002804724</v>
      </c>
      <c r="D41" s="566">
        <v>15</v>
      </c>
      <c r="E41" s="527" t="s">
        <v>106</v>
      </c>
      <c r="F41" s="586">
        <v>0</v>
      </c>
      <c r="G41" s="69"/>
      <c r="J41" s="330" t="s">
        <v>109</v>
      </c>
      <c r="K41" s="368"/>
      <c r="L41" s="369"/>
      <c r="M41" s="369"/>
      <c r="N41" s="369"/>
      <c r="O41" s="67"/>
      <c r="P41" s="369"/>
      <c r="Q41" s="369"/>
      <c r="R41" s="370"/>
      <c r="S41" s="7"/>
      <c r="T41" s="675"/>
    </row>
    <row r="42" spans="1:20" ht="15.6">
      <c r="A42" s="374" t="s">
        <v>107</v>
      </c>
      <c r="B42" s="596">
        <f>Depreciation!B19</f>
        <v>7800</v>
      </c>
      <c r="C42" s="366">
        <f>Depreciation!B55</f>
        <v>11700</v>
      </c>
      <c r="D42" s="566">
        <v>20</v>
      </c>
      <c r="E42" s="527" t="s">
        <v>108</v>
      </c>
      <c r="F42" s="586">
        <v>0</v>
      </c>
      <c r="G42" s="69"/>
      <c r="J42" s="351"/>
      <c r="K42" s="338"/>
      <c r="L42" s="238"/>
      <c r="M42" s="238"/>
      <c r="N42" s="238"/>
      <c r="O42" s="23"/>
      <c r="P42" s="238"/>
      <c r="Q42" s="238"/>
      <c r="R42" s="371"/>
      <c r="S42" s="7"/>
      <c r="T42" s="675"/>
    </row>
    <row r="43" spans="1:20" ht="15.6">
      <c r="A43" s="374"/>
      <c r="B43" s="597"/>
      <c r="C43" s="552"/>
      <c r="D43" s="375"/>
      <c r="E43" s="375"/>
      <c r="F43" s="587"/>
      <c r="G43" s="69"/>
      <c r="J43" s="351" t="s">
        <v>111</v>
      </c>
      <c r="K43" s="338"/>
      <c r="L43" s="387">
        <v>0.35</v>
      </c>
      <c r="M43" s="387">
        <v>0.35</v>
      </c>
      <c r="N43" s="387">
        <v>0.35</v>
      </c>
      <c r="O43" s="23"/>
      <c r="P43" s="387">
        <v>0.35</v>
      </c>
      <c r="Q43" s="387">
        <v>0.35</v>
      </c>
      <c r="R43" s="388">
        <v>0.35</v>
      </c>
      <c r="S43" s="7"/>
      <c r="T43" s="675"/>
    </row>
    <row r="44" spans="1:20" ht="15.6">
      <c r="A44" s="372" t="s">
        <v>110</v>
      </c>
      <c r="B44" s="597"/>
      <c r="C44" s="552"/>
      <c r="D44" s="376"/>
      <c r="E44" s="376"/>
      <c r="F44" s="588"/>
      <c r="G44" s="69"/>
      <c r="J44" s="351" t="s">
        <v>112</v>
      </c>
      <c r="K44" s="338"/>
      <c r="L44" s="395">
        <v>0.06</v>
      </c>
      <c r="M44" s="395">
        <v>0.05</v>
      </c>
      <c r="N44" s="395">
        <v>0.05</v>
      </c>
      <c r="O44" s="23"/>
      <c r="P44" s="395">
        <v>8.2500000000000004E-2</v>
      </c>
      <c r="Q44" s="395">
        <v>4.4999999999999998E-2</v>
      </c>
      <c r="R44" s="396">
        <v>7.1800000000000003E-2</v>
      </c>
      <c r="S44" s="7"/>
      <c r="T44" s="675"/>
    </row>
    <row r="45" spans="1:20" ht="16.2" thickBot="1">
      <c r="A45" s="374" t="s">
        <v>105</v>
      </c>
      <c r="B45" s="596">
        <f>Depreciation!B42</f>
        <v>493680.962</v>
      </c>
      <c r="C45" s="366">
        <f>Depreciation!B75</f>
        <v>738629.74002804724</v>
      </c>
      <c r="D45" s="566">
        <v>30</v>
      </c>
      <c r="E45" s="527" t="s">
        <v>108</v>
      </c>
      <c r="F45" s="589">
        <v>0.1</v>
      </c>
      <c r="G45" s="69"/>
      <c r="J45" s="353" t="s">
        <v>113</v>
      </c>
      <c r="K45" s="354"/>
      <c r="L45" s="397">
        <v>2.5000000000000001E-3</v>
      </c>
      <c r="M45" s="397">
        <v>2.5000000000000001E-3</v>
      </c>
      <c r="N45" s="397">
        <v>2.5000000000000001E-3</v>
      </c>
      <c r="O45" s="72"/>
      <c r="P45" s="397">
        <v>2.0999999999999999E-3</v>
      </c>
      <c r="Q45" s="397">
        <v>0</v>
      </c>
      <c r="R45" s="483">
        <v>1E-3</v>
      </c>
      <c r="S45" s="7"/>
      <c r="T45" s="675"/>
    </row>
    <row r="46" spans="1:20" ht="16.2" thickBot="1">
      <c r="A46" s="378" t="s">
        <v>107</v>
      </c>
      <c r="B46" s="598">
        <f>Depreciation!B43</f>
        <v>7800</v>
      </c>
      <c r="C46" s="367">
        <f>Depreciation!B76</f>
        <v>11700</v>
      </c>
      <c r="D46" s="599">
        <v>20</v>
      </c>
      <c r="E46" s="600" t="s">
        <v>108</v>
      </c>
      <c r="F46" s="613">
        <v>0</v>
      </c>
      <c r="G46" s="272"/>
      <c r="J46" s="353" t="s">
        <v>114</v>
      </c>
      <c r="K46" s="354"/>
      <c r="L46" s="397">
        <v>0.03</v>
      </c>
      <c r="M46" s="522" t="s">
        <v>115</v>
      </c>
      <c r="N46" s="522" t="s">
        <v>115</v>
      </c>
      <c r="O46" s="523"/>
      <c r="P46" s="522" t="s">
        <v>115</v>
      </c>
      <c r="Q46" s="522" t="s">
        <v>115</v>
      </c>
      <c r="R46" s="524" t="s">
        <v>115</v>
      </c>
      <c r="S46" s="7"/>
      <c r="T46" s="675"/>
    </row>
    <row r="47" spans="1:20" ht="16.2" thickBot="1">
      <c r="A47" s="77"/>
      <c r="B47" s="77"/>
      <c r="C47" s="77"/>
      <c r="D47" s="77"/>
      <c r="E47" s="77"/>
      <c r="F47" s="77"/>
      <c r="S47" s="7"/>
      <c r="T47" s="675"/>
    </row>
    <row r="48" spans="1:20" ht="16.2" thickBot="1">
      <c r="J48" s="332" t="s">
        <v>117</v>
      </c>
      <c r="K48" s="384"/>
      <c r="L48" s="384"/>
      <c r="M48" s="384"/>
      <c r="N48" s="384"/>
      <c r="O48" s="67"/>
      <c r="P48" s="384"/>
      <c r="Q48" s="384"/>
      <c r="R48" s="370"/>
      <c r="S48" s="7"/>
      <c r="T48" s="675"/>
    </row>
    <row r="49" spans="1:21" ht="15.6">
      <c r="A49" s="332" t="s">
        <v>116</v>
      </c>
      <c r="B49" s="384"/>
      <c r="C49" s="384"/>
      <c r="D49" s="384"/>
      <c r="E49" s="384"/>
      <c r="F49" s="384"/>
      <c r="G49" s="385"/>
      <c r="J49" s="568" t="s">
        <v>118</v>
      </c>
      <c r="K49" s="338"/>
      <c r="L49" s="591">
        <v>1.4087481804949056</v>
      </c>
      <c r="M49" s="591">
        <v>0.89012066365007547</v>
      </c>
      <c r="N49" s="591">
        <v>1.0405254091300602</v>
      </c>
      <c r="O49" s="285"/>
      <c r="P49" s="591">
        <v>1.2167859477124183</v>
      </c>
      <c r="Q49" s="591">
        <v>1.1634751773049645</v>
      </c>
      <c r="R49" s="592">
        <v>0.8627741228070176</v>
      </c>
      <c r="S49" s="7"/>
      <c r="T49" s="675"/>
    </row>
    <row r="50" spans="1:21" ht="15.6">
      <c r="A50" s="351"/>
      <c r="B50" s="338"/>
      <c r="C50" s="338"/>
      <c r="D50" s="338"/>
      <c r="E50" s="338"/>
      <c r="F50" s="338"/>
      <c r="G50" s="352"/>
      <c r="J50" s="351" t="s">
        <v>121</v>
      </c>
      <c r="K50" s="338"/>
      <c r="L50" s="591">
        <v>7.0000000000000007E-2</v>
      </c>
      <c r="M50" s="593">
        <f>$L$50</f>
        <v>7.0000000000000007E-2</v>
      </c>
      <c r="N50" s="593">
        <f>$L$50</f>
        <v>7.0000000000000007E-2</v>
      </c>
      <c r="O50" s="287"/>
      <c r="P50" s="593">
        <f>$L$50</f>
        <v>7.0000000000000007E-2</v>
      </c>
      <c r="Q50" s="593">
        <f>$L$50</f>
        <v>7.0000000000000007E-2</v>
      </c>
      <c r="R50" s="594">
        <f>$L$50</f>
        <v>7.0000000000000007E-2</v>
      </c>
      <c r="S50" s="7"/>
      <c r="T50" s="675"/>
    </row>
    <row r="51" spans="1:21" ht="15.6">
      <c r="A51" s="355" t="s">
        <v>20</v>
      </c>
      <c r="B51" s="363"/>
      <c r="C51" s="23"/>
      <c r="D51" s="337" t="s">
        <v>119</v>
      </c>
      <c r="E51" s="337" t="s">
        <v>120</v>
      </c>
      <c r="F51" s="338"/>
      <c r="G51" s="352"/>
      <c r="J51" s="70"/>
      <c r="K51" s="23"/>
      <c r="L51" s="23"/>
      <c r="M51" s="23"/>
      <c r="N51" s="23"/>
      <c r="O51" s="23"/>
      <c r="P51" s="23"/>
      <c r="Q51" s="23"/>
      <c r="R51" s="69"/>
      <c r="S51" s="7"/>
      <c r="T51" s="675"/>
    </row>
    <row r="52" spans="1:21" ht="15.6">
      <c r="A52" s="351" t="s">
        <v>404</v>
      </c>
      <c r="B52" s="338"/>
      <c r="C52" s="23"/>
      <c r="D52" s="364">
        <f ca="1">MIN(Debt!C114:F114)</f>
        <v>1.2888963749231688</v>
      </c>
      <c r="E52" s="364">
        <f ca="1">AVERAGE(Debt!B114:F114)</f>
        <v>1.3927921351860328</v>
      </c>
      <c r="F52" s="338"/>
      <c r="G52" s="352"/>
      <c r="J52" s="351" t="s">
        <v>122</v>
      </c>
      <c r="K52" s="338"/>
      <c r="L52" s="619">
        <f>'Preset Scenarios'!B46</f>
        <v>0.03</v>
      </c>
      <c r="M52" s="619">
        <f>L52</f>
        <v>0.03</v>
      </c>
      <c r="N52" s="619">
        <f>L52</f>
        <v>0.03</v>
      </c>
      <c r="O52" s="620"/>
      <c r="P52" s="619">
        <f>L52</f>
        <v>0.03</v>
      </c>
      <c r="Q52" s="619">
        <f>L52</f>
        <v>0.03</v>
      </c>
      <c r="R52" s="621">
        <f>L52</f>
        <v>0.03</v>
      </c>
      <c r="S52" s="7"/>
      <c r="T52" s="675"/>
    </row>
    <row r="53" spans="1:21" ht="15.6">
      <c r="A53" s="351" t="s">
        <v>405</v>
      </c>
      <c r="B53" s="338"/>
      <c r="C53" s="23"/>
      <c r="D53" s="364">
        <f>MIN(Debt!G115:V115)</f>
        <v>2.245600577071702</v>
      </c>
      <c r="E53" s="364">
        <f>AVERAGE(Debt!G115:V115)</f>
        <v>2.9648979784554501</v>
      </c>
      <c r="F53" s="338"/>
      <c r="G53" s="352"/>
      <c r="J53" s="351" t="s">
        <v>472</v>
      </c>
      <c r="K53" s="338"/>
      <c r="L53" s="777">
        <v>0</v>
      </c>
      <c r="M53" s="777">
        <v>0</v>
      </c>
      <c r="N53" s="777">
        <v>0</v>
      </c>
      <c r="O53" s="23"/>
      <c r="P53" s="379">
        <v>6</v>
      </c>
      <c r="Q53" s="379">
        <v>6</v>
      </c>
      <c r="R53" s="386">
        <v>7</v>
      </c>
      <c r="S53" s="7"/>
      <c r="T53" s="675"/>
    </row>
    <row r="54" spans="1:21" ht="15.6">
      <c r="A54" s="351"/>
      <c r="B54" s="338"/>
      <c r="C54" s="338"/>
      <c r="D54" s="338"/>
      <c r="E54" s="338"/>
      <c r="F54" s="338"/>
      <c r="G54" s="352"/>
      <c r="J54" s="351"/>
      <c r="K54" s="338"/>
      <c r="O54" s="23"/>
      <c r="P54" s="380"/>
      <c r="Q54" s="23"/>
      <c r="R54" s="381"/>
      <c r="S54" s="7"/>
      <c r="T54" s="675"/>
    </row>
    <row r="55" spans="1:21" ht="15.6">
      <c r="A55" s="351"/>
      <c r="B55" s="338"/>
      <c r="C55" s="338"/>
      <c r="D55" s="337" t="s">
        <v>123</v>
      </c>
      <c r="E55" s="337" t="s">
        <v>124</v>
      </c>
      <c r="F55" s="337" t="s">
        <v>125</v>
      </c>
      <c r="G55" s="352"/>
      <c r="J55" s="382" t="s">
        <v>127</v>
      </c>
      <c r="K55" s="338"/>
      <c r="L55" s="338"/>
      <c r="M55" s="338"/>
      <c r="N55" s="338"/>
      <c r="O55" s="23"/>
      <c r="P55" s="338"/>
      <c r="Q55" s="338"/>
      <c r="R55" s="377"/>
      <c r="T55" s="675"/>
    </row>
    <row r="56" spans="1:21" ht="15.6">
      <c r="A56" s="351" t="s">
        <v>126</v>
      </c>
      <c r="B56" s="338"/>
      <c r="C56" s="338"/>
      <c r="D56" s="366">
        <f>SUMPRODUCT(L9:N9,L12:N12)/SUM(L9:N9)</f>
        <v>11884.293911826451</v>
      </c>
      <c r="E56" s="366">
        <f>SUMPRODUCT(P9:R9,P12:R12)/SUM(P9:R9)</f>
        <v>11566.139884393064</v>
      </c>
      <c r="F56" s="366">
        <f>SUMPRODUCT(L9:R9,L12:R12)/SUM(L9:R9)</f>
        <v>11710.059512503956</v>
      </c>
      <c r="G56" s="352"/>
      <c r="J56" s="351" t="s">
        <v>128</v>
      </c>
      <c r="K56" s="338"/>
      <c r="L56" s="650">
        <f>701.45*'Preset Scenarios'!C46</f>
        <v>701.45</v>
      </c>
      <c r="M56" s="650">
        <f>701.45*'Preset Scenarios'!C46</f>
        <v>701.45</v>
      </c>
      <c r="N56" s="650">
        <f>1026.392*'Preset Scenarios'!C46</f>
        <v>1026.3920000000001</v>
      </c>
      <c r="O56" s="23"/>
      <c r="P56" s="379">
        <f>997*'Preset Scenarios'!C46</f>
        <v>997</v>
      </c>
      <c r="Q56" s="379">
        <f>1165*'Preset Scenarios'!C46</f>
        <v>1165</v>
      </c>
      <c r="R56" s="386">
        <f>997*'Preset Scenarios'!C46</f>
        <v>997</v>
      </c>
      <c r="T56" s="675"/>
      <c r="U56" s="31"/>
    </row>
    <row r="57" spans="1:21" ht="15.6">
      <c r="A57" s="70"/>
      <c r="B57" s="23"/>
      <c r="C57" s="23"/>
      <c r="D57" s="23"/>
      <c r="E57" s="23"/>
      <c r="F57" s="23"/>
      <c r="G57" s="69"/>
      <c r="J57" s="351" t="s">
        <v>130</v>
      </c>
      <c r="K57" s="338"/>
      <c r="L57" s="23"/>
      <c r="M57" s="23"/>
      <c r="N57" s="23"/>
      <c r="O57" s="23"/>
      <c r="P57" s="23"/>
      <c r="Q57" s="23"/>
      <c r="R57" s="69"/>
      <c r="S57" s="235"/>
      <c r="T57" s="675"/>
      <c r="U57" s="673"/>
    </row>
    <row r="58" spans="1:21" ht="15.6">
      <c r="A58" s="351" t="s">
        <v>129</v>
      </c>
      <c r="B58" s="338"/>
      <c r="C58" s="338"/>
      <c r="D58" s="366">
        <f>SUM(L9:N9)</f>
        <v>1429</v>
      </c>
      <c r="E58" s="366">
        <f>SUM(P9:R9)</f>
        <v>1730</v>
      </c>
      <c r="F58" s="366">
        <f>SUM(D58:E58)</f>
        <v>3159</v>
      </c>
      <c r="G58" s="352"/>
      <c r="J58" s="351" t="s">
        <v>430</v>
      </c>
      <c r="K58" s="23"/>
      <c r="L58" s="432">
        <v>774.24800000000005</v>
      </c>
      <c r="M58" s="432">
        <f>M49*M16/1000*'Preset Scenarios'!C46</f>
        <v>472.12000000000006</v>
      </c>
      <c r="N58" s="432">
        <f>N49*N16/1000*'Preset Scenarios'!C46</f>
        <v>407.84017726098187</v>
      </c>
      <c r="O58" s="432"/>
      <c r="P58" s="432">
        <v>744.673</v>
      </c>
      <c r="Q58" s="432">
        <v>656.2</v>
      </c>
      <c r="R58" s="433">
        <v>629.48</v>
      </c>
    </row>
    <row r="59" spans="1:21" ht="15.6">
      <c r="A59" s="351"/>
      <c r="B59" s="23"/>
      <c r="C59" s="23"/>
      <c r="D59" s="366"/>
      <c r="E59" s="366"/>
      <c r="F59" s="366"/>
      <c r="G59" s="69"/>
      <c r="J59" s="351" t="s">
        <v>411</v>
      </c>
      <c r="K59" s="23"/>
      <c r="L59" s="432">
        <f>L49*L17/1000*'Preset Scenarios'!C46</f>
        <v>774.24800000000016</v>
      </c>
      <c r="M59" s="432">
        <f>M49*M17/1000*'Preset Scenarios'!C46</f>
        <v>488.14217194570142</v>
      </c>
      <c r="N59" s="432">
        <f>N49*N17/1000*'Preset Scenarios'!C46</f>
        <v>421.17555090439271</v>
      </c>
      <c r="O59" s="432"/>
      <c r="P59" s="432">
        <f>P49*P17/1000*'Preset Scenarios'!C46</f>
        <v>744.673</v>
      </c>
      <c r="Q59" s="432">
        <f>Q49*Q17/1000*'Preset Scenarios'!C46</f>
        <v>656.2</v>
      </c>
      <c r="R59" s="433">
        <f>R49*R17/1000*'Preset Scenarios'!C46</f>
        <v>629.48</v>
      </c>
    </row>
    <row r="60" spans="1:21" ht="15.6">
      <c r="A60" s="351" t="s">
        <v>132</v>
      </c>
      <c r="B60" s="338"/>
      <c r="C60" s="338"/>
      <c r="D60" s="366">
        <f>G14/F58</f>
        <v>398.227287116176</v>
      </c>
      <c r="E60" s="338"/>
      <c r="F60" s="338"/>
      <c r="G60" s="352"/>
      <c r="J60" s="351" t="s">
        <v>410</v>
      </c>
      <c r="K60" s="23"/>
      <c r="L60" s="432">
        <f>L49*L34/1000*'Preset Scenarios'!$C$46</f>
        <v>824.0365416943232</v>
      </c>
      <c r="M60" s="432">
        <f>M49*M34/1000*'Preset Scenarios'!$C$46</f>
        <v>527.1593650678733</v>
      </c>
      <c r="N60" s="432">
        <f>N49*N34/1000*'Preset Scenarios'!$C$46</f>
        <v>468.51168221395346</v>
      </c>
      <c r="O60" s="432"/>
      <c r="P60" s="432">
        <f>P49*P34/1000*'Preset Scenarios'!$C$46</f>
        <v>765.98232894509795</v>
      </c>
      <c r="Q60" s="432">
        <f>Q49*Q34/1000*'Preset Scenarios'!$C$46</f>
        <v>704.09980765957448</v>
      </c>
      <c r="R60" s="433">
        <f>R49*R34/1000*'Preset Scenarios'!$C$46</f>
        <v>675.63703513157907</v>
      </c>
      <c r="T60" s="675"/>
      <c r="U60" s="674"/>
    </row>
    <row r="61" spans="1:21" ht="15.6">
      <c r="A61" s="351"/>
      <c r="B61" s="338"/>
      <c r="C61" s="338"/>
      <c r="D61" s="366"/>
      <c r="E61" s="338"/>
      <c r="F61" s="338"/>
      <c r="G61" s="352"/>
      <c r="J61" s="351" t="s">
        <v>131</v>
      </c>
      <c r="K61" s="338"/>
      <c r="L61" s="650">
        <v>1973.16</v>
      </c>
      <c r="M61" s="650">
        <v>1349.28</v>
      </c>
      <c r="N61" s="650">
        <v>1349.28</v>
      </c>
      <c r="O61" s="651"/>
      <c r="P61" s="650">
        <v>2296.44</v>
      </c>
      <c r="Q61" s="650">
        <v>2078.4</v>
      </c>
      <c r="R61" s="652">
        <v>1799.04</v>
      </c>
      <c r="T61" s="675"/>
    </row>
    <row r="62" spans="1:21" ht="18.600000000000001">
      <c r="A62" s="351" t="s">
        <v>361</v>
      </c>
      <c r="B62" s="338"/>
      <c r="C62" s="338"/>
      <c r="D62" s="567">
        <f ca="1">IRR!D62</f>
        <v>0.12490847350272052</v>
      </c>
      <c r="E62" s="338"/>
      <c r="F62" s="338"/>
      <c r="G62" s="352"/>
      <c r="J62" s="351" t="s">
        <v>133</v>
      </c>
      <c r="K62" s="338"/>
      <c r="L62" s="650">
        <f>223.76*'Preset Scenarios'!C46</f>
        <v>223.76</v>
      </c>
      <c r="M62" s="650">
        <f>255.76*'Preset Scenarios'!C46</f>
        <v>255.76</v>
      </c>
      <c r="N62" s="650">
        <f>250.64*'Preset Scenarios'!C46</f>
        <v>250.64</v>
      </c>
      <c r="O62" s="651"/>
      <c r="P62" s="650">
        <f>267*'Preset Scenarios'!C46</f>
        <v>267</v>
      </c>
      <c r="Q62" s="650">
        <f>265*'Preset Scenarios'!C46</f>
        <v>265</v>
      </c>
      <c r="R62" s="652">
        <f>291*'Preset Scenarios'!C46</f>
        <v>291</v>
      </c>
      <c r="T62" s="675"/>
    </row>
    <row r="63" spans="1:21" ht="18.600000000000001">
      <c r="A63" s="351" t="s">
        <v>363</v>
      </c>
      <c r="B63" s="338"/>
      <c r="C63" s="338"/>
      <c r="D63" s="567">
        <f ca="1">IRR!D66</f>
        <v>0.14410205445738961</v>
      </c>
      <c r="E63" s="338"/>
      <c r="F63" s="338"/>
      <c r="G63" s="352"/>
      <c r="J63" s="351" t="s">
        <v>134</v>
      </c>
      <c r="K63" s="338"/>
      <c r="L63" s="650">
        <f>342.956*'Preset Scenarios'!C46</f>
        <v>342.95600000000002</v>
      </c>
      <c r="M63" s="650">
        <f>'Preset Scenarios'!C46*443.2203</f>
        <v>443.22030000000001</v>
      </c>
      <c r="N63" s="650">
        <f>334.105*'Preset Scenarios'!C46</f>
        <v>334.10500000000002</v>
      </c>
      <c r="O63" s="651"/>
      <c r="P63" s="650">
        <f>325*'Preset Scenarios'!C46</f>
        <v>325</v>
      </c>
      <c r="Q63" s="650">
        <f>327*'Preset Scenarios'!C46</f>
        <v>327</v>
      </c>
      <c r="R63" s="652">
        <f>491*'Preset Scenarios'!C46</f>
        <v>491</v>
      </c>
      <c r="T63" s="675"/>
    </row>
    <row r="64" spans="1:21" ht="18.600000000000001">
      <c r="A64" s="351" t="s">
        <v>362</v>
      </c>
      <c r="B64" s="373"/>
      <c r="C64" s="365"/>
      <c r="D64" s="567">
        <f ca="1">IRR!D70</f>
        <v>0.13667418477318824</v>
      </c>
      <c r="E64" s="338"/>
      <c r="F64" s="338"/>
      <c r="G64" s="352"/>
      <c r="J64" s="351" t="s">
        <v>135</v>
      </c>
      <c r="K64" s="338"/>
      <c r="L64" s="650">
        <f>92.957*'Preset Scenarios'!C46</f>
        <v>92.956999999999994</v>
      </c>
      <c r="M64" s="650">
        <f>44.11203*'Preset Scenarios'!C46</f>
        <v>44.112029999999997</v>
      </c>
      <c r="N64" s="650">
        <f>77.052*'Preset Scenarios'!C46</f>
        <v>77.052000000000007</v>
      </c>
      <c r="O64" s="651"/>
      <c r="P64" s="650">
        <f>70*'Preset Scenarios'!C46</f>
        <v>70</v>
      </c>
      <c r="Q64" s="650">
        <f>95*'Preset Scenarios'!C46</f>
        <v>95</v>
      </c>
      <c r="R64" s="652">
        <f>64.4*'Preset Scenarios'!C46</f>
        <v>64.400000000000006</v>
      </c>
      <c r="T64" s="675"/>
    </row>
    <row r="65" spans="1:36" ht="15.6">
      <c r="A65" s="351"/>
      <c r="B65" s="373"/>
      <c r="C65" s="365"/>
      <c r="D65" s="567"/>
      <c r="E65" s="338"/>
      <c r="F65" s="338"/>
      <c r="G65" s="352"/>
      <c r="J65" s="351" t="s">
        <v>136</v>
      </c>
      <c r="K65" s="338"/>
      <c r="L65" s="650">
        <v>158.47750865051904</v>
      </c>
      <c r="M65" s="650">
        <v>152.94117647058826</v>
      </c>
      <c r="N65" s="650">
        <v>133.91003460207611</v>
      </c>
      <c r="O65" s="651"/>
      <c r="P65" s="650">
        <v>176.47058823529412</v>
      </c>
      <c r="Q65" s="650">
        <v>162.62975778546712</v>
      </c>
      <c r="R65" s="652">
        <v>210.38062283737025</v>
      </c>
      <c r="T65" s="675"/>
    </row>
    <row r="66" spans="1:36" ht="15.6">
      <c r="A66" s="70"/>
      <c r="B66" s="23"/>
      <c r="C66" s="23"/>
      <c r="D66" s="552"/>
      <c r="E66" s="23"/>
      <c r="F66" s="23"/>
      <c r="G66" s="69"/>
      <c r="J66" s="351" t="s">
        <v>137</v>
      </c>
      <c r="K66" s="338"/>
      <c r="L66" s="650">
        <v>200</v>
      </c>
      <c r="M66" s="650">
        <v>200</v>
      </c>
      <c r="N66" s="650">
        <v>200</v>
      </c>
      <c r="O66" s="651"/>
      <c r="P66" s="650">
        <v>250</v>
      </c>
      <c r="Q66" s="650">
        <v>250</v>
      </c>
      <c r="R66" s="652">
        <v>250</v>
      </c>
      <c r="T66" s="675"/>
    </row>
    <row r="67" spans="1:36" ht="15.6">
      <c r="A67" s="351"/>
      <c r="B67" s="337">
        <v>2000</v>
      </c>
      <c r="C67" s="337">
        <v>2001</v>
      </c>
      <c r="D67" s="337">
        <v>2002</v>
      </c>
      <c r="E67" s="337">
        <v>2003</v>
      </c>
      <c r="F67" s="337">
        <v>2004</v>
      </c>
      <c r="G67" s="69"/>
      <c r="J67" s="351"/>
      <c r="K67" s="338"/>
      <c r="L67" s="338"/>
      <c r="M67" s="338"/>
      <c r="N67" s="338"/>
      <c r="O67" s="23"/>
      <c r="P67" s="338"/>
      <c r="Q67" s="338"/>
      <c r="R67" s="352"/>
      <c r="T67" s="675"/>
    </row>
    <row r="68" spans="1:36" ht="15.6">
      <c r="A68" s="351" t="s">
        <v>140</v>
      </c>
      <c r="B68" s="366">
        <f ca="1">IS!E38</f>
        <v>89343.013167245706</v>
      </c>
      <c r="C68" s="366">
        <f>IS!F38</f>
        <v>121999.06951687927</v>
      </c>
      <c r="D68" s="366">
        <f>IS!G38</f>
        <v>121476.06494435224</v>
      </c>
      <c r="E68" s="366">
        <f>IS!H38</f>
        <v>159397.18597050462</v>
      </c>
      <c r="F68" s="366">
        <f>IS!I38</f>
        <v>190097.33582811028</v>
      </c>
      <c r="G68" s="69"/>
      <c r="J68" s="382" t="s">
        <v>138</v>
      </c>
      <c r="K68" s="338"/>
      <c r="L68" s="365"/>
      <c r="M68" s="338"/>
      <c r="N68" s="338"/>
      <c r="O68" s="23"/>
      <c r="P68" s="338"/>
      <c r="Q68" s="338"/>
      <c r="R68" s="352"/>
      <c r="T68" s="675"/>
    </row>
    <row r="69" spans="1:36" ht="16.2" thickBot="1">
      <c r="A69" s="351" t="s">
        <v>141</v>
      </c>
      <c r="B69" s="366">
        <f ca="1">IS!E53</f>
        <v>5274.9272009787128</v>
      </c>
      <c r="C69" s="366">
        <f>IS!F53</f>
        <v>8493.1104021904903</v>
      </c>
      <c r="D69" s="366">
        <f>IS!G53</f>
        <v>9433.8381545091815</v>
      </c>
      <c r="E69" s="366">
        <f>IS!H53</f>
        <v>34701.644790050013</v>
      </c>
      <c r="F69" s="366">
        <f>IS!I53</f>
        <v>55066.003057173308</v>
      </c>
      <c r="G69" s="69"/>
      <c r="J69" s="353" t="s">
        <v>139</v>
      </c>
      <c r="K69" s="354"/>
      <c r="L69" s="653">
        <v>902.18513069007338</v>
      </c>
      <c r="M69" s="653">
        <v>844.78697579030927</v>
      </c>
      <c r="N69" s="653">
        <v>1002.9603450168051</v>
      </c>
      <c r="O69" s="654"/>
      <c r="P69" s="653">
        <v>483.37771444716759</v>
      </c>
      <c r="Q69" s="653">
        <v>496.73758530503255</v>
      </c>
      <c r="R69" s="655">
        <v>523.69760992364866</v>
      </c>
    </row>
    <row r="70" spans="1:36" ht="15.6">
      <c r="A70" s="351" t="s">
        <v>142</v>
      </c>
      <c r="B70" s="366">
        <f ca="1">CF!G18</f>
        <v>56758.016715222075</v>
      </c>
      <c r="C70" s="366">
        <f>CF!H18</f>
        <v>27345.168791810007</v>
      </c>
      <c r="D70" s="366">
        <f>CF!I18</f>
        <v>27313.710309570757</v>
      </c>
      <c r="E70" s="366">
        <f>CF!J18</f>
        <v>47016.982445755944</v>
      </c>
      <c r="F70" s="366">
        <f>CF!K18</f>
        <v>105487.17194460452</v>
      </c>
      <c r="G70" s="69"/>
      <c r="J70" s="22" t="s">
        <v>473</v>
      </c>
    </row>
    <row r="71" spans="1:36" ht="16.2" thickBot="1">
      <c r="A71" s="353" t="s">
        <v>143</v>
      </c>
      <c r="B71" s="367">
        <f ca="1">CF!G27</f>
        <v>65655.218802759366</v>
      </c>
      <c r="C71" s="367">
        <f>CF!H27</f>
        <v>50506.027071154764</v>
      </c>
      <c r="D71" s="367">
        <f>CF!I27</f>
        <v>45837.106661883081</v>
      </c>
      <c r="E71" s="367">
        <f>CF!J27</f>
        <v>47393.426395908951</v>
      </c>
      <c r="F71" s="367">
        <f ca="1">CF!K27</f>
        <v>90873.888191683232</v>
      </c>
      <c r="G71" s="272"/>
      <c r="J71"/>
      <c r="K71"/>
      <c r="L71"/>
      <c r="M71"/>
      <c r="N71"/>
      <c r="O71"/>
      <c r="P71"/>
      <c r="Q71"/>
      <c r="R71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>
      <c r="J72"/>
      <c r="K72"/>
      <c r="L72"/>
      <c r="M72"/>
      <c r="N72"/>
      <c r="O72"/>
      <c r="P72"/>
      <c r="Q72" s="672"/>
      <c r="R7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15.6" hidden="1">
      <c r="A73" s="22" t="str">
        <f>CONCATENATE("(1) Assumes $",-CF!F51/1000," million equity inflow on 12/31/99 and $",-CF!F51/1000," million on 3/31/00.")</f>
        <v>(1) Assumes $133.75 million equity inflow on 12/31/99 and $133.75 million on 3/31/00.</v>
      </c>
      <c r="S73" s="679"/>
      <c r="T73" s="679"/>
      <c r="U73" s="679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15.6" hidden="1">
      <c r="J74" s="330" t="s">
        <v>340</v>
      </c>
      <c r="K74" s="368"/>
      <c r="L74" s="389" t="s">
        <v>40</v>
      </c>
      <c r="M74" s="389"/>
      <c r="N74" s="389"/>
      <c r="O74" s="67"/>
      <c r="P74" s="389" t="s">
        <v>41</v>
      </c>
      <c r="Q74" s="389"/>
      <c r="R74" s="390"/>
      <c r="S74" s="23"/>
      <c r="T74" s="23"/>
      <c r="U74" s="23"/>
      <c r="V74" s="23"/>
      <c r="W74" s="285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15.6" hidden="1">
      <c r="J75" s="676" t="s">
        <v>341</v>
      </c>
      <c r="K75" s="338"/>
      <c r="L75" s="338"/>
      <c r="M75" s="338"/>
      <c r="N75" s="338"/>
      <c r="O75" s="23"/>
      <c r="P75" s="338"/>
      <c r="Q75" s="338"/>
      <c r="R75" s="352"/>
      <c r="S75" s="23"/>
      <c r="T75" s="23"/>
      <c r="U75" s="23"/>
      <c r="V75" s="23"/>
      <c r="W75" s="285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16.2" hidden="1">
      <c r="J76" s="351"/>
      <c r="K76" s="338"/>
      <c r="L76" s="391" t="s">
        <v>48</v>
      </c>
      <c r="M76" s="391" t="s">
        <v>49</v>
      </c>
      <c r="N76" s="391" t="s">
        <v>50</v>
      </c>
      <c r="O76" s="23"/>
      <c r="P76" s="391" t="s">
        <v>51</v>
      </c>
      <c r="Q76" s="391" t="s">
        <v>52</v>
      </c>
      <c r="R76" s="392" t="s">
        <v>53</v>
      </c>
      <c r="S76" s="665"/>
      <c r="T76" s="665"/>
      <c r="U76" s="23"/>
      <c r="V76" s="23"/>
      <c r="W76" s="285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15.6" hidden="1">
      <c r="J77" s="374" t="s">
        <v>342</v>
      </c>
      <c r="K77" s="238"/>
      <c r="L77" s="665">
        <f>SUM(L56,L62,L63,L64,L65,L66,L69,L61)/L9/1.03</f>
        <v>8.9222245424089177</v>
      </c>
      <c r="M77" s="665">
        <f>SUM(M56,M62,M63,M64,M65,M66,M69,M61)/M9/1.03</f>
        <v>7.6890708935523522</v>
      </c>
      <c r="N77" s="665">
        <f>SUM(N56,N62,N63,N64,N65,N66,N69,N61)/N9/1.03</f>
        <v>9.9927798506427887</v>
      </c>
      <c r="O77" s="666"/>
      <c r="P77" s="665">
        <f>SUM(P56,P62,P63,P64,P65,P66,P69,P61)/P9/1.03</f>
        <v>8.6830530816006242</v>
      </c>
      <c r="Q77" s="665">
        <f>SUM(Q56,Q62,Q63,Q64,Q65,Q66,Q69,Q61)/Q9/1.03</f>
        <v>9.1416405558734084</v>
      </c>
      <c r="R77" s="670">
        <f>SUM(R56,R62,R63,R64,R65,R66,R69,R61)/R9/1.03</f>
        <v>6.6841745156625896</v>
      </c>
      <c r="S77" s="667"/>
      <c r="T77" s="667"/>
      <c r="U77" s="23"/>
      <c r="V77" s="23"/>
      <c r="W77" s="666"/>
      <c r="X77" s="665"/>
      <c r="Y77" s="665"/>
      <c r="Z77" s="665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5.6" hidden="1">
      <c r="J78" s="374" t="s">
        <v>338</v>
      </c>
      <c r="K78" s="238"/>
      <c r="L78" s="667">
        <f>L59/(L9*L14)*1000/1.03</f>
        <v>1.2528284789644015</v>
      </c>
      <c r="M78" s="667">
        <f>M59/(M9*M14)*1000/1.03</f>
        <v>0.7836052228542234</v>
      </c>
      <c r="N78" s="667">
        <f>N59/(N9*N14)*1000/1.03</f>
        <v>0.90087751013202244</v>
      </c>
      <c r="O78" s="664"/>
      <c r="P78" s="667">
        <f>P59/(P9*P14)*1000/1.03</f>
        <v>1.1075114815343614</v>
      </c>
      <c r="Q78" s="667">
        <f>Q59/(Q9*Q14)*1000/1.03</f>
        <v>1.0328913402087818</v>
      </c>
      <c r="R78" s="680">
        <f>R59/(R9*R14)*1000/1.03</f>
        <v>0.75786908614578519</v>
      </c>
      <c r="S78" s="671"/>
      <c r="T78" s="668"/>
      <c r="U78" s="665"/>
      <c r="V78" s="665"/>
      <c r="W78" s="664"/>
      <c r="X78" s="667"/>
      <c r="Y78" s="667"/>
      <c r="Z78" s="667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ht="15.6" hidden="1">
      <c r="J79" s="374" t="s">
        <v>347</v>
      </c>
      <c r="K79" s="238"/>
      <c r="L79" s="677"/>
      <c r="M79" s="677"/>
      <c r="N79" s="677"/>
      <c r="O79" s="677"/>
      <c r="P79" s="677"/>
      <c r="Q79" s="677"/>
      <c r="R79" s="681"/>
      <c r="S79" s="668"/>
      <c r="T79" s="305"/>
      <c r="U79" s="667"/>
      <c r="V79" s="667"/>
      <c r="W79" s="671"/>
      <c r="X79" s="668"/>
      <c r="Y79" s="668"/>
      <c r="Z79" s="668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16.2" hidden="1" thickBot="1">
      <c r="J80" s="378" t="s">
        <v>339</v>
      </c>
      <c r="K80" s="663"/>
      <c r="L80" s="669">
        <f>L12</f>
        <v>11411</v>
      </c>
      <c r="M80" s="669">
        <f>M12</f>
        <v>12064</v>
      </c>
      <c r="N80" s="669">
        <f>N12</f>
        <v>12228</v>
      </c>
      <c r="O80" s="663"/>
      <c r="P80" s="669">
        <f>P12</f>
        <v>10904</v>
      </c>
      <c r="Q80" s="669">
        <f>Q12</f>
        <v>11735</v>
      </c>
      <c r="R80" s="682">
        <f>R12</f>
        <v>11973</v>
      </c>
      <c r="S80" s="23"/>
      <c r="T80" s="668"/>
      <c r="U80" s="668"/>
      <c r="V80" s="668"/>
      <c r="W80" s="671"/>
      <c r="X80" s="668"/>
      <c r="Y80" s="668"/>
      <c r="Z80" s="668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0:36" ht="15.6" hidden="1">
      <c r="J81" s="8" t="s">
        <v>343</v>
      </c>
      <c r="K81" s="238"/>
      <c r="L81" s="521"/>
      <c r="M81" s="521"/>
      <c r="N81" s="521"/>
      <c r="O81" s="238"/>
      <c r="P81" s="521"/>
      <c r="Q81" s="521"/>
      <c r="R81" s="521"/>
      <c r="S81" s="23"/>
      <c r="T81" s="668"/>
      <c r="U81" s="668"/>
      <c r="V81" s="668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0:36" ht="15.6" hidden="1">
      <c r="J82" s="8" t="s">
        <v>344</v>
      </c>
      <c r="K82" s="238"/>
      <c r="L82" s="383"/>
      <c r="M82" s="383"/>
      <c r="N82" s="383"/>
      <c r="O82" s="383"/>
      <c r="P82" s="383"/>
      <c r="Q82" s="383"/>
      <c r="R82" s="383"/>
      <c r="S82" s="23"/>
      <c r="T82" s="23"/>
      <c r="U82" s="23"/>
      <c r="V82" s="23"/>
    </row>
    <row r="83" spans="10:36" ht="15.6" hidden="1">
      <c r="J83" s="238"/>
      <c r="K83" s="238"/>
      <c r="L83" s="142"/>
      <c r="M83" s="142"/>
      <c r="N83" s="142"/>
      <c r="O83" s="142"/>
      <c r="P83" s="142"/>
      <c r="Q83" s="142"/>
      <c r="R83" s="142"/>
    </row>
    <row r="84" spans="10:36" ht="15.6" hidden="1">
      <c r="J84" s="238"/>
      <c r="K84" s="8"/>
      <c r="L84" s="628"/>
      <c r="M84" s="628"/>
      <c r="N84" s="628"/>
      <c r="O84" s="628"/>
      <c r="P84" s="629"/>
      <c r="Q84" s="629"/>
      <c r="R84" s="629"/>
      <c r="S84" s="679"/>
      <c r="T84" s="679"/>
      <c r="U84" s="679"/>
    </row>
    <row r="85" spans="10:36" ht="15.6" hidden="1">
      <c r="J85" s="330" t="s">
        <v>340</v>
      </c>
      <c r="K85" s="368"/>
      <c r="L85" s="389" t="s">
        <v>40</v>
      </c>
      <c r="M85" s="389"/>
      <c r="N85" s="389"/>
      <c r="O85" s="67"/>
      <c r="P85" s="389" t="s">
        <v>41</v>
      </c>
      <c r="Q85" s="389"/>
      <c r="R85" s="390"/>
      <c r="S85" s="23"/>
      <c r="T85" s="23"/>
      <c r="U85" s="23"/>
    </row>
    <row r="86" spans="10:36" ht="15.6" hidden="1">
      <c r="J86" s="676" t="s">
        <v>341</v>
      </c>
      <c r="K86" s="338"/>
      <c r="L86" s="338"/>
      <c r="M86" s="338"/>
      <c r="N86" s="338"/>
      <c r="O86" s="23"/>
      <c r="P86" s="338"/>
      <c r="Q86" s="338"/>
      <c r="R86" s="352"/>
      <c r="S86" s="23"/>
      <c r="T86" s="23"/>
      <c r="U86" s="23"/>
    </row>
    <row r="87" spans="10:36" ht="16.2" hidden="1">
      <c r="J87" s="351"/>
      <c r="K87" s="338"/>
      <c r="L87" s="391" t="s">
        <v>48</v>
      </c>
      <c r="M87" s="391" t="s">
        <v>49</v>
      </c>
      <c r="N87" s="391" t="s">
        <v>50</v>
      </c>
      <c r="O87" s="23"/>
      <c r="P87" s="391" t="s">
        <v>51</v>
      </c>
      <c r="Q87" s="391" t="s">
        <v>52</v>
      </c>
      <c r="R87" s="392" t="s">
        <v>53</v>
      </c>
      <c r="S87" s="665"/>
      <c r="T87" s="665"/>
      <c r="U87" s="23"/>
    </row>
    <row r="88" spans="10:36" ht="15.6" hidden="1">
      <c r="J88" s="374" t="s">
        <v>342</v>
      </c>
      <c r="K88" s="238"/>
      <c r="L88" s="665">
        <v>5.0908459016322185</v>
      </c>
      <c r="M88" s="665">
        <v>5.08990307108356</v>
      </c>
      <c r="N88" s="665">
        <v>6.9104725976445023</v>
      </c>
      <c r="O88" s="666"/>
      <c r="P88" s="665">
        <v>4.584609335170013</v>
      </c>
      <c r="Q88" s="665">
        <v>5.2158349572938301</v>
      </c>
      <c r="R88" s="670">
        <v>4.0850066931937974</v>
      </c>
      <c r="S88" s="23"/>
      <c r="T88" s="665"/>
      <c r="U88" s="23"/>
    </row>
    <row r="89" spans="10:36" ht="15.6" hidden="1">
      <c r="J89" s="374" t="s">
        <v>345</v>
      </c>
      <c r="K89" s="23"/>
      <c r="L89" s="665">
        <f>SUM(L56,L62,L63,L64,L65,L66,L69,2/3*L61)/L9/1.03</f>
        <v>7.6450983288166841</v>
      </c>
      <c r="M89" s="665">
        <f>SUM(M56,M62,M63,M64,M65,M66,M69,2/3*M61)/M9/1.03</f>
        <v>6.8226816193960884</v>
      </c>
      <c r="N89" s="665">
        <f>SUM(N56,N62,N63,N64,N65,N66,N69,2/3*N61)/N9/1.03</f>
        <v>8.965344099643362</v>
      </c>
      <c r="O89" s="23"/>
      <c r="P89" s="665">
        <f>SUM(P56,P62,P63,P64,P65,P66,P69,2/3*P61)/P9/1.03</f>
        <v>7.3169051661237532</v>
      </c>
      <c r="Q89" s="665">
        <f>SUM(Q56,Q62,Q63,Q64,Q65,Q66,Q69,2/3*Q61)/Q9/1.03</f>
        <v>7.8330386896802144</v>
      </c>
      <c r="R89" s="670">
        <f>SUM(R56,R62,R63,R64,R65,R66,R69,2/3*R61)/R9/1.03</f>
        <v>5.8177852415063267</v>
      </c>
      <c r="S89" s="667"/>
      <c r="T89" s="667"/>
      <c r="U89" s="23"/>
    </row>
    <row r="90" spans="10:36" ht="15.6" hidden="1">
      <c r="J90" s="374" t="s">
        <v>338</v>
      </c>
      <c r="K90" s="238"/>
      <c r="L90" s="667">
        <v>1.2528284789644015</v>
      </c>
      <c r="M90" s="667">
        <v>0.75788513895310017</v>
      </c>
      <c r="N90" s="667">
        <v>0.91989339425090422</v>
      </c>
      <c r="O90" s="664"/>
      <c r="P90" s="667">
        <v>1.1075114815343614</v>
      </c>
      <c r="Q90" s="667">
        <v>1.0328913402087818</v>
      </c>
      <c r="R90" s="680">
        <v>0.75786908614578519</v>
      </c>
      <c r="S90" s="678"/>
      <c r="T90" s="667"/>
      <c r="U90" s="23"/>
    </row>
    <row r="91" spans="10:36" ht="15.6" hidden="1">
      <c r="J91" s="374" t="s">
        <v>346</v>
      </c>
      <c r="K91" s="23"/>
      <c r="L91" s="667">
        <f>L59/(L9*L14)*1000/1.03+1/3*(L77-L88)</f>
        <v>2.5299546925566343</v>
      </c>
      <c r="M91" s="667">
        <f>M59/(M9*M14)*1000/1.03+1/3*(M77-M88)</f>
        <v>1.6499944970104874</v>
      </c>
      <c r="N91" s="667">
        <f>N59/(N9*N14)*1000/1.03+1/3*(N77-N88)</f>
        <v>1.9283132611314513</v>
      </c>
      <c r="O91" s="678"/>
      <c r="P91" s="667">
        <f>P59/(P9*P14)*1000/1.03+1/3*(P77-P88)</f>
        <v>2.4736593970112315</v>
      </c>
      <c r="Q91" s="667">
        <f>Q59/(Q9*Q14)*1000/1.03+1/3*(Q77-Q88)</f>
        <v>2.3414932064019744</v>
      </c>
      <c r="R91" s="680">
        <f>R59/(R9*R14)*1000/1.03+1/3*(R77-R88)</f>
        <v>1.6242583603020493</v>
      </c>
      <c r="S91" s="671"/>
      <c r="T91" s="668"/>
      <c r="U91" s="665"/>
    </row>
    <row r="92" spans="10:36" ht="15.6" hidden="1">
      <c r="J92" s="374" t="s">
        <v>347</v>
      </c>
      <c r="K92" s="238"/>
      <c r="L92" s="677"/>
      <c r="M92" s="677"/>
      <c r="N92" s="677"/>
      <c r="O92" s="677"/>
      <c r="P92" s="677"/>
      <c r="Q92" s="677"/>
      <c r="R92" s="681"/>
      <c r="S92" s="668"/>
      <c r="T92" s="305"/>
      <c r="U92" s="667"/>
    </row>
    <row r="93" spans="10:36" ht="16.2" hidden="1" thickBot="1">
      <c r="J93" s="378" t="s">
        <v>339</v>
      </c>
      <c r="K93" s="663"/>
      <c r="L93" s="669">
        <v>11411</v>
      </c>
      <c r="M93" s="669">
        <v>12064</v>
      </c>
      <c r="N93" s="669">
        <v>12228</v>
      </c>
      <c r="O93" s="663"/>
      <c r="P93" s="669">
        <v>10904</v>
      </c>
      <c r="Q93" s="669">
        <v>11735</v>
      </c>
      <c r="R93" s="682">
        <v>11973</v>
      </c>
      <c r="S93" s="23"/>
      <c r="T93" s="668"/>
      <c r="U93" s="668"/>
    </row>
    <row r="94" spans="10:36" ht="15.6" hidden="1">
      <c r="J94" s="8" t="s">
        <v>343</v>
      </c>
      <c r="K94" s="238"/>
      <c r="L94" s="521"/>
      <c r="M94" s="521"/>
      <c r="N94" s="521"/>
      <c r="O94" s="238"/>
      <c r="P94" s="521"/>
      <c r="Q94" s="521"/>
      <c r="R94" s="521"/>
      <c r="S94" s="23"/>
      <c r="T94" s="668"/>
      <c r="U94" s="668"/>
    </row>
    <row r="95" spans="10:36" ht="15.6">
      <c r="J95" s="8" t="s">
        <v>431</v>
      </c>
      <c r="K95" s="238"/>
      <c r="L95" s="383"/>
      <c r="M95" s="383"/>
      <c r="N95" s="383"/>
      <c r="O95" s="383"/>
      <c r="P95" s="383"/>
      <c r="Q95" s="383"/>
      <c r="R95" s="383"/>
    </row>
  </sheetData>
  <pageMargins left="0.18" right="0.17" top="0.37" bottom="0.4" header="0.17" footer="0.21"/>
  <pageSetup scale="3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zoomScale="75" workbookViewId="0">
      <selection activeCell="I6" sqref="I6"/>
    </sheetView>
  </sheetViews>
  <sheetFormatPr defaultColWidth="9.33203125" defaultRowHeight="15.6"/>
  <cols>
    <col min="1" max="1" width="9.5546875" style="77" customWidth="1"/>
    <col min="2" max="2" width="35.109375" style="77" customWidth="1"/>
    <col min="3" max="3" width="11.109375" style="77" customWidth="1"/>
    <col min="4" max="4" width="3.6640625" style="77" customWidth="1"/>
    <col min="5" max="9" width="9.88671875" style="77" customWidth="1"/>
    <col min="10" max="11" width="11.5546875" style="77" customWidth="1"/>
    <col min="12" max="12" width="10.33203125" style="77" customWidth="1"/>
    <col min="13" max="26" width="9.88671875" style="77" customWidth="1"/>
    <col min="27" max="16384" width="9.33203125" style="77"/>
  </cols>
  <sheetData>
    <row r="1" spans="1:27" ht="12" customHeight="1">
      <c r="A1" s="47"/>
      <c r="E1" s="451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7">
      <c r="A2" s="453" t="s">
        <v>144</v>
      </c>
      <c r="B2" s="454"/>
      <c r="C2" s="237"/>
      <c r="D2" s="237"/>
      <c r="E2" s="451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</row>
    <row r="3" spans="1:27"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</row>
    <row r="4" spans="1:27"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</row>
    <row r="5" spans="1:27">
      <c r="A5" s="512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7">
      <c r="A6" s="512"/>
      <c r="B6" s="468" t="s">
        <v>145</v>
      </c>
      <c r="C6" s="648">
        <f>Assumptions!L52</f>
        <v>0.03</v>
      </c>
      <c r="D6" s="493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7">
      <c r="A7" s="338"/>
      <c r="B7" s="455"/>
      <c r="C7" s="456"/>
      <c r="D7" s="456"/>
      <c r="E7" s="338"/>
      <c r="F7" s="338"/>
      <c r="G7" s="338"/>
      <c r="H7" s="338"/>
      <c r="I7" s="457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7">
      <c r="A8" s="510" t="s">
        <v>146</v>
      </c>
      <c r="B8" s="338"/>
      <c r="C8" s="338"/>
      <c r="D8" s="33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</row>
    <row r="9" spans="1:27">
      <c r="A9" s="338" t="s">
        <v>147</v>
      </c>
      <c r="B9" s="338"/>
      <c r="C9" s="338"/>
      <c r="D9" s="338"/>
      <c r="E9" s="459">
        <v>1999</v>
      </c>
      <c r="F9" s="459">
        <f>E9+1</f>
        <v>2000</v>
      </c>
      <c r="G9" s="459">
        <f t="shared" ref="G9:Z9" si="0">F9+1</f>
        <v>2001</v>
      </c>
      <c r="H9" s="459">
        <f t="shared" si="0"/>
        <v>2002</v>
      </c>
      <c r="I9" s="459">
        <f t="shared" si="0"/>
        <v>2003</v>
      </c>
      <c r="J9" s="459">
        <f t="shared" si="0"/>
        <v>2004</v>
      </c>
      <c r="K9" s="459">
        <f t="shared" si="0"/>
        <v>2005</v>
      </c>
      <c r="L9" s="459">
        <f t="shared" si="0"/>
        <v>2006</v>
      </c>
      <c r="M9" s="459">
        <f t="shared" si="0"/>
        <v>2007</v>
      </c>
      <c r="N9" s="459">
        <f t="shared" si="0"/>
        <v>2008</v>
      </c>
      <c r="O9" s="459">
        <f t="shared" si="0"/>
        <v>2009</v>
      </c>
      <c r="P9" s="459">
        <f t="shared" si="0"/>
        <v>2010</v>
      </c>
      <c r="Q9" s="459">
        <f t="shared" si="0"/>
        <v>2011</v>
      </c>
      <c r="R9" s="459">
        <f t="shared" si="0"/>
        <v>2012</v>
      </c>
      <c r="S9" s="459">
        <f t="shared" si="0"/>
        <v>2013</v>
      </c>
      <c r="T9" s="459">
        <f t="shared" si="0"/>
        <v>2014</v>
      </c>
      <c r="U9" s="459">
        <f t="shared" si="0"/>
        <v>2015</v>
      </c>
      <c r="V9" s="459">
        <f t="shared" si="0"/>
        <v>2016</v>
      </c>
      <c r="W9" s="459">
        <f t="shared" si="0"/>
        <v>2017</v>
      </c>
      <c r="X9" s="459">
        <f t="shared" si="0"/>
        <v>2018</v>
      </c>
      <c r="Y9" s="459">
        <f t="shared" si="0"/>
        <v>2019</v>
      </c>
      <c r="Z9" s="459">
        <f t="shared" si="0"/>
        <v>2020</v>
      </c>
    </row>
    <row r="10" spans="1:27">
      <c r="A10" s="338"/>
      <c r="B10" s="338"/>
      <c r="C10" s="338"/>
      <c r="D10" s="338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</row>
    <row r="11" spans="1:27">
      <c r="A11" s="513" t="s">
        <v>148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7">
      <c r="A12" s="338"/>
      <c r="B12" s="338" t="s">
        <v>149</v>
      </c>
      <c r="C12" s="460"/>
      <c r="D12" s="460"/>
      <c r="E12" s="461"/>
      <c r="F12" s="461">
        <v>64</v>
      </c>
      <c r="G12" s="461">
        <v>62</v>
      </c>
      <c r="H12" s="461">
        <v>61</v>
      </c>
      <c r="I12" s="461">
        <v>59</v>
      </c>
      <c r="J12" s="461">
        <v>58</v>
      </c>
      <c r="K12" s="461">
        <v>57</v>
      </c>
      <c r="L12" s="461">
        <v>56</v>
      </c>
      <c r="M12" s="461">
        <v>56</v>
      </c>
      <c r="N12" s="461">
        <v>55</v>
      </c>
      <c r="O12" s="461">
        <v>55</v>
      </c>
      <c r="P12" s="461">
        <v>54</v>
      </c>
      <c r="Q12" s="461">
        <v>54</v>
      </c>
      <c r="R12" s="461">
        <v>53</v>
      </c>
      <c r="S12" s="461">
        <v>52</v>
      </c>
      <c r="T12" s="461">
        <v>51</v>
      </c>
      <c r="U12" s="461">
        <v>50</v>
      </c>
      <c r="V12" s="461">
        <v>49</v>
      </c>
      <c r="W12" s="461">
        <v>48</v>
      </c>
      <c r="X12" s="461">
        <v>47</v>
      </c>
      <c r="Y12" s="461">
        <v>46</v>
      </c>
      <c r="Z12" s="461">
        <v>45</v>
      </c>
      <c r="AA12" s="462"/>
    </row>
    <row r="13" spans="1:27">
      <c r="A13" s="338"/>
      <c r="B13" s="338" t="s">
        <v>150</v>
      </c>
      <c r="C13" s="338"/>
      <c r="D13" s="338"/>
      <c r="E13" s="461"/>
      <c r="F13" s="461">
        <v>51</v>
      </c>
      <c r="G13" s="461">
        <v>52</v>
      </c>
      <c r="H13" s="461">
        <v>52</v>
      </c>
      <c r="I13" s="461">
        <v>52</v>
      </c>
      <c r="J13" s="461">
        <v>52</v>
      </c>
      <c r="K13" s="461">
        <v>52</v>
      </c>
      <c r="L13" s="461">
        <v>50</v>
      </c>
      <c r="M13" s="461">
        <v>48</v>
      </c>
      <c r="N13" s="461">
        <v>45</v>
      </c>
      <c r="O13" s="461">
        <v>43</v>
      </c>
      <c r="P13" s="461">
        <v>41</v>
      </c>
      <c r="Q13" s="461">
        <v>40</v>
      </c>
      <c r="R13" s="461">
        <v>39</v>
      </c>
      <c r="S13" s="461">
        <v>37</v>
      </c>
      <c r="T13" s="461">
        <v>36</v>
      </c>
      <c r="U13" s="461">
        <v>35</v>
      </c>
      <c r="V13" s="461">
        <v>35</v>
      </c>
      <c r="W13" s="461">
        <v>35</v>
      </c>
      <c r="X13" s="461">
        <v>34</v>
      </c>
      <c r="Y13" s="461">
        <v>34</v>
      </c>
      <c r="Z13" s="461">
        <v>34</v>
      </c>
      <c r="AA13" s="463"/>
    </row>
    <row r="14" spans="1:27">
      <c r="A14" s="338"/>
      <c r="B14" s="338"/>
      <c r="C14" s="338"/>
      <c r="D14" s="338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3"/>
    </row>
    <row r="15" spans="1:27">
      <c r="A15" s="513" t="s">
        <v>151</v>
      </c>
      <c r="B15" s="338"/>
      <c r="C15" s="338"/>
      <c r="D15" s="338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3"/>
    </row>
    <row r="16" spans="1:27">
      <c r="A16" s="338"/>
      <c r="B16" s="338" t="s">
        <v>152</v>
      </c>
      <c r="C16" s="464"/>
      <c r="D16" s="464"/>
      <c r="E16" s="461"/>
      <c r="F16" s="461">
        <f>F12*(1+'Power Price Assumption'!$C$6)^(F9-1998)</f>
        <v>67.897599999999997</v>
      </c>
      <c r="G16" s="461">
        <f>G12*(1+'Power Price Assumption'!$C$6)^(G9-1998)</f>
        <v>67.749074000000007</v>
      </c>
      <c r="H16" s="461">
        <f>H12*(1+'Power Price Assumption'!$C$6)^(H9-1998)</f>
        <v>68.656037409999996</v>
      </c>
      <c r="I16" s="461">
        <f>I12*(1+'Power Price Assumption'!$C$6)^(I9-1998)</f>
        <v>68.397170383699986</v>
      </c>
      <c r="J16" s="461">
        <f>J12*(1+'Power Price Assumption'!$C$6)^(J9-1998)</f>
        <v>69.255033198682</v>
      </c>
      <c r="K16" s="461">
        <f>K12*(1+'Power Price Assumption'!$C$6)^(K9-1998)</f>
        <v>70.10281032921759</v>
      </c>
      <c r="L16" s="461">
        <f>L12*(1+'Power Price Assumption'!$C$6)^(L9-1998)</f>
        <v>70.939124557706492</v>
      </c>
      <c r="M16" s="461">
        <f>M12*(1+'Power Price Assumption'!$C$6)^(M9-1998)</f>
        <v>73.067298294437691</v>
      </c>
      <c r="N16" s="461">
        <f>N12*(1+'Power Price Assumption'!$C$6)^(N9-1998)</f>
        <v>73.915400863926692</v>
      </c>
      <c r="O16" s="461">
        <f>O12*(1+'Power Price Assumption'!$C$6)^(O9-1998)</f>
        <v>76.132862889844503</v>
      </c>
      <c r="P16" s="461">
        <f>P12*(1+'Power Price Assumption'!$C$6)^(P9-1998)</f>
        <v>76.991087889693645</v>
      </c>
      <c r="Q16" s="461">
        <f>Q12*(1+'Power Price Assumption'!$C$6)^(Q9-1998)</f>
        <v>79.300820526384456</v>
      </c>
      <c r="R16" s="461">
        <f>R12*(1+'Power Price Assumption'!$C$6)^(R9-1998)</f>
        <v>80.167255417320888</v>
      </c>
      <c r="S16" s="461">
        <f>S12*(1+'Power Price Assumption'!$C$6)^(S9-1998)</f>
        <v>81.014305663239753</v>
      </c>
      <c r="T16" s="461">
        <f>T12*(1+'Power Price Assumption'!$C$6)^(T9-1998)</f>
        <v>81.840028394038143</v>
      </c>
      <c r="U16" s="461">
        <f>U12*(1+'Power Price Assumption'!$C$6)^(U9-1998)</f>
        <v>82.642381613587531</v>
      </c>
      <c r="V16" s="461">
        <f>V12*(1+'Power Price Assumption'!$C$6)^(V9-1998)</f>
        <v>83.41922000075526</v>
      </c>
      <c r="W16" s="461">
        <f>W12*(1+'Power Price Assumption'!$C$6)^(W9-1998)</f>
        <v>84.168290547700821</v>
      </c>
      <c r="X16" s="461">
        <f>X12*(1+'Power Price Assumption'!$C$6)^(X9-1998)</f>
        <v>84.88722802946242</v>
      </c>
      <c r="Y16" s="461">
        <f>Y12*(1+'Power Price Assumption'!$C$6)^(Y9-1998)</f>
        <v>85.573550298636789</v>
      </c>
      <c r="Z16" s="461">
        <f>Z12*(1+'Power Price Assumption'!$C$6)^(Z9-1998)</f>
        <v>86.224653398735114</v>
      </c>
      <c r="AA16" s="463"/>
    </row>
    <row r="17" spans="1:30">
      <c r="A17" s="338"/>
      <c r="B17" s="338" t="s">
        <v>150</v>
      </c>
      <c r="C17" s="338"/>
      <c r="D17" s="338"/>
      <c r="E17" s="461"/>
      <c r="F17" s="461">
        <f>F13*(1+'Power Price Assumption'!$C$6)^(F9-1998)</f>
        <v>54.105899999999998</v>
      </c>
      <c r="G17" s="461">
        <f>G13*(1+'Power Price Assumption'!$C$6)^(G9-1998)</f>
        <v>56.821804</v>
      </c>
      <c r="H17" s="461">
        <f>H13*(1+'Power Price Assumption'!$C$6)^(H9-1998)</f>
        <v>58.526458119999994</v>
      </c>
      <c r="I17" s="461">
        <f>I13*(1+'Power Price Assumption'!$C$6)^(I9-1998)</f>
        <v>60.282251863599996</v>
      </c>
      <c r="J17" s="461">
        <f>J13*(1+'Power Price Assumption'!$C$6)^(J9-1998)</f>
        <v>62.090719419507998</v>
      </c>
      <c r="K17" s="461">
        <f>K13*(1+'Power Price Assumption'!$C$6)^(K9-1998)</f>
        <v>63.953441002093243</v>
      </c>
      <c r="L17" s="461">
        <f>L13*(1+'Power Price Assumption'!$C$6)^(L9-1998)</f>
        <v>63.338504069380797</v>
      </c>
      <c r="M17" s="461">
        <f>M13*(1+'Power Price Assumption'!$C$6)^(M9-1998)</f>
        <v>62.629112823803737</v>
      </c>
      <c r="N17" s="461">
        <f>N13*(1+'Power Price Assumption'!$C$6)^(N9-1998)</f>
        <v>60.476237070485482</v>
      </c>
      <c r="O17" s="461">
        <f>O13*(1+'Power Price Assumption'!$C$6)^(O9-1998)</f>
        <v>59.522056441151157</v>
      </c>
      <c r="P17" s="461">
        <f>P13*(1+'Power Price Assumption'!$C$6)^(P9-1998)</f>
        <v>58.456196360693326</v>
      </c>
      <c r="Q17" s="461">
        <f>Q13*(1+'Power Price Assumption'!$C$6)^(Q9-1998)</f>
        <v>58.741348538062553</v>
      </c>
      <c r="R17" s="461">
        <f>R13*(1+'Power Price Assumption'!$C$6)^(R9-1998)</f>
        <v>58.990999269349331</v>
      </c>
      <c r="S17" s="461">
        <f>S13*(1+'Power Price Assumption'!$C$6)^(S9-1998)</f>
        <v>57.644794414228286</v>
      </c>
      <c r="T17" s="461">
        <f>T13*(1+'Power Price Assumption'!$C$6)^(T9-1998)</f>
        <v>57.769431807556337</v>
      </c>
      <c r="U17" s="461">
        <f>U13*(1+'Power Price Assumption'!$C$6)^(U9-1998)</f>
        <v>57.849667129511275</v>
      </c>
      <c r="V17" s="461">
        <f>V13*(1+'Power Price Assumption'!$C$6)^(V9-1998)</f>
        <v>59.585157143396614</v>
      </c>
      <c r="W17" s="461">
        <f>W13*(1+'Power Price Assumption'!$C$6)^(W9-1998)</f>
        <v>61.372711857698512</v>
      </c>
      <c r="X17" s="461">
        <f>X13*(1+'Power Price Assumption'!$C$6)^(X9-1998)</f>
        <v>61.407781978760049</v>
      </c>
      <c r="Y17" s="461">
        <f>Y13*(1+'Power Price Assumption'!$C$6)^(Y9-1998)</f>
        <v>63.250015438122844</v>
      </c>
      <c r="Z17" s="461">
        <f>Z13*(1+'Power Price Assumption'!$C$6)^(Z9-1998)</f>
        <v>65.14751590126653</v>
      </c>
      <c r="AA17" s="463"/>
    </row>
    <row r="18" spans="1:30">
      <c r="A18" s="338"/>
      <c r="B18" s="338"/>
      <c r="C18" s="338"/>
      <c r="D18" s="338"/>
      <c r="E18" s="338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7"/>
    </row>
    <row r="19" spans="1:30">
      <c r="A19" s="338">
        <v>1</v>
      </c>
      <c r="B19" s="338" t="s">
        <v>153</v>
      </c>
      <c r="C19" s="338"/>
      <c r="D19" s="338"/>
      <c r="E19" s="465"/>
      <c r="F19" s="465">
        <f>F16/12</f>
        <v>5.6581333333333328</v>
      </c>
      <c r="G19" s="465">
        <f t="shared" ref="G19:Z19" si="1">G16/12</f>
        <v>5.6457561666666676</v>
      </c>
      <c r="H19" s="465">
        <f t="shared" si="1"/>
        <v>5.7213364508333333</v>
      </c>
      <c r="I19" s="465">
        <f t="shared" si="1"/>
        <v>5.6997641986416658</v>
      </c>
      <c r="J19" s="465">
        <f t="shared" si="1"/>
        <v>5.7712527665568336</v>
      </c>
      <c r="K19" s="465">
        <f t="shared" si="1"/>
        <v>5.8419008607681322</v>
      </c>
      <c r="L19" s="465">
        <f t="shared" si="1"/>
        <v>5.9115937131422074</v>
      </c>
      <c r="M19" s="465">
        <f t="shared" si="1"/>
        <v>6.088941524536474</v>
      </c>
      <c r="N19" s="465">
        <f t="shared" si="1"/>
        <v>6.1596167386605574</v>
      </c>
      <c r="O19" s="465">
        <f t="shared" si="1"/>
        <v>6.3444052408203753</v>
      </c>
      <c r="P19" s="465">
        <f t="shared" si="1"/>
        <v>6.4159239908078041</v>
      </c>
      <c r="Q19" s="465">
        <f t="shared" si="1"/>
        <v>6.6084017105320383</v>
      </c>
      <c r="R19" s="465">
        <f t="shared" si="1"/>
        <v>6.680604618110074</v>
      </c>
      <c r="S19" s="465">
        <f t="shared" si="1"/>
        <v>6.7511921386033125</v>
      </c>
      <c r="T19" s="465">
        <f t="shared" si="1"/>
        <v>6.8200023661698452</v>
      </c>
      <c r="U19" s="465">
        <f t="shared" si="1"/>
        <v>6.8868651344656273</v>
      </c>
      <c r="V19" s="465">
        <f t="shared" si="1"/>
        <v>6.951601666729605</v>
      </c>
      <c r="W19" s="465">
        <f t="shared" si="1"/>
        <v>7.014024212308402</v>
      </c>
      <c r="X19" s="465">
        <f t="shared" si="1"/>
        <v>7.0739356691218687</v>
      </c>
      <c r="Y19" s="465">
        <f t="shared" si="1"/>
        <v>7.1311291915530655</v>
      </c>
      <c r="Z19" s="465">
        <f t="shared" si="1"/>
        <v>7.1853877832279265</v>
      </c>
      <c r="AA19" s="463"/>
    </row>
    <row r="20" spans="1:30">
      <c r="A20" s="338">
        <v>2</v>
      </c>
      <c r="B20" s="338" t="s">
        <v>154</v>
      </c>
      <c r="C20" s="338"/>
      <c r="D20" s="338"/>
      <c r="E20" s="465"/>
      <c r="F20" s="465">
        <f>F17/12</f>
        <v>4.5088249999999999</v>
      </c>
      <c r="G20" s="465">
        <f t="shared" ref="G20:Z20" si="2">G17/12</f>
        <v>4.7351503333333334</v>
      </c>
      <c r="H20" s="465">
        <f t="shared" si="2"/>
        <v>4.8772048433333328</v>
      </c>
      <c r="I20" s="465">
        <f t="shared" si="2"/>
        <v>5.023520988633333</v>
      </c>
      <c r="J20" s="465">
        <f t="shared" si="2"/>
        <v>5.1742266182923329</v>
      </c>
      <c r="K20" s="465">
        <f t="shared" si="2"/>
        <v>5.3294534168411039</v>
      </c>
      <c r="L20" s="465">
        <f t="shared" si="2"/>
        <v>5.2782086724483994</v>
      </c>
      <c r="M20" s="465">
        <f t="shared" si="2"/>
        <v>5.2190927353169778</v>
      </c>
      <c r="N20" s="465">
        <f t="shared" si="2"/>
        <v>5.0396864225404565</v>
      </c>
      <c r="O20" s="465">
        <f t="shared" si="2"/>
        <v>4.9601713700959298</v>
      </c>
      <c r="P20" s="465">
        <f t="shared" si="2"/>
        <v>4.8713496967244438</v>
      </c>
      <c r="Q20" s="465">
        <f t="shared" si="2"/>
        <v>4.8951123781718797</v>
      </c>
      <c r="R20" s="465">
        <f t="shared" si="2"/>
        <v>4.9159166057791106</v>
      </c>
      <c r="S20" s="465">
        <f t="shared" si="2"/>
        <v>4.8037328678523572</v>
      </c>
      <c r="T20" s="465">
        <f t="shared" si="2"/>
        <v>4.8141193172963614</v>
      </c>
      <c r="U20" s="465">
        <f t="shared" si="2"/>
        <v>4.8208055941259396</v>
      </c>
      <c r="V20" s="465">
        <f t="shared" si="2"/>
        <v>4.9654297619497179</v>
      </c>
      <c r="W20" s="465">
        <f t="shared" si="2"/>
        <v>5.114392654808209</v>
      </c>
      <c r="X20" s="465">
        <f t="shared" si="2"/>
        <v>5.117315164896671</v>
      </c>
      <c r="Y20" s="465">
        <f t="shared" si="2"/>
        <v>5.27083461984357</v>
      </c>
      <c r="Z20" s="465">
        <f t="shared" si="2"/>
        <v>5.4289596584388775</v>
      </c>
      <c r="AA20" s="463"/>
    </row>
    <row r="21" spans="1:30">
      <c r="A21" s="338">
        <v>3</v>
      </c>
      <c r="B21" s="338" t="s">
        <v>155</v>
      </c>
      <c r="C21" s="338"/>
      <c r="D21" s="338"/>
      <c r="E21" s="465"/>
      <c r="F21" s="649">
        <v>0</v>
      </c>
      <c r="G21" s="649">
        <v>0</v>
      </c>
      <c r="H21" s="649">
        <v>0</v>
      </c>
      <c r="I21" s="649">
        <v>0</v>
      </c>
      <c r="J21" s="649">
        <v>0</v>
      </c>
      <c r="K21" s="649">
        <v>0</v>
      </c>
      <c r="L21" s="649">
        <v>0</v>
      </c>
      <c r="M21" s="649">
        <v>0</v>
      </c>
      <c r="N21" s="649">
        <v>0</v>
      </c>
      <c r="O21" s="649">
        <v>0</v>
      </c>
      <c r="P21" s="649">
        <v>0</v>
      </c>
      <c r="Q21" s="649">
        <v>0</v>
      </c>
      <c r="R21" s="649">
        <v>0</v>
      </c>
      <c r="S21" s="649">
        <v>0</v>
      </c>
      <c r="T21" s="649">
        <v>0</v>
      </c>
      <c r="U21" s="649">
        <v>0</v>
      </c>
      <c r="V21" s="649">
        <v>0</v>
      </c>
      <c r="W21" s="649">
        <v>0</v>
      </c>
      <c r="X21" s="649">
        <v>0</v>
      </c>
      <c r="Y21" s="649">
        <v>0</v>
      </c>
      <c r="Z21" s="649">
        <v>0</v>
      </c>
      <c r="AA21" s="463"/>
    </row>
    <row r="22" spans="1:30">
      <c r="A22" s="338"/>
      <c r="B22" s="338"/>
      <c r="C22" s="338"/>
      <c r="D22" s="338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3"/>
    </row>
    <row r="23" spans="1:30">
      <c r="A23" s="338"/>
      <c r="B23" s="338" t="s">
        <v>156</v>
      </c>
      <c r="C23" s="338"/>
      <c r="D23" s="338"/>
      <c r="E23" s="465">
        <v>4</v>
      </c>
      <c r="F23" s="465">
        <f>Assumptions!$L$25</f>
        <v>4</v>
      </c>
      <c r="G23" s="465">
        <f>Assumptions!$L$25</f>
        <v>4</v>
      </c>
      <c r="H23" s="465">
        <f>Assumptions!$L$25</f>
        <v>4</v>
      </c>
      <c r="I23" s="465">
        <f>Assumptions!$L$25</f>
        <v>4</v>
      </c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3"/>
    </row>
    <row r="24" spans="1:30">
      <c r="A24" s="338"/>
      <c r="B24" s="338"/>
      <c r="C24" s="338"/>
      <c r="D24" s="338"/>
      <c r="E24" s="466"/>
      <c r="F24" s="466"/>
      <c r="G24" s="466"/>
      <c r="H24" s="466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3"/>
    </row>
    <row r="25" spans="1:30">
      <c r="A25" s="338"/>
      <c r="B25" s="468" t="s">
        <v>157</v>
      </c>
      <c r="C25" s="515">
        <f>'Preset Scenarios'!F40</f>
        <v>1</v>
      </c>
      <c r="D25" s="470"/>
      <c r="E25" s="469">
        <v>4</v>
      </c>
      <c r="F25" s="469">
        <f>F23</f>
        <v>4</v>
      </c>
      <c r="G25" s="469">
        <f>G23</f>
        <v>4</v>
      </c>
      <c r="H25" s="469">
        <f>H23</f>
        <v>4</v>
      </c>
      <c r="I25" s="469">
        <f>CHOOSE($C$25,I19,I20,I21)</f>
        <v>5.6997641986416658</v>
      </c>
      <c r="J25" s="469">
        <f t="shared" ref="J25:Y25" si="3">CHOOSE($C$25,J19,J20,J21)</f>
        <v>5.7712527665568336</v>
      </c>
      <c r="K25" s="469">
        <f t="shared" si="3"/>
        <v>5.8419008607681322</v>
      </c>
      <c r="L25" s="469">
        <f t="shared" si="3"/>
        <v>5.9115937131422074</v>
      </c>
      <c r="M25" s="469">
        <f t="shared" si="3"/>
        <v>6.088941524536474</v>
      </c>
      <c r="N25" s="469">
        <f t="shared" si="3"/>
        <v>6.1596167386605574</v>
      </c>
      <c r="O25" s="469">
        <f t="shared" si="3"/>
        <v>6.3444052408203753</v>
      </c>
      <c r="P25" s="469">
        <f t="shared" si="3"/>
        <v>6.4159239908078041</v>
      </c>
      <c r="Q25" s="469">
        <f t="shared" si="3"/>
        <v>6.6084017105320383</v>
      </c>
      <c r="R25" s="469">
        <f t="shared" si="3"/>
        <v>6.680604618110074</v>
      </c>
      <c r="S25" s="469">
        <f t="shared" si="3"/>
        <v>6.7511921386033125</v>
      </c>
      <c r="T25" s="469">
        <f t="shared" si="3"/>
        <v>6.8200023661698452</v>
      </c>
      <c r="U25" s="469">
        <f t="shared" si="3"/>
        <v>6.8868651344656273</v>
      </c>
      <c r="V25" s="469">
        <f t="shared" si="3"/>
        <v>6.951601666729605</v>
      </c>
      <c r="W25" s="469">
        <f t="shared" si="3"/>
        <v>7.014024212308402</v>
      </c>
      <c r="X25" s="469">
        <f t="shared" si="3"/>
        <v>7.0739356691218687</v>
      </c>
      <c r="Y25" s="469">
        <f t="shared" si="3"/>
        <v>7.1311291915530655</v>
      </c>
      <c r="Z25" s="469">
        <f>CHOOSE($C$25,Z19,Z20,Z21)</f>
        <v>7.1853877832279265</v>
      </c>
    </row>
    <row r="26" spans="1:30">
      <c r="A26" s="338"/>
      <c r="B26" s="468"/>
      <c r="C26" s="470"/>
      <c r="D26" s="470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62"/>
      <c r="AB26" s="472"/>
      <c r="AC26" s="472"/>
    </row>
    <row r="27" spans="1:30">
      <c r="A27" s="510" t="s">
        <v>158</v>
      </c>
      <c r="B27" s="468"/>
      <c r="C27" s="470"/>
      <c r="D27" s="470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1"/>
      <c r="Y27" s="471"/>
      <c r="Z27" s="471"/>
      <c r="AA27" s="462"/>
      <c r="AB27" s="472"/>
      <c r="AC27" s="472"/>
    </row>
    <row r="28" spans="1:30">
      <c r="A28" s="338" t="s">
        <v>159</v>
      </c>
      <c r="B28" s="468"/>
      <c r="C28" s="470"/>
      <c r="D28" s="470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62"/>
      <c r="AB28" s="472"/>
      <c r="AC28" s="472"/>
    </row>
    <row r="29" spans="1:30">
      <c r="A29" s="338"/>
      <c r="B29" s="468"/>
      <c r="C29" s="470"/>
      <c r="D29" s="470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1"/>
      <c r="Y29" s="471"/>
      <c r="Z29" s="471"/>
      <c r="AA29" s="462"/>
      <c r="AB29" s="472"/>
      <c r="AC29" s="472"/>
    </row>
    <row r="30" spans="1:30">
      <c r="A30" s="513" t="s">
        <v>148</v>
      </c>
      <c r="B30" s="338"/>
      <c r="C30" s="470"/>
      <c r="D30" s="470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1"/>
      <c r="Y30" s="471"/>
      <c r="Z30" s="471"/>
      <c r="AA30" s="462"/>
      <c r="AB30" s="472"/>
      <c r="AC30" s="472"/>
    </row>
    <row r="31" spans="1:30">
      <c r="A31" s="338"/>
      <c r="B31" s="338" t="s">
        <v>149</v>
      </c>
      <c r="C31" s="470"/>
      <c r="D31" s="470"/>
      <c r="E31" s="461"/>
      <c r="F31" s="461">
        <v>66</v>
      </c>
      <c r="G31" s="461">
        <v>65</v>
      </c>
      <c r="H31" s="461">
        <v>65</v>
      </c>
      <c r="I31" s="461">
        <v>65</v>
      </c>
      <c r="J31" s="461">
        <v>64</v>
      </c>
      <c r="K31" s="461">
        <v>64</v>
      </c>
      <c r="L31" s="461">
        <v>62</v>
      </c>
      <c r="M31" s="461">
        <v>61</v>
      </c>
      <c r="N31" s="461">
        <v>60</v>
      </c>
      <c r="O31" s="461">
        <v>59</v>
      </c>
      <c r="P31" s="461">
        <v>58</v>
      </c>
      <c r="Q31" s="461">
        <v>57</v>
      </c>
      <c r="R31" s="461">
        <v>56</v>
      </c>
      <c r="S31" s="461">
        <v>55</v>
      </c>
      <c r="T31" s="461">
        <v>54</v>
      </c>
      <c r="U31" s="461">
        <v>53</v>
      </c>
      <c r="V31" s="461">
        <v>52</v>
      </c>
      <c r="W31" s="461">
        <v>51</v>
      </c>
      <c r="X31" s="461">
        <v>50</v>
      </c>
      <c r="Y31" s="461">
        <v>48</v>
      </c>
      <c r="Z31" s="461">
        <v>47</v>
      </c>
      <c r="AC31" s="472"/>
    </row>
    <row r="32" spans="1:30">
      <c r="A32" s="338"/>
      <c r="B32" s="338" t="s">
        <v>150</v>
      </c>
      <c r="C32" s="338"/>
      <c r="D32" s="338"/>
      <c r="E32" s="461"/>
      <c r="F32" s="461">
        <v>54</v>
      </c>
      <c r="G32" s="461">
        <v>54</v>
      </c>
      <c r="H32" s="461">
        <v>54</v>
      </c>
      <c r="I32" s="461">
        <v>53</v>
      </c>
      <c r="J32" s="461">
        <v>53</v>
      </c>
      <c r="K32" s="461">
        <v>52</v>
      </c>
      <c r="L32" s="461">
        <v>51</v>
      </c>
      <c r="M32" s="461">
        <v>50</v>
      </c>
      <c r="N32" s="461">
        <v>49</v>
      </c>
      <c r="O32" s="461">
        <v>48</v>
      </c>
      <c r="P32" s="461">
        <v>47</v>
      </c>
      <c r="Q32" s="461">
        <v>46</v>
      </c>
      <c r="R32" s="461">
        <v>45</v>
      </c>
      <c r="S32" s="461">
        <v>43</v>
      </c>
      <c r="T32" s="461">
        <v>42</v>
      </c>
      <c r="U32" s="461">
        <v>41</v>
      </c>
      <c r="V32" s="461">
        <v>40</v>
      </c>
      <c r="W32" s="461">
        <v>39</v>
      </c>
      <c r="X32" s="461">
        <v>38</v>
      </c>
      <c r="Y32" s="461">
        <v>37</v>
      </c>
      <c r="Z32" s="461">
        <v>36</v>
      </c>
      <c r="AC32" s="472"/>
    </row>
    <row r="33" spans="1:29">
      <c r="A33" s="363"/>
      <c r="B33" s="338"/>
      <c r="C33" s="338"/>
      <c r="D33" s="338"/>
      <c r="E33" s="461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1"/>
      <c r="T33" s="461"/>
      <c r="U33" s="461"/>
      <c r="V33" s="461"/>
      <c r="W33" s="461"/>
      <c r="X33" s="461"/>
      <c r="Y33" s="461"/>
      <c r="Z33" s="461"/>
      <c r="AC33" s="472"/>
    </row>
    <row r="34" spans="1:29">
      <c r="A34" s="513" t="s">
        <v>160</v>
      </c>
      <c r="B34" s="338"/>
      <c r="C34" s="338"/>
      <c r="D34" s="338"/>
      <c r="E34" s="461"/>
      <c r="F34" s="461"/>
      <c r="G34" s="461"/>
      <c r="H34" s="461"/>
      <c r="I34" s="461"/>
      <c r="J34" s="461"/>
      <c r="K34" s="461"/>
      <c r="L34" s="461"/>
      <c r="M34" s="461"/>
      <c r="N34" s="461"/>
      <c r="O34" s="461"/>
      <c r="P34" s="461"/>
      <c r="Q34" s="461"/>
      <c r="R34" s="461"/>
      <c r="S34" s="461"/>
      <c r="T34" s="461"/>
      <c r="U34" s="461"/>
      <c r="V34" s="461"/>
      <c r="W34" s="461"/>
      <c r="X34" s="461"/>
      <c r="Y34" s="461"/>
      <c r="Z34" s="461"/>
      <c r="AC34" s="472"/>
    </row>
    <row r="35" spans="1:29">
      <c r="A35" s="338"/>
      <c r="B35" s="338" t="s">
        <v>152</v>
      </c>
      <c r="C35" s="338"/>
      <c r="D35" s="338"/>
      <c r="E35" s="461"/>
      <c r="F35" s="461">
        <f>F31*(1+'Power Price Assumption'!$C$6)^(F9-1998)</f>
        <v>70.01939999999999</v>
      </c>
      <c r="G35" s="461">
        <f>G31*(1+'Power Price Assumption'!$C$6)^(G9-1998)</f>
        <v>71.027254999999997</v>
      </c>
      <c r="H35" s="461">
        <f>H31*(1+'Power Price Assumption'!$C$6)^(H9-1998)</f>
        <v>73.158072649999994</v>
      </c>
      <c r="I35" s="461">
        <f>I31*(1+'Power Price Assumption'!$C$6)^(I9-1998)</f>
        <v>75.352814829499991</v>
      </c>
      <c r="J35" s="461">
        <f>J31*(1+'Power Price Assumption'!$C$6)^(J9-1998)</f>
        <v>76.419346977855994</v>
      </c>
      <c r="K35" s="461">
        <f>K31*(1+'Power Price Assumption'!$C$6)^(K9-1998)</f>
        <v>78.711927387191679</v>
      </c>
      <c r="L35" s="461">
        <f>L31*(1+'Power Price Assumption'!$C$6)^(L9-1998)</f>
        <v>78.539745046032181</v>
      </c>
      <c r="M35" s="461">
        <f>M31*(1+'Power Price Assumption'!$C$6)^(M9-1998)</f>
        <v>79.591164213583909</v>
      </c>
      <c r="N35" s="461">
        <f>N31*(1+'Power Price Assumption'!$C$6)^(N9-1998)</f>
        <v>80.634982760647304</v>
      </c>
      <c r="O35" s="461">
        <f>O31*(1+'Power Price Assumption'!$C$6)^(O9-1998)</f>
        <v>81.669798372742278</v>
      </c>
      <c r="P35" s="461">
        <f>P31*(1+'Power Price Assumption'!$C$6)^(P9-1998)</f>
        <v>82.694131437078354</v>
      </c>
      <c r="Q35" s="461">
        <f>Q31*(1+'Power Price Assumption'!$C$6)^(Q9-1998)</f>
        <v>83.706421666739146</v>
      </c>
      <c r="R35" s="461">
        <f>R31*(1+'Power Price Assumption'!$C$6)^(R9-1998)</f>
        <v>84.705024591886215</v>
      </c>
      <c r="S35" s="461">
        <f>S31*(1+'Power Price Assumption'!$C$6)^(S9-1998)</f>
        <v>85.688207913042049</v>
      </c>
      <c r="T35" s="461">
        <f>T31*(1+'Power Price Assumption'!$C$6)^(T9-1998)</f>
        <v>86.654147711334502</v>
      </c>
      <c r="U35" s="461">
        <f>U31*(1+'Power Price Assumption'!$C$6)^(U9-1998)</f>
        <v>87.600924510402791</v>
      </c>
      <c r="V35" s="461">
        <f>V31*(1+'Power Price Assumption'!$C$6)^(V9-1998)</f>
        <v>88.526519184474964</v>
      </c>
      <c r="W35" s="461">
        <f>W31*(1+'Power Price Assumption'!$C$6)^(W9-1998)</f>
        <v>89.428808706932116</v>
      </c>
      <c r="X35" s="461">
        <f>X31*(1+'Power Price Assumption'!$C$6)^(X9-1998)</f>
        <v>90.305561733470668</v>
      </c>
      <c r="Y35" s="461">
        <f>Y31*(1+'Power Price Assumption'!$C$6)^(Y9-1998)</f>
        <v>89.29413944205578</v>
      </c>
      <c r="Z35" s="461">
        <f>Z31*(1+'Power Price Assumption'!$C$6)^(Z9-1998)</f>
        <v>90.056860216456684</v>
      </c>
    </row>
    <row r="36" spans="1:29">
      <c r="A36" s="338"/>
      <c r="B36" s="338" t="s">
        <v>150</v>
      </c>
      <c r="C36" s="338"/>
      <c r="D36" s="338"/>
      <c r="E36" s="461"/>
      <c r="F36" s="461">
        <f>F32*(1+'Power Price Assumption'!$C$6)^(F9-1998)</f>
        <v>57.288599999999995</v>
      </c>
      <c r="G36" s="461">
        <f>G32*(1+'Power Price Assumption'!$C$6)^(G9-1998)</f>
        <v>59.007258</v>
      </c>
      <c r="H36" s="461">
        <f>H32*(1+'Power Price Assumption'!$C$6)^(H9-1998)</f>
        <v>60.777475739999993</v>
      </c>
      <c r="I36" s="461">
        <f>I32*(1+'Power Price Assumption'!$C$6)^(I9-1998)</f>
        <v>61.441525937899989</v>
      </c>
      <c r="J36" s="461">
        <f>J32*(1+'Power Price Assumption'!$C$6)^(J9-1998)</f>
        <v>63.284771716036992</v>
      </c>
      <c r="K36" s="461">
        <f>K32*(1+'Power Price Assumption'!$C$6)^(K9-1998)</f>
        <v>63.953441002093243</v>
      </c>
      <c r="L36" s="461">
        <f>L32*(1+'Power Price Assumption'!$C$6)^(L9-1998)</f>
        <v>64.605274150768409</v>
      </c>
      <c r="M36" s="461">
        <f>M32*(1+'Power Price Assumption'!$C$6)^(M9-1998)</f>
        <v>65.238659191462219</v>
      </c>
      <c r="N36" s="461">
        <f>N32*(1+'Power Price Assumption'!$C$6)^(N9-1998)</f>
        <v>65.851902587861971</v>
      </c>
      <c r="O36" s="461">
        <f>O32*(1+'Power Price Assumption'!$C$6)^(O9-1998)</f>
        <v>66.443225794773383</v>
      </c>
      <c r="P36" s="461">
        <f>P32*(1+'Power Price Assumption'!$C$6)^(P9-1998)</f>
        <v>67.01076168177039</v>
      </c>
      <c r="Q36" s="461">
        <f>Q32*(1+'Power Price Assumption'!$C$6)^(Q9-1998)</f>
        <v>67.552550818771934</v>
      </c>
      <c r="R36" s="461">
        <f>R32*(1+'Power Price Assumption'!$C$6)^(R9-1998)</f>
        <v>68.066537618479998</v>
      </c>
      <c r="S36" s="461">
        <f>S32*(1+'Power Price Assumption'!$C$6)^(S9-1998)</f>
        <v>66.992598913832865</v>
      </c>
      <c r="T36" s="461">
        <f>T32*(1+'Power Price Assumption'!$C$6)^(T9-1998)</f>
        <v>67.397670442149064</v>
      </c>
      <c r="U36" s="461">
        <f>U32*(1+'Power Price Assumption'!$C$6)^(U9-1998)</f>
        <v>67.76675292314178</v>
      </c>
      <c r="V36" s="461">
        <f>V32*(1+'Power Price Assumption'!$C$6)^(V9-1998)</f>
        <v>68.097322449596135</v>
      </c>
      <c r="W36" s="461">
        <f>W32*(1+'Power Price Assumption'!$C$6)^(W9-1998)</f>
        <v>68.386736070006904</v>
      </c>
      <c r="X36" s="461">
        <f>X32*(1+'Power Price Assumption'!$C$6)^(X9-1998)</f>
        <v>68.632226917437706</v>
      </c>
      <c r="Y36" s="461">
        <f>Y32*(1+'Power Price Assumption'!$C$6)^(Y9-1998)</f>
        <v>68.830899153251323</v>
      </c>
      <c r="Z36" s="461">
        <f>Z32*(1+'Power Price Assumption'!$C$6)^(Z9-1998)</f>
        <v>68.9797227189881</v>
      </c>
    </row>
    <row r="37" spans="1:29">
      <c r="A37" s="338"/>
      <c r="B37" s="338"/>
      <c r="C37" s="338"/>
      <c r="D37" s="338"/>
      <c r="E37" s="338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</row>
    <row r="38" spans="1:29">
      <c r="A38" s="338">
        <v>1</v>
      </c>
      <c r="B38" s="338" t="s">
        <v>153</v>
      </c>
      <c r="C38" s="338"/>
      <c r="D38" s="338"/>
      <c r="E38" s="465"/>
      <c r="F38" s="465">
        <f>F35/12</f>
        <v>5.8349499999999992</v>
      </c>
      <c r="G38" s="465">
        <f t="shared" ref="G38:Z38" si="4">G35/12</f>
        <v>5.9189379166666667</v>
      </c>
      <c r="H38" s="465">
        <f t="shared" si="4"/>
        <v>6.0965060541666665</v>
      </c>
      <c r="I38" s="465">
        <f t="shared" si="4"/>
        <v>6.2794012357916662</v>
      </c>
      <c r="J38" s="465">
        <f t="shared" si="4"/>
        <v>6.3682789148213326</v>
      </c>
      <c r="K38" s="465">
        <f t="shared" si="4"/>
        <v>6.5593272822659729</v>
      </c>
      <c r="L38" s="465">
        <f t="shared" si="4"/>
        <v>6.5449787538360154</v>
      </c>
      <c r="M38" s="465">
        <f t="shared" si="4"/>
        <v>6.6325970177986591</v>
      </c>
      <c r="N38" s="465">
        <f t="shared" si="4"/>
        <v>6.7195818967206087</v>
      </c>
      <c r="O38" s="465">
        <f t="shared" si="4"/>
        <v>6.8058165310618568</v>
      </c>
      <c r="P38" s="465">
        <f t="shared" si="4"/>
        <v>6.8911776197565295</v>
      </c>
      <c r="Q38" s="465">
        <f t="shared" si="4"/>
        <v>6.9755351388949292</v>
      </c>
      <c r="R38" s="465">
        <f t="shared" si="4"/>
        <v>7.0587520493238509</v>
      </c>
      <c r="S38" s="465">
        <f t="shared" si="4"/>
        <v>7.1406839927535044</v>
      </c>
      <c r="T38" s="465">
        <f t="shared" si="4"/>
        <v>7.2211789759445422</v>
      </c>
      <c r="U38" s="465">
        <f t="shared" si="4"/>
        <v>7.3000770425335659</v>
      </c>
      <c r="V38" s="465">
        <f t="shared" si="4"/>
        <v>7.3772099320395803</v>
      </c>
      <c r="W38" s="465">
        <f t="shared" si="4"/>
        <v>7.4524007255776761</v>
      </c>
      <c r="X38" s="465">
        <f t="shared" si="4"/>
        <v>7.5254634777892226</v>
      </c>
      <c r="Y38" s="465">
        <f t="shared" si="4"/>
        <v>7.4411782868379817</v>
      </c>
      <c r="Z38" s="465">
        <f t="shared" si="4"/>
        <v>7.5047383513713903</v>
      </c>
    </row>
    <row r="39" spans="1:29">
      <c r="A39" s="338">
        <v>2</v>
      </c>
      <c r="B39" s="338" t="s">
        <v>154</v>
      </c>
      <c r="C39" s="338"/>
      <c r="D39" s="338"/>
      <c r="E39" s="465"/>
      <c r="F39" s="465">
        <f>F36/12</f>
        <v>4.7740499999999999</v>
      </c>
      <c r="G39" s="465">
        <f t="shared" ref="G39:Z39" si="5">G36/12</f>
        <v>4.9172715</v>
      </c>
      <c r="H39" s="465">
        <f t="shared" si="5"/>
        <v>5.0647896449999994</v>
      </c>
      <c r="I39" s="465">
        <f t="shared" si="5"/>
        <v>5.1201271614916655</v>
      </c>
      <c r="J39" s="465">
        <f t="shared" si="5"/>
        <v>5.2737309763364157</v>
      </c>
      <c r="K39" s="465">
        <f t="shared" si="5"/>
        <v>5.3294534168411039</v>
      </c>
      <c r="L39" s="465">
        <f t="shared" si="5"/>
        <v>5.3837728458973677</v>
      </c>
      <c r="M39" s="465">
        <f t="shared" si="5"/>
        <v>5.4365549326218519</v>
      </c>
      <c r="N39" s="465">
        <f t="shared" si="5"/>
        <v>5.4876585489884979</v>
      </c>
      <c r="O39" s="465">
        <f t="shared" si="5"/>
        <v>5.5369354828977819</v>
      </c>
      <c r="P39" s="465">
        <f t="shared" si="5"/>
        <v>5.5842301401475325</v>
      </c>
      <c r="Q39" s="465">
        <f t="shared" si="5"/>
        <v>5.6293792348976615</v>
      </c>
      <c r="R39" s="465">
        <f t="shared" si="5"/>
        <v>5.6722114682066662</v>
      </c>
      <c r="S39" s="465">
        <f t="shared" si="5"/>
        <v>5.5827165761527384</v>
      </c>
      <c r="T39" s="465">
        <f t="shared" si="5"/>
        <v>5.6164725368457553</v>
      </c>
      <c r="U39" s="465">
        <f t="shared" si="5"/>
        <v>5.647229410261815</v>
      </c>
      <c r="V39" s="465">
        <f t="shared" si="5"/>
        <v>5.6747768707996782</v>
      </c>
      <c r="W39" s="465">
        <f t="shared" si="5"/>
        <v>5.6988946725005754</v>
      </c>
      <c r="X39" s="465">
        <f t="shared" si="5"/>
        <v>5.7193522431198085</v>
      </c>
      <c r="Y39" s="465">
        <f t="shared" si="5"/>
        <v>5.7359082627709439</v>
      </c>
      <c r="Z39" s="465">
        <f t="shared" si="5"/>
        <v>5.7483102265823414</v>
      </c>
    </row>
    <row r="40" spans="1:29">
      <c r="A40" s="338">
        <v>3</v>
      </c>
      <c r="B40" s="338" t="s">
        <v>155</v>
      </c>
      <c r="C40" s="338"/>
      <c r="D40" s="338"/>
      <c r="E40" s="465"/>
      <c r="F40" s="649">
        <v>0</v>
      </c>
      <c r="G40" s="649">
        <v>0</v>
      </c>
      <c r="H40" s="649">
        <v>0</v>
      </c>
      <c r="I40" s="649">
        <v>0</v>
      </c>
      <c r="J40" s="649">
        <v>0</v>
      </c>
      <c r="K40" s="649">
        <v>0</v>
      </c>
      <c r="L40" s="649">
        <v>0</v>
      </c>
      <c r="M40" s="649">
        <v>0</v>
      </c>
      <c r="N40" s="649">
        <v>0</v>
      </c>
      <c r="O40" s="649">
        <v>0</v>
      </c>
      <c r="P40" s="649">
        <v>0</v>
      </c>
      <c r="Q40" s="649">
        <v>0</v>
      </c>
      <c r="R40" s="649">
        <v>0</v>
      </c>
      <c r="S40" s="649">
        <v>0</v>
      </c>
      <c r="T40" s="649">
        <v>0</v>
      </c>
      <c r="U40" s="649">
        <v>0</v>
      </c>
      <c r="V40" s="649">
        <v>0</v>
      </c>
      <c r="W40" s="649">
        <v>0</v>
      </c>
      <c r="X40" s="649">
        <v>0</v>
      </c>
      <c r="Y40" s="649">
        <v>0</v>
      </c>
      <c r="Z40" s="649">
        <v>0</v>
      </c>
    </row>
    <row r="41" spans="1:29">
      <c r="A41" s="338"/>
      <c r="B41" s="338"/>
      <c r="C41" s="338"/>
      <c r="D41" s="338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</row>
    <row r="42" spans="1:29">
      <c r="A42" s="338"/>
      <c r="B42" s="338" t="s">
        <v>156</v>
      </c>
      <c r="C42" s="338"/>
      <c r="D42" s="338"/>
      <c r="E42" s="465">
        <v>4</v>
      </c>
      <c r="F42" s="465">
        <f>Assumptions!$L$25</f>
        <v>4</v>
      </c>
      <c r="G42" s="465">
        <f>Assumptions!$L$25</f>
        <v>4</v>
      </c>
      <c r="H42" s="465">
        <f>Assumptions!$L$25</f>
        <v>4</v>
      </c>
      <c r="I42" s="465">
        <f>Assumptions!$L$25</f>
        <v>4</v>
      </c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</row>
    <row r="43" spans="1:29">
      <c r="A43" s="338"/>
      <c r="B43" s="338"/>
      <c r="C43" s="338"/>
      <c r="D43" s="338"/>
      <c r="E43" s="466"/>
      <c r="F43" s="466"/>
      <c r="G43" s="466"/>
      <c r="H43" s="466"/>
      <c r="I43" s="467"/>
      <c r="J43" s="467"/>
      <c r="K43" s="467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</row>
    <row r="44" spans="1:29">
      <c r="A44" s="338"/>
      <c r="B44" s="468" t="s">
        <v>157</v>
      </c>
      <c r="C44" s="515">
        <f>C25</f>
        <v>1</v>
      </c>
      <c r="D44" s="470"/>
      <c r="E44" s="469">
        <v>4</v>
      </c>
      <c r="F44" s="469">
        <f>F42</f>
        <v>4</v>
      </c>
      <c r="G44" s="469">
        <f>G42</f>
        <v>4</v>
      </c>
      <c r="H44" s="469">
        <f>H42</f>
        <v>4</v>
      </c>
      <c r="I44" s="469">
        <f>CHOOSE($C$44,I38,I39,I40)</f>
        <v>6.2794012357916662</v>
      </c>
      <c r="J44" s="469">
        <f t="shared" ref="J44:Y44" si="6">CHOOSE($C$44,J38,J39,J40)</f>
        <v>6.3682789148213326</v>
      </c>
      <c r="K44" s="469">
        <f t="shared" si="6"/>
        <v>6.5593272822659729</v>
      </c>
      <c r="L44" s="469">
        <f t="shared" si="6"/>
        <v>6.5449787538360154</v>
      </c>
      <c r="M44" s="469">
        <f t="shared" si="6"/>
        <v>6.6325970177986591</v>
      </c>
      <c r="N44" s="469">
        <f t="shared" si="6"/>
        <v>6.7195818967206087</v>
      </c>
      <c r="O44" s="469">
        <f t="shared" si="6"/>
        <v>6.8058165310618568</v>
      </c>
      <c r="P44" s="469">
        <f t="shared" si="6"/>
        <v>6.8911776197565295</v>
      </c>
      <c r="Q44" s="469">
        <f t="shared" si="6"/>
        <v>6.9755351388949292</v>
      </c>
      <c r="R44" s="469">
        <f t="shared" si="6"/>
        <v>7.0587520493238509</v>
      </c>
      <c r="S44" s="469">
        <f t="shared" si="6"/>
        <v>7.1406839927535044</v>
      </c>
      <c r="T44" s="469">
        <f t="shared" si="6"/>
        <v>7.2211789759445422</v>
      </c>
      <c r="U44" s="469">
        <f t="shared" si="6"/>
        <v>7.3000770425335659</v>
      </c>
      <c r="V44" s="469">
        <f t="shared" si="6"/>
        <v>7.3772099320395803</v>
      </c>
      <c r="W44" s="469">
        <f t="shared" si="6"/>
        <v>7.4524007255776761</v>
      </c>
      <c r="X44" s="469">
        <f t="shared" si="6"/>
        <v>7.5254634777892226</v>
      </c>
      <c r="Y44" s="469">
        <f t="shared" si="6"/>
        <v>7.4411782868379817</v>
      </c>
      <c r="Z44" s="469">
        <f>CHOOSE($C$44,Z38,Z39,Z40)</f>
        <v>7.5047383513713903</v>
      </c>
    </row>
    <row r="45" spans="1:29">
      <c r="A45" s="338"/>
      <c r="B45" s="468"/>
      <c r="C45" s="470"/>
      <c r="D45" s="470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</row>
    <row r="46" spans="1:29">
      <c r="A46" s="510" t="s">
        <v>161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9">
      <c r="A47" s="338" t="s">
        <v>162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9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>
      <c r="A49" s="513" t="s">
        <v>148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>
      <c r="A50" s="338"/>
      <c r="B50" s="338" t="s">
        <v>149</v>
      </c>
      <c r="C50" s="470"/>
      <c r="D50" s="470"/>
      <c r="E50" s="473"/>
      <c r="F50" s="461">
        <v>66</v>
      </c>
      <c r="G50" s="461">
        <v>66</v>
      </c>
      <c r="H50" s="461">
        <v>65</v>
      </c>
      <c r="I50" s="461">
        <v>65</v>
      </c>
      <c r="J50" s="461">
        <v>65</v>
      </c>
      <c r="K50" s="461">
        <v>65</v>
      </c>
      <c r="L50" s="461">
        <v>64</v>
      </c>
      <c r="M50" s="461">
        <v>63</v>
      </c>
      <c r="N50" s="461">
        <v>62</v>
      </c>
      <c r="O50" s="461">
        <v>61</v>
      </c>
      <c r="P50" s="461">
        <v>60</v>
      </c>
      <c r="Q50" s="461">
        <v>59</v>
      </c>
      <c r="R50" s="461">
        <v>58</v>
      </c>
      <c r="S50" s="461">
        <v>56</v>
      </c>
      <c r="T50" s="461">
        <v>55</v>
      </c>
      <c r="U50" s="461">
        <v>54</v>
      </c>
      <c r="V50" s="461">
        <v>53</v>
      </c>
      <c r="W50" s="461">
        <v>52</v>
      </c>
      <c r="X50" s="461">
        <v>51</v>
      </c>
      <c r="Y50" s="461">
        <v>49</v>
      </c>
      <c r="Z50" s="461">
        <v>48</v>
      </c>
    </row>
    <row r="51" spans="1:26">
      <c r="A51" s="338"/>
      <c r="B51" s="338" t="s">
        <v>150</v>
      </c>
      <c r="C51" s="470"/>
      <c r="D51" s="470"/>
      <c r="E51" s="473"/>
      <c r="F51" s="473">
        <v>54</v>
      </c>
      <c r="G51" s="473">
        <v>54</v>
      </c>
      <c r="H51" s="473">
        <v>54</v>
      </c>
      <c r="I51" s="473">
        <v>54</v>
      </c>
      <c r="J51" s="473">
        <v>54</v>
      </c>
      <c r="K51" s="473">
        <v>53</v>
      </c>
      <c r="L51" s="473">
        <v>53</v>
      </c>
      <c r="M51" s="473">
        <v>52</v>
      </c>
      <c r="N51" s="473">
        <v>51</v>
      </c>
      <c r="O51" s="473">
        <v>50</v>
      </c>
      <c r="P51" s="473">
        <v>49</v>
      </c>
      <c r="Q51" s="473">
        <v>48</v>
      </c>
      <c r="R51" s="473">
        <v>46</v>
      </c>
      <c r="S51" s="473">
        <v>44</v>
      </c>
      <c r="T51" s="473">
        <v>43</v>
      </c>
      <c r="U51" s="473">
        <v>41</v>
      </c>
      <c r="V51" s="473">
        <v>40</v>
      </c>
      <c r="W51" s="473">
        <v>39</v>
      </c>
      <c r="X51" s="473">
        <v>39</v>
      </c>
      <c r="Y51" s="473">
        <v>38</v>
      </c>
      <c r="Z51" s="473">
        <v>37</v>
      </c>
    </row>
    <row r="52" spans="1:26">
      <c r="A52" s="338"/>
      <c r="B52" s="338"/>
      <c r="C52" s="470"/>
      <c r="D52" s="470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473"/>
    </row>
    <row r="53" spans="1:26">
      <c r="A53" s="513" t="s">
        <v>151</v>
      </c>
      <c r="B53" s="338"/>
      <c r="C53" s="470"/>
      <c r="D53" s="470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3"/>
      <c r="V53" s="473"/>
      <c r="W53" s="473"/>
      <c r="X53" s="473"/>
      <c r="Y53" s="473"/>
      <c r="Z53" s="473"/>
    </row>
    <row r="54" spans="1:26">
      <c r="A54" s="338"/>
      <c r="B54" s="338" t="s">
        <v>152</v>
      </c>
      <c r="C54" s="470"/>
      <c r="D54" s="470"/>
      <c r="E54" s="473"/>
      <c r="F54" s="473">
        <f>F50*(1+'Power Price Assumption'!$C$6)^(F9-1998)</f>
        <v>70.01939999999999</v>
      </c>
      <c r="G54" s="473">
        <f>G50*(1+'Power Price Assumption'!$C$6)^(G9-1998)</f>
        <v>72.119981999999993</v>
      </c>
      <c r="H54" s="473">
        <f>H50*(1+'Power Price Assumption'!$C$6)^(H9-1998)</f>
        <v>73.158072649999994</v>
      </c>
      <c r="I54" s="473">
        <f>I50*(1+'Power Price Assumption'!$C$6)^(I9-1998)</f>
        <v>75.352814829499991</v>
      </c>
      <c r="J54" s="473">
        <f>J50*(1+'Power Price Assumption'!$C$6)^(J9-1998)</f>
        <v>77.613399274384989</v>
      </c>
      <c r="K54" s="473">
        <f>K50*(1+'Power Price Assumption'!$C$6)^(K9-1998)</f>
        <v>79.941801252616543</v>
      </c>
      <c r="L54" s="473">
        <f>L50*(1+'Power Price Assumption'!$C$6)^(L9-1998)</f>
        <v>81.07328520880742</v>
      </c>
      <c r="M54" s="473">
        <f>M50*(1+'Power Price Assumption'!$C$6)^(M9-1998)</f>
        <v>82.200710581242404</v>
      </c>
      <c r="N54" s="473">
        <f>N50*(1+'Power Price Assumption'!$C$6)^(N9-1998)</f>
        <v>83.322815519335549</v>
      </c>
      <c r="O54" s="473">
        <f>O50*(1+'Power Price Assumption'!$C$6)^(O9-1998)</f>
        <v>84.43826611419118</v>
      </c>
      <c r="P54" s="473">
        <f>P50*(1+'Power Price Assumption'!$C$6)^(P9-1998)</f>
        <v>85.545653210770723</v>
      </c>
      <c r="Q54" s="473">
        <f>Q50*(1+'Power Price Assumption'!$C$6)^(Q9-1998)</f>
        <v>86.643489093642273</v>
      </c>
      <c r="R54" s="473">
        <f>R50*(1+'Power Price Assumption'!$C$6)^(R9-1998)</f>
        <v>87.730204041596437</v>
      </c>
      <c r="S54" s="473">
        <f>S50*(1+'Power Price Assumption'!$C$6)^(S9-1998)</f>
        <v>87.24617532964281</v>
      </c>
      <c r="T54" s="473">
        <f>T50*(1+'Power Price Assumption'!$C$6)^(T9-1998)</f>
        <v>88.258854150433294</v>
      </c>
      <c r="U54" s="473">
        <f>U50*(1+'Power Price Assumption'!$C$6)^(U9-1998)</f>
        <v>89.253772142674535</v>
      </c>
      <c r="V54" s="473">
        <f>V50*(1+'Power Price Assumption'!$C$6)^(V9-1998)</f>
        <v>90.228952245714865</v>
      </c>
      <c r="W54" s="473">
        <f>W50*(1+'Power Price Assumption'!$C$6)^(W9-1998)</f>
        <v>91.18231476000922</v>
      </c>
      <c r="X54" s="473">
        <f>X50*(1+'Power Price Assumption'!$C$6)^(X9-1998)</f>
        <v>92.11167296814007</v>
      </c>
      <c r="Y54" s="473">
        <f>Y50*(1+'Power Price Assumption'!$C$6)^(Y9-1998)</f>
        <v>91.154434013765268</v>
      </c>
      <c r="Z54" s="473">
        <f>Z50*(1+'Power Price Assumption'!$C$6)^(Z9-1998)</f>
        <v>91.972963625317462</v>
      </c>
    </row>
    <row r="55" spans="1:26">
      <c r="A55" s="338"/>
      <c r="B55" s="338" t="s">
        <v>150</v>
      </c>
      <c r="C55" s="470"/>
      <c r="D55" s="470"/>
      <c r="E55" s="473"/>
      <c r="F55" s="473">
        <f>F51*(1+'Power Price Assumption'!$C$6)^(F9-1998)</f>
        <v>57.288599999999995</v>
      </c>
      <c r="G55" s="473">
        <f>G51*(1+'Power Price Assumption'!$C$6)^(G9-1998)</f>
        <v>59.007258</v>
      </c>
      <c r="H55" s="473">
        <f>H51*(1+'Power Price Assumption'!$C$6)^(H9-1998)</f>
        <v>60.777475739999993</v>
      </c>
      <c r="I55" s="473">
        <f>I51*(1+'Power Price Assumption'!$C$6)^(I9-1998)</f>
        <v>62.60080001219999</v>
      </c>
      <c r="J55" s="473">
        <f>J51*(1+'Power Price Assumption'!$C$6)^(J9-1998)</f>
        <v>64.478824012565994</v>
      </c>
      <c r="K55" s="473">
        <f>K51*(1+'Power Price Assumption'!$C$6)^(K9-1998)</f>
        <v>65.183314867518106</v>
      </c>
      <c r="L55" s="473">
        <f>L51*(1+'Power Price Assumption'!$C$6)^(L9-1998)</f>
        <v>67.138814313543648</v>
      </c>
      <c r="M55" s="473">
        <f>M51*(1+'Power Price Assumption'!$C$6)^(M9-1998)</f>
        <v>67.848205559120714</v>
      </c>
      <c r="N55" s="473">
        <f>N51*(1+'Power Price Assumption'!$C$6)^(N9-1998)</f>
        <v>68.539735346550216</v>
      </c>
      <c r="O55" s="473">
        <f>O51*(1+'Power Price Assumption'!$C$6)^(O9-1998)</f>
        <v>69.21169353622227</v>
      </c>
      <c r="P55" s="473">
        <f>P51*(1+'Power Price Assumption'!$C$6)^(P9-1998)</f>
        <v>69.862283455462759</v>
      </c>
      <c r="Q55" s="473">
        <f>Q51*(1+'Power Price Assumption'!$C$6)^(Q9-1998)</f>
        <v>70.489618245675075</v>
      </c>
      <c r="R55" s="473">
        <f>R51*(1+'Power Price Assumption'!$C$6)^(R9-1998)</f>
        <v>69.579127343335102</v>
      </c>
      <c r="S55" s="473">
        <f>S51*(1+'Power Price Assumption'!$C$6)^(S9-1998)</f>
        <v>68.550566330433639</v>
      </c>
      <c r="T55" s="473">
        <f>T51*(1+'Power Price Assumption'!$C$6)^(T9-1998)</f>
        <v>69.002376881247841</v>
      </c>
      <c r="U55" s="473">
        <f>U51*(1+'Power Price Assumption'!$C$6)^(U9-1998)</f>
        <v>67.76675292314178</v>
      </c>
      <c r="V55" s="473">
        <f>V51*(1+'Power Price Assumption'!$C$6)^(V9-1998)</f>
        <v>68.097322449596135</v>
      </c>
      <c r="W55" s="473">
        <f>W51*(1+'Power Price Assumption'!$C$6)^(W9-1998)</f>
        <v>68.386736070006904</v>
      </c>
      <c r="X55" s="473">
        <f>X51*(1+'Power Price Assumption'!$C$6)^(X9-1998)</f>
        <v>70.438338152107121</v>
      </c>
      <c r="Y55" s="473">
        <f>Y51*(1+'Power Price Assumption'!$C$6)^(Y9-1998)</f>
        <v>70.691193724960826</v>
      </c>
      <c r="Z55" s="473">
        <f>Z51*(1+'Power Price Assumption'!$C$6)^(Z9-1998)</f>
        <v>70.895826127848878</v>
      </c>
    </row>
    <row r="56" spans="1:26">
      <c r="A56" s="338"/>
      <c r="B56" s="338"/>
      <c r="C56" s="338"/>
      <c r="D56" s="338"/>
      <c r="E56" s="338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</row>
    <row r="57" spans="1:26">
      <c r="A57" s="338">
        <v>1</v>
      </c>
      <c r="B57" s="338" t="s">
        <v>153</v>
      </c>
      <c r="C57" s="338"/>
      <c r="D57" s="338"/>
      <c r="E57" s="465"/>
      <c r="F57" s="465">
        <f>F54/12</f>
        <v>5.8349499999999992</v>
      </c>
      <c r="G57" s="465">
        <f t="shared" ref="G57:Z57" si="7">G54/12</f>
        <v>6.0099984999999991</v>
      </c>
      <c r="H57" s="465">
        <f t="shared" si="7"/>
        <v>6.0965060541666665</v>
      </c>
      <c r="I57" s="465">
        <f t="shared" si="7"/>
        <v>6.2794012357916662</v>
      </c>
      <c r="J57" s="465">
        <f t="shared" si="7"/>
        <v>6.4677832728654154</v>
      </c>
      <c r="K57" s="465">
        <f t="shared" si="7"/>
        <v>6.6618167710513783</v>
      </c>
      <c r="L57" s="465">
        <f t="shared" si="7"/>
        <v>6.7561071007339519</v>
      </c>
      <c r="M57" s="465">
        <f t="shared" si="7"/>
        <v>6.850059215103534</v>
      </c>
      <c r="N57" s="465">
        <f t="shared" si="7"/>
        <v>6.9435679599446294</v>
      </c>
      <c r="O57" s="465">
        <f t="shared" si="7"/>
        <v>7.036522176182598</v>
      </c>
      <c r="P57" s="465">
        <f t="shared" si="7"/>
        <v>7.1288044342308936</v>
      </c>
      <c r="Q57" s="465">
        <f t="shared" si="7"/>
        <v>7.2202907578035225</v>
      </c>
      <c r="R57" s="465">
        <f t="shared" si="7"/>
        <v>7.3108503367997031</v>
      </c>
      <c r="S57" s="465">
        <f t="shared" si="7"/>
        <v>7.2705146108035672</v>
      </c>
      <c r="T57" s="465">
        <f t="shared" si="7"/>
        <v>7.3549045125361081</v>
      </c>
      <c r="U57" s="465">
        <f t="shared" si="7"/>
        <v>7.4378143452228782</v>
      </c>
      <c r="V57" s="465">
        <f t="shared" si="7"/>
        <v>7.5190793538095724</v>
      </c>
      <c r="W57" s="465">
        <f t="shared" si="7"/>
        <v>7.5985262300007683</v>
      </c>
      <c r="X57" s="465">
        <f t="shared" si="7"/>
        <v>7.6759727473450061</v>
      </c>
      <c r="Y57" s="465">
        <f t="shared" si="7"/>
        <v>7.5962028344804393</v>
      </c>
      <c r="Z57" s="465">
        <f t="shared" si="7"/>
        <v>7.6644136354431218</v>
      </c>
    </row>
    <row r="58" spans="1:26">
      <c r="A58" s="338">
        <v>2</v>
      </c>
      <c r="B58" s="338" t="s">
        <v>154</v>
      </c>
      <c r="C58" s="338"/>
      <c r="D58" s="338"/>
      <c r="E58" s="465"/>
      <c r="F58" s="465">
        <f>F55/12</f>
        <v>4.7740499999999999</v>
      </c>
      <c r="G58" s="465">
        <f t="shared" ref="G58:Z58" si="8">G55/12</f>
        <v>4.9172715</v>
      </c>
      <c r="H58" s="465">
        <f t="shared" si="8"/>
        <v>5.0647896449999994</v>
      </c>
      <c r="I58" s="465">
        <f t="shared" si="8"/>
        <v>5.2167333343499989</v>
      </c>
      <c r="J58" s="465">
        <f t="shared" si="8"/>
        <v>5.3732353343804995</v>
      </c>
      <c r="K58" s="465">
        <f t="shared" si="8"/>
        <v>5.4319429056265092</v>
      </c>
      <c r="L58" s="465">
        <f t="shared" si="8"/>
        <v>5.5949011927953043</v>
      </c>
      <c r="M58" s="465">
        <f t="shared" si="8"/>
        <v>5.6540171299267259</v>
      </c>
      <c r="N58" s="465">
        <f t="shared" si="8"/>
        <v>5.7116446122125177</v>
      </c>
      <c r="O58" s="465">
        <f t="shared" si="8"/>
        <v>5.7676411280185222</v>
      </c>
      <c r="P58" s="465">
        <f t="shared" si="8"/>
        <v>5.8218569546218966</v>
      </c>
      <c r="Q58" s="465">
        <f t="shared" si="8"/>
        <v>5.8741348538062566</v>
      </c>
      <c r="R58" s="465">
        <f t="shared" si="8"/>
        <v>5.7982606119445919</v>
      </c>
      <c r="S58" s="465">
        <f t="shared" si="8"/>
        <v>5.712547194202803</v>
      </c>
      <c r="T58" s="465">
        <f t="shared" si="8"/>
        <v>5.7501980734373204</v>
      </c>
      <c r="U58" s="465">
        <f t="shared" si="8"/>
        <v>5.647229410261815</v>
      </c>
      <c r="V58" s="465">
        <f t="shared" si="8"/>
        <v>5.6747768707996782</v>
      </c>
      <c r="W58" s="465">
        <f t="shared" si="8"/>
        <v>5.6988946725005754</v>
      </c>
      <c r="X58" s="465">
        <f t="shared" si="8"/>
        <v>5.8698615126755938</v>
      </c>
      <c r="Y58" s="465">
        <f t="shared" si="8"/>
        <v>5.8909328104134024</v>
      </c>
      <c r="Z58" s="465">
        <f t="shared" si="8"/>
        <v>5.9079855106540728</v>
      </c>
    </row>
    <row r="59" spans="1:26">
      <c r="A59" s="338">
        <v>3</v>
      </c>
      <c r="B59" s="338" t="s">
        <v>155</v>
      </c>
      <c r="C59" s="338"/>
      <c r="D59" s="338"/>
      <c r="E59" s="465"/>
      <c r="F59" s="649">
        <v>0</v>
      </c>
      <c r="G59" s="649">
        <v>0</v>
      </c>
      <c r="H59" s="649">
        <v>0</v>
      </c>
      <c r="I59" s="649">
        <v>0</v>
      </c>
      <c r="J59" s="649">
        <v>0</v>
      </c>
      <c r="K59" s="649">
        <v>0</v>
      </c>
      <c r="L59" s="649">
        <v>0</v>
      </c>
      <c r="M59" s="649">
        <v>0</v>
      </c>
      <c r="N59" s="649">
        <v>0</v>
      </c>
      <c r="O59" s="649">
        <v>0</v>
      </c>
      <c r="P59" s="649">
        <v>0</v>
      </c>
      <c r="Q59" s="649">
        <v>0</v>
      </c>
      <c r="R59" s="649">
        <v>0</v>
      </c>
      <c r="S59" s="649">
        <v>0</v>
      </c>
      <c r="T59" s="649">
        <v>0</v>
      </c>
      <c r="U59" s="649">
        <v>0</v>
      </c>
      <c r="V59" s="649">
        <v>0</v>
      </c>
      <c r="W59" s="649">
        <v>0</v>
      </c>
      <c r="X59" s="649">
        <v>0</v>
      </c>
      <c r="Y59" s="649">
        <v>0</v>
      </c>
      <c r="Z59" s="649">
        <v>0</v>
      </c>
    </row>
    <row r="60" spans="1:26">
      <c r="A60" s="338"/>
      <c r="B60" s="338"/>
      <c r="C60" s="338"/>
      <c r="D60" s="338"/>
      <c r="E60" s="466"/>
      <c r="F60" s="466"/>
      <c r="G60" s="466"/>
      <c r="H60" s="466"/>
      <c r="I60" s="466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</row>
    <row r="61" spans="1:26">
      <c r="A61" s="338"/>
      <c r="B61" s="338" t="s">
        <v>156</v>
      </c>
      <c r="C61" s="338"/>
      <c r="D61" s="338"/>
      <c r="E61" s="465">
        <v>4</v>
      </c>
      <c r="F61" s="465">
        <f>Assumptions!$L$25</f>
        <v>4</v>
      </c>
      <c r="G61" s="465">
        <f>Assumptions!$L$25</f>
        <v>4</v>
      </c>
      <c r="H61" s="465">
        <f>Assumptions!$L$25</f>
        <v>4</v>
      </c>
      <c r="I61" s="465">
        <f>Assumptions!$L$25</f>
        <v>4</v>
      </c>
      <c r="J61" s="467"/>
      <c r="K61" s="467"/>
      <c r="L61" s="467"/>
      <c r="M61" s="467"/>
      <c r="N61" s="467"/>
      <c r="O61" s="467"/>
      <c r="P61" s="467"/>
      <c r="Q61" s="467"/>
      <c r="R61" s="467"/>
      <c r="S61" s="467"/>
      <c r="T61" s="467"/>
      <c r="U61" s="467"/>
      <c r="V61" s="467"/>
      <c r="W61" s="467"/>
      <c r="X61" s="467"/>
      <c r="Y61" s="467"/>
      <c r="Z61" s="467"/>
    </row>
    <row r="62" spans="1:26">
      <c r="A62" s="338"/>
      <c r="B62" s="338"/>
      <c r="C62" s="338"/>
      <c r="D62" s="338"/>
      <c r="E62" s="466"/>
      <c r="F62" s="466"/>
      <c r="G62" s="466"/>
      <c r="H62" s="466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</row>
    <row r="63" spans="1:26">
      <c r="A63" s="338"/>
      <c r="B63" s="468" t="s">
        <v>157</v>
      </c>
      <c r="C63" s="515">
        <f>C25</f>
        <v>1</v>
      </c>
      <c r="D63" s="470"/>
      <c r="E63" s="469">
        <v>4</v>
      </c>
      <c r="F63" s="469">
        <f>F61</f>
        <v>4</v>
      </c>
      <c r="G63" s="469">
        <f>G61</f>
        <v>4</v>
      </c>
      <c r="H63" s="469">
        <f>H61</f>
        <v>4</v>
      </c>
      <c r="I63" s="469">
        <f>CHOOSE($C$63,I57,I58,I59)</f>
        <v>6.2794012357916662</v>
      </c>
      <c r="J63" s="469">
        <f t="shared" ref="J63:Y63" si="9">CHOOSE($C$63,J57,J58,J59)</f>
        <v>6.4677832728654154</v>
      </c>
      <c r="K63" s="469">
        <f t="shared" si="9"/>
        <v>6.6618167710513783</v>
      </c>
      <c r="L63" s="469">
        <f t="shared" si="9"/>
        <v>6.7561071007339519</v>
      </c>
      <c r="M63" s="469">
        <f t="shared" si="9"/>
        <v>6.850059215103534</v>
      </c>
      <c r="N63" s="469">
        <f t="shared" si="9"/>
        <v>6.9435679599446294</v>
      </c>
      <c r="O63" s="469">
        <f t="shared" si="9"/>
        <v>7.036522176182598</v>
      </c>
      <c r="P63" s="469">
        <f t="shared" si="9"/>
        <v>7.1288044342308936</v>
      </c>
      <c r="Q63" s="469">
        <f t="shared" si="9"/>
        <v>7.2202907578035225</v>
      </c>
      <c r="R63" s="469">
        <f t="shared" si="9"/>
        <v>7.3108503367997031</v>
      </c>
      <c r="S63" s="469">
        <f t="shared" si="9"/>
        <v>7.2705146108035672</v>
      </c>
      <c r="T63" s="469">
        <f t="shared" si="9"/>
        <v>7.3549045125361081</v>
      </c>
      <c r="U63" s="469">
        <f t="shared" si="9"/>
        <v>7.4378143452228782</v>
      </c>
      <c r="V63" s="469">
        <f t="shared" si="9"/>
        <v>7.5190793538095724</v>
      </c>
      <c r="W63" s="469">
        <f t="shared" si="9"/>
        <v>7.5985262300007683</v>
      </c>
      <c r="X63" s="469">
        <f t="shared" si="9"/>
        <v>7.6759727473450061</v>
      </c>
      <c r="Y63" s="469">
        <f t="shared" si="9"/>
        <v>7.5962028344804393</v>
      </c>
      <c r="Z63" s="469">
        <f>CHOOSE($C$63,Z57,Z58,Z59)</f>
        <v>7.6644136354431218</v>
      </c>
    </row>
    <row r="64" spans="1:26">
      <c r="A64" s="338"/>
      <c r="B64" s="468"/>
      <c r="C64" s="470"/>
      <c r="D64" s="470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</row>
    <row r="65" spans="1:26">
      <c r="A65" s="338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>
      <c r="A69" s="338"/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>
      <c r="A70" s="338"/>
      <c r="B70" s="338"/>
      <c r="C70" s="470"/>
      <c r="D70" s="470"/>
      <c r="E70" s="474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</row>
    <row r="71" spans="1:26">
      <c r="A71" s="338"/>
      <c r="B71" s="338"/>
      <c r="C71" s="470"/>
      <c r="D71" s="470"/>
      <c r="E71" s="474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</row>
    <row r="72" spans="1:26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>
      <c r="A75" s="338"/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>
      <c r="A76" s="338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4">
      <c r="A81" s="338"/>
      <c r="B81" s="338"/>
      <c r="C81" s="338"/>
      <c r="D81" s="338"/>
    </row>
    <row r="82" spans="1:4">
      <c r="A82" s="338"/>
      <c r="B82" s="338"/>
      <c r="C82" s="338"/>
      <c r="D82" s="338"/>
    </row>
  </sheetData>
  <pageMargins left="0.18" right="0.17" top="0.37" bottom="0.4" header="0.17" footer="0.21"/>
  <pageSetup scale="49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5"/>
  <sheetViews>
    <sheetView zoomScale="75" zoomScaleNormal="75" workbookViewId="0">
      <selection activeCell="I6" sqref="I6"/>
    </sheetView>
  </sheetViews>
  <sheetFormatPr defaultRowHeight="13.2"/>
  <cols>
    <col min="1" max="1" width="76" customWidth="1"/>
    <col min="4" max="25" width="12.5546875" customWidth="1"/>
    <col min="26" max="27" width="12.5546875" style="295" customWidth="1"/>
  </cols>
  <sheetData>
    <row r="2" spans="1:27" ht="17.399999999999999">
      <c r="A2" s="126" t="s">
        <v>163</v>
      </c>
      <c r="B2" s="10"/>
    </row>
    <row r="4" spans="1:27" s="8" customFormat="1" ht="13.8" thickBot="1">
      <c r="A4" s="422" t="s">
        <v>164</v>
      </c>
      <c r="B4" s="9"/>
      <c r="C4" s="9"/>
      <c r="D4" s="9">
        <v>1999</v>
      </c>
      <c r="E4" s="9">
        <f t="shared" ref="E4:Y4" si="0">D4+1</f>
        <v>2000</v>
      </c>
      <c r="F4" s="9">
        <f t="shared" si="0"/>
        <v>2001</v>
      </c>
      <c r="G4" s="9">
        <f t="shared" si="0"/>
        <v>2002</v>
      </c>
      <c r="H4" s="9">
        <f>G4+1</f>
        <v>2003</v>
      </c>
      <c r="I4" s="9">
        <f>H4+1</f>
        <v>2004</v>
      </c>
      <c r="J4" s="9">
        <f t="shared" si="0"/>
        <v>2005</v>
      </c>
      <c r="K4" s="9">
        <f t="shared" si="0"/>
        <v>2006</v>
      </c>
      <c r="L4" s="9">
        <f t="shared" si="0"/>
        <v>2007</v>
      </c>
      <c r="M4" s="9">
        <f t="shared" si="0"/>
        <v>2008</v>
      </c>
      <c r="N4" s="9">
        <f t="shared" si="0"/>
        <v>2009</v>
      </c>
      <c r="O4" s="9">
        <f>N4+1</f>
        <v>2010</v>
      </c>
      <c r="P4" s="9">
        <f t="shared" si="0"/>
        <v>2011</v>
      </c>
      <c r="Q4" s="9">
        <f t="shared" si="0"/>
        <v>2012</v>
      </c>
      <c r="R4" s="9">
        <f t="shared" si="0"/>
        <v>2013</v>
      </c>
      <c r="S4" s="9">
        <f t="shared" si="0"/>
        <v>2014</v>
      </c>
      <c r="T4" s="9">
        <f t="shared" si="0"/>
        <v>2015</v>
      </c>
      <c r="U4" s="9">
        <f t="shared" si="0"/>
        <v>2016</v>
      </c>
      <c r="V4" s="9">
        <f t="shared" si="0"/>
        <v>2017</v>
      </c>
      <c r="W4" s="9">
        <f t="shared" si="0"/>
        <v>2018</v>
      </c>
      <c r="X4" s="9">
        <f t="shared" si="0"/>
        <v>2019</v>
      </c>
      <c r="Y4" s="9">
        <f t="shared" si="0"/>
        <v>2020</v>
      </c>
      <c r="Z4" s="11"/>
      <c r="AA4" s="11"/>
    </row>
    <row r="5" spans="1:27">
      <c r="A5" s="3"/>
    </row>
    <row r="6" spans="1:27">
      <c r="A6" s="1" t="s">
        <v>165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96"/>
      <c r="AA6" s="296"/>
    </row>
    <row r="7" spans="1:27">
      <c r="A7" s="575" t="s">
        <v>166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96"/>
      <c r="AA7" s="296"/>
    </row>
    <row r="8" spans="1:27">
      <c r="A8" s="4" t="s">
        <v>167</v>
      </c>
      <c r="D8" s="243">
        <f>Caledonia!E10+'New Albany'!E10+Brownsville!E10+Calvert!E10+Wheatland!E10+Wilton!E10</f>
        <v>0</v>
      </c>
      <c r="E8" s="243">
        <f>Caledonia!F10+'New Albany'!F10+Brownsville!F10+Calvert!F10+Wheatland!F10+Wilton!F10</f>
        <v>102116</v>
      </c>
      <c r="F8" s="243">
        <f>Caledonia!G10+'New Albany'!G10+Brownsville!G10+Calvert!G10+Wheatland!G10+Wilton!G10</f>
        <v>138336</v>
      </c>
      <c r="G8" s="243">
        <f>Caledonia!H10+'New Albany'!H10+Brownsville!H10+Calvert!H10+Wheatland!H10+Wilton!H10</f>
        <v>138336</v>
      </c>
      <c r="H8" s="243">
        <f>Caledonia!I10+'New Albany'!I10+Brownsville!I10+Calvert!I10+Wheatland!I10+Wilton!I10</f>
        <v>57640</v>
      </c>
      <c r="I8" s="243">
        <f>Caledonia!J10+'New Albany'!J10+Brownsville!J10+Calvert!J10+Wheatland!J10+Wilton!J10</f>
        <v>0</v>
      </c>
      <c r="J8" s="243">
        <f>Caledonia!K10+'New Albany'!K10+Brownsville!K10+Calvert!K10+Wheatland!K10+Wilton!K10</f>
        <v>0</v>
      </c>
      <c r="K8" s="243">
        <f>Caledonia!L10+'New Albany'!L10+Brownsville!L10+Calvert!L10+Wheatland!L10+Wilton!L10</f>
        <v>0</v>
      </c>
      <c r="L8" s="243">
        <f>Caledonia!M10+'New Albany'!M10+Brownsville!M10+Calvert!M10+Wheatland!M10+Wilton!M10</f>
        <v>0</v>
      </c>
      <c r="M8" s="243">
        <f>Caledonia!N10+'New Albany'!N10+Brownsville!N10+Calvert!N10+Wheatland!N10+Wilton!N10</f>
        <v>0</v>
      </c>
      <c r="N8" s="243">
        <f>Caledonia!O10+'New Albany'!O10+Brownsville!O10+Calvert!O10+Wheatland!O10+Wilton!O10</f>
        <v>0</v>
      </c>
      <c r="O8" s="243">
        <f>Caledonia!P10+'New Albany'!P10+Brownsville!P10+Calvert!P10+Wheatland!P10+Wilton!P10</f>
        <v>0</v>
      </c>
      <c r="P8" s="243">
        <f>Caledonia!Q10+'New Albany'!Q10+Brownsville!Q10+Calvert!Q10+Wheatland!Q10+Wilton!Q10</f>
        <v>0</v>
      </c>
      <c r="Q8" s="243">
        <f>Caledonia!R10+'New Albany'!R10+Brownsville!R10+Calvert!R10+Wheatland!R10+Wilton!R10</f>
        <v>0</v>
      </c>
      <c r="R8" s="243">
        <f>Caledonia!S10+'New Albany'!S10+Brownsville!S10+Calvert!S10+Wheatland!S10+Wilton!S10</f>
        <v>0</v>
      </c>
      <c r="S8" s="243">
        <f>Caledonia!T10+'New Albany'!T10+Brownsville!T10+Calvert!T10+Wheatland!T10+Wilton!T10</f>
        <v>0</v>
      </c>
      <c r="T8" s="243">
        <f>Caledonia!U10+'New Albany'!U10+Brownsville!U10+Calvert!U10+Wheatland!U10+Wilton!U10</f>
        <v>0</v>
      </c>
      <c r="U8" s="243">
        <f>Caledonia!V10+'New Albany'!V10+Brownsville!V10+Calvert!V10+Wheatland!V10+Wilton!V10</f>
        <v>0</v>
      </c>
      <c r="V8" s="243">
        <f>Caledonia!W10+'New Albany'!W10+Brownsville!W10+Calvert!W10+Wheatland!W10+Wilton!W10</f>
        <v>0</v>
      </c>
      <c r="W8" s="243">
        <f>Caledonia!X10+'New Albany'!X10+Brownsville!X10+Calvert!X10+Wheatland!X10+Wilton!X10</f>
        <v>0</v>
      </c>
      <c r="X8" s="243">
        <f>Caledonia!Y10+'New Albany'!Y10+Brownsville!Y10+Calvert!Y10+Wheatland!Y10+Wilton!Y10</f>
        <v>0</v>
      </c>
      <c r="Y8" s="243">
        <f>Caledonia!Z10+'New Albany'!Z10+Brownsville!Z10+Calvert!Z10+Wheatland!Z10+Wilton!Z10</f>
        <v>0</v>
      </c>
      <c r="Z8" s="296"/>
      <c r="AA8" s="296"/>
    </row>
    <row r="9" spans="1:27">
      <c r="A9" s="4" t="s">
        <v>168</v>
      </c>
      <c r="D9" s="243">
        <f>Caledonia!E11+'New Albany'!E11+Brownsville!E11+Calvert!E11+Wheatland!E11+Wilton!E11</f>
        <v>0</v>
      </c>
      <c r="E9" s="243">
        <f>Caledonia!F11+'New Albany'!F11+Brownsville!F11+Calvert!F11+Wheatland!F11+Wilton!F11</f>
        <v>3806.2811488194975</v>
      </c>
      <c r="F9" s="243">
        <f>Caledonia!G11+'New Albany'!G11+Brownsville!G11+Calvert!G11+Wheatland!G11+Wilton!G11</f>
        <v>3940.0963730716649</v>
      </c>
      <c r="G9" s="243">
        <f>Caledonia!H11+'New Albany'!H11+Brownsville!H11+Calvert!H11+Wheatland!H11+Wilton!H11</f>
        <v>4058.2992642638155</v>
      </c>
      <c r="H9" s="243">
        <f>Caledonia!I11+'New Albany'!I11+Brownsville!I11+Calvert!I11+Wheatland!I11+Wilton!I11</f>
        <v>1741.6867675798869</v>
      </c>
      <c r="I9" s="243">
        <f>Caledonia!J11+'New Albany'!J11+Brownsville!J11+Calvert!J11+Wheatland!J11+Wilton!J11</f>
        <v>0</v>
      </c>
      <c r="J9" s="243">
        <f>Caledonia!K11+'New Albany'!K11+Brownsville!K11+Calvert!K11+Wheatland!K11+Wilton!K11</f>
        <v>0</v>
      </c>
      <c r="K9" s="243">
        <f>Caledonia!L11+'New Albany'!L11+Brownsville!L11+Calvert!L11+Wheatland!L11+Wilton!L11</f>
        <v>0</v>
      </c>
      <c r="L9" s="243">
        <f>Caledonia!M11+'New Albany'!M11+Brownsville!M11+Calvert!M11+Wheatland!M11+Wilton!M11</f>
        <v>0</v>
      </c>
      <c r="M9" s="243">
        <f>Caledonia!N11+'New Albany'!N11+Brownsville!N11+Calvert!N11+Wheatland!N11+Wilton!N11</f>
        <v>0</v>
      </c>
      <c r="N9" s="243">
        <f>Caledonia!O11+'New Albany'!O11+Brownsville!O11+Calvert!O11+Wheatland!O11+Wilton!O11</f>
        <v>0</v>
      </c>
      <c r="O9" s="243">
        <f>Caledonia!P11+'New Albany'!P11+Brownsville!P11+Calvert!P11+Wheatland!P11+Wilton!P11</f>
        <v>0</v>
      </c>
      <c r="P9" s="243">
        <f>Caledonia!Q11+'New Albany'!Q11+Brownsville!Q11+Calvert!Q11+Wheatland!Q11+Wilton!Q11</f>
        <v>0</v>
      </c>
      <c r="Q9" s="243">
        <f>Caledonia!R11+'New Albany'!R11+Brownsville!R11+Calvert!R11+Wheatland!R11+Wilton!R11</f>
        <v>0</v>
      </c>
      <c r="R9" s="243">
        <f>Caledonia!S11+'New Albany'!S11+Brownsville!S11+Calvert!S11+Wheatland!S11+Wilton!S11</f>
        <v>0</v>
      </c>
      <c r="S9" s="243">
        <f>Caledonia!T11+'New Albany'!T11+Brownsville!T11+Calvert!T11+Wheatland!T11+Wilton!T11</f>
        <v>0</v>
      </c>
      <c r="T9" s="243">
        <f>Caledonia!U11+'New Albany'!U11+Brownsville!U11+Calvert!U11+Wheatland!U11+Wilton!U11</f>
        <v>0</v>
      </c>
      <c r="U9" s="243">
        <f>Caledonia!V11+'New Albany'!V11+Brownsville!V11+Calvert!V11+Wheatland!V11+Wilton!V11</f>
        <v>0</v>
      </c>
      <c r="V9" s="243">
        <f>Caledonia!W11+'New Albany'!W11+Brownsville!W11+Calvert!W11+Wheatland!W11+Wilton!W11</f>
        <v>0</v>
      </c>
      <c r="W9" s="243">
        <f>Caledonia!X11+'New Albany'!X11+Brownsville!X11+Calvert!X11+Wheatland!X11+Wilton!X11</f>
        <v>0</v>
      </c>
      <c r="X9" s="243">
        <f>Caledonia!Y11+'New Albany'!Y11+Brownsville!Y11+Calvert!Y11+Wheatland!Y11+Wilton!Y11</f>
        <v>0</v>
      </c>
      <c r="Y9" s="243">
        <f>Caledonia!Z11+'New Albany'!Z11+Brownsville!Z11+Calvert!Z11+Wheatland!Z11+Wilton!Z11</f>
        <v>0</v>
      </c>
      <c r="Z9" s="296"/>
      <c r="AA9" s="296"/>
    </row>
    <row r="10" spans="1:27">
      <c r="A10" s="4" t="s">
        <v>169</v>
      </c>
      <c r="D10" s="243">
        <f>Caledonia!E12+'New Albany'!E12+Brownsville!E12+Calvert!E12+Wheatland!E12+Wilton!E12</f>
        <v>0</v>
      </c>
      <c r="E10" s="243">
        <f>Caledonia!F12+'New Albany'!F12+Brownsville!F12+Calvert!F12+Wheatland!F12+Wilton!F12</f>
        <v>11171.0916</v>
      </c>
      <c r="F10" s="243">
        <f>Caledonia!G12+'New Albany'!G12+Brownsville!G12+Calvert!G12+Wheatland!G12+Wilton!G12</f>
        <v>11506.224348000002</v>
      </c>
      <c r="G10" s="243">
        <f>Caledonia!H12+'New Albany'!H12+Brownsville!H12+Calvert!H12+Wheatland!H12+Wilton!H12</f>
        <v>11851.41107844</v>
      </c>
      <c r="H10" s="243">
        <f>Caledonia!I12+'New Albany'!I12+Brownsville!I12+Calvert!I12+Wheatland!I12+Wilton!I12</f>
        <v>5086.2305878305006</v>
      </c>
      <c r="I10" s="243">
        <f>Caledonia!J12+'New Albany'!J12+Brownsville!J12+Calvert!J12+Wheatland!J12+Wilton!J12</f>
        <v>0</v>
      </c>
      <c r="J10" s="243">
        <f>Caledonia!K12+'New Albany'!K12+Brownsville!K12+Calvert!K12+Wheatland!K12+Wilton!K12</f>
        <v>0</v>
      </c>
      <c r="K10" s="243">
        <f>Caledonia!L12+'New Albany'!L12+Brownsville!L12+Calvert!L12+Wheatland!L12+Wilton!L12</f>
        <v>0</v>
      </c>
      <c r="L10" s="243">
        <f>Caledonia!M12+'New Albany'!M12+Brownsville!M12+Calvert!M12+Wheatland!M12+Wilton!M12</f>
        <v>0</v>
      </c>
      <c r="M10" s="243">
        <f>Caledonia!N12+'New Albany'!N12+Brownsville!N12+Calvert!N12+Wheatland!N12+Wilton!N12</f>
        <v>0</v>
      </c>
      <c r="N10" s="243">
        <f>Caledonia!O12+'New Albany'!O12+Brownsville!O12+Calvert!O12+Wheatland!O12+Wilton!O12</f>
        <v>0</v>
      </c>
      <c r="O10" s="243">
        <f>Caledonia!P12+'New Albany'!P12+Brownsville!P12+Calvert!P12+Wheatland!P12+Wilton!P12</f>
        <v>0</v>
      </c>
      <c r="P10" s="243">
        <f>Caledonia!Q12+'New Albany'!Q12+Brownsville!Q12+Calvert!Q12+Wheatland!Q12+Wilton!Q12</f>
        <v>0</v>
      </c>
      <c r="Q10" s="243">
        <f>Caledonia!R12+'New Albany'!R12+Brownsville!R12+Calvert!R12+Wheatland!R12+Wilton!R12</f>
        <v>0</v>
      </c>
      <c r="R10" s="243">
        <f>Caledonia!S12+'New Albany'!S12+Brownsville!S12+Calvert!S12+Wheatland!S12+Wilton!S12</f>
        <v>0</v>
      </c>
      <c r="S10" s="243">
        <f>Caledonia!T12+'New Albany'!T12+Brownsville!T12+Calvert!T12+Wheatland!T12+Wilton!T12</f>
        <v>0</v>
      </c>
      <c r="T10" s="243">
        <f>Caledonia!U12+'New Albany'!U12+Brownsville!U12+Calvert!U12+Wheatland!U12+Wilton!U12</f>
        <v>0</v>
      </c>
      <c r="U10" s="243">
        <f>Caledonia!V12+'New Albany'!V12+Brownsville!V12+Calvert!V12+Wheatland!V12+Wilton!V12</f>
        <v>0</v>
      </c>
      <c r="V10" s="243">
        <f>Caledonia!W12+'New Albany'!W12+Brownsville!W12+Calvert!W12+Wheatland!W12+Wilton!W12</f>
        <v>0</v>
      </c>
      <c r="W10" s="243">
        <f>Caledonia!X12+'New Albany'!X12+Brownsville!X12+Calvert!X12+Wheatland!X12+Wilton!X12</f>
        <v>0</v>
      </c>
      <c r="X10" s="243">
        <f>Caledonia!Y12+'New Albany'!Y12+Brownsville!Y12+Calvert!Y12+Wheatland!Y12+Wilton!Y12</f>
        <v>0</v>
      </c>
      <c r="Y10" s="243">
        <f>Caledonia!Z12+'New Albany'!Z12+Brownsville!Z12+Calvert!Z12+Wheatland!Z12+Wilton!Z12</f>
        <v>0</v>
      </c>
      <c r="Z10" s="296"/>
      <c r="AA10" s="296"/>
    </row>
    <row r="11" spans="1:27">
      <c r="A11" s="8"/>
      <c r="Z11" s="296"/>
      <c r="AA11" s="296"/>
    </row>
    <row r="12" spans="1:27">
      <c r="A12" s="575" t="s">
        <v>170</v>
      </c>
      <c r="Z12" s="296"/>
      <c r="AA12" s="296"/>
    </row>
    <row r="13" spans="1:27">
      <c r="A13" s="4" t="s">
        <v>167</v>
      </c>
      <c r="D13" s="243">
        <f>Caledonia!E15+'New Albany'!E15+Brownsville!E15+Calvert!E15+Wheatland!E15+Wilton!E15</f>
        <v>0</v>
      </c>
      <c r="E13" s="243">
        <f>Caledonia!F15+'New Albany'!F15+Brownsville!F15+Calvert!F15+Wheatland!F15+Wilton!F15</f>
        <v>0</v>
      </c>
      <c r="F13" s="243">
        <f>Caledonia!G15+'New Albany'!G15+Brownsville!G15+Calvert!G15+Wheatland!G15+Wilton!G15</f>
        <v>0</v>
      </c>
      <c r="G13" s="243">
        <f>Caledonia!H15+'New Albany'!H15+Brownsville!H15+Calvert!H15+Wheatland!H15+Wilton!H15</f>
        <v>0</v>
      </c>
      <c r="H13" s="243">
        <f>Caledonia!I15+'New Albany'!I15+Brownsville!I15+Calvert!I15+Wheatland!I15+Wilton!I15</f>
        <v>125188.07871530697</v>
      </c>
      <c r="I13" s="243">
        <f>Caledonia!J15+'New Albany'!J15+Brownsville!J15+Calvert!J15+Wheatland!J15+Wilton!J15</f>
        <v>218027.62736466824</v>
      </c>
      <c r="J13" s="243">
        <f>Caledonia!K15+'New Albany'!K15+Brownsville!K15+Calvert!K15+Wheatland!K15+Wilton!K15</f>
        <v>222245.68368872209</v>
      </c>
      <c r="K13" s="243">
        <f>Caledonia!L15+'New Albany'!L15+Brownsville!L15+Calvert!L15+Wheatland!L15+Wilton!L15</f>
        <v>224274.25723473643</v>
      </c>
      <c r="L13" s="243">
        <f>Caledonia!M15+'New Albany'!M15+Brownsville!M15+Calvert!M15+Wheatland!M15+Wilton!M15</f>
        <v>229523.19548411114</v>
      </c>
      <c r="M13" s="243">
        <f>Caledonia!N15+'New Albany'!N15+Brownsville!N15+Calvert!N15+Wheatland!N15+Wilton!N15</f>
        <v>232347.06697473206</v>
      </c>
      <c r="N13" s="243">
        <f>Caledonia!O15+'New Albany'!O15+Brownsville!O15+Calvert!O15+Wheatland!O15+Wilton!O15</f>
        <v>237748.10078772571</v>
      </c>
      <c r="O13" s="243">
        <f>Caledonia!P15+'New Albany'!P15+Brownsville!P15+Calvert!P15+Wheatland!P15+Wilton!P15</f>
        <v>240571.35433308437</v>
      </c>
      <c r="P13" s="243">
        <f>Caledonia!Q15+'New Albany'!Q15+Brownsville!Q15+Calvert!Q15+Wheatland!Q15+Wilton!Q15</f>
        <v>246123.54163467701</v>
      </c>
      <c r="Q13" s="243">
        <f>Caledonia!R15+'New Albany'!R15+Brownsville!R15+Calvert!R15+Wheatland!R15+Wilton!R15</f>
        <v>248935.62876621739</v>
      </c>
      <c r="R13" s="243">
        <f>Caledonia!S15+'New Albany'!S15+Brownsville!S15+Calvert!S15+Wheatland!S15+Wilton!S15</f>
        <v>250924.94841488657</v>
      </c>
      <c r="S13" s="243">
        <f>Caledonia!T15+'New Albany'!T15+Brownsville!T15+Calvert!T15+Wheatland!T15+Wilton!T15</f>
        <v>253602.66614557742</v>
      </c>
      <c r="T13" s="243">
        <f>Caledonia!U15+'New Albany'!U15+Brownsville!U15+Calvert!U15+Wheatland!U15+Wilton!U15</f>
        <v>256215.2144865364</v>
      </c>
      <c r="U13" s="243">
        <f>Caledonia!V15+'New Albany'!V15+Brownsville!V15+Calvert!V15+Wheatland!V15+Wilton!V15</f>
        <v>258756.2733284219</v>
      </c>
      <c r="V13" s="243">
        <f>Caledonia!W15+'New Albany'!W15+Brownsville!W15+Calvert!W15+Wheatland!W15+Wilton!W15</f>
        <v>261219.20200778267</v>
      </c>
      <c r="W13" s="243">
        <f>Caledonia!X15+'New Albany'!X15+Brownsville!X15+Calvert!X15+Wheatland!X15+Wilton!X15</f>
        <v>263597.02576190943</v>
      </c>
      <c r="X13" s="243">
        <f>Caledonia!Y15+'New Albany'!Y15+Brownsville!Y15+Calvert!Y15+Wheatland!Y15+Wilton!Y15</f>
        <v>263773.30859615316</v>
      </c>
      <c r="Y13" s="243">
        <f>Caledonia!Z15+'New Albany'!Z15+Brownsville!Z15+Calvert!Z15+Wheatland!Z15+Wilton!Z15</f>
        <v>265895.31753248925</v>
      </c>
      <c r="Z13" s="296"/>
      <c r="AA13" s="296"/>
    </row>
    <row r="14" spans="1:27">
      <c r="A14" s="4" t="s">
        <v>171</v>
      </c>
      <c r="D14" s="243">
        <f>Caledonia!E16+'New Albany'!E16+Brownsville!E16+Calvert!E16+Wheatland!E16+Wilton!E16</f>
        <v>0</v>
      </c>
      <c r="E14" s="243">
        <f>Caledonia!F16+'New Albany'!F16+Brownsville!F16+Calvert!F16+Wheatland!F16+Wilton!F16</f>
        <v>0</v>
      </c>
      <c r="F14" s="243">
        <f>Caledonia!G16+'New Albany'!G16+Brownsville!G16+Calvert!G16+Wheatland!G16+Wilton!G16</f>
        <v>0</v>
      </c>
      <c r="G14" s="243">
        <f>Caledonia!H16+'New Albany'!H16+Brownsville!H16+Calvert!H16+Wheatland!H16+Wilton!H16</f>
        <v>0</v>
      </c>
      <c r="H14" s="243">
        <f>Caledonia!I16+'New Albany'!I16+Brownsville!I16+Calvert!I16+Wheatland!I16+Wilton!I16</f>
        <v>4840.286965545416</v>
      </c>
      <c r="I14" s="243">
        <f>Caledonia!J16+'New Albany'!J16+Brownsville!J16+Calvert!J16+Wheatland!J16+Wilton!J16</f>
        <v>8788.0704416016488</v>
      </c>
      <c r="J14" s="243">
        <f>Caledonia!K16+'New Albany'!K16+Brownsville!K16+Calvert!K16+Wheatland!K16+Wilton!K16</f>
        <v>9051.7125548496988</v>
      </c>
      <c r="K14" s="243">
        <f>Caledonia!L16+'New Albany'!L16+Brownsville!L16+Calvert!L16+Wheatland!L16+Wilton!L16</f>
        <v>9323.2639314951903</v>
      </c>
      <c r="L14" s="243">
        <f>Caledonia!M16+'New Albany'!M16+Brownsville!M16+Calvert!M16+Wheatland!M16+Wilton!M16</f>
        <v>9602.9618494400456</v>
      </c>
      <c r="M14" s="243">
        <f>Caledonia!N16+'New Albany'!N16+Brownsville!N16+Calvert!N16+Wheatland!N16+Wilton!N16</f>
        <v>9891.0507049232456</v>
      </c>
      <c r="N14" s="243">
        <f>Caledonia!O16+'New Albany'!O16+Brownsville!O16+Calvert!O16+Wheatland!O16+Wilton!O16</f>
        <v>10187.782226070944</v>
      </c>
      <c r="O14" s="243">
        <f>Caledonia!P16+'New Albany'!P16+Brownsville!P16+Calvert!P16+Wheatland!P16+Wilton!P16</f>
        <v>10493.41569285307</v>
      </c>
      <c r="P14" s="243">
        <f>Caledonia!Q16+'New Albany'!Q16+Brownsville!Q16+Calvert!Q16+Wheatland!Q16+Wilton!Q16</f>
        <v>10808.218163638663</v>
      </c>
      <c r="Q14" s="243">
        <f>Caledonia!R16+'New Albany'!R16+Brownsville!R16+Calvert!R16+Wheatland!R16+Wilton!R16</f>
        <v>11132.464708547825</v>
      </c>
      <c r="R14" s="243">
        <f>Caledonia!S16+'New Albany'!S16+Brownsville!S16+Calvert!S16+Wheatland!S16+Wilton!S16</f>
        <v>11466.43864980426</v>
      </c>
      <c r="S14" s="243">
        <f>Caledonia!T16+'New Albany'!T16+Brownsville!T16+Calvert!T16+Wheatland!T16+Wilton!T16</f>
        <v>11810.431809298389</v>
      </c>
      <c r="T14" s="243">
        <f>Caledonia!U16+'New Albany'!U16+Brownsville!U16+Calvert!U16+Wheatland!U16+Wilton!U16</f>
        <v>12164.744763577339</v>
      </c>
      <c r="U14" s="243">
        <f>Caledonia!V16+'New Albany'!V16+Brownsville!V16+Calvert!V16+Wheatland!V16+Wilton!V16</f>
        <v>12529.687106484658</v>
      </c>
      <c r="V14" s="243">
        <f>Caledonia!W16+'New Albany'!W16+Brownsville!W16+Calvert!W16+Wheatland!W16+Wilton!W16</f>
        <v>12905.577719679199</v>
      </c>
      <c r="W14" s="243">
        <f>Caledonia!X16+'New Albany'!X16+Brownsville!X16+Calvert!X16+Wheatland!X16+Wilton!X16</f>
        <v>13292.745051269576</v>
      </c>
      <c r="X14" s="243">
        <f>Caledonia!Y16+'New Albany'!Y16+Brownsville!Y16+Calvert!Y16+Wheatland!Y16+Wilton!Y16</f>
        <v>13691.527402807664</v>
      </c>
      <c r="Y14" s="243">
        <f>Caledonia!Z16+'New Albany'!Z16+Brownsville!Z16+Calvert!Z16+Wheatland!Z16+Wilton!Z16</f>
        <v>14102.273224891895</v>
      </c>
      <c r="Z14" s="296"/>
      <c r="AA14" s="296"/>
    </row>
    <row r="15" spans="1:27">
      <c r="A15" s="4" t="s">
        <v>172</v>
      </c>
      <c r="D15" s="243">
        <f>Caledonia!E17+'New Albany'!E17+Brownsville!E17+Calvert!E17+Wheatland!E17+Wilton!E17</f>
        <v>0</v>
      </c>
      <c r="E15" s="243">
        <f>Caledonia!F17+'New Albany'!F17+Brownsville!F17+Calvert!F17+Wheatland!F17+Wilton!F17</f>
        <v>0</v>
      </c>
      <c r="F15" s="243">
        <f>Caledonia!G17+'New Albany'!G17+Brownsville!G17+Calvert!G17+Wheatland!G17+Wilton!G17</f>
        <v>0</v>
      </c>
      <c r="G15" s="243">
        <f>Caledonia!H17+'New Albany'!H17+Brownsville!H17+Calvert!H17+Wheatland!H17+Wilton!H17</f>
        <v>0</v>
      </c>
      <c r="H15" s="243">
        <f>Caledonia!I17+'New Albany'!I17+Brownsville!I17+Calvert!I17+Wheatland!I17+Wilton!I17</f>
        <v>42.527582159999994</v>
      </c>
      <c r="I15" s="243">
        <f>Caledonia!J17+'New Albany'!J17+Brownsville!J17+Calvert!J17+Wheatland!J17+Wilton!J17</f>
        <v>72.90442655999999</v>
      </c>
      <c r="J15" s="243">
        <f>Caledonia!K17+'New Albany'!K17+Brownsville!K17+Calvert!K17+Wheatland!K17+Wilton!K17</f>
        <v>72.90442655999999</v>
      </c>
      <c r="K15" s="243">
        <f>Caledonia!L17+'New Albany'!L17+Brownsville!L17+Calvert!L17+Wheatland!L17+Wilton!L17</f>
        <v>72.90442655999999</v>
      </c>
      <c r="L15" s="243">
        <f>Caledonia!M17+'New Albany'!M17+Brownsville!M17+Calvert!M17+Wheatland!M17+Wilton!M17</f>
        <v>72.90442655999999</v>
      </c>
      <c r="M15" s="243">
        <f>Caledonia!N17+'New Albany'!N17+Brownsville!N17+Calvert!N17+Wheatland!N17+Wilton!N17</f>
        <v>72.90442655999999</v>
      </c>
      <c r="N15" s="243">
        <f>Caledonia!O17+'New Albany'!O17+Brownsville!O17+Calvert!O17+Wheatland!O17+Wilton!O17</f>
        <v>72.90442655999999</v>
      </c>
      <c r="O15" s="243">
        <f>Caledonia!P17+'New Albany'!P17+Brownsville!P17+Calvert!P17+Wheatland!P17+Wilton!P17</f>
        <v>72.90442655999999</v>
      </c>
      <c r="P15" s="243">
        <f>Caledonia!Q17+'New Albany'!Q17+Brownsville!Q17+Calvert!Q17+Wheatland!Q17+Wilton!Q17</f>
        <v>72.90442655999999</v>
      </c>
      <c r="Q15" s="243">
        <f>Caledonia!R17+'New Albany'!R17+Brownsville!R17+Calvert!R17+Wheatland!R17+Wilton!R17</f>
        <v>72.90442655999999</v>
      </c>
      <c r="R15" s="243">
        <f>Caledonia!S17+'New Albany'!S17+Brownsville!S17+Calvert!S17+Wheatland!S17+Wilton!S17</f>
        <v>72.90442655999999</v>
      </c>
      <c r="S15" s="243">
        <f>Caledonia!T17+'New Albany'!T17+Brownsville!T17+Calvert!T17+Wheatland!T17+Wilton!T17</f>
        <v>72.90442655999999</v>
      </c>
      <c r="T15" s="243">
        <f>Caledonia!U17+'New Albany'!U17+Brownsville!U17+Calvert!U17+Wheatland!U17+Wilton!U17</f>
        <v>72.90442655999999</v>
      </c>
      <c r="U15" s="243">
        <f>Caledonia!V17+'New Albany'!V17+Brownsville!V17+Calvert!V17+Wheatland!V17+Wilton!V17</f>
        <v>72.90442655999999</v>
      </c>
      <c r="V15" s="243">
        <f>Caledonia!W17+'New Albany'!W17+Brownsville!W17+Calvert!W17+Wheatland!W17+Wilton!W17</f>
        <v>72.90442655999999</v>
      </c>
      <c r="W15" s="243">
        <f>Caledonia!X17+'New Albany'!X17+Brownsville!X17+Calvert!X17+Wheatland!X17+Wilton!X17</f>
        <v>72.90442655999999</v>
      </c>
      <c r="X15" s="243">
        <f>Caledonia!Y17+'New Albany'!Y17+Brownsville!Y17+Calvert!Y17+Wheatland!Y17+Wilton!Y17</f>
        <v>72.90442655999999</v>
      </c>
      <c r="Y15" s="243">
        <f>Caledonia!Z17+'New Albany'!Z17+Brownsville!Z17+Calvert!Z17+Wheatland!Z17+Wilton!Z17</f>
        <v>72.90442655999999</v>
      </c>
      <c r="Z15" s="296"/>
      <c r="AA15" s="296"/>
    </row>
    <row r="16" spans="1:27">
      <c r="A16" s="8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96"/>
      <c r="AA16" s="296"/>
    </row>
    <row r="17" spans="1:48">
      <c r="A17" s="8" t="s">
        <v>378</v>
      </c>
      <c r="D17" s="243">
        <v>0</v>
      </c>
      <c r="E17" s="243">
        <v>0</v>
      </c>
      <c r="F17" s="243">
        <v>0</v>
      </c>
      <c r="G17" s="243">
        <v>0</v>
      </c>
      <c r="H17" s="243">
        <v>0</v>
      </c>
      <c r="I17" s="243">
        <v>0</v>
      </c>
      <c r="J17" s="243">
        <v>0</v>
      </c>
      <c r="K17" s="243">
        <v>0</v>
      </c>
      <c r="L17" s="243">
        <v>0</v>
      </c>
      <c r="M17" s="243">
        <v>0</v>
      </c>
      <c r="N17" s="243">
        <v>0</v>
      </c>
      <c r="O17" s="243">
        <v>0</v>
      </c>
      <c r="P17" s="243">
        <v>0</v>
      </c>
      <c r="Q17" s="243">
        <v>0</v>
      </c>
      <c r="R17" s="243">
        <v>0</v>
      </c>
      <c r="S17" s="243">
        <v>0</v>
      </c>
      <c r="T17" s="243">
        <v>0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96"/>
      <c r="AA17" s="296"/>
    </row>
    <row r="18" spans="1:48">
      <c r="A18" s="4" t="s">
        <v>432</v>
      </c>
      <c r="D18" s="576">
        <f>Caledonia!E19+'New Albany'!E19+Brownsville!E19+Calvert!E19+Wheatland!E19+Wilton!E19</f>
        <v>0</v>
      </c>
      <c r="E18" s="576">
        <f ca="1">Caledonia!F19+'New Albany'!F19+Brownsville!F19+Calvert!F19+Wheatland!F19+Wilton!F19</f>
        <v>1103.000162558589</v>
      </c>
      <c r="F18" s="576">
        <f>Caledonia!G19+'New Albany'!G19+Brownsville!G19+Calvert!G19+Wheatland!G19+Wilton!G19</f>
        <v>1506.1613520602382</v>
      </c>
      <c r="G18" s="576">
        <f>Caledonia!H19+'New Albany'!H19+Brownsville!H19+Calvert!H19+Wheatland!H19+Wilton!H19</f>
        <v>1499.7045054858302</v>
      </c>
      <c r="H18" s="576">
        <f>Caledonia!I19+'New Albany'!I19+Brownsville!I19+Calvert!I19+Wheatland!I19+Wilton!I19</f>
        <v>1967.8664934630203</v>
      </c>
      <c r="I18" s="576">
        <f>Caledonia!J19+'New Albany'!J19+Brownsville!J19+Calvert!J19+Wheatland!J19+Wilton!J19</f>
        <v>2346.8806892359294</v>
      </c>
      <c r="J18" s="576">
        <f>Caledonia!K19+'New Albany'!K19+Brownsville!K19+Calvert!K19+Wheatland!K19+Wilton!K19</f>
        <v>2389.8763369559133</v>
      </c>
      <c r="K18" s="576">
        <f>Caledonia!L19+'New Albany'!L19+Brownsville!L19+Calvert!L19+Wheatland!L19+Wilton!L19</f>
        <v>2404.6395371036697</v>
      </c>
      <c r="L18" s="576">
        <f>Caledonia!M19+'New Albany'!M19+Brownsville!M19+Calvert!M19+Wheatland!M19+Wilton!M19</f>
        <v>2459.1436023150181</v>
      </c>
      <c r="M18" s="576">
        <f>Caledonia!N19+'New Albany'!N19+Brownsville!N19+Calvert!N19+Wheatland!N19+Wilton!N19</f>
        <v>2483.515410904185</v>
      </c>
      <c r="N18" s="576">
        <f>Caledonia!O19+'New Albany'!O19+Brownsville!O19+Calvert!O19+Wheatland!O19+Wilton!O19</f>
        <v>2541.2708302361116</v>
      </c>
      <c r="O18" s="576">
        <f>Caledonia!P19+'New Albany'!P19+Brownsville!P19+Calvert!P19+Wheatland!P19+Wilton!P19</f>
        <v>2551.0644638339977</v>
      </c>
      <c r="P18" s="576">
        <f>Caledonia!Q19+'New Albany'!Q19+Brownsville!Q19+Calvert!Q19+Wheatland!Q19+Wilton!Q19</f>
        <v>2609.9328743621327</v>
      </c>
      <c r="Q18" s="576">
        <f>Caledonia!R19+'New Albany'!R19+Brownsville!R19+Calvert!R19+Wheatland!R19+Wilton!R19</f>
        <v>2635.7594097374322</v>
      </c>
      <c r="R18" s="576">
        <f>Caledonia!S19+'New Albany'!S19+Brownsville!S19+Calvert!S19+Wheatland!S19+Wilton!S19</f>
        <v>2652.1600607100472</v>
      </c>
      <c r="S18" s="576">
        <f>Caledonia!T19+'New Albany'!T19+Brownsville!T19+Calvert!T19+Wheatland!T19+Wilton!T19</f>
        <v>2672.3143615699692</v>
      </c>
      <c r="T18" s="576">
        <f>Caledonia!U19+'New Albany'!U19+Brownsville!U19+Calvert!U19+Wheatland!U19+Wilton!U19</f>
        <v>2695.9997256532984</v>
      </c>
      <c r="U18" s="576">
        <f>Caledonia!V19+'New Albany'!V19+Brownsville!V19+Calvert!V19+Wheatland!V19+Wilton!V19</f>
        <v>2719.6771146257292</v>
      </c>
      <c r="V18" s="576">
        <f>Caledonia!W19+'New Albany'!W19+Brownsville!W19+Calvert!W19+Wheatland!W19+Wilton!W19</f>
        <v>2742.9542970953335</v>
      </c>
      <c r="W18" s="576">
        <f>Caledonia!X19+'New Albany'!X19+Brownsville!X19+Calvert!X19+Wheatland!X19+Wilton!X19</f>
        <v>2762.9140879416223</v>
      </c>
      <c r="X18" s="576">
        <f>Caledonia!Y19+'New Albany'!Y19+Brownsville!Y19+Calvert!Y19+Wheatland!Y19+Wilton!Y19</f>
        <v>2754.0120234768501</v>
      </c>
      <c r="Y18" s="576">
        <f>Caledonia!Z19+'New Albany'!Z19+Brownsville!Z19+Calvert!Z19+Wheatland!Z19+Wilton!Z19</f>
        <v>2790.3050814932235</v>
      </c>
      <c r="Z18" s="296"/>
      <c r="AA18" s="296"/>
    </row>
    <row r="19" spans="1:48">
      <c r="A19" s="4" t="s">
        <v>174</v>
      </c>
      <c r="D19" s="243">
        <f t="shared" ref="D19:Y19" si="1">SUM(D8:D18)</f>
        <v>0</v>
      </c>
      <c r="E19" s="243">
        <f t="shared" ca="1" si="1"/>
        <v>118196.37291137809</v>
      </c>
      <c r="F19" s="243">
        <f t="shared" si="1"/>
        <v>155288.48207313189</v>
      </c>
      <c r="G19" s="243">
        <f t="shared" si="1"/>
        <v>155745.41484818966</v>
      </c>
      <c r="H19" s="243">
        <f t="shared" si="1"/>
        <v>196506.67711188577</v>
      </c>
      <c r="I19" s="243">
        <f t="shared" si="1"/>
        <v>229235.48292206583</v>
      </c>
      <c r="J19" s="243">
        <f t="shared" si="1"/>
        <v>233760.17700708768</v>
      </c>
      <c r="K19" s="243">
        <f t="shared" si="1"/>
        <v>236075.06512989532</v>
      </c>
      <c r="L19" s="243">
        <f t="shared" si="1"/>
        <v>241658.2053624262</v>
      </c>
      <c r="M19" s="243">
        <f t="shared" si="1"/>
        <v>244794.53751711952</v>
      </c>
      <c r="N19" s="243">
        <f t="shared" si="1"/>
        <v>250550.05827059277</v>
      </c>
      <c r="O19" s="243">
        <f t="shared" si="1"/>
        <v>253688.73891633144</v>
      </c>
      <c r="P19" s="243">
        <f t="shared" si="1"/>
        <v>259614.59709923781</v>
      </c>
      <c r="Q19" s="243">
        <f t="shared" si="1"/>
        <v>262776.75731106265</v>
      </c>
      <c r="R19" s="243">
        <f t="shared" si="1"/>
        <v>265116.45155196084</v>
      </c>
      <c r="S19" s="243">
        <f t="shared" si="1"/>
        <v>268158.31674300577</v>
      </c>
      <c r="T19" s="243">
        <f t="shared" si="1"/>
        <v>271148.86340232706</v>
      </c>
      <c r="U19" s="243">
        <f t="shared" si="1"/>
        <v>274078.54197609227</v>
      </c>
      <c r="V19" s="243">
        <f t="shared" si="1"/>
        <v>276940.63845111721</v>
      </c>
      <c r="W19" s="243">
        <f t="shared" si="1"/>
        <v>279725.58932768065</v>
      </c>
      <c r="X19" s="243">
        <f t="shared" si="1"/>
        <v>280291.75244899763</v>
      </c>
      <c r="Y19" s="243">
        <f t="shared" si="1"/>
        <v>282860.80026543437</v>
      </c>
      <c r="Z19" s="296"/>
      <c r="AA19" s="296"/>
    </row>
    <row r="20" spans="1:48">
      <c r="A20" s="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97"/>
      <c r="AA20" s="297"/>
    </row>
    <row r="21" spans="1:48">
      <c r="A21" s="5"/>
      <c r="Z21" s="296"/>
      <c r="AA21" s="296"/>
    </row>
    <row r="22" spans="1:48">
      <c r="A22" s="1" t="s">
        <v>175</v>
      </c>
      <c r="Z22" s="296"/>
      <c r="AA22" s="296"/>
    </row>
    <row r="23" spans="1:48">
      <c r="A23" s="4" t="s">
        <v>176</v>
      </c>
      <c r="D23" s="243">
        <f>Wheatland!E24+'New Albany'!E24+Wilton!E24+Calvert!E24+Brownsville!E24+Caledonia!E24</f>
        <v>0</v>
      </c>
      <c r="E23" s="243">
        <f>Wheatland!F24+'New Albany'!F24+Wilton!F24+Calvert!F24+Brownsville!F24+Caledonia!F24</f>
        <v>0</v>
      </c>
      <c r="F23" s="243">
        <f>Wheatland!G24+'New Albany'!G24+Wilton!G24+Calvert!G24+Brownsville!G24+Caledonia!G24</f>
        <v>0</v>
      </c>
      <c r="G23" s="243">
        <f>Wheatland!H24+'New Albany'!H24+Wilton!H24+Calvert!H24+Brownsville!H24+Caledonia!H24</f>
        <v>0</v>
      </c>
      <c r="H23" s="243">
        <f>Wheatland!I24+'New Albany'!I24+Wilton!I24+Calvert!I24+Brownsville!I24+Caledonia!I24</f>
        <v>0</v>
      </c>
      <c r="I23" s="243">
        <f>Wheatland!J24+'New Albany'!J24+Wilton!J24+Calvert!J24+Brownsville!J24+Caledonia!J24</f>
        <v>0</v>
      </c>
      <c r="J23" s="243">
        <f>Wheatland!K24+'New Albany'!K24+Wilton!K24+Calvert!K24+Brownsville!K24+Caledonia!K24</f>
        <v>0</v>
      </c>
      <c r="K23" s="243">
        <f>Wheatland!L24+'New Albany'!L24+Wilton!L24+Calvert!L24+Brownsville!L24+Caledonia!L24</f>
        <v>0</v>
      </c>
      <c r="L23" s="243">
        <f>Wheatland!M24+'New Albany'!M24+Wilton!M24+Calvert!M24+Brownsville!M24+Caledonia!M24</f>
        <v>0</v>
      </c>
      <c r="M23" s="243">
        <f>Wheatland!N24+'New Albany'!N24+Wilton!N24+Calvert!N24+Brownsville!N24+Caledonia!N24</f>
        <v>0</v>
      </c>
      <c r="N23" s="243">
        <f>Wheatland!O24+'New Albany'!O24+Wilton!O24+Calvert!O24+Brownsville!O24+Caledonia!O24</f>
        <v>0</v>
      </c>
      <c r="O23" s="243">
        <f>Wheatland!P24+'New Albany'!P24+Wilton!P24+Calvert!P24+Brownsville!P24+Caledonia!P24</f>
        <v>0</v>
      </c>
      <c r="P23" s="243">
        <f>Wheatland!Q24+'New Albany'!Q24+Wilton!Q24+Calvert!Q24+Brownsville!Q24+Caledonia!Q24</f>
        <v>0</v>
      </c>
      <c r="Q23" s="243">
        <f>Wheatland!R24+'New Albany'!R24+Wilton!R24+Calvert!R24+Brownsville!R24+Caledonia!R24</f>
        <v>0</v>
      </c>
      <c r="R23" s="243">
        <f>Wheatland!S24+'New Albany'!S24+Wilton!S24+Calvert!S24+Brownsville!S24+Caledonia!S24</f>
        <v>0</v>
      </c>
      <c r="S23" s="243">
        <f>Wheatland!T24+'New Albany'!T24+Wilton!T24+Calvert!T24+Brownsville!T24+Caledonia!T24</f>
        <v>0</v>
      </c>
      <c r="T23" s="243">
        <f>Wheatland!U24+'New Albany'!U24+Wilton!U24+Calvert!U24+Brownsville!U24+Caledonia!U24</f>
        <v>0</v>
      </c>
      <c r="U23" s="243">
        <f>Wheatland!V24+'New Albany'!V24+Wilton!V24+Calvert!V24+Brownsville!V24+Caledonia!V24</f>
        <v>0</v>
      </c>
      <c r="V23" s="243">
        <f>Wheatland!W24+'New Albany'!W24+Wilton!W24+Calvert!W24+Brownsville!W24+Caledonia!W24</f>
        <v>0</v>
      </c>
      <c r="W23" s="243">
        <f>Wheatland!X24+'New Albany'!X24+Wilton!X24+Calvert!X24+Brownsville!X24+Caledonia!X24</f>
        <v>0</v>
      </c>
      <c r="X23" s="243">
        <f>Wheatland!Y24+'New Albany'!Y24+Wilton!Y24+Calvert!Y24+Brownsville!Y24+Caledonia!Y24</f>
        <v>0</v>
      </c>
      <c r="Y23" s="243">
        <f>Wheatland!Z24+'New Albany'!Z24+Wilton!Z24+Calvert!Z24+Brownsville!Z24+Caledonia!Z24</f>
        <v>0</v>
      </c>
      <c r="Z23" s="296"/>
      <c r="AA23" s="296"/>
    </row>
    <row r="24" spans="1:48">
      <c r="A24" s="4" t="s">
        <v>128</v>
      </c>
      <c r="C24" s="243"/>
      <c r="D24" s="243">
        <f>Wheatland!E25+'New Albany'!E25+Wilton!E25+Calvert!E25+Brownsville!E25+Caledonia!E25</f>
        <v>0</v>
      </c>
      <c r="E24" s="243">
        <f>Wheatland!F25+'New Albany'!F25+Wilton!F25+Calvert!F25+Brownsville!F25+Caledonia!F25</f>
        <v>4214.6315933333335</v>
      </c>
      <c r="F24" s="243">
        <f>Wheatland!G25+'New Albany'!G25+Wilton!G25+Calvert!G25+Brownsville!G25+Caledonia!G25</f>
        <v>5928.6189828000006</v>
      </c>
      <c r="G24" s="243">
        <f>Wheatland!H25+'New Albany'!H25+Wilton!H25+Calvert!H25+Brownsville!H25+Caledonia!H25</f>
        <v>6106.4775522840009</v>
      </c>
      <c r="H24" s="243">
        <f>Wheatland!I25+'New Albany'!I25+Wilton!I25+Calvert!I25+Brownsville!I25+Caledonia!I25</f>
        <v>6289.6718788525204</v>
      </c>
      <c r="I24" s="243">
        <f>Wheatland!J25+'New Albany'!J25+Wilton!J25+Calvert!J25+Brownsville!J25+Caledonia!J25</f>
        <v>6478.362035218096</v>
      </c>
      <c r="J24" s="243">
        <f>Wheatland!K25+'New Albany'!K25+Wilton!K25+Calvert!K25+Brownsville!K25+Caledonia!K25</f>
        <v>6672.7128962746392</v>
      </c>
      <c r="K24" s="243">
        <f>Wheatland!L25+'New Albany'!L25+Wilton!L25+Calvert!L25+Brownsville!L25+Caledonia!L25</f>
        <v>6872.8942831628774</v>
      </c>
      <c r="L24" s="243">
        <f>Wheatland!M25+'New Albany'!M25+Wilton!M25+Calvert!M25+Brownsville!M25+Caledonia!M25</f>
        <v>7079.0811116577643</v>
      </c>
      <c r="M24" s="243">
        <f>Wheatland!N25+'New Albany'!N25+Wilton!N25+Calvert!N25+Brownsville!N25+Caledonia!N25</f>
        <v>7291.4535450074973</v>
      </c>
      <c r="N24" s="243">
        <f>Wheatland!O25+'New Albany'!O25+Wilton!O25+Calvert!O25+Brownsville!O25+Caledonia!O25</f>
        <v>7510.1971513577228</v>
      </c>
      <c r="O24" s="243">
        <f>Wheatland!P25+'New Albany'!P25+Wilton!P25+Calvert!P25+Brownsville!P25+Caledonia!P25</f>
        <v>7735.503065898456</v>
      </c>
      <c r="P24" s="243">
        <f>Wheatland!Q25+'New Albany'!Q25+Wilton!Q25+Calvert!Q25+Brownsville!Q25+Caledonia!Q25</f>
        <v>7967.5681578754093</v>
      </c>
      <c r="Q24" s="243">
        <f>Wheatland!R25+'New Albany'!R25+Wilton!R25+Calvert!R25+Brownsville!R25+Caledonia!R25</f>
        <v>8206.5952026116702</v>
      </c>
      <c r="R24" s="243">
        <f>Wheatland!S25+'New Albany'!S25+Wilton!S25+Calvert!S25+Brownsville!S25+Caledonia!S25</f>
        <v>8452.793058690022</v>
      </c>
      <c r="S24" s="243">
        <f>Wheatland!T25+'New Albany'!T25+Wilton!T25+Calvert!T25+Brownsville!T25+Caledonia!T25</f>
        <v>8706.3768504507207</v>
      </c>
      <c r="T24" s="243">
        <f>Wheatland!U25+'New Albany'!U25+Wilton!U25+Calvert!U25+Brownsville!U25+Caledonia!U25</f>
        <v>8967.5681559642435</v>
      </c>
      <c r="U24" s="243">
        <f>Wheatland!V25+'New Albany'!V25+Wilton!V25+Calvert!V25+Brownsville!V25+Caledonia!V25</f>
        <v>9236.5952006431708</v>
      </c>
      <c r="V24" s="243">
        <f>Wheatland!W25+'New Albany'!W25+Wilton!W25+Calvert!W25+Brownsville!W25+Caledonia!W25</f>
        <v>9513.6930566624669</v>
      </c>
      <c r="W24" s="243">
        <f>Wheatland!X25+'New Albany'!X25+Wilton!X25+Calvert!X25+Brownsville!X25+Caledonia!X25</f>
        <v>9799.1038483623415</v>
      </c>
      <c r="X24" s="243">
        <f>Wheatland!Y25+'New Albany'!Y25+Wilton!Y25+Calvert!Y25+Brownsville!Y25+Caledonia!Y25</f>
        <v>10093.076963813211</v>
      </c>
      <c r="Y24" s="243">
        <f>Wheatland!Z25+'New Albany'!Z25+Wilton!Z25+Calvert!Z25+Brownsville!Z25+Caledonia!Z25</f>
        <v>10395.869272727607</v>
      </c>
      <c r="Z24" s="296"/>
      <c r="AA24" s="296"/>
    </row>
    <row r="25" spans="1:48">
      <c r="A25" s="4" t="s">
        <v>177</v>
      </c>
      <c r="C25" s="243"/>
      <c r="D25" s="243">
        <f>Wheatland!E26+'New Albany'!E26+Wilton!E26+Calvert!E26+Brownsville!E26+Caledonia!E26</f>
        <v>0</v>
      </c>
      <c r="E25" s="243">
        <f>Wheatland!F26+'New Albany'!F26+Wilton!F26+Calvert!F26+Brownsville!F26+Caledonia!F26</f>
        <v>3806.2811488194975</v>
      </c>
      <c r="F25" s="243">
        <f>Wheatland!G26+'New Albany'!G26+Wilton!G26+Calvert!G26+Brownsville!G26+Caledonia!G26</f>
        <v>3940.0963730716653</v>
      </c>
      <c r="G25" s="243">
        <f>Wheatland!H26+'New Albany'!H26+Wilton!H26+Calvert!H26+Brownsville!H26+Caledonia!H26</f>
        <v>4058.2992642638151</v>
      </c>
      <c r="H25" s="243">
        <f>Wheatland!I26+'New Albany'!I26+Wilton!I26+Calvert!I26+Brownsville!I26+Caledonia!I26</f>
        <v>4345.1750410916366</v>
      </c>
      <c r="I25" s="243">
        <f>Wheatland!J26+'New Albany'!J26+Wilton!J26+Calvert!J26+Brownsville!J26+Caledonia!J26</f>
        <v>4597.0164372293166</v>
      </c>
      <c r="J25" s="243">
        <f>Wheatland!K26+'New Albany'!K26+Wilton!K26+Calvert!K26+Brownsville!K26+Caledonia!K26</f>
        <v>4734.9269303461961</v>
      </c>
      <c r="K25" s="243">
        <f>Wheatland!L26+'New Albany'!L26+Wilton!L26+Calvert!L26+Brownsville!L26+Caledonia!L26</f>
        <v>4876.974738256582</v>
      </c>
      <c r="L25" s="243">
        <f>Wheatland!M26+'New Albany'!M26+Wilton!M26+Calvert!M26+Brownsville!M26+Caledonia!M26</f>
        <v>5023.2839804042796</v>
      </c>
      <c r="M25" s="243">
        <f>Wheatland!N26+'New Albany'!N26+Wilton!N26+Calvert!N26+Brownsville!N26+Caledonia!N26</f>
        <v>5173.9824998164077</v>
      </c>
      <c r="N25" s="243">
        <f>Wheatland!O26+'New Albany'!O26+Wilton!O26+Calvert!O26+Brownsville!O26+Caledonia!O26</f>
        <v>5329.2019748109005</v>
      </c>
      <c r="O25" s="243">
        <f>Wheatland!P26+'New Albany'!P26+Wilton!P26+Calvert!P26+Brownsville!P26+Caledonia!P26</f>
        <v>5489.0780340552274</v>
      </c>
      <c r="P25" s="243">
        <f>Wheatland!Q26+'New Albany'!Q26+Wilton!Q26+Calvert!Q26+Brownsville!Q26+Caledonia!Q26</f>
        <v>5653.7503750768847</v>
      </c>
      <c r="Q25" s="243">
        <f>Wheatland!R26+'New Albany'!R26+Wilton!R26+Calvert!R26+Brownsville!R26+Caledonia!R26</f>
        <v>5823.3628863291906</v>
      </c>
      <c r="R25" s="243">
        <f>Wheatland!S26+'New Albany'!S26+Wilton!S26+Calvert!S26+Brownsville!S26+Caledonia!S26</f>
        <v>5998.0637729190676</v>
      </c>
      <c r="S25" s="243">
        <f>Wheatland!T26+'New Albany'!T26+Wilton!T26+Calvert!T26+Brownsville!T26+Caledonia!T26</f>
        <v>6178.0056861066387</v>
      </c>
      <c r="T25" s="243">
        <f>Wheatland!U26+'New Albany'!U26+Wilton!U26+Calvert!U26+Brownsville!U26+Caledonia!U26</f>
        <v>6363.3458566898389</v>
      </c>
      <c r="U25" s="243">
        <f>Wheatland!V26+'New Albany'!V26+Wilton!V26+Calvert!V26+Brownsville!V26+Caledonia!V26</f>
        <v>6554.2462323905329</v>
      </c>
      <c r="V25" s="243">
        <f>Wheatland!W26+'New Albany'!W26+Wilton!W26+Calvert!W26+Brownsville!W26+Caledonia!W26</f>
        <v>6750.8736193622499</v>
      </c>
      <c r="W25" s="243">
        <f>Wheatland!X26+'New Albany'!X26+Wilton!X26+Calvert!X26+Brownsville!X26+Caledonia!X26</f>
        <v>6953.3998279431171</v>
      </c>
      <c r="X25" s="243">
        <f>Wheatland!Y26+'New Albany'!Y26+Wilton!Y26+Calvert!Y26+Brownsville!Y26+Caledonia!Y26</f>
        <v>7162.0018227814107</v>
      </c>
      <c r="Y25" s="243">
        <f>Wheatland!Z26+'New Albany'!Z26+Wilton!Z26+Calvert!Z26+Brownsville!Z26+Caledonia!Z26</f>
        <v>7376.8618774648539</v>
      </c>
      <c r="Z25" s="296"/>
      <c r="AA25" s="296"/>
    </row>
    <row r="26" spans="1:48">
      <c r="A26" s="4" t="s">
        <v>131</v>
      </c>
      <c r="C26" s="243"/>
      <c r="D26" s="243">
        <f>Wheatland!E27+'New Albany'!E27+Wilton!E27+Calvert!E27+Brownsville!E27+Caledonia!E27</f>
        <v>0</v>
      </c>
      <c r="E26" s="243">
        <f>Wheatland!F27+'New Albany'!F27+Wilton!F27+Calvert!F27+Brownsville!F27+Caledonia!F27</f>
        <v>11171.091600000002</v>
      </c>
      <c r="F26" s="243">
        <f>Wheatland!G27+'New Albany'!G27+Wilton!G27+Calvert!G27+Brownsville!G27+Caledonia!G27</f>
        <v>11506.224348000002</v>
      </c>
      <c r="G26" s="243">
        <f>Wheatland!H27+'New Albany'!H27+Wilton!H27+Calvert!H27+Brownsville!H27+Caledonia!H27</f>
        <v>11851.411078439998</v>
      </c>
      <c r="H26" s="243">
        <f>Wheatland!I27+'New Albany'!I27+Wilton!I27+Calvert!I27+Brownsville!I27+Caledonia!I27</f>
        <v>12206.953410793201</v>
      </c>
      <c r="I26" s="243">
        <f>Wheatland!J27+'New Albany'!J27+Wilton!J27+Calvert!J27+Brownsville!J27+Caledonia!J27</f>
        <v>12573.162013116997</v>
      </c>
      <c r="J26" s="243">
        <f>Wheatland!K27+'New Albany'!K27+Wilton!K27+Calvert!K27+Brownsville!K27+Caledonia!K27</f>
        <v>12950.356873510509</v>
      </c>
      <c r="K26" s="243">
        <f>Wheatland!L27+'New Albany'!L27+Wilton!L27+Calvert!L27+Brownsville!L27+Caledonia!L27</f>
        <v>13338.867579715825</v>
      </c>
      <c r="L26" s="243">
        <f>Wheatland!M27+'New Albany'!M27+Wilton!M27+Calvert!M27+Brownsville!M27+Caledonia!M27</f>
        <v>13739.033607107298</v>
      </c>
      <c r="M26" s="243">
        <f>Wheatland!N27+'New Albany'!N27+Wilton!N27+Calvert!N27+Brownsville!N27+Caledonia!N27</f>
        <v>14151.204615320519</v>
      </c>
      <c r="N26" s="243">
        <f>Wheatland!O27+'New Albany'!O27+Wilton!O27+Calvert!O27+Brownsville!O27+Caledonia!O27</f>
        <v>14575.740753780134</v>
      </c>
      <c r="O26" s="243">
        <f>Wheatland!P27+'New Albany'!P27+Wilton!P27+Calvert!P27+Brownsville!P27+Caledonia!P27</f>
        <v>15013.012976393538</v>
      </c>
      <c r="P26" s="243">
        <f>Wheatland!Q27+'New Albany'!Q27+Wilton!Q27+Calvert!Q27+Brownsville!Q27+Caledonia!Q27</f>
        <v>15463.403365685344</v>
      </c>
      <c r="Q26" s="243">
        <f>Wheatland!R27+'New Albany'!R27+Wilton!R27+Calvert!R27+Brownsville!R27+Caledonia!R27</f>
        <v>15927.305466655906</v>
      </c>
      <c r="R26" s="243">
        <f>Wheatland!S27+'New Albany'!S27+Wilton!S27+Calvert!S27+Brownsville!S27+Caledonia!S27</f>
        <v>16405.124630655584</v>
      </c>
      <c r="S26" s="243">
        <f>Wheatland!T27+'New Albany'!T27+Wilton!T27+Calvert!T27+Brownsville!T27+Caledonia!T27</f>
        <v>16897.278369575251</v>
      </c>
      <c r="T26" s="243">
        <f>Wheatland!U27+'New Albany'!U27+Wilton!U27+Calvert!U27+Brownsville!U27+Caledonia!U27</f>
        <v>17404.196720662512</v>
      </c>
      <c r="U26" s="243">
        <f>Wheatland!V27+'New Albany'!V27+Wilton!V27+Calvert!V27+Brownsville!V27+Caledonia!V27</f>
        <v>17926.322622282383</v>
      </c>
      <c r="V26" s="243">
        <f>Wheatland!W27+'New Albany'!W27+Wilton!W27+Calvert!W27+Brownsville!W27+Caledonia!W27</f>
        <v>18464.112300950859</v>
      </c>
      <c r="W26" s="243">
        <f>Wheatland!X27+'New Albany'!X27+Wilton!X27+Calvert!X27+Brownsville!X27+Caledonia!X27</f>
        <v>19018.035669979385</v>
      </c>
      <c r="X26" s="243">
        <f>Wheatland!Y27+'New Albany'!Y27+Wilton!Y27+Calvert!Y27+Brownsville!Y27+Caledonia!Y27</f>
        <v>19588.576740078766</v>
      </c>
      <c r="Y26" s="243">
        <f>Wheatland!Z27+'New Albany'!Z27+Wilton!Z27+Calvert!Z27+Brownsville!Z27+Caledonia!Z27</f>
        <v>20176.234042281128</v>
      </c>
      <c r="Z26" s="296"/>
      <c r="AA26" s="296"/>
    </row>
    <row r="27" spans="1:48">
      <c r="A27" s="4" t="s">
        <v>133</v>
      </c>
      <c r="C27" s="243"/>
      <c r="D27" s="243">
        <f>Wheatland!E28+'New Albany'!E28+Wilton!E28+Calvert!E28+Brownsville!E28+Caledonia!E28</f>
        <v>0</v>
      </c>
      <c r="E27" s="243">
        <f>Wheatland!F28+'New Albany'!F28+Wilton!F28+Calvert!F28+Brownsville!F28+Caledonia!F28</f>
        <v>1175.9097999999999</v>
      </c>
      <c r="F27" s="243">
        <f>Wheatland!G28+'New Albany'!G28+Wilton!G28+Calvert!G28+Brownsville!G28+Caledonia!G28</f>
        <v>1647.7474440000001</v>
      </c>
      <c r="G27" s="243">
        <f>Wheatland!H28+'New Albany'!H28+Wilton!H28+Calvert!H28+Brownsville!H28+Caledonia!H28</f>
        <v>1697.1798673200001</v>
      </c>
      <c r="H27" s="243">
        <f>Wheatland!I28+'New Albany'!I28+Wilton!I28+Calvert!I28+Brownsville!I28+Caledonia!I28</f>
        <v>1748.0952633396</v>
      </c>
      <c r="I27" s="243">
        <f>Wheatland!J28+'New Albany'!J28+Wilton!J28+Calvert!J28+Brownsville!J28+Caledonia!J28</f>
        <v>1800.5381212397881</v>
      </c>
      <c r="J27" s="243">
        <f>Wheatland!K28+'New Albany'!K28+Wilton!K28+Calvert!K28+Brownsville!K28+Caledonia!K28</f>
        <v>1854.5542648769817</v>
      </c>
      <c r="K27" s="243">
        <f>Wheatland!L28+'New Albany'!L28+Wilton!L28+Calvert!L28+Brownsville!L28+Caledonia!L28</f>
        <v>1910.1908928232913</v>
      </c>
      <c r="L27" s="243">
        <f>Wheatland!M28+'New Albany'!M28+Wilton!M28+Calvert!M28+Brownsville!M28+Caledonia!M28</f>
        <v>1967.4966196079902</v>
      </c>
      <c r="M27" s="243">
        <f>Wheatland!N28+'New Albany'!N28+Wilton!N28+Calvert!N28+Brownsville!N28+Caledonia!N28</f>
        <v>2026.5215181962299</v>
      </c>
      <c r="N27" s="243">
        <f>Wheatland!O28+'New Albany'!O28+Wilton!O28+Calvert!O28+Brownsville!O28+Caledonia!O28</f>
        <v>2087.3171637421169</v>
      </c>
      <c r="O27" s="243">
        <f>Wheatland!P28+'New Albany'!P28+Wilton!P28+Calvert!P28+Brownsville!P28+Caledonia!P28</f>
        <v>2149.9366786543801</v>
      </c>
      <c r="P27" s="243">
        <f>Wheatland!Q28+'New Albany'!Q28+Wilton!Q28+Calvert!Q28+Brownsville!Q28+Caledonia!Q28</f>
        <v>2214.4347790140114</v>
      </c>
      <c r="Q27" s="243">
        <f>Wheatland!R28+'New Albany'!R28+Wilton!R28+Calvert!R28+Brownsville!R28+Caledonia!R28</f>
        <v>2280.8678223844317</v>
      </c>
      <c r="R27" s="243">
        <f>Wheatland!S28+'New Albany'!S28+Wilton!S28+Calvert!S28+Brownsville!S28+Caledonia!S28</f>
        <v>2349.293857055965</v>
      </c>
      <c r="S27" s="243">
        <f>Wheatland!T28+'New Albany'!T28+Wilton!T28+Calvert!T28+Brownsville!T28+Caledonia!T28</f>
        <v>2419.7726727676441</v>
      </c>
      <c r="T27" s="243">
        <f>Wheatland!U28+'New Albany'!U28+Wilton!U28+Calvert!U28+Brownsville!U28+Caledonia!U28</f>
        <v>2492.3658529506733</v>
      </c>
      <c r="U27" s="243">
        <f>Wheatland!V28+'New Albany'!V28+Wilton!V28+Calvert!V28+Brownsville!V28+Caledonia!V28</f>
        <v>2567.1368285391936</v>
      </c>
      <c r="V27" s="243">
        <f>Wheatland!W28+'New Albany'!W28+Wilton!W28+Calvert!W28+Brownsville!W28+Caledonia!W28</f>
        <v>2644.15093339537</v>
      </c>
      <c r="W27" s="243">
        <f>Wheatland!X28+'New Albany'!X28+Wilton!X28+Calvert!X28+Brownsville!X28+Caledonia!X28</f>
        <v>2723.4754613972309</v>
      </c>
      <c r="X27" s="243">
        <f>Wheatland!Y28+'New Albany'!Y28+Wilton!Y28+Calvert!Y28+Brownsville!Y28+Caledonia!Y28</f>
        <v>2805.179725239148</v>
      </c>
      <c r="Y27" s="243">
        <f>Wheatland!Z28+'New Albany'!Z28+Wilton!Z28+Calvert!Z28+Brownsville!Z28+Caledonia!Z28</f>
        <v>2889.3351169963221</v>
      </c>
      <c r="Z27" s="296"/>
      <c r="AA27" s="296"/>
    </row>
    <row r="28" spans="1:48">
      <c r="A28" s="4" t="s">
        <v>134</v>
      </c>
      <c r="C28" s="243"/>
      <c r="D28" s="294">
        <f>Wheatland!E29+'New Albany'!E29+Wilton!E29+Calvert!E29+Brownsville!E29+Caledonia!E29</f>
        <v>0</v>
      </c>
      <c r="E28" s="294">
        <f>Wheatland!F29+'New Albany'!F29+Wilton!F29+Calvert!F29+Brownsville!F29+Caledonia!F29</f>
        <v>1784.6789056666667</v>
      </c>
      <c r="F28" s="294">
        <f>Wheatland!G29+'New Albany'!G29+Wilton!G29+Calvert!G29+Brownsville!G29+Caledonia!G29</f>
        <v>2401.11513117</v>
      </c>
      <c r="G28" s="294">
        <f>Wheatland!H29+'New Albany'!H29+Wilton!H29+Calvert!H29+Brownsville!H29+Caledonia!H29</f>
        <v>2473.1485851051002</v>
      </c>
      <c r="H28" s="294">
        <f>Wheatland!I29+'New Albany'!I29+Wilton!I29+Calvert!I29+Brownsville!I29+Caledonia!I29</f>
        <v>2547.3430426582531</v>
      </c>
      <c r="I28" s="294">
        <f>Wheatland!J29+'New Albany'!J29+Wilton!J29+Calvert!J29+Brownsville!J29+Caledonia!J29</f>
        <v>2623.7633339380004</v>
      </c>
      <c r="J28" s="294">
        <f>Wheatland!K29+'New Albany'!K29+Wilton!K29+Calvert!K29+Brownsville!K29+Caledonia!K29</f>
        <v>2702.4762339561403</v>
      </c>
      <c r="K28" s="294">
        <f>Wheatland!L29+'New Albany'!L29+Wilton!L29+Calvert!L29+Brownsville!L29+Caledonia!L29</f>
        <v>2783.5505209748253</v>
      </c>
      <c r="L28" s="294">
        <f>Wheatland!M29+'New Albany'!M29+Wilton!M29+Calvert!M29+Brownsville!M29+Caledonia!M29</f>
        <v>2867.0570366040697</v>
      </c>
      <c r="M28" s="294">
        <f>Wheatland!N29+'New Albany'!N29+Wilton!N29+Calvert!N29+Brownsville!N29+Caledonia!N29</f>
        <v>2953.068747702192</v>
      </c>
      <c r="N28" s="294">
        <f>Wheatland!O29+'New Albany'!O29+Wilton!O29+Calvert!O29+Brownsville!O29+Caledonia!O29</f>
        <v>3041.6608101332577</v>
      </c>
      <c r="O28" s="294">
        <f>Wheatland!P29+'New Albany'!P29+Wilton!P29+Calvert!P29+Brownsville!P29+Caledonia!P29</f>
        <v>3132.9106344372553</v>
      </c>
      <c r="P28" s="294">
        <f>Wheatland!Q29+'New Albany'!Q29+Wilton!Q29+Calvert!Q29+Brownsville!Q29+Caledonia!Q29</f>
        <v>3226.8979534703731</v>
      </c>
      <c r="Q28" s="294">
        <f>Wheatland!R29+'New Albany'!R29+Wilton!R29+Calvert!R29+Brownsville!R29+Caledonia!R29</f>
        <v>3323.7048920744846</v>
      </c>
      <c r="R28" s="294">
        <f>Wheatland!S29+'New Albany'!S29+Wilton!S29+Calvert!S29+Brownsville!S29+Caledonia!S29</f>
        <v>3423.4160388367191</v>
      </c>
      <c r="S28" s="294">
        <f>Wheatland!T29+'New Albany'!T29+Wilton!T29+Calvert!T29+Brownsville!T29+Caledonia!T29</f>
        <v>3526.1185200018208</v>
      </c>
      <c r="T28" s="294">
        <f>Wheatland!U29+'New Albany'!U29+Wilton!U29+Calvert!U29+Brownsville!U29+Caledonia!U29</f>
        <v>3631.9020756018754</v>
      </c>
      <c r="U28" s="294">
        <f>Wheatland!V29+'New Albany'!V29+Wilton!V29+Calvert!V29+Brownsville!V29+Caledonia!V29</f>
        <v>3740.8591378699321</v>
      </c>
      <c r="V28" s="294">
        <f>Wheatland!W29+'New Albany'!W29+Wilton!W29+Calvert!W29+Brownsville!W29+Caledonia!W29</f>
        <v>3853.0849120060302</v>
      </c>
      <c r="W28" s="294">
        <f>Wheatland!X29+'New Albany'!X29+Wilton!X29+Calvert!X29+Brownsville!X29+Caledonia!X29</f>
        <v>3968.6774593662108</v>
      </c>
      <c r="X28" s="294">
        <f>Wheatland!Y29+'New Albany'!Y29+Wilton!Y29+Calvert!Y29+Brownsville!Y29+Caledonia!Y29</f>
        <v>4087.7377831471972</v>
      </c>
      <c r="Y28" s="294">
        <f>Wheatland!Z29+'New Albany'!Z29+Wilton!Z29+Calvert!Z29+Brownsville!Z29+Caledonia!Z29</f>
        <v>4210.3699166416136</v>
      </c>
      <c r="Z28" s="297"/>
      <c r="AA28" s="297"/>
    </row>
    <row r="29" spans="1:48">
      <c r="A29" s="4" t="s">
        <v>178</v>
      </c>
      <c r="C29" s="243"/>
      <c r="D29" s="294">
        <f>Wheatland!E30+'New Albany'!E30+Wilton!E30+Calvert!E30+Brownsville!E30+Caledonia!E30</f>
        <v>0</v>
      </c>
      <c r="E29" s="294">
        <f>Wheatland!F30+'New Albany'!F30+Wilton!F30+Calvert!F30+Brownsville!F30+Caledonia!F30</f>
        <v>456.82666090000004</v>
      </c>
      <c r="F29" s="294">
        <f>Wheatland!G30+'New Albany'!G30+Wilton!G30+Calvert!G30+Brownsville!G30+Caledonia!G30</f>
        <v>470.53146072699997</v>
      </c>
      <c r="G29" s="294">
        <f>Wheatland!H30+'New Albany'!H30+Wilton!H30+Calvert!H30+Brownsville!H30+Caledonia!H30</f>
        <v>484.64740454880996</v>
      </c>
      <c r="H29" s="294">
        <f>Wheatland!I30+'New Albany'!I30+Wilton!I30+Calvert!I30+Brownsville!I30+Caledonia!I30</f>
        <v>499.18682668527435</v>
      </c>
      <c r="I29" s="294">
        <f>Wheatland!J30+'New Albany'!J30+Wilton!J30+Calvert!J30+Brownsville!J30+Caledonia!J30</f>
        <v>514.1624314858326</v>
      </c>
      <c r="J29" s="294">
        <f>Wheatland!K30+'New Albany'!K30+Wilton!K30+Calvert!K30+Brownsville!K30+Caledonia!K30</f>
        <v>529.58730443040758</v>
      </c>
      <c r="K29" s="294">
        <f>Wheatland!L30+'New Albany'!L30+Wilton!L30+Calvert!L30+Brownsville!L30+Caledonia!L30</f>
        <v>545.47492356331986</v>
      </c>
      <c r="L29" s="294">
        <f>Wheatland!M30+'New Albany'!M30+Wilton!M30+Calvert!M30+Brownsville!M30+Caledonia!M30</f>
        <v>561.83917127021937</v>
      </c>
      <c r="M29" s="294">
        <f>Wheatland!N30+'New Albany'!N30+Wilton!N30+Calvert!N30+Brownsville!N30+Caledonia!N30</f>
        <v>578.69434640832594</v>
      </c>
      <c r="N29" s="294">
        <f>Wheatland!O30+'New Albany'!O30+Wilton!O30+Calvert!O30+Brownsville!O30+Caledonia!O30</f>
        <v>596.05517680057574</v>
      </c>
      <c r="O29" s="294">
        <f>Wheatland!P30+'New Albany'!P30+Wilton!P30+Calvert!P30+Brownsville!P30+Caledonia!P30</f>
        <v>613.93683210459312</v>
      </c>
      <c r="P29" s="294">
        <f>Wheatland!Q30+'New Albany'!Q30+Wilton!Q30+Calvert!Q30+Brownsville!Q30+Caledonia!Q30</f>
        <v>632.35493706773082</v>
      </c>
      <c r="Q29" s="294">
        <f>Wheatland!R30+'New Albany'!R30+Wilton!R30+Calvert!R30+Brownsville!R30+Caledonia!R30</f>
        <v>651.32558517976281</v>
      </c>
      <c r="R29" s="294">
        <f>Wheatland!S30+'New Albany'!S30+Wilton!S30+Calvert!S30+Brownsville!S30+Caledonia!S30</f>
        <v>670.86535273515574</v>
      </c>
      <c r="S29" s="294">
        <f>Wheatland!T30+'New Albany'!T30+Wilton!T30+Calvert!T30+Brownsville!T30+Caledonia!T30</f>
        <v>690.99131331721048</v>
      </c>
      <c r="T29" s="294">
        <f>Wheatland!U30+'New Albany'!U30+Wilton!U30+Calvert!U30+Brownsville!U30+Caledonia!U30</f>
        <v>711.72105271672672</v>
      </c>
      <c r="U29" s="294">
        <f>Wheatland!V30+'New Albany'!V30+Wilton!V30+Calvert!V30+Brownsville!V30+Caledonia!V30</f>
        <v>733.07268429822864</v>
      </c>
      <c r="V29" s="294">
        <f>Wheatland!W30+'New Albany'!W30+Wilton!W30+Calvert!W30+Brownsville!W30+Caledonia!W30</f>
        <v>755.06486482717548</v>
      </c>
      <c r="W29" s="294">
        <f>Wheatland!X30+'New Albany'!X30+Wilton!X30+Calvert!X30+Brownsville!X30+Caledonia!X30</f>
        <v>777.71681077199082</v>
      </c>
      <c r="X29" s="294">
        <f>Wheatland!Y30+'New Albany'!Y30+Wilton!Y30+Calvert!Y30+Brownsville!Y30+Caledonia!Y30</f>
        <v>801.04831509515043</v>
      </c>
      <c r="Y29" s="294">
        <f>Wheatland!Z30+'New Albany'!Z30+Wilton!Z30+Calvert!Z30+Brownsville!Z30+Caledonia!Z30</f>
        <v>825.07976454800496</v>
      </c>
      <c r="Z29" s="297"/>
      <c r="AA29" s="297"/>
    </row>
    <row r="30" spans="1:48" ht="14.25" customHeight="1">
      <c r="A30" s="4" t="s">
        <v>179</v>
      </c>
      <c r="C30" s="243"/>
      <c r="D30" s="293">
        <f>Wheatland!E31+'New Albany'!E31+Wilton!E31+Calvert!E31+Brownsville!E31+Caledonia!E31</f>
        <v>0</v>
      </c>
      <c r="E30" s="293">
        <f>Wheatland!F31+'New Albany'!F31+Wilton!F31+Calvert!F31+Brownsville!F31+Caledonia!F31</f>
        <v>2250.4146846410899</v>
      </c>
      <c r="F30" s="293">
        <f>Wheatland!G31+'New Albany'!G31+Wilton!G31+Calvert!G31+Brownsville!G31+Caledonia!G31</f>
        <v>2659.8661473730554</v>
      </c>
      <c r="G30" s="293">
        <f>Wheatland!H31+'New Albany'!H31+Wilton!H31+Calvert!H31+Brownsville!H31+Caledonia!H31</f>
        <v>2788.3452248063268</v>
      </c>
      <c r="H30" s="293">
        <f>Wheatland!I31+'New Albany'!I31+Wilton!I31+Calvert!I31+Brownsville!I31+Caledonia!I31</f>
        <v>3075.1682451940724</v>
      </c>
      <c r="I30" s="243">
        <f>Wheatland!J31+'New Albany'!J31+Wilton!J31+Calvert!J31+Brownsville!J31+Caledonia!J31</f>
        <v>3334.211590529444</v>
      </c>
      <c r="J30" s="243">
        <f>Wheatland!K31+'New Albany'!K31+Wilton!K31+Calvert!K31+Brownsville!K31+Caledonia!K31</f>
        <v>3357.0499052715859</v>
      </c>
      <c r="K30" s="243">
        <f>Wheatland!L31+'New Albany'!L31+Wilton!L31+Calvert!L31+Brownsville!L31+Caledonia!L31</f>
        <v>3426.3342620010553</v>
      </c>
      <c r="L30" s="243">
        <f>Wheatland!M31+'New Albany'!M31+Wilton!M31+Calvert!M31+Brownsville!M31+Caledonia!M31</f>
        <v>3513.3671216796065</v>
      </c>
      <c r="M30" s="243">
        <f>Wheatland!N31+'New Albany'!N31+Wilton!N31+Calvert!N31+Brownsville!N31+Caledonia!N31</f>
        <v>3561.8663471951636</v>
      </c>
      <c r="N30" s="243">
        <f>Wheatland!O31+'New Albany'!O31+Wilton!O31+Calvert!O31+Brownsville!O31+Caledonia!O31</f>
        <v>3492.0702083235842</v>
      </c>
      <c r="O30" s="243">
        <f>Wheatland!P31+'New Albany'!P31+Wilton!P31+Calvert!P31+Brownsville!P31+Caledonia!P31</f>
        <v>4893.6761938588697</v>
      </c>
      <c r="P30" s="243">
        <f>Wheatland!Q31+'New Albany'!Q31+Wilton!Q31+Calvert!Q31+Brownsville!Q31+Caledonia!Q31</f>
        <v>4905.2812296083239</v>
      </c>
      <c r="Q30" s="243">
        <f>Wheatland!R31+'New Albany'!R31+Wilton!R31+Calvert!R31+Brownsville!R31+Caledonia!R31</f>
        <v>4725.8609275410563</v>
      </c>
      <c r="R30" s="243">
        <f>Wheatland!S31+'New Albany'!S31+Wilton!S31+Calvert!S31+Brownsville!S31+Caledonia!S31</f>
        <v>4477.5238199515597</v>
      </c>
      <c r="S30" s="243">
        <f>Wheatland!T31+'New Albany'!T31+Wilton!T31+Calvert!T31+Brownsville!T31+Caledonia!T31</f>
        <v>4588.8185935155025</v>
      </c>
      <c r="T30" s="243">
        <f>Wheatland!U31+'New Albany'!U31+Wilton!U31+Calvert!U31+Brownsville!U31+Caledonia!U31</f>
        <v>4306.3897004296323</v>
      </c>
      <c r="U30" s="243">
        <f>Wheatland!V31+'New Albany'!V31+Wilton!V31+Calvert!V31+Brownsville!V31+Caledonia!V31</f>
        <v>3991.5626060290651</v>
      </c>
      <c r="V30" s="243">
        <f>Wheatland!W31+'New Albany'!W31+Wilton!W31+Calvert!W31+Brownsville!W31+Caledonia!W31</f>
        <v>3642.7430354935659</v>
      </c>
      <c r="W30" s="243">
        <f>Wheatland!X31+'New Albany'!X31+Wilton!X31+Calvert!X31+Brownsville!X31+Caledonia!X31</f>
        <v>3529.9665774648447</v>
      </c>
      <c r="X30" s="243">
        <f>Wheatland!Y31+'New Albany'!Y31+Wilton!Y31+Calvert!Y31+Brownsville!Y31+Caledonia!Y31</f>
        <v>3485.6959004242221</v>
      </c>
      <c r="Y30" s="243">
        <f>Wheatland!Z31+'New Albany'!Z31+Wilton!Z31+Calvert!Z31+Brownsville!Z31+Caledonia!Z31</f>
        <v>1527.1126876764897</v>
      </c>
      <c r="Z30" s="296"/>
      <c r="AA30" s="296"/>
    </row>
    <row r="31" spans="1:48">
      <c r="A31" s="23" t="s">
        <v>90</v>
      </c>
      <c r="C31" s="243"/>
      <c r="D31" s="293">
        <v>0</v>
      </c>
      <c r="E31" s="293">
        <f ca="1">Assumptions!$B$33*MAX(Debt!C106:$V$106)</f>
        <v>2247.6040704949737</v>
      </c>
      <c r="F31" s="293">
        <f>Assumptions!$B$33*MAX(Debt!D106:$V$106)</f>
        <v>2247.6040704949737</v>
      </c>
      <c r="G31" s="293">
        <f>Assumptions!$B$33*MAX(Debt!E106:$V$106)</f>
        <v>2247.6040704949737</v>
      </c>
      <c r="H31" s="293">
        <f>Assumptions!$B$33*MAX(Debt!F106:$V$106)</f>
        <v>2247.6040704949737</v>
      </c>
      <c r="I31" s="293">
        <f>Assumptions!$B$33*MAX(Debt!G106:$V$106)</f>
        <v>1830.3253380583003</v>
      </c>
      <c r="J31" s="293">
        <f>Assumptions!$B$33*MAX(Debt!H106:$V$106)</f>
        <v>1830.3253380583003</v>
      </c>
      <c r="K31" s="293">
        <f>Assumptions!$B$33*MAX(Debt!I106:$V$106)</f>
        <v>1830.3253380583003</v>
      </c>
      <c r="L31" s="293">
        <f>Assumptions!$B$33*MAX(Debt!J106:$V$106)</f>
        <v>1830.3253380583003</v>
      </c>
      <c r="M31" s="293">
        <f>Assumptions!$B$33*MAX(Debt!K106:$V$106)</f>
        <v>1830.3253380583003</v>
      </c>
      <c r="N31" s="293">
        <f>Assumptions!$B$33*MAX(Debt!L106:$V$106)</f>
        <v>1830.3253380583003</v>
      </c>
      <c r="O31" s="293">
        <f>Assumptions!$B$33*MAX(Debt!M106:$V$106)</f>
        <v>1592.5739125803352</v>
      </c>
      <c r="P31" s="293">
        <f>Assumptions!$B$33*MAX(Debt!N106:$V$106)</f>
        <v>1521.4977897781641</v>
      </c>
      <c r="Q31" s="293">
        <f>Assumptions!$B$33*MAX(Debt!O106:$V$106)</f>
        <v>1517.631280575441</v>
      </c>
      <c r="R31" s="293">
        <f>Assumptions!$B$33*MAX(Debt!P106:$V$106)</f>
        <v>1486.1073128549408</v>
      </c>
      <c r="S31" s="293">
        <f>Assumptions!$B$33*MAX(Debt!Q106:$V$106)</f>
        <v>1454.3436956330474</v>
      </c>
      <c r="T31" s="293">
        <f>Assumptions!$B$33*MAX(Debt!R106:$V$106)</f>
        <v>1439.0740222897562</v>
      </c>
      <c r="U31" s="293">
        <f>Assumptions!$B$33*MAX(Debt!S106:$V$106)</f>
        <v>1354.8885266380189</v>
      </c>
      <c r="V31" s="293">
        <f>Assumptions!$B$33*MAX(Debt!T106:$V$106)</f>
        <v>1227.205455398233</v>
      </c>
      <c r="W31" s="293">
        <f>Assumptions!$B$33*MAX(Debt!U106:$V$106)</f>
        <v>1011.4479745759472</v>
      </c>
      <c r="X31" s="293">
        <f>Assumptions!$B$33*MAX(Debt!$V106:V$106)</f>
        <v>801.30498500899807</v>
      </c>
      <c r="Y31" s="293">
        <f>Assumptions!$B$33*MAX(Debt!$V106:W$106)</f>
        <v>801.30498500899807</v>
      </c>
      <c r="Z31" s="296"/>
      <c r="AA31" s="293">
        <f>Assumptions!$B$33*MAX(Debt!$V106:Y$106)/2*(13-MONTH(Assumptions!$C$17))/12</f>
        <v>400.65249250449898</v>
      </c>
      <c r="AB31" s="293">
        <f>Assumptions!$B$33*MAX(Debt!$V106:Z$106)</f>
        <v>801.30498500899807</v>
      </c>
      <c r="AC31" s="293">
        <f>Assumptions!$B$33*MAX(Debt!$V106:AA$106)</f>
        <v>801.30498500899807</v>
      </c>
      <c r="AD31" s="293">
        <f>Assumptions!$B$33*MAX(Debt!$V106:AB$106)</f>
        <v>801.30498500899807</v>
      </c>
      <c r="AE31" s="293">
        <f>Assumptions!$B$33*MAX(Debt!$V106:AC$106)</f>
        <v>801.30498500899807</v>
      </c>
      <c r="AF31" s="293">
        <f>Assumptions!$B$33*MAX(Debt!$V106:AD$106)</f>
        <v>801.30498500899807</v>
      </c>
      <c r="AG31" s="293">
        <f>Assumptions!$B$33*MAX(Debt!$V106:AE$106)</f>
        <v>801.30498500899807</v>
      </c>
      <c r="AH31" s="293">
        <f>Assumptions!$B$33*MAX(Debt!$V106:AF$106)</f>
        <v>801.30498500899807</v>
      </c>
      <c r="AI31" s="293">
        <f>Assumptions!$B$33*MAX(Debt!$V106:AG$106)</f>
        <v>801.30498500899807</v>
      </c>
      <c r="AJ31" s="293">
        <f>Assumptions!$B$33*MAX(Debt!$V106:AH$106)</f>
        <v>801.30498500899807</v>
      </c>
      <c r="AK31" s="293">
        <f>Assumptions!$B$33*MAX(Debt!$V106:AI$106)</f>
        <v>801.30498500899807</v>
      </c>
      <c r="AL31" s="293">
        <f>Assumptions!$B$33*MAX(Debt!$V106:AJ$106)</f>
        <v>801.30498500899807</v>
      </c>
      <c r="AM31" s="293">
        <f>Assumptions!$B$33*MAX(Debt!$V106:AK$106)</f>
        <v>801.30498500899807</v>
      </c>
      <c r="AN31" s="293">
        <f>Assumptions!$B$33*MAX(Debt!$V106:AL$106)</f>
        <v>801.30498500899807</v>
      </c>
      <c r="AO31" s="293">
        <f>Assumptions!$B$33*MAX(Debt!$V106:AM$106)</f>
        <v>801.30498500899807</v>
      </c>
      <c r="AP31" s="293">
        <f>Assumptions!$B$33*MAX(Debt!$V106:AN$106)</f>
        <v>801.30498500899807</v>
      </c>
      <c r="AQ31" s="293">
        <f>Assumptions!$B$33*MAX(Debt!$V106:AO$106)</f>
        <v>801.30498500899807</v>
      </c>
      <c r="AR31" s="293">
        <f>Assumptions!$B$33*MAX(Debt!$V106:AP$106)</f>
        <v>801.30498500899807</v>
      </c>
      <c r="AS31" s="293">
        <f>Assumptions!$B$33*MAX(Debt!$V106:AQ$106)</f>
        <v>801.30498500899807</v>
      </c>
      <c r="AT31" s="293">
        <f>Assumptions!$B$33*MAX(Debt!$V106:AR$106)</f>
        <v>801.30498500899807</v>
      </c>
      <c r="AU31" s="293">
        <f>Assumptions!$B$33*MAX(Debt!$V106:AS$106)</f>
        <v>801.30498500899807</v>
      </c>
      <c r="AV31" s="293">
        <f>Assumptions!$B$33*MAX(Debt!$V106:AT$106)</f>
        <v>801.30498500899807</v>
      </c>
    </row>
    <row r="32" spans="1:48">
      <c r="A32" s="23" t="s">
        <v>180</v>
      </c>
      <c r="C32" s="243"/>
      <c r="D32" s="293">
        <f>Caledonia!E33+'New Albany'!E33+Brownsville!E33+Calvert!E33+Wheatland!E33+Wilton!E33</f>
        <v>0</v>
      </c>
      <c r="E32" s="293">
        <f>Caledonia!F33+'New Albany'!F33+Brownsville!F33+Calvert!F33+Wheatland!F33+Wilton!F33</f>
        <v>0</v>
      </c>
      <c r="F32" s="293">
        <f>Caledonia!G33+'New Albany'!G33+Brownsville!G33+Calvert!G33+Wheatland!G33+Wilton!G33</f>
        <v>0</v>
      </c>
      <c r="G32" s="293">
        <f>Caledonia!H33+'New Albany'!H33+Brownsville!H33+Calvert!H33+Wheatland!H33+Wilton!H33</f>
        <v>0</v>
      </c>
      <c r="H32" s="293">
        <f>Caledonia!I33+'New Albany'!I33+Brownsville!I33+Calvert!I33+Wheatland!I33+Wilton!I33</f>
        <v>1511.1894000000002</v>
      </c>
      <c r="I32" s="293">
        <f>Caledonia!J33+'New Albany'!J33+Brownsville!J33+Calvert!J33+Wheatland!J33+Wilton!J33</f>
        <v>2668.3287119999995</v>
      </c>
      <c r="J32" s="293">
        <f>Caledonia!K33+'New Albany'!K33+Brownsville!K33+Calvert!K33+Wheatland!K33+Wilton!K33</f>
        <v>2748.3785733599998</v>
      </c>
      <c r="K32" s="293">
        <f>Caledonia!L33+'New Albany'!L33+Brownsville!L33+Calvert!L33+Wheatland!L33+Wilton!L33</f>
        <v>2830.8299305608002</v>
      </c>
      <c r="L32" s="293">
        <f>Caledonia!M33+'New Albany'!M33+Brownsville!M33+Calvert!M33+Wheatland!M33+Wilton!M33</f>
        <v>2915.7548284776244</v>
      </c>
      <c r="M32" s="293">
        <f>Caledonia!N33+'New Albany'!N33+Brownsville!N33+Calvert!N33+Wheatland!N33+Wilton!N33</f>
        <v>3003.2274733319532</v>
      </c>
      <c r="N32" s="293">
        <f>Caledonia!O33+'New Albany'!O33+Brownsville!O33+Calvert!O33+Wheatland!O33+Wilton!O33</f>
        <v>3093.3242975319117</v>
      </c>
      <c r="O32" s="293">
        <f>Caledonia!P33+'New Albany'!P33+Brownsville!P33+Calvert!P33+Wheatland!P33+Wilton!P33</f>
        <v>3186.1240264578691</v>
      </c>
      <c r="P32" s="293">
        <f>Caledonia!Q33+'New Albany'!Q33+Brownsville!Q33+Calvert!Q33+Wheatland!Q33+Wilton!Q33</f>
        <v>3281.7077472516057</v>
      </c>
      <c r="Q32" s="293">
        <f>Caledonia!R33+'New Albany'!R33+Brownsville!R33+Calvert!R33+Wheatland!R33+Wilton!R33</f>
        <v>3380.1589796691533</v>
      </c>
      <c r="R32" s="293">
        <f>Caledonia!S33+'New Albany'!S33+Brownsville!S33+Calvert!S33+Wheatland!S33+Wilton!S33</f>
        <v>3481.5637490592289</v>
      </c>
      <c r="S32" s="293">
        <f>Caledonia!T33+'New Albany'!T33+Brownsville!T33+Calvert!T33+Wheatland!T33+Wilton!T33</f>
        <v>3586.0106615310051</v>
      </c>
      <c r="T32" s="293">
        <f>Caledonia!U33+'New Albany'!U33+Brownsville!U33+Calvert!U33+Wheatland!U33+Wilton!U33</f>
        <v>3693.5909813769358</v>
      </c>
      <c r="U32" s="293">
        <f>Caledonia!V33+'New Albany'!V33+Brownsville!V33+Calvert!V33+Wheatland!V33+Wilton!V33</f>
        <v>3804.3987108182437</v>
      </c>
      <c r="V32" s="293">
        <f>Caledonia!W33+'New Albany'!W33+Brownsville!W33+Calvert!W33+Wheatland!W33+Wilton!W33</f>
        <v>3918.530672142791</v>
      </c>
      <c r="W32" s="293">
        <f>Caledonia!X33+'New Albany'!X33+Brownsville!X33+Calvert!X33+Wheatland!X33+Wilton!X33</f>
        <v>4036.0865923070751</v>
      </c>
      <c r="X32" s="293">
        <f>Caledonia!Y33+'New Albany'!Y33+Brownsville!Y33+Calvert!Y33+Wheatland!Y33+Wilton!Y33</f>
        <v>4157.1691900762871</v>
      </c>
      <c r="Y32" s="293">
        <f>Caledonia!Z33+'New Albany'!Z33+Brownsville!Z33+Calvert!Z33+Wheatland!Z33+Wilton!Z33</f>
        <v>4281.8842657785763</v>
      </c>
      <c r="Z32" s="296"/>
      <c r="AA32" s="296"/>
    </row>
    <row r="33" spans="1:27">
      <c r="A33" s="4" t="s">
        <v>181</v>
      </c>
      <c r="C33" s="243"/>
      <c r="D33" s="243">
        <f>Wheatland!E34+'New Albany'!E34+Wilton!E34+Calvert!E34+Brownsville!E34+Caledonia!E34</f>
        <v>0</v>
      </c>
      <c r="E33" s="243">
        <f>Wheatland!F34+'New Albany'!F34+Wilton!F34+Calvert!F34+Brownsville!F34+Caledonia!F34</f>
        <v>741.67128027681679</v>
      </c>
      <c r="F33" s="243">
        <f>Wheatland!G34+'New Albany'!G34+Wilton!G34+Calvert!G34+Brownsville!G34+Caledonia!G34</f>
        <v>1055.393598615917</v>
      </c>
      <c r="G33" s="243">
        <f>Wheatland!H34+'New Albany'!H34+Wilton!H34+Calvert!H34+Brownsville!H34+Caledonia!H34</f>
        <v>1087.0554065743945</v>
      </c>
      <c r="H33" s="243">
        <f>Wheatland!I34+'New Albany'!I34+Wilton!I34+Calvert!I34+Brownsville!I34+Caledonia!I34</f>
        <v>1119.6670687716264</v>
      </c>
      <c r="I33" s="243">
        <f>Wheatland!J34+'New Albany'!J34+Wilton!J34+Calvert!J34+Brownsville!J34+Caledonia!J34</f>
        <v>1153.2570808347753</v>
      </c>
      <c r="J33" s="243">
        <f>Wheatland!K34+'New Albany'!K34+Wilton!K34+Calvert!K34+Brownsville!K34+Caledonia!K34</f>
        <v>1187.8547932598185</v>
      </c>
      <c r="K33" s="243">
        <f>Wheatland!L34+'New Albany'!L34+Wilton!L34+Calvert!L34+Brownsville!L34+Caledonia!L34</f>
        <v>1223.4904370576132</v>
      </c>
      <c r="L33" s="243">
        <f>Wheatland!M34+'New Albany'!M34+Wilton!M34+Calvert!M34+Brownsville!M34+Caledonia!M34</f>
        <v>1260.1951501693416</v>
      </c>
      <c r="M33" s="243">
        <f>Wheatland!N34+'New Albany'!N34+Wilton!N34+Calvert!N34+Brownsville!N34+Caledonia!N34</f>
        <v>1298.0010046744219</v>
      </c>
      <c r="N33" s="243">
        <f>Wheatland!O34+'New Albany'!O34+Wilton!O34+Calvert!O34+Brownsville!O34+Caledonia!O34</f>
        <v>1336.9410348146546</v>
      </c>
      <c r="O33" s="243">
        <f>Wheatland!P34+'New Albany'!P34+Wilton!P34+Calvert!P34+Brownsville!P34+Caledonia!P34</f>
        <v>1377.0492658590942</v>
      </c>
      <c r="P33" s="243">
        <f>Wheatland!Q34+'New Albany'!Q34+Wilton!Q34+Calvert!Q34+Brownsville!Q34+Caledonia!Q34</f>
        <v>1418.3607438348668</v>
      </c>
      <c r="Q33" s="243">
        <f>Wheatland!R34+'New Albany'!R34+Wilton!R34+Calvert!R34+Brownsville!R34+Caledonia!R34</f>
        <v>1460.9115661499131</v>
      </c>
      <c r="R33" s="243">
        <f>Wheatland!S34+'New Albany'!S34+Wilton!S34+Calvert!S34+Brownsville!S34+Caledonia!S34</f>
        <v>1504.7389131344107</v>
      </c>
      <c r="S33" s="243">
        <f>Wheatland!T34+'New Albany'!T34+Wilton!T34+Calvert!T34+Brownsville!T34+Caledonia!T34</f>
        <v>1549.8810805284429</v>
      </c>
      <c r="T33" s="243">
        <f>Wheatland!U34+'New Albany'!U34+Wilton!U34+Calvert!U34+Brownsville!U34+Caledonia!U34</f>
        <v>1596.3775129442961</v>
      </c>
      <c r="U33" s="243">
        <f>Wheatland!V34+'New Albany'!V34+Wilton!V34+Calvert!V34+Brownsville!V34+Caledonia!V34</f>
        <v>1644.2688383326251</v>
      </c>
      <c r="V33" s="243">
        <f>Wheatland!W34+'New Albany'!W34+Wilton!W34+Calvert!W34+Brownsville!W34+Caledonia!W34</f>
        <v>1693.5969034826039</v>
      </c>
      <c r="W33" s="243">
        <f>Wheatland!X34+'New Albany'!X34+Wilton!X34+Calvert!X34+Brownsville!X34+Caledonia!X34</f>
        <v>1744.4048105870825</v>
      </c>
      <c r="X33" s="243">
        <f>Wheatland!Y34+'New Albany'!Y34+Wilton!Y34+Calvert!Y34+Brownsville!Y34+Caledonia!Y34</f>
        <v>1796.7369549046948</v>
      </c>
      <c r="Y33" s="243">
        <f>Wheatland!Z34+'New Albany'!Z34+Wilton!Z34+Calvert!Z34+Brownsville!Z34+Caledonia!Z34</f>
        <v>1850.6390635518355</v>
      </c>
      <c r="Z33" s="296"/>
      <c r="AA33" s="296"/>
    </row>
    <row r="34" spans="1:27">
      <c r="A34" s="4" t="s">
        <v>182</v>
      </c>
      <c r="C34" s="245"/>
      <c r="D34" s="426">
        <f>Wheatland!E35+'New Albany'!E35+Wilton!E35+Calvert!E35+Brownsville!E35+Caledonia!E35</f>
        <v>0</v>
      </c>
      <c r="E34" s="426">
        <f>Wheatland!F35+'New Albany'!F35+Wilton!F35+Calvert!F35+Brownsville!F35+Caledonia!F35</f>
        <v>1004.25</v>
      </c>
      <c r="F34" s="426">
        <f>Wheatland!G35+'New Albany'!G35+Wilton!G35+Calvert!G35+Brownsville!G35+Caledonia!G35</f>
        <v>1432.2149999999999</v>
      </c>
      <c r="G34" s="426">
        <f>Wheatland!H35+'New Albany'!H35+Wilton!H35+Calvert!H35+Brownsville!H35+Caledonia!H35</f>
        <v>1475.1814499999998</v>
      </c>
      <c r="H34" s="426">
        <f>Wheatland!I35+'New Albany'!I35+Wilton!I35+Calvert!I35+Brownsville!I35+Caledonia!I35</f>
        <v>1519.4368934999998</v>
      </c>
      <c r="I34" s="426">
        <f>Wheatland!J35+'New Albany'!J35+Wilton!J35+Calvert!J35+Brownsville!J35+Caledonia!J35</f>
        <v>1565.0200003049999</v>
      </c>
      <c r="J34" s="426">
        <f>Wheatland!K35+'New Albany'!K35+Wilton!K35+Calvert!K35+Brownsville!K35+Caledonia!K35</f>
        <v>1611.97060031415</v>
      </c>
      <c r="K34" s="426">
        <f>Wheatland!L35+'New Albany'!L35+Wilton!L35+Calvert!L35+Brownsville!L35+Caledonia!L35</f>
        <v>1660.3297183235745</v>
      </c>
      <c r="L34" s="426">
        <f>Wheatland!M35+'New Albany'!M35+Wilton!M35+Calvert!M35+Brownsville!M35+Caledonia!M35</f>
        <v>1710.1396098732819</v>
      </c>
      <c r="M34" s="426">
        <f>Wheatland!N35+'New Albany'!N35+Wilton!N35+Calvert!N35+Brownsville!N35+Caledonia!N35</f>
        <v>1761.4437981694805</v>
      </c>
      <c r="N34" s="426">
        <f>Wheatland!O35+'New Albany'!O35+Wilton!O35+Calvert!O35+Brownsville!O35+Caledonia!O35</f>
        <v>1814.2871121145647</v>
      </c>
      <c r="O34" s="426">
        <f>Wheatland!P35+'New Albany'!P35+Wilton!P35+Calvert!P35+Brownsville!P35+Caledonia!P35</f>
        <v>1868.7157254780016</v>
      </c>
      <c r="P34" s="426">
        <f>Wheatland!Q35+'New Albany'!Q35+Wilton!Q35+Calvert!Q35+Brownsville!Q35+Caledonia!Q35</f>
        <v>1924.7771972423418</v>
      </c>
      <c r="Q34" s="426">
        <f>Wheatland!R35+'New Albany'!R35+Wilton!R35+Calvert!R35+Brownsville!R35+Caledonia!R35</f>
        <v>1982.5205131596122</v>
      </c>
      <c r="R34" s="426">
        <f>Wheatland!S35+'New Albany'!S35+Wilton!S35+Calvert!S35+Brownsville!S35+Caledonia!S35</f>
        <v>2041.9961285544005</v>
      </c>
      <c r="S34" s="426">
        <f>Wheatland!T35+'New Albany'!T35+Wilton!T35+Calvert!T35+Brownsville!T35+Caledonia!T35</f>
        <v>2103.2560124110323</v>
      </c>
      <c r="T34" s="426">
        <f>Wheatland!U35+'New Albany'!U35+Wilton!U35+Calvert!U35+Brownsville!U35+Caledonia!U35</f>
        <v>2166.3536927833638</v>
      </c>
      <c r="U34" s="426">
        <f>Wheatland!V35+'New Albany'!V35+Wilton!V35+Calvert!V35+Brownsville!V35+Caledonia!V35</f>
        <v>2231.3443035668647</v>
      </c>
      <c r="V34" s="426">
        <f>Wheatland!W35+'New Albany'!W35+Wilton!W35+Calvert!W35+Brownsville!W35+Caledonia!W35</f>
        <v>2298.2846326738704</v>
      </c>
      <c r="W34" s="426">
        <f>Wheatland!X35+'New Albany'!X35+Wilton!X35+Calvert!X35+Brownsville!X35+Caledonia!X35</f>
        <v>2367.2331716540866</v>
      </c>
      <c r="X34" s="426">
        <f>Wheatland!Y35+'New Albany'!Y35+Wilton!Y35+Calvert!Y35+Brownsville!Y35+Caledonia!Y35</f>
        <v>2438.2501668037094</v>
      </c>
      <c r="Y34" s="426">
        <f>Wheatland!Z35+'New Albany'!Z35+Wilton!Z35+Calvert!Z35+Brownsville!Z35+Caledonia!Z35</f>
        <v>2511.3976718078206</v>
      </c>
      <c r="Z34" s="298"/>
      <c r="AA34" s="298"/>
    </row>
    <row r="35" spans="1:27">
      <c r="A35" s="4" t="s">
        <v>183</v>
      </c>
      <c r="C35" s="244"/>
      <c r="D35" s="244">
        <f t="shared" ref="D35:Y35" si="2">SUM(D23:D34)</f>
        <v>0</v>
      </c>
      <c r="E35" s="244">
        <f t="shared" ca="1" si="2"/>
        <v>28853.35974413238</v>
      </c>
      <c r="F35" s="244">
        <f t="shared" si="2"/>
        <v>33289.41255625261</v>
      </c>
      <c r="G35" s="244">
        <f t="shared" si="2"/>
        <v>34269.349903837414</v>
      </c>
      <c r="H35" s="244">
        <f t="shared" si="2"/>
        <v>37109.491141381157</v>
      </c>
      <c r="I35" s="244">
        <f t="shared" si="2"/>
        <v>39138.147093955544</v>
      </c>
      <c r="J35" s="244">
        <f t="shared" si="2"/>
        <v>40180.193713658715</v>
      </c>
      <c r="K35" s="244">
        <f t="shared" si="2"/>
        <v>41299.262624498071</v>
      </c>
      <c r="L35" s="244">
        <f t="shared" si="2"/>
        <v>42467.573574909773</v>
      </c>
      <c r="M35" s="244">
        <f t="shared" si="2"/>
        <v>43629.789233880489</v>
      </c>
      <c r="N35" s="244">
        <f t="shared" si="2"/>
        <v>44707.121021467727</v>
      </c>
      <c r="O35" s="244">
        <f t="shared" si="2"/>
        <v>47052.517345777618</v>
      </c>
      <c r="P35" s="244">
        <f t="shared" si="2"/>
        <v>48210.034275905055</v>
      </c>
      <c r="Q35" s="244">
        <f t="shared" si="2"/>
        <v>49280.245122330627</v>
      </c>
      <c r="R35" s="244">
        <f t="shared" si="2"/>
        <v>50291.486634447043</v>
      </c>
      <c r="S35" s="244">
        <f t="shared" si="2"/>
        <v>51700.853455838318</v>
      </c>
      <c r="T35" s="244">
        <f t="shared" si="2"/>
        <v>52772.885624409842</v>
      </c>
      <c r="U35" s="244">
        <f t="shared" si="2"/>
        <v>53784.695691408255</v>
      </c>
      <c r="V35" s="244">
        <f t="shared" si="2"/>
        <v>54761.340386395219</v>
      </c>
      <c r="W35" s="244">
        <f t="shared" si="2"/>
        <v>55929.548204409315</v>
      </c>
      <c r="X35" s="244">
        <f t="shared" si="2"/>
        <v>57216.778547372793</v>
      </c>
      <c r="Y35" s="244">
        <f t="shared" si="2"/>
        <v>56846.088664483243</v>
      </c>
      <c r="Z35" s="297"/>
      <c r="AA35" s="297"/>
    </row>
    <row r="36" spans="1:27">
      <c r="A36" s="6"/>
      <c r="C36" s="282"/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19"/>
      <c r="X36" s="519"/>
      <c r="Y36" s="519"/>
      <c r="Z36" s="299"/>
      <c r="AA36" s="299"/>
    </row>
    <row r="37" spans="1:27">
      <c r="A37" s="6"/>
      <c r="C37" s="282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99"/>
      <c r="AA37" s="299"/>
    </row>
    <row r="38" spans="1:27">
      <c r="A38" s="1" t="s">
        <v>184</v>
      </c>
      <c r="D38" s="246">
        <f t="shared" ref="D38:Y38" si="3">D19-D35</f>
        <v>0</v>
      </c>
      <c r="E38" s="246">
        <f t="shared" ca="1" si="3"/>
        <v>89343.013167245706</v>
      </c>
      <c r="F38" s="246">
        <f t="shared" si="3"/>
        <v>121999.06951687927</v>
      </c>
      <c r="G38" s="246">
        <f t="shared" si="3"/>
        <v>121476.06494435224</v>
      </c>
      <c r="H38" s="246">
        <f t="shared" si="3"/>
        <v>159397.18597050462</v>
      </c>
      <c r="I38" s="246">
        <f t="shared" si="3"/>
        <v>190097.33582811028</v>
      </c>
      <c r="J38" s="246">
        <f t="shared" si="3"/>
        <v>193579.98329342896</v>
      </c>
      <c r="K38" s="246">
        <f t="shared" si="3"/>
        <v>194775.80250539724</v>
      </c>
      <c r="L38" s="246">
        <f t="shared" si="3"/>
        <v>199190.63178751644</v>
      </c>
      <c r="M38" s="246">
        <f t="shared" si="3"/>
        <v>201164.74828323902</v>
      </c>
      <c r="N38" s="246">
        <f t="shared" si="3"/>
        <v>205842.93724912504</v>
      </c>
      <c r="O38" s="246">
        <f t="shared" si="3"/>
        <v>206636.22157055381</v>
      </c>
      <c r="P38" s="246">
        <f t="shared" si="3"/>
        <v>211404.56282333276</v>
      </c>
      <c r="Q38" s="246">
        <f t="shared" si="3"/>
        <v>213496.51218873204</v>
      </c>
      <c r="R38" s="246">
        <f t="shared" si="3"/>
        <v>214824.9649175138</v>
      </c>
      <c r="S38" s="246">
        <f t="shared" si="3"/>
        <v>216457.46328716745</v>
      </c>
      <c r="T38" s="246">
        <f t="shared" si="3"/>
        <v>218375.97777791723</v>
      </c>
      <c r="U38" s="246">
        <f t="shared" si="3"/>
        <v>220293.84628468403</v>
      </c>
      <c r="V38" s="246">
        <f t="shared" si="3"/>
        <v>222179.29806472198</v>
      </c>
      <c r="W38" s="246">
        <f t="shared" si="3"/>
        <v>223796.04112327134</v>
      </c>
      <c r="X38" s="246">
        <f t="shared" si="3"/>
        <v>223074.97390162485</v>
      </c>
      <c r="Y38" s="246">
        <f t="shared" si="3"/>
        <v>226014.71160095112</v>
      </c>
      <c r="Z38" s="300"/>
      <c r="AA38" s="300"/>
    </row>
    <row r="39" spans="1:27">
      <c r="A39" s="1"/>
      <c r="D39" s="519"/>
      <c r="E39" s="519"/>
      <c r="F39" s="519"/>
      <c r="G39" s="519"/>
      <c r="H39" s="519"/>
      <c r="I39" s="519"/>
      <c r="J39" s="519"/>
      <c r="K39" s="519"/>
      <c r="L39" s="519"/>
      <c r="M39" s="519"/>
      <c r="N39" s="519"/>
      <c r="O39" s="519"/>
      <c r="P39" s="519"/>
      <c r="Q39" s="519"/>
      <c r="R39" s="519"/>
      <c r="S39" s="519"/>
      <c r="T39" s="519"/>
      <c r="U39" s="519"/>
      <c r="V39" s="519"/>
      <c r="W39" s="519"/>
      <c r="X39" s="519"/>
      <c r="Y39" s="519"/>
      <c r="Z39" s="300"/>
      <c r="AA39" s="300"/>
    </row>
    <row r="40" spans="1:27">
      <c r="A40" s="4" t="s">
        <v>185</v>
      </c>
      <c r="D40" s="243">
        <f>Depreciation!G42+Depreciation!G77</f>
        <v>0</v>
      </c>
      <c r="E40" s="243">
        <f>Depreciation!H42+Depreciation!H77</f>
        <v>27601.19172104682</v>
      </c>
      <c r="F40" s="243">
        <f>Depreciation!I42+Depreciation!I77</f>
        <v>37944.321060841423</v>
      </c>
      <c r="G40" s="243">
        <f>Depreciation!J42+Depreciation!J77</f>
        <v>37944.321060841423</v>
      </c>
      <c r="H40" s="243">
        <f>Depreciation!K42+Depreciation!K77</f>
        <v>37944.321060841423</v>
      </c>
      <c r="I40" s="243">
        <f>Depreciation!L42+Depreciation!L77</f>
        <v>37944.321060841423</v>
      </c>
      <c r="J40" s="243">
        <f>Depreciation!M42+Depreciation!M77</f>
        <v>37944.321060841423</v>
      </c>
      <c r="K40" s="243">
        <f>Depreciation!N42+Depreciation!N77</f>
        <v>37944.321060841423</v>
      </c>
      <c r="L40" s="243">
        <f>Depreciation!O42+Depreciation!O77</f>
        <v>37944.321060841423</v>
      </c>
      <c r="M40" s="243">
        <f>Depreciation!P42+Depreciation!P77</f>
        <v>37944.321060841423</v>
      </c>
      <c r="N40" s="243">
        <f>Depreciation!Q42+Depreciation!Q77</f>
        <v>37944.321060841423</v>
      </c>
      <c r="O40" s="243">
        <f>Depreciation!R42+Depreciation!R77</f>
        <v>37944.321060841423</v>
      </c>
      <c r="P40" s="243">
        <f>Depreciation!S42+Depreciation!S77</f>
        <v>37944.321060841423</v>
      </c>
      <c r="Q40" s="243">
        <f>Depreciation!T42+Depreciation!T77</f>
        <v>37944.321060841423</v>
      </c>
      <c r="R40" s="243">
        <f>Depreciation!U42+Depreciation!U77</f>
        <v>37944.321060841423</v>
      </c>
      <c r="S40" s="243">
        <f>Depreciation!V42+Depreciation!V77</f>
        <v>37944.321060841423</v>
      </c>
      <c r="T40" s="243">
        <f>Depreciation!W42+Depreciation!W77</f>
        <v>37944.321060841423</v>
      </c>
      <c r="U40" s="243">
        <f>Depreciation!X42+Depreciation!X77</f>
        <v>37944.321060841423</v>
      </c>
      <c r="V40" s="243">
        <f>Depreciation!Y42+Depreciation!Y77</f>
        <v>37944.321060841423</v>
      </c>
      <c r="W40" s="243">
        <f>Depreciation!Z42+Depreciation!Z77</f>
        <v>37944.321060841423</v>
      </c>
      <c r="X40" s="243">
        <f>Depreciation!AA42+Depreciation!AA77</f>
        <v>37944.321060841423</v>
      </c>
      <c r="Y40" s="243">
        <f>Depreciation!AB42+Depreciation!AB77</f>
        <v>36969.321060841423</v>
      </c>
      <c r="Z40" s="296"/>
      <c r="AA40" s="296"/>
    </row>
    <row r="41" spans="1:27">
      <c r="A41" s="4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96"/>
      <c r="AA41" s="296"/>
    </row>
    <row r="42" spans="1:27">
      <c r="A42" s="1" t="s">
        <v>186</v>
      </c>
      <c r="D42" s="246">
        <f>D38-D40</f>
        <v>0</v>
      </c>
      <c r="E42" s="246">
        <f t="shared" ref="E42:Y42" ca="1" si="4">E38-E40</f>
        <v>61741.821446198883</v>
      </c>
      <c r="F42" s="246">
        <f t="shared" si="4"/>
        <v>84054.748456037851</v>
      </c>
      <c r="G42" s="246">
        <f t="shared" si="4"/>
        <v>83531.743883510819</v>
      </c>
      <c r="H42" s="246">
        <f t="shared" si="4"/>
        <v>121452.8649096632</v>
      </c>
      <c r="I42" s="246">
        <f t="shared" si="4"/>
        <v>152153.01476726885</v>
      </c>
      <c r="J42" s="246">
        <f t="shared" si="4"/>
        <v>155635.66223258752</v>
      </c>
      <c r="K42" s="246">
        <f t="shared" si="4"/>
        <v>156831.4814445558</v>
      </c>
      <c r="L42" s="246">
        <f t="shared" si="4"/>
        <v>161246.31072667503</v>
      </c>
      <c r="M42" s="246">
        <f t="shared" si="4"/>
        <v>163220.42722239759</v>
      </c>
      <c r="N42" s="246">
        <f t="shared" si="4"/>
        <v>167898.6161882836</v>
      </c>
      <c r="O42" s="246">
        <f t="shared" si="4"/>
        <v>168691.9005097124</v>
      </c>
      <c r="P42" s="246">
        <f t="shared" si="4"/>
        <v>173460.24176249135</v>
      </c>
      <c r="Q42" s="246">
        <f t="shared" si="4"/>
        <v>175552.1911278906</v>
      </c>
      <c r="R42" s="246">
        <f t="shared" si="4"/>
        <v>176880.6438566724</v>
      </c>
      <c r="S42" s="246">
        <f t="shared" si="4"/>
        <v>178513.14222632605</v>
      </c>
      <c r="T42" s="246">
        <f t="shared" si="4"/>
        <v>180431.65671707579</v>
      </c>
      <c r="U42" s="246">
        <f t="shared" si="4"/>
        <v>182349.52522384259</v>
      </c>
      <c r="V42" s="246">
        <f t="shared" si="4"/>
        <v>184234.97700388054</v>
      </c>
      <c r="W42" s="246">
        <f t="shared" si="4"/>
        <v>185851.7200624299</v>
      </c>
      <c r="X42" s="246">
        <f t="shared" si="4"/>
        <v>185130.65284078341</v>
      </c>
      <c r="Y42" s="246">
        <f t="shared" si="4"/>
        <v>189045.39054010971</v>
      </c>
      <c r="Z42" s="300"/>
      <c r="AA42" s="300"/>
    </row>
    <row r="43" spans="1:27">
      <c r="A43" s="1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300"/>
      <c r="AA43" s="300"/>
    </row>
    <row r="44" spans="1:27" ht="15.6">
      <c r="A44" s="4" t="s">
        <v>397</v>
      </c>
      <c r="C44" s="243"/>
      <c r="D44" s="243">
        <f>Debt!B46+Debt!B69+Debt!B92+Debt!B136</f>
        <v>0</v>
      </c>
      <c r="E44" s="243">
        <f>Debt!C46+Debt!C69+Debt!C92+Debt!C136</f>
        <v>53156.618328810378</v>
      </c>
      <c r="F44" s="243">
        <f>Debt!D46+Debt!D69+Debt!D92</f>
        <v>70128.43362234268</v>
      </c>
      <c r="G44" s="243">
        <f>Debt!E46+Debt!E69+Debt!E92</f>
        <v>68062.489498989409</v>
      </c>
      <c r="H44" s="243">
        <f>Debt!F46+Debt!F69+Debt!F92</f>
        <v>64609.816057639298</v>
      </c>
      <c r="I44" s="243">
        <f>Debt!G46+Debt!G69+Debt!G92</f>
        <v>61970.964883505774</v>
      </c>
      <c r="J44" s="243">
        <f>Debt!H46+Debt!H69+Debt!H92</f>
        <v>59515.798183505773</v>
      </c>
      <c r="K44" s="243">
        <f>Debt!I46+Debt!I69+Debt!I92</f>
        <v>56824.832383505767</v>
      </c>
      <c r="L44" s="243">
        <f>Debt!J46+Debt!J69+Debt!J92</f>
        <v>53721.479383505772</v>
      </c>
      <c r="M44" s="243">
        <f>Debt!K46+Debt!K69+Debt!K92</f>
        <v>50182.751383505769</v>
      </c>
      <c r="N44" s="243">
        <f>Debt!L46+Debt!L69+Debt!L92</f>
        <v>45884.745127835253</v>
      </c>
      <c r="O44" s="243">
        <f>Debt!M46+Debt!M69+Debt!M92</f>
        <v>42092.686279117319</v>
      </c>
      <c r="P44" s="243">
        <f>Debt!N46+Debt!N69+Debt!N92</f>
        <v>38456.72683820119</v>
      </c>
      <c r="Q44" s="243">
        <f>Debt!O46+Debt!O69+Debt!O92</f>
        <v>34439.932449836931</v>
      </c>
      <c r="R44" s="243">
        <f>Debt!P46+Debt!P69+Debt!P92</f>
        <v>30112.250663700346</v>
      </c>
      <c r="S44" s="243">
        <f>Debt!Q46+Debt!Q69+Debt!Q92</f>
        <v>25490.616687862301</v>
      </c>
      <c r="T44" s="243">
        <f>Debt!R46+Debt!R69+Debt!R92</f>
        <v>20485.054723303976</v>
      </c>
      <c r="U44" s="243">
        <f>Debt!S46+Debt!S69+Debt!S92</f>
        <v>15271.107849009408</v>
      </c>
      <c r="V44" s="243">
        <f>Debt!T46+Debt!T69+Debt!T92</f>
        <v>10104.867041037429</v>
      </c>
      <c r="W44" s="243">
        <f>Debt!U46+Debt!U69+Debt!U92</f>
        <v>5383.6778681416699</v>
      </c>
      <c r="X44" s="243">
        <f>Debt!V46+Debt!V69+Debt!V92</f>
        <v>1292.4523664334747</v>
      </c>
      <c r="Y44" s="243">
        <v>0</v>
      </c>
      <c r="Z44" s="296"/>
      <c r="AA44" s="296"/>
    </row>
    <row r="45" spans="1:27">
      <c r="A45" s="7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98"/>
      <c r="AA45" s="298"/>
    </row>
    <row r="46" spans="1:27">
      <c r="A46" s="7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98"/>
      <c r="AA46" s="298"/>
    </row>
    <row r="47" spans="1:27">
      <c r="A47" s="7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96"/>
      <c r="AA47" s="296"/>
    </row>
    <row r="48" spans="1:27">
      <c r="A48" s="1" t="s">
        <v>188</v>
      </c>
      <c r="D48" s="246">
        <f>D42-D44</f>
        <v>0</v>
      </c>
      <c r="E48" s="246">
        <f t="shared" ref="E48:Y48" ca="1" si="5">E42-E44</f>
        <v>8585.2031173885043</v>
      </c>
      <c r="F48" s="246">
        <f t="shared" si="5"/>
        <v>13926.314833695171</v>
      </c>
      <c r="G48" s="246">
        <f t="shared" si="5"/>
        <v>15469.25438452141</v>
      </c>
      <c r="H48" s="246">
        <f t="shared" si="5"/>
        <v>56843.048852023901</v>
      </c>
      <c r="I48" s="246">
        <f t="shared" si="5"/>
        <v>90182.049883763073</v>
      </c>
      <c r="J48" s="246">
        <f t="shared" si="5"/>
        <v>96119.864049081749</v>
      </c>
      <c r="K48" s="246">
        <f t="shared" si="5"/>
        <v>100006.64906105003</v>
      </c>
      <c r="L48" s="246">
        <f t="shared" si="5"/>
        <v>107524.83134316927</v>
      </c>
      <c r="M48" s="246">
        <f t="shared" si="5"/>
        <v>113037.67583889182</v>
      </c>
      <c r="N48" s="246">
        <f t="shared" si="5"/>
        <v>122013.87106044835</v>
      </c>
      <c r="O48" s="246">
        <f t="shared" si="5"/>
        <v>126599.21423059508</v>
      </c>
      <c r="P48" s="246">
        <f t="shared" si="5"/>
        <v>135003.51492429015</v>
      </c>
      <c r="Q48" s="246">
        <f t="shared" si="5"/>
        <v>141112.25867805368</v>
      </c>
      <c r="R48" s="246">
        <f t="shared" si="5"/>
        <v>146768.39319297206</v>
      </c>
      <c r="S48" s="246">
        <f t="shared" si="5"/>
        <v>153022.52553846376</v>
      </c>
      <c r="T48" s="246">
        <f t="shared" si="5"/>
        <v>159946.60199377182</v>
      </c>
      <c r="U48" s="246">
        <f t="shared" si="5"/>
        <v>167078.4173748332</v>
      </c>
      <c r="V48" s="246">
        <f t="shared" si="5"/>
        <v>174130.10996284313</v>
      </c>
      <c r="W48" s="246">
        <f t="shared" si="5"/>
        <v>180468.04219428822</v>
      </c>
      <c r="X48" s="246">
        <f t="shared" si="5"/>
        <v>183838.20047434993</v>
      </c>
      <c r="Y48" s="246">
        <f t="shared" si="5"/>
        <v>189045.39054010971</v>
      </c>
      <c r="Z48" s="300"/>
      <c r="AA48" s="300"/>
    </row>
    <row r="49" spans="1:27">
      <c r="A49" s="1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300"/>
      <c r="AA49" s="300"/>
    </row>
    <row r="50" spans="1:27">
      <c r="A50" s="4" t="s">
        <v>189</v>
      </c>
      <c r="D50" s="244">
        <f>(Brownsville!E49+Caledonia!E51+'New Albany'!E51+Calvert!E51+Wheatland!E51+Wilton!E51)</f>
        <v>0</v>
      </c>
      <c r="E50" s="244">
        <f ca="1">Brownsville!F49+Caledonia!F51+'New Albany'!F51+Calvert!F51+Wheatland!F51+Wilton!F51</f>
        <v>-469.93050049818106</v>
      </c>
      <c r="F50" s="244">
        <f>Brownsville!G49+Caledonia!G51+'New Albany'!G51+Calvert!G51+Wheatland!G51+Wilton!G51</f>
        <v>-859.99113801748535</v>
      </c>
      <c r="G50" s="244">
        <f>Brownsville!H49+Caledonia!H51+'New Albany'!H51+Calvert!H51+Wheatland!H51+Wilton!H51</f>
        <v>-955.65722373805795</v>
      </c>
      <c r="H50" s="244">
        <f>Brownsville!I49+Caledonia!I51+'New Albany'!I51+Calvert!I51+Wheatland!I51+Wilton!I51</f>
        <v>-3455.9030211777381</v>
      </c>
      <c r="I50" s="244">
        <f>Brownsville!J49+Caledonia!J51+'New Albany'!J51+Calvert!J51+Wheatland!J51+Wilton!J51</f>
        <v>-5465.1221034964346</v>
      </c>
      <c r="J50" s="244">
        <f>Brownsville!K49+Caledonia!K51+'New Albany'!K51+Calvert!K51+Wheatland!K51+Wilton!K51</f>
        <v>-5827.368056777228</v>
      </c>
      <c r="K50" s="244">
        <f>Brownsville!L49+Caledonia!L51+'New Albany'!L51+Calvert!L51+Wheatland!L51+Wilton!L51</f>
        <v>-6056.520015543515</v>
      </c>
      <c r="L50" s="244">
        <f>Brownsville!M49+Caledonia!M51+'New Albany'!M51+Calvert!M51+Wheatland!M51+Wilton!M51</f>
        <v>-6516.999807494738</v>
      </c>
      <c r="M50" s="244">
        <f>Brownsville!N49+Caledonia!N51+'New Albany'!N51+Calvert!N51+Wheatland!N51+Wilton!N51</f>
        <v>-6853.6048525629849</v>
      </c>
      <c r="N50" s="244">
        <f>Brownsville!O49+Caledonia!O51+'New Albany'!O51+Calvert!O51+Wheatland!O51+Wilton!O51</f>
        <v>-7401.7396569177472</v>
      </c>
      <c r="O50" s="244">
        <f>Brownsville!P49+Caledonia!P51+'New Albany'!P51+Calvert!P51+Wheatland!P51+Wilton!P51</f>
        <v>-7696.5564459390216</v>
      </c>
      <c r="P50" s="244">
        <f>Brownsville!Q49+Caledonia!Q51+'New Albany'!Q51+Calvert!Q51+Wheatland!Q51+Wilton!Q51</f>
        <v>-8210.617580234275</v>
      </c>
      <c r="Q50" s="244">
        <f>Brownsville!R49+Caledonia!R51+'New Albany'!R51+Calvert!R51+Wheatland!R51+Wilton!R51</f>
        <v>-8580.6797988809394</v>
      </c>
      <c r="R50" s="244">
        <f>Brownsville!S49+Caledonia!S51+'New Albany'!S51+Calvert!S51+Wheatland!S51+Wilton!S51</f>
        <v>-8935.6190746050015</v>
      </c>
      <c r="S50" s="244">
        <f>Brownsville!T49+Caledonia!T51+'New Albany'!T51+Calvert!T51+Wheatland!T51+Wilton!T51</f>
        <v>-9315.1721095001867</v>
      </c>
      <c r="T50" s="244">
        <f>Brownsville!U49+Caledonia!U51+'New Albany'!U51+Calvert!U51+Wheatland!U51+Wilton!U51</f>
        <v>-9734.5405476183223</v>
      </c>
      <c r="U50" s="244">
        <f>Brownsville!V49+Caledonia!V51+'New Albany'!V51+Calvert!V51+Wheatland!V51+Wilton!V51</f>
        <v>-10166.218753524196</v>
      </c>
      <c r="V50" s="244">
        <f>Brownsville!W49+Caledonia!W51+'New Albany'!W51+Calvert!W51+Wheatland!W51+Wilton!W51</f>
        <v>-10593.602123179682</v>
      </c>
      <c r="W50" s="244">
        <f>Brownsville!X49+Caledonia!X51+'New Albany'!X51+Calvert!X51+Wheatland!X51+Wilton!X51</f>
        <v>-10979.167691717561</v>
      </c>
      <c r="X50" s="244">
        <f>Brownsville!Y49+Caledonia!Y51+'New Albany'!Y51+Calvert!Y51+Wheatland!Y51+Wilton!Y51</f>
        <v>-11186.216533158229</v>
      </c>
      <c r="Y50" s="244">
        <f>Brownsville!Z49+Caledonia!Z51+'New Albany'!Z51+Calvert!Z51+Wheatland!Z51+Wilton!Z51</f>
        <v>-11481.332044095994</v>
      </c>
      <c r="Z50" s="297"/>
      <c r="AA50" s="297"/>
    </row>
    <row r="51" spans="1:27">
      <c r="A51" s="4" t="s">
        <v>190</v>
      </c>
      <c r="D51" s="244">
        <f>(Brownsville!E50+Caledonia!E52+'New Albany'!E52+Calvert!E52+Wheatland!E52+Wilton!E52)</f>
        <v>0</v>
      </c>
      <c r="E51" s="244">
        <f ca="1">Brownsville!F50+Caledonia!F52+'New Albany'!F52+Calvert!F52+Wheatland!F52+Wilton!F52</f>
        <v>-2840.3454159116113</v>
      </c>
      <c r="F51" s="244">
        <f>Brownsville!G50+Caledonia!G52+'New Albany'!G52+Calvert!G52+Wheatland!G52+Wilton!G52</f>
        <v>-4573.2132934871952</v>
      </c>
      <c r="G51" s="244">
        <f>Brownsville!H50+Caledonia!H52+'New Albany'!H52+Calvert!H52+Wheatland!H52+Wilton!H52</f>
        <v>-5079.7590062741692</v>
      </c>
      <c r="H51" s="244">
        <f>Brownsville!I50+Caledonia!I52+'New Albany'!I52+Calvert!I52+Wheatland!I52+Wilton!I52</f>
        <v>-18685.501040796153</v>
      </c>
      <c r="I51" s="244">
        <f>Brownsville!J50+Caledonia!J52+'New Albany'!J52+Calvert!J52+Wheatland!J52+Wilton!J52</f>
        <v>-29650.924723093329</v>
      </c>
      <c r="J51" s="244">
        <f>Brownsville!K50+Caledonia!K52+'New Albany'!K52+Calvert!K52+Wheatland!K52+Wilton!K52</f>
        <v>-31602.373597306585</v>
      </c>
      <c r="K51" s="244">
        <f>Brownsville!L50+Caledonia!L52+'New Albany'!L52+Calvert!L52+Wheatland!L52+Wilton!L52</f>
        <v>-32882.545165927295</v>
      </c>
      <c r="L51" s="244">
        <f>Brownsville!M50+Caledonia!M52+'New Albany'!M52+Calvert!M52+Wheatland!M52+Wilton!M52</f>
        <v>-35352.741037486077</v>
      </c>
      <c r="M51" s="244">
        <f>Brownsville!N50+Caledonia!N52+'New Albany'!N52+Calvert!N52+Wheatland!N52+Wilton!N52</f>
        <v>-37164.424845215086</v>
      </c>
      <c r="N51" s="244">
        <f>Brownsville!O50+Caledonia!O52+'New Albany'!O52+Calvert!O52+Wheatland!O52+Wilton!O52</f>
        <v>-40114.245991235708</v>
      </c>
      <c r="O51" s="244">
        <f>Brownsville!P50+Caledonia!P52+'New Albany'!P52+Calvert!P52+Wheatland!P52+Wilton!P52</f>
        <v>-41615.930224629614</v>
      </c>
      <c r="P51" s="244">
        <f>Brownsville!Q50+Caledonia!Q52+'New Albany'!Q52+Calvert!Q52+Wheatland!Q52+Wilton!Q52</f>
        <v>-44377.514070419544</v>
      </c>
      <c r="Q51" s="244">
        <f>Brownsville!R50+Caledonia!R52+'New Albany'!R52+Calvert!R52+Wheatland!R52+Wilton!R52</f>
        <v>-46386.052607710444</v>
      </c>
      <c r="R51" s="244">
        <f>Brownsville!S50+Caledonia!S52+'New Albany'!S52+Calvert!S52+Wheatland!S52+Wilton!S52</f>
        <v>-48241.470941428452</v>
      </c>
      <c r="S51" s="244">
        <f>Brownsville!T50+Caledonia!T52+'New Albany'!T52+Calvert!T52+Wheatland!T52+Wilton!T52</f>
        <v>-50297.573700137247</v>
      </c>
      <c r="T51" s="244">
        <f>Brownsville!U50+Caledonia!U52+'New Albany'!U52+Calvert!U52+Wheatland!U52+Wilton!U52</f>
        <v>-52574.221506153714</v>
      </c>
      <c r="U51" s="244">
        <f>Brownsville!V50+Caledonia!V52+'New Albany'!V52+Calvert!V52+Wheatland!V52+Wilton!V52</f>
        <v>-54919.269517458146</v>
      </c>
      <c r="V51" s="244">
        <f>Brownsville!W50+Caledonia!W52+'New Albany'!W52+Calvert!W52+Wheatland!W52+Wilton!W52</f>
        <v>-57237.777743882209</v>
      </c>
      <c r="W51" s="244">
        <f>Brownsville!X50+Caledonia!X52+'New Albany'!X52+Calvert!X52+Wheatland!X52+Wilton!X52</f>
        <v>-59321.106075899748</v>
      </c>
      <c r="X51" s="244">
        <f>Brownsville!Y50+Caledonia!Y52+'New Albany'!Y52+Calvert!Y52+Wheatland!Y52+Wilton!Y52</f>
        <v>-60428.194379417102</v>
      </c>
      <c r="Y51" s="244">
        <f>Brownsville!Z50+Caledonia!Z52+'New Albany'!Z52+Calvert!Z52+Wheatland!Z52+Wilton!Z52</f>
        <v>-62147.420473604783</v>
      </c>
      <c r="Z51" s="297"/>
      <c r="AA51" s="297"/>
    </row>
    <row r="52" spans="1:27">
      <c r="A52" s="7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96"/>
      <c r="AA52" s="296"/>
    </row>
    <row r="53" spans="1:27" ht="15.6">
      <c r="A53" s="106" t="s">
        <v>191</v>
      </c>
      <c r="B53" s="107"/>
      <c r="C53" s="107"/>
      <c r="D53" s="247">
        <f>D48+D50+D51</f>
        <v>0</v>
      </c>
      <c r="E53" s="247">
        <f ca="1">E48+E50+E51</f>
        <v>5274.9272009787128</v>
      </c>
      <c r="F53" s="247">
        <f>F48+F50+F51</f>
        <v>8493.1104021904903</v>
      </c>
      <c r="G53" s="247">
        <f>G48+G50+G51</f>
        <v>9433.8381545091815</v>
      </c>
      <c r="H53" s="247">
        <f t="shared" ref="H53:Y53" si="6">H48+H50+H51</f>
        <v>34701.644790050013</v>
      </c>
      <c r="I53" s="247">
        <f t="shared" si="6"/>
        <v>55066.003057173308</v>
      </c>
      <c r="J53" s="247">
        <f t="shared" si="6"/>
        <v>58690.122394997939</v>
      </c>
      <c r="K53" s="247">
        <f t="shared" si="6"/>
        <v>61067.583879579222</v>
      </c>
      <c r="L53" s="247">
        <f t="shared" si="6"/>
        <v>65655.090498188452</v>
      </c>
      <c r="M53" s="247">
        <f t="shared" si="6"/>
        <v>69019.646141113742</v>
      </c>
      <c r="N53" s="247">
        <f t="shared" si="6"/>
        <v>74497.885412294883</v>
      </c>
      <c r="O53" s="247">
        <f t="shared" si="6"/>
        <v>77286.727560026455</v>
      </c>
      <c r="P53" s="247">
        <f t="shared" si="6"/>
        <v>82415.38327363634</v>
      </c>
      <c r="Q53" s="247">
        <f t="shared" si="6"/>
        <v>86145.526271462295</v>
      </c>
      <c r="R53" s="247">
        <f t="shared" si="6"/>
        <v>89591.303176938614</v>
      </c>
      <c r="S53" s="247">
        <f t="shared" si="6"/>
        <v>93409.779728826325</v>
      </c>
      <c r="T53" s="247">
        <f t="shared" si="6"/>
        <v>97637.839939999787</v>
      </c>
      <c r="U53" s="247">
        <f t="shared" si="6"/>
        <v>101992.92910385087</v>
      </c>
      <c r="V53" s="247">
        <f t="shared" si="6"/>
        <v>106298.73009578124</v>
      </c>
      <c r="W53" s="247">
        <f t="shared" si="6"/>
        <v>110167.76842667091</v>
      </c>
      <c r="X53" s="247">
        <f t="shared" si="6"/>
        <v>112223.78956177458</v>
      </c>
      <c r="Y53" s="247">
        <f t="shared" si="6"/>
        <v>115416.63802240894</v>
      </c>
      <c r="Z53" s="301"/>
      <c r="AA53" s="301"/>
    </row>
    <row r="55" spans="1:27">
      <c r="A55" s="229"/>
      <c r="B55" s="136"/>
      <c r="C55" s="136"/>
      <c r="D55" s="19"/>
    </row>
    <row r="56" spans="1:27">
      <c r="A56" s="538" t="s">
        <v>399</v>
      </c>
      <c r="B56" s="136"/>
      <c r="C56" s="136"/>
    </row>
    <row r="57" spans="1:27">
      <c r="A57" s="538" t="s">
        <v>398</v>
      </c>
      <c r="C57" s="295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</row>
    <row r="58" spans="1:27">
      <c r="A58" s="798" t="str">
        <f>"   The capitalized interest amounts in 1999 and 2000 are "&amp;ROUNDDOWN(-Debt!B136,-3)/1000&amp;","&amp;ROUND(-Debt!B136-ROUNDDOWN(-Debt!B136,-3),0)&amp;" and "&amp;ROUNDDOWN(-Debt!C136,-3)/1000&amp;","&amp;ROUND(-Debt!C136-ROUNDDOWN(-Debt!C136,-3),0)&amp;"."</f>
        <v xml:space="preserve">   The capitalized interest amounts in 1999 and 2000 are 0,0 and 18,585.</v>
      </c>
      <c r="C58" s="295"/>
      <c r="D58" s="334"/>
      <c r="E58" s="334"/>
      <c r="F58" s="334"/>
      <c r="G58" s="334"/>
      <c r="H58" s="334"/>
    </row>
    <row r="59" spans="1:27">
      <c r="C59" s="295"/>
      <c r="D59" s="607"/>
      <c r="E59" s="607"/>
      <c r="F59" s="607"/>
      <c r="G59" s="607"/>
      <c r="H59" s="607"/>
      <c r="I59" s="607"/>
      <c r="J59" s="607"/>
      <c r="K59" s="607"/>
      <c r="L59" s="607"/>
      <c r="M59" s="607"/>
      <c r="N59" s="607"/>
      <c r="O59" s="607"/>
      <c r="P59" s="607"/>
      <c r="Q59" s="607"/>
      <c r="R59" s="607"/>
      <c r="S59" s="607"/>
      <c r="T59" s="607"/>
      <c r="U59" s="607"/>
      <c r="V59" s="607"/>
      <c r="W59" s="607"/>
      <c r="X59" s="607"/>
      <c r="Y59" s="607"/>
    </row>
    <row r="60" spans="1:27">
      <c r="C60" s="295"/>
      <c r="D60" s="334"/>
      <c r="E60" s="334"/>
      <c r="F60" s="334"/>
      <c r="G60" s="334"/>
      <c r="H60" s="334"/>
    </row>
    <row r="61" spans="1:27">
      <c r="C61" s="295"/>
      <c r="D61" s="334"/>
      <c r="E61" s="334"/>
      <c r="F61" s="334"/>
      <c r="G61" s="334"/>
      <c r="H61" s="334"/>
    </row>
    <row r="62" spans="1:27">
      <c r="C62" s="295"/>
      <c r="D62" s="334"/>
      <c r="E62" s="334"/>
      <c r="F62" s="334"/>
      <c r="G62" s="334"/>
      <c r="H62" s="334"/>
    </row>
    <row r="63" spans="1:27">
      <c r="C63" s="295"/>
      <c r="D63" s="295"/>
      <c r="E63" s="295"/>
      <c r="F63" s="295"/>
      <c r="G63" s="295"/>
      <c r="H63" s="295"/>
    </row>
    <row r="64" spans="1:27">
      <c r="C64" s="335"/>
      <c r="D64" s="334"/>
      <c r="E64" s="334"/>
      <c r="F64" s="334"/>
      <c r="G64" s="334"/>
      <c r="H64" s="334"/>
    </row>
    <row r="65" spans="3:8">
      <c r="C65" s="335"/>
      <c r="D65" s="334"/>
      <c r="E65" s="334"/>
      <c r="F65" s="334"/>
      <c r="G65" s="334"/>
      <c r="H65" s="334"/>
    </row>
    <row r="66" spans="3:8">
      <c r="C66" s="335"/>
      <c r="D66" s="334"/>
      <c r="E66" s="334"/>
      <c r="F66" s="334"/>
      <c r="G66" s="334"/>
      <c r="H66" s="334"/>
    </row>
    <row r="67" spans="3:8">
      <c r="C67" s="335"/>
      <c r="D67" s="334"/>
      <c r="E67" s="334"/>
      <c r="F67" s="334"/>
      <c r="G67" s="334"/>
      <c r="H67" s="334"/>
    </row>
    <row r="68" spans="3:8">
      <c r="C68" s="335"/>
      <c r="D68" s="334"/>
      <c r="E68" s="334"/>
      <c r="F68" s="334"/>
      <c r="G68" s="334"/>
      <c r="H68" s="334"/>
    </row>
    <row r="69" spans="3:8">
      <c r="C69" s="295"/>
      <c r="D69" s="295"/>
      <c r="E69" s="295"/>
      <c r="F69" s="295"/>
      <c r="G69" s="295"/>
      <c r="H69" s="295"/>
    </row>
    <row r="70" spans="3:8">
      <c r="C70" s="295"/>
      <c r="D70" s="295"/>
      <c r="E70" s="295"/>
      <c r="F70" s="295"/>
      <c r="G70" s="295"/>
      <c r="H70" s="295"/>
    </row>
    <row r="71" spans="3:8">
      <c r="C71" s="295"/>
      <c r="D71" s="296"/>
      <c r="E71" s="296"/>
      <c r="F71" s="296"/>
      <c r="G71" s="296"/>
      <c r="H71" s="295"/>
    </row>
    <row r="72" spans="3:8">
      <c r="C72" s="295"/>
      <c r="D72" s="295"/>
      <c r="E72" s="295"/>
      <c r="F72" s="295"/>
      <c r="G72" s="295"/>
      <c r="H72" s="295"/>
    </row>
    <row r="73" spans="3:8">
      <c r="C73" s="295"/>
      <c r="D73" s="296"/>
      <c r="E73" s="295"/>
      <c r="F73" s="295"/>
      <c r="G73" s="295"/>
      <c r="H73" s="295"/>
    </row>
    <row r="74" spans="3:8">
      <c r="C74" s="295"/>
      <c r="D74" s="295"/>
      <c r="E74" s="295"/>
      <c r="F74" s="295"/>
      <c r="G74" s="295"/>
      <c r="H74" s="295"/>
    </row>
    <row r="75" spans="3:8">
      <c r="C75" s="295"/>
      <c r="D75" s="295"/>
      <c r="E75" s="295"/>
      <c r="F75" s="295"/>
      <c r="G75" s="295"/>
      <c r="H75" s="295"/>
    </row>
  </sheetData>
  <pageMargins left="0.18" right="0.17" top="0.37" bottom="0.4" header="0.17" footer="0.21"/>
  <pageSetup scale="58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29"/>
  <sheetViews>
    <sheetView zoomScale="75" zoomScaleNormal="75" workbookViewId="0">
      <selection activeCell="I6" sqref="I6"/>
    </sheetView>
  </sheetViews>
  <sheetFormatPr defaultColWidth="9.109375" defaultRowHeight="13.2" outlineLevelRow="1"/>
  <cols>
    <col min="1" max="1" width="63.5546875" style="22" customWidth="1"/>
    <col min="2" max="2" width="13" style="22" bestFit="1" customWidth="1"/>
    <col min="3" max="3" width="6.5546875" style="22" customWidth="1"/>
    <col min="4" max="4" width="14.109375" style="22" customWidth="1"/>
    <col min="5" max="5" width="13.33203125" customWidth="1"/>
    <col min="6" max="6" width="13" style="22" customWidth="1"/>
    <col min="7" max="7" width="11.5546875" style="22" customWidth="1"/>
    <col min="8" max="10" width="11.109375" style="22" customWidth="1"/>
    <col min="11" max="12" width="12" style="22" customWidth="1"/>
    <col min="13" max="13" width="12.6640625" style="22" customWidth="1"/>
    <col min="14" max="14" width="12.5546875" style="22" customWidth="1"/>
    <col min="15" max="15" width="12.6640625" style="22" customWidth="1"/>
    <col min="16" max="18" width="11.33203125" style="22" customWidth="1"/>
    <col min="19" max="19" width="11.88671875" style="22" customWidth="1"/>
    <col min="20" max="20" width="11.109375" style="22" customWidth="1"/>
    <col min="21" max="21" width="11.88671875" style="22" customWidth="1"/>
    <col min="22" max="22" width="11.109375" style="22" customWidth="1"/>
    <col min="23" max="23" width="11.5546875" style="22" customWidth="1"/>
    <col min="24" max="24" width="11.33203125" style="22" customWidth="1"/>
    <col min="25" max="26" width="11.5546875" style="22" customWidth="1"/>
    <col min="27" max="27" width="12.5546875" style="22" customWidth="1"/>
    <col min="28" max="28" width="12.6640625" style="8" customWidth="1"/>
    <col min="29" max="29" width="12.33203125" style="8" customWidth="1"/>
    <col min="30" max="30" width="13.88671875" style="8" bestFit="1" customWidth="1"/>
    <col min="31" max="32" width="9.88671875" style="22" customWidth="1"/>
    <col min="33" max="33" width="9.109375" style="22"/>
    <col min="34" max="34" width="9.44140625" style="22" customWidth="1"/>
    <col min="35" max="35" width="9.88671875" style="22" customWidth="1"/>
    <col min="36" max="36" width="9.109375" style="22"/>
    <col min="37" max="37" width="9.44140625" style="22" customWidth="1"/>
    <col min="38" max="39" width="9.88671875" style="22" customWidth="1"/>
    <col min="40" max="41" width="9.109375" style="22"/>
    <col min="42" max="43" width="9.88671875" style="22" customWidth="1"/>
    <col min="44" max="85" width="9.109375" style="22"/>
    <col min="86" max="87" width="9.88671875" style="22" customWidth="1"/>
    <col min="88" max="16384" width="9.109375" style="22"/>
  </cols>
  <sheetData>
    <row r="2" spans="1:32" ht="17.399999999999999">
      <c r="A2" s="126" t="s">
        <v>418</v>
      </c>
      <c r="B2" s="132"/>
    </row>
    <row r="5" spans="1:32" ht="18">
      <c r="A5" s="292" t="s">
        <v>403</v>
      </c>
      <c r="B5" s="439"/>
    </row>
    <row r="6" spans="1:32">
      <c r="D6" s="22" t="s">
        <v>389</v>
      </c>
      <c r="G6" s="22" t="s">
        <v>379</v>
      </c>
      <c r="AB6" s="302"/>
      <c r="AC6" s="302"/>
    </row>
    <row r="7" spans="1:32" ht="13.8" outlineLevel="1" thickBot="1">
      <c r="A7" s="422" t="s">
        <v>164</v>
      </c>
      <c r="B7" s="422"/>
      <c r="C7" s="2"/>
      <c r="D7" s="9">
        <v>1999</v>
      </c>
      <c r="E7" s="9">
        <v>2000</v>
      </c>
      <c r="F7" s="9">
        <v>2000</v>
      </c>
      <c r="G7" s="9">
        <f>D7+1</f>
        <v>2000</v>
      </c>
      <c r="H7" s="9">
        <f t="shared" ref="H7:AA7" si="0">G7+1</f>
        <v>2001</v>
      </c>
      <c r="I7" s="9">
        <f t="shared" si="0"/>
        <v>2002</v>
      </c>
      <c r="J7" s="9">
        <f t="shared" si="0"/>
        <v>2003</v>
      </c>
      <c r="K7" s="9">
        <f>J7+1</f>
        <v>2004</v>
      </c>
      <c r="L7" s="9">
        <f t="shared" si="0"/>
        <v>2005</v>
      </c>
      <c r="M7" s="9">
        <f t="shared" si="0"/>
        <v>2006</v>
      </c>
      <c r="N7" s="9">
        <f t="shared" si="0"/>
        <v>2007</v>
      </c>
      <c r="O7" s="9">
        <f t="shared" si="0"/>
        <v>2008</v>
      </c>
      <c r="P7" s="9">
        <f t="shared" si="0"/>
        <v>2009</v>
      </c>
      <c r="Q7" s="9">
        <f>P7+1</f>
        <v>2010</v>
      </c>
      <c r="R7" s="9">
        <f t="shared" si="0"/>
        <v>2011</v>
      </c>
      <c r="S7" s="9">
        <f t="shared" si="0"/>
        <v>2012</v>
      </c>
      <c r="T7" s="9">
        <f t="shared" si="0"/>
        <v>2013</v>
      </c>
      <c r="U7" s="9">
        <f t="shared" si="0"/>
        <v>2014</v>
      </c>
      <c r="V7" s="9">
        <f t="shared" si="0"/>
        <v>2015</v>
      </c>
      <c r="W7" s="9">
        <f t="shared" si="0"/>
        <v>2016</v>
      </c>
      <c r="X7" s="9">
        <f t="shared" si="0"/>
        <v>2017</v>
      </c>
      <c r="Y7" s="9">
        <f t="shared" si="0"/>
        <v>2018</v>
      </c>
      <c r="Z7" s="9">
        <f t="shared" si="0"/>
        <v>2019</v>
      </c>
      <c r="AA7" s="9">
        <f t="shared" si="0"/>
        <v>2020</v>
      </c>
      <c r="AB7" s="758" t="s">
        <v>73</v>
      </c>
      <c r="AC7" s="11"/>
    </row>
    <row r="8" spans="1:32" outlineLevel="1">
      <c r="A8" s="492"/>
      <c r="B8" s="492"/>
      <c r="C8" s="3"/>
      <c r="D8" s="601">
        <v>36525</v>
      </c>
      <c r="E8" s="601">
        <v>36556</v>
      </c>
      <c r="F8" s="601">
        <v>36616</v>
      </c>
      <c r="G8" s="601">
        <v>36891</v>
      </c>
      <c r="H8" s="601">
        <v>37256</v>
      </c>
      <c r="I8" s="601">
        <v>37621</v>
      </c>
      <c r="J8" s="601">
        <v>37986</v>
      </c>
      <c r="K8" s="601">
        <v>38352</v>
      </c>
      <c r="L8" s="601">
        <v>38717</v>
      </c>
      <c r="M8" s="601">
        <v>39082</v>
      </c>
      <c r="N8" s="601">
        <v>39447</v>
      </c>
      <c r="O8" s="601">
        <v>39813</v>
      </c>
      <c r="P8" s="601">
        <v>40178</v>
      </c>
      <c r="Q8" s="601">
        <v>40543</v>
      </c>
      <c r="R8" s="601">
        <v>40908</v>
      </c>
      <c r="S8" s="601">
        <v>41274</v>
      </c>
      <c r="T8" s="601">
        <v>41639</v>
      </c>
      <c r="U8" s="601">
        <v>42004</v>
      </c>
      <c r="V8" s="601">
        <v>42369</v>
      </c>
      <c r="W8" s="601">
        <v>42735</v>
      </c>
      <c r="X8" s="601">
        <v>43100</v>
      </c>
      <c r="Y8" s="601">
        <v>43465</v>
      </c>
      <c r="Z8" s="601">
        <v>43830</v>
      </c>
      <c r="AA8" s="601">
        <v>44196</v>
      </c>
      <c r="AB8" s="759"/>
      <c r="AC8" s="11"/>
    </row>
    <row r="9" spans="1:32" outlineLevel="1">
      <c r="A9" s="3"/>
      <c r="B9" s="3"/>
      <c r="C9" s="3"/>
      <c r="D9" s="11"/>
      <c r="E9" s="11"/>
      <c r="F9" s="738"/>
      <c r="G9" s="11"/>
      <c r="H9" s="11"/>
      <c r="I9" s="11"/>
      <c r="J9" s="11"/>
      <c r="K9" s="11"/>
      <c r="L9" s="738"/>
      <c r="M9" s="738"/>
      <c r="N9" s="739"/>
      <c r="O9" s="739"/>
      <c r="P9" s="738"/>
      <c r="Q9" s="738"/>
      <c r="R9" s="11"/>
      <c r="S9" s="11"/>
      <c r="T9" s="11"/>
      <c r="U9" s="11"/>
      <c r="V9" s="11"/>
      <c r="W9" s="11"/>
      <c r="X9" s="11"/>
      <c r="Y9" s="11"/>
      <c r="Z9" s="11"/>
      <c r="AA9" s="11"/>
      <c r="AB9" s="759"/>
      <c r="AC9" s="11"/>
    </row>
    <row r="10" spans="1:32">
      <c r="A10" s="14" t="s">
        <v>184</v>
      </c>
      <c r="B10" s="15"/>
      <c r="D10" s="31">
        <f>IS!D38</f>
        <v>0</v>
      </c>
      <c r="E10" s="31">
        <f ca="1">1/12*(Brownsville!F39+Caledonia!F39+'New Albany'!F39)</f>
        <v>4450.1773702528308</v>
      </c>
      <c r="F10" s="31">
        <v>0</v>
      </c>
      <c r="G10" s="124">
        <f ca="1">(IS!E38-CF!E10)</f>
        <v>84892.835796992877</v>
      </c>
      <c r="H10" s="124">
        <f>IS!F38</f>
        <v>121999.06951687927</v>
      </c>
      <c r="I10" s="124">
        <f>IS!G38</f>
        <v>121476.06494435224</v>
      </c>
      <c r="J10" s="124">
        <f>IS!H38</f>
        <v>159397.18597050462</v>
      </c>
      <c r="K10" s="124">
        <f>IS!I38</f>
        <v>190097.33582811028</v>
      </c>
      <c r="L10" s="124">
        <f>IS!J38</f>
        <v>193579.98329342896</v>
      </c>
      <c r="M10" s="124">
        <f>IS!K38</f>
        <v>194775.80250539724</v>
      </c>
      <c r="N10" s="124">
        <f>IS!L38</f>
        <v>199190.63178751644</v>
      </c>
      <c r="O10" s="124">
        <f>IS!M38</f>
        <v>201164.74828323902</v>
      </c>
      <c r="P10" s="124">
        <f>IS!N38</f>
        <v>205842.93724912504</v>
      </c>
      <c r="Q10" s="124">
        <f>IS!O38</f>
        <v>206636.22157055381</v>
      </c>
      <c r="R10" s="124">
        <f>IS!P38</f>
        <v>211404.56282333276</v>
      </c>
      <c r="S10" s="124">
        <f>IS!Q38</f>
        <v>213496.51218873204</v>
      </c>
      <c r="T10" s="124">
        <f>IS!R38</f>
        <v>214824.9649175138</v>
      </c>
      <c r="U10" s="124">
        <f>IS!S38</f>
        <v>216457.46328716745</v>
      </c>
      <c r="V10" s="124">
        <f>IS!T38</f>
        <v>218375.97777791723</v>
      </c>
      <c r="W10" s="124">
        <f>IS!U38</f>
        <v>220293.84628468403</v>
      </c>
      <c r="X10" s="124">
        <f>IS!V38</f>
        <v>222179.29806472198</v>
      </c>
      <c r="Y10" s="124">
        <f>IS!W38</f>
        <v>223796.04112327134</v>
      </c>
      <c r="Z10" s="124">
        <f>IS!X38</f>
        <v>223074.97390162485</v>
      </c>
      <c r="AA10" s="124">
        <f>IS!Y38</f>
        <v>226014.71160095112</v>
      </c>
      <c r="AB10" s="760">
        <f ca="1">SUM(D10:AA10)</f>
        <v>4073421.3460862688</v>
      </c>
      <c r="AC10" s="142"/>
      <c r="AD10"/>
      <c r="AE10"/>
      <c r="AF10"/>
    </row>
    <row r="12" spans="1:32">
      <c r="A12" s="15" t="s">
        <v>402</v>
      </c>
      <c r="B12" s="15"/>
      <c r="D12" s="142">
        <v>0</v>
      </c>
      <c r="E12" s="800">
        <f ca="1">-SUM(E10,E13:E16)</f>
        <v>-1093.3396039210511</v>
      </c>
      <c r="F12" s="31">
        <v>0</v>
      </c>
      <c r="G12" s="31">
        <f>IRR!G10</f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761">
        <f t="shared" ref="AB12:AB30" ca="1" si="1">SUM(D12:AA12)</f>
        <v>-1093.3396039210511</v>
      </c>
      <c r="AC12" s="142"/>
      <c r="AD12"/>
      <c r="AE12"/>
      <c r="AF12"/>
    </row>
    <row r="13" spans="1:32">
      <c r="A13" s="15" t="s">
        <v>433</v>
      </c>
      <c r="B13" s="15"/>
      <c r="C13" s="22" t="str">
        <f>IF(D13-Debt!B102&gt;1,"CHECK","")</f>
        <v/>
      </c>
      <c r="D13" s="800">
        <f>-D10</f>
        <v>0</v>
      </c>
      <c r="E13" s="74">
        <f>-D13</f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761">
        <f t="shared" si="1"/>
        <v>0</v>
      </c>
      <c r="AC13" s="142"/>
      <c r="AD13"/>
      <c r="AE13"/>
      <c r="AF13"/>
    </row>
    <row r="14" spans="1:32">
      <c r="A14" s="15" t="s">
        <v>380</v>
      </c>
      <c r="B14" s="15"/>
      <c r="D14" s="135">
        <v>0</v>
      </c>
      <c r="E14" s="135">
        <f>-Debt!B138</f>
        <v>3320.0248154705105</v>
      </c>
      <c r="F14" s="31">
        <v>0</v>
      </c>
      <c r="G14" s="31">
        <f>-Debt!C104-E14</f>
        <v>15264.582647621271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761">
        <f t="shared" si="1"/>
        <v>18584.607463091783</v>
      </c>
      <c r="AC14" s="142"/>
      <c r="AD14"/>
      <c r="AE14"/>
      <c r="AF14"/>
    </row>
    <row r="15" spans="1:32">
      <c r="A15" s="15" t="s">
        <v>354</v>
      </c>
      <c r="B15" s="15"/>
      <c r="D15" s="39">
        <v>0</v>
      </c>
      <c r="E15" s="795">
        <f>-Debt!C31-Debt!B41-Debt!C54-Debt!B64-Debt!C77-Debt!B87</f>
        <v>-673.15841513562407</v>
      </c>
      <c r="F15" s="39">
        <v>0</v>
      </c>
      <c r="G15" s="795">
        <f>-(Debt!C36+Debt!C59+Debt!C82)</f>
        <v>-7404.7425664918655</v>
      </c>
      <c r="H15" s="795">
        <f>-(Debt!D31+Debt!D36+Debt!D54+Debt!D59+Debt!D77+Debt!D82)</f>
        <v>-23716.153369009142</v>
      </c>
      <c r="I15" s="795">
        <f>-(Debt!E31+Debt!E36+Debt!E54+Debt!E59+Debt!E77+Debt!E82)</f>
        <v>-25238.597979733666</v>
      </c>
      <c r="J15" s="795">
        <f>-(Debt!F31+Debt!F36+Debt!F54+Debt!F59+Debt!F77+Debt!F82)</f>
        <v>-46070.090637677335</v>
      </c>
      <c r="K15" s="795">
        <f>-(Debt!G31+Debt!G36+Debt!G54+Debt!G59+Debt!G77+Debt!G82)</f>
        <v>-21758</v>
      </c>
      <c r="L15" s="795">
        <f>-(Debt!H31+Debt!H36+Debt!H54+Debt!H59+Debt!H77+Debt!H82)</f>
        <v>-25649.5</v>
      </c>
      <c r="M15" s="795">
        <f>-(Debt!I31+Debt!I36+Debt!I54+Debt!I59+Debt!I77+Debt!I82)</f>
        <v>-28702.5</v>
      </c>
      <c r="N15" s="795">
        <f>-(Debt!J31+Debt!J36+Debt!J54+Debt!J59+Debt!J77+Debt!J82)</f>
        <v>-33540</v>
      </c>
      <c r="O15" s="795">
        <f>-(Debt!K31+Debt!K36+Debt!K54+Debt!K59+Debt!K77+Debt!K82)</f>
        <v>-37840</v>
      </c>
      <c r="P15" s="795">
        <f>-(Debt!L31+Debt!L36+Debt!L54+Debt!L59+Debt!L77+Debt!L82)</f>
        <v>-47407.257031952358</v>
      </c>
      <c r="Q15" s="795">
        <f>-(Debt!M31+Debt!M36+Debt!M54+Debt!M59+Debt!M77+Debt!M82)</f>
        <v>-32430.240357681083</v>
      </c>
      <c r="R15" s="795">
        <f>-(Debt!N31+Debt!N36+Debt!N54+Debt!N59+Debt!N77+Debt!N82)</f>
        <v>-36050.707912910264</v>
      </c>
      <c r="S15" s="795">
        <f>-(Debt!O31+Debt!O36+Debt!O54+Debt!O59+Debt!O77+Debt!O82)</f>
        <v>-39714.862455105824</v>
      </c>
      <c r="T15" s="795">
        <f>-(Debt!P31+Debt!P36+Debt!P54+Debt!P59+Debt!P77+Debt!P82)</f>
        <v>-42351.698424625974</v>
      </c>
      <c r="U15" s="795">
        <f>-(Debt!Q31+Debt!Q36+Debt!Q54+Debt!Q59+Debt!Q77+Debt!Q82)</f>
        <v>-45258.755136101652</v>
      </c>
      <c r="V15" s="795">
        <f>-(Debt!R31+Debt!R36+Debt!R54+Debt!R59+Debt!R77+Debt!R82)</f>
        <v>-49324.076642179083</v>
      </c>
      <c r="W15" s="795">
        <f>-(Debt!S31+Debt!S36+Debt!S54+Debt!S59+Debt!S77+Debt!S82)</f>
        <v>-50286.886560959807</v>
      </c>
      <c r="X15" s="795">
        <f>-(Debt!T31+Debt!T36+Debt!T54+Debt!T59+Debt!T77+Debt!T82)</f>
        <v>-49119.721184857604</v>
      </c>
      <c r="Y15" s="795">
        <f>-(Debt!U31+Debt!U36+Debt!U54+Debt!U59+Debt!U77+Debt!U82)</f>
        <v>-43305.819899604146</v>
      </c>
      <c r="Z15" s="795">
        <f>-(Debt!V31+Debt!V36+Debt!V54+Debt!V59+Debt!V77+Debt!V82)</f>
        <v>-37157.231425974576</v>
      </c>
      <c r="AA15" s="39">
        <f>-(Debt!W31+Debt!W36+Debt!W54+Debt!W59+Debt!W77+Debt!W82)</f>
        <v>0</v>
      </c>
      <c r="AB15" s="771">
        <f>SUM(D15:AA15)</f>
        <v>-723000</v>
      </c>
      <c r="AC15" s="303"/>
      <c r="AD15"/>
      <c r="AE15"/>
      <c r="AF15"/>
    </row>
    <row r="16" spans="1:32">
      <c r="A16" s="15" t="s">
        <v>353</v>
      </c>
      <c r="B16" s="15"/>
      <c r="D16" s="429">
        <v>0</v>
      </c>
      <c r="E16" s="254">
        <f>-Debt!B42-Debt!C32-Debt!B65-Debt!C55-Debt!B88-Debt!C78</f>
        <v>-6003.7041666666664</v>
      </c>
      <c r="F16" s="429">
        <v>0</v>
      </c>
      <c r="G16" s="254">
        <f>-Debt!C37-Debt!C60-Debt!C83</f>
        <v>-35994.6591629002</v>
      </c>
      <c r="H16" s="254">
        <f>-(Debt!D45+Debt!D68+Debt!D91)</f>
        <v>-70937.747356060121</v>
      </c>
      <c r="I16" s="254">
        <f>-(Debt!E45+Debt!E68+Debt!E91)</f>
        <v>-68923.756655047822</v>
      </c>
      <c r="J16" s="254">
        <f>-(Debt!F45+Debt!F68+Debt!F91)</f>
        <v>-66310.112887071344</v>
      </c>
      <c r="K16" s="254">
        <f>-(Debt!G45+Debt!G68+Debt!G91)</f>
        <v>-62852.163883505767</v>
      </c>
      <c r="L16" s="254">
        <f>-(Debt!H45+Debt!H68+Debt!H91)</f>
        <v>-60554.602933505768</v>
      </c>
      <c r="M16" s="254">
        <f>-(Debt!I45+Debt!I68+Debt!I91)</f>
        <v>-57987.283633505765</v>
      </c>
      <c r="N16" s="254">
        <f>-(Debt!J45+Debt!J68+Debt!J91)</f>
        <v>-55079.849383505774</v>
      </c>
      <c r="O16" s="254">
        <f>-(Debt!K45+Debt!K68+Debt!K91)</f>
        <v>-51715.271383505766</v>
      </c>
      <c r="P16" s="254">
        <f>-(Debt!L45+Debt!L68+Debt!L91)</f>
        <v>-44109.009870962655</v>
      </c>
      <c r="Q16" s="254">
        <f>-(Debt!M45+Debt!M68+Debt!M91)</f>
        <v>-47198.455271335668</v>
      </c>
      <c r="R16" s="254">
        <f>-(Debt!N45+Debt!N68+Debt!N91)</f>
        <v>-40024.181575997936</v>
      </c>
      <c r="S16" s="254">
        <f>-(Debt!O45+Debt!O68+Debt!O91)</f>
        <v>-36166.701573666222</v>
      </c>
      <c r="T16" s="254">
        <f>-(Debt!P45+Debt!P68+Debt!P91)</f>
        <v>-31953.667218121067</v>
      </c>
      <c r="U16" s="254">
        <f>-(Debt!Q45+Debt!Q68+Debt!Q91)</f>
        <v>-27458.429645550717</v>
      </c>
      <c r="V16" s="254">
        <f>-(Debt!R45+Debt!R68+Debt!R91)</f>
        <v>-22629.624472308722</v>
      </c>
      <c r="W16" s="254">
        <f>-(Debt!S45+Debt!S68+Debt!S91)</f>
        <v>-17457.539770941141</v>
      </c>
      <c r="X16" s="254">
        <f>-(Debt!T45+Debt!T68+Debt!T91)</f>
        <v>-12240.551585054051</v>
      </c>
      <c r="Y16" s="254">
        <f>-(Debt!U45+Debt!U68+Debt!U91)</f>
        <v>-7266.5788291932095</v>
      </c>
      <c r="Z16" s="254">
        <f>-(Debt!V45+Debt!V68+Debt!V91)</f>
        <v>-2908.0178244753279</v>
      </c>
      <c r="AA16" s="429">
        <f>-(Debt!W45+Debt!W68+Debt!W91)</f>
        <v>0</v>
      </c>
      <c r="AB16" s="773">
        <f t="shared" si="1"/>
        <v>-825771.90908288164</v>
      </c>
      <c r="AC16" s="142"/>
      <c r="AD16"/>
      <c r="AE16"/>
      <c r="AF16"/>
    </row>
    <row r="17" spans="1:32">
      <c r="A17" s="15"/>
      <c r="B17" s="15"/>
      <c r="D17" s="124"/>
      <c r="E17" s="74"/>
      <c r="F17" s="7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760"/>
      <c r="AC17" s="142"/>
      <c r="AD17"/>
      <c r="AE17"/>
      <c r="AF17"/>
    </row>
    <row r="18" spans="1:32">
      <c r="A18" s="14" t="s">
        <v>194</v>
      </c>
      <c r="B18" s="14"/>
      <c r="D18" s="31">
        <f t="shared" ref="D18:AA18" si="2">SUM(D10:D16)</f>
        <v>0</v>
      </c>
      <c r="E18" s="31">
        <f t="shared" ca="1" si="2"/>
        <v>0</v>
      </c>
      <c r="F18" s="31">
        <f t="shared" si="2"/>
        <v>0</v>
      </c>
      <c r="G18" s="428">
        <f t="shared" ca="1" si="2"/>
        <v>56758.016715222075</v>
      </c>
      <c r="H18" s="428">
        <f t="shared" si="2"/>
        <v>27345.168791810007</v>
      </c>
      <c r="I18" s="428">
        <f t="shared" si="2"/>
        <v>27313.710309570757</v>
      </c>
      <c r="J18" s="428">
        <f t="shared" si="2"/>
        <v>47016.982445755944</v>
      </c>
      <c r="K18" s="428">
        <f t="shared" si="2"/>
        <v>105487.17194460452</v>
      </c>
      <c r="L18" s="428">
        <f t="shared" si="2"/>
        <v>107375.88035992319</v>
      </c>
      <c r="M18" s="428">
        <f t="shared" si="2"/>
        <v>108086.01887189147</v>
      </c>
      <c r="N18" s="428">
        <f t="shared" si="2"/>
        <v>110570.78240401066</v>
      </c>
      <c r="O18" s="428">
        <f t="shared" si="2"/>
        <v>111609.47689973326</v>
      </c>
      <c r="P18" s="428">
        <f t="shared" si="2"/>
        <v>114326.67034621004</v>
      </c>
      <c r="Q18" s="428">
        <f t="shared" si="2"/>
        <v>127007.52594153705</v>
      </c>
      <c r="R18" s="428">
        <f t="shared" si="2"/>
        <v>135329.67333442456</v>
      </c>
      <c r="S18" s="428">
        <f t="shared" si="2"/>
        <v>137614.94815996001</v>
      </c>
      <c r="T18" s="428">
        <f t="shared" si="2"/>
        <v>140519.59927476678</v>
      </c>
      <c r="U18" s="428">
        <f t="shared" si="2"/>
        <v>143740.27850551507</v>
      </c>
      <c r="V18" s="428">
        <f t="shared" si="2"/>
        <v>146422.27666342942</v>
      </c>
      <c r="W18" s="428">
        <f t="shared" si="2"/>
        <v>152549.41995278309</v>
      </c>
      <c r="X18" s="428">
        <f t="shared" si="2"/>
        <v>160819.02529481033</v>
      </c>
      <c r="Y18" s="428">
        <f t="shared" si="2"/>
        <v>173223.64239447401</v>
      </c>
      <c r="Z18" s="428">
        <f t="shared" si="2"/>
        <v>183009.72465117494</v>
      </c>
      <c r="AA18" s="428">
        <f t="shared" si="2"/>
        <v>226014.71160095112</v>
      </c>
      <c r="AB18" s="763">
        <f t="shared" ca="1" si="1"/>
        <v>2542140.7048625583</v>
      </c>
      <c r="AC18" s="304"/>
      <c r="AD18"/>
      <c r="AE18"/>
      <c r="AF18"/>
    </row>
    <row r="19" spans="1:32">
      <c r="A19" s="14"/>
      <c r="B19" s="14"/>
      <c r="D19" s="31"/>
      <c r="E19" s="31"/>
      <c r="F19" s="31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757"/>
      <c r="AD19"/>
      <c r="AE19"/>
      <c r="AF19"/>
    </row>
    <row r="20" spans="1:32">
      <c r="A20" s="15" t="s">
        <v>409</v>
      </c>
      <c r="B20" s="15"/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757"/>
      <c r="AD20" s="797"/>
      <c r="AE20" s="797"/>
      <c r="AF20" s="797"/>
    </row>
    <row r="21" spans="1:32">
      <c r="A21" s="14"/>
      <c r="B21" s="14"/>
      <c r="D21" s="31"/>
      <c r="E21" s="31"/>
      <c r="F21" s="31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757"/>
      <c r="AD21"/>
      <c r="AE21"/>
      <c r="AF21"/>
    </row>
    <row r="22" spans="1:32">
      <c r="A22" s="14" t="s">
        <v>408</v>
      </c>
      <c r="B22" s="14"/>
      <c r="D22" s="74">
        <f>D18+D20</f>
        <v>0</v>
      </c>
      <c r="E22" s="74">
        <f t="shared" ref="E22:AA22" ca="1" si="3">E18+E20</f>
        <v>0</v>
      </c>
      <c r="F22" s="74">
        <f t="shared" si="3"/>
        <v>0</v>
      </c>
      <c r="G22" s="74">
        <f t="shared" ca="1" si="3"/>
        <v>56758.016715222075</v>
      </c>
      <c r="H22" s="74">
        <f t="shared" si="3"/>
        <v>27345.168791810007</v>
      </c>
      <c r="I22" s="74">
        <f t="shared" si="3"/>
        <v>27313.710309570757</v>
      </c>
      <c r="J22" s="74">
        <f t="shared" si="3"/>
        <v>47016.982445755944</v>
      </c>
      <c r="K22" s="74">
        <f t="shared" si="3"/>
        <v>105487.17194460452</v>
      </c>
      <c r="L22" s="74">
        <f t="shared" si="3"/>
        <v>107375.88035992319</v>
      </c>
      <c r="M22" s="74">
        <f t="shared" si="3"/>
        <v>108086.01887189147</v>
      </c>
      <c r="N22" s="74">
        <f t="shared" si="3"/>
        <v>110570.78240401066</v>
      </c>
      <c r="O22" s="74">
        <f t="shared" si="3"/>
        <v>111609.47689973326</v>
      </c>
      <c r="P22" s="74">
        <f t="shared" si="3"/>
        <v>114326.67034621004</v>
      </c>
      <c r="Q22" s="74">
        <f t="shared" si="3"/>
        <v>127007.52594153705</v>
      </c>
      <c r="R22" s="74">
        <f t="shared" si="3"/>
        <v>135329.67333442456</v>
      </c>
      <c r="S22" s="74">
        <f t="shared" si="3"/>
        <v>137614.94815996001</v>
      </c>
      <c r="T22" s="74">
        <f t="shared" si="3"/>
        <v>140519.59927476678</v>
      </c>
      <c r="U22" s="74">
        <f t="shared" si="3"/>
        <v>143740.27850551507</v>
      </c>
      <c r="V22" s="74">
        <f t="shared" si="3"/>
        <v>146422.27666342942</v>
      </c>
      <c r="W22" s="74">
        <f t="shared" si="3"/>
        <v>152549.41995278309</v>
      </c>
      <c r="X22" s="74">
        <f t="shared" si="3"/>
        <v>160819.02529481033</v>
      </c>
      <c r="Y22" s="74">
        <f t="shared" si="3"/>
        <v>173223.64239447401</v>
      </c>
      <c r="Z22" s="74">
        <f t="shared" si="3"/>
        <v>183009.72465117494</v>
      </c>
      <c r="AA22" s="74">
        <f t="shared" si="3"/>
        <v>226014.71160095112</v>
      </c>
      <c r="AB22" s="757"/>
      <c r="AD22"/>
      <c r="AE22"/>
      <c r="AF22"/>
    </row>
    <row r="23" spans="1:32">
      <c r="A23" s="14"/>
      <c r="B23" s="14"/>
      <c r="D23" s="31"/>
      <c r="E23" s="31"/>
      <c r="F23" s="31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757"/>
      <c r="AD23"/>
      <c r="AE23"/>
      <c r="AF23"/>
    </row>
    <row r="24" spans="1:32">
      <c r="A24" s="4" t="s">
        <v>195</v>
      </c>
      <c r="B24" s="14"/>
      <c r="D24" s="235">
        <f>-Tax!D28</f>
        <v>0</v>
      </c>
      <c r="E24" s="31">
        <v>0</v>
      </c>
      <c r="F24" s="31">
        <v>0</v>
      </c>
      <c r="G24" s="235">
        <f ca="1">-Tax!E28</f>
        <v>0</v>
      </c>
      <c r="H24" s="235">
        <f>-Tax!F28</f>
        <v>0</v>
      </c>
      <c r="I24" s="235">
        <f>-Tax!G28</f>
        <v>0</v>
      </c>
      <c r="J24" s="235">
        <f>-Tax!H28</f>
        <v>0</v>
      </c>
      <c r="K24" s="235">
        <f ca="1">-Tax!I28</f>
        <v>0</v>
      </c>
      <c r="L24" s="235">
        <f ca="1">-Tax!J28</f>
        <v>0</v>
      </c>
      <c r="M24" s="235">
        <f ca="1">-Tax!K28</f>
        <v>-961.3073235473471</v>
      </c>
      <c r="N24" s="235">
        <f ca="1">-Tax!L28</f>
        <v>-4371.1502387935379</v>
      </c>
      <c r="O24" s="235">
        <f ca="1">-Tax!M28</f>
        <v>-4714.9201966676383</v>
      </c>
      <c r="P24" s="235">
        <f ca="1">-Tax!N28</f>
        <v>-5254.9028632896934</v>
      </c>
      <c r="Q24" s="235">
        <f ca="1">-Tax!O28</f>
        <v>-5542.1002844950044</v>
      </c>
      <c r="R24" s="235">
        <f ca="1">-Tax!P28</f>
        <v>-6047.2004951507179</v>
      </c>
      <c r="S24" s="235">
        <f ca="1">-Tax!Q28</f>
        <v>-6427.3170669830233</v>
      </c>
      <c r="T24" s="235">
        <f ca="1">-Tax!R28</f>
        <v>-6764.7940865621686</v>
      </c>
      <c r="U24" s="235">
        <f ca="1">-Tax!S28</f>
        <v>-7153.7785717978923</v>
      </c>
      <c r="V24" s="235">
        <f ca="1">-Tax!T28</f>
        <v>-10681.754669168715</v>
      </c>
      <c r="W24" s="235">
        <f ca="1">-Tax!U28</f>
        <v>-12445.802336367429</v>
      </c>
      <c r="X24" s="235">
        <f>-Tax!V28</f>
        <v>-12875.917233793094</v>
      </c>
      <c r="Y24" s="235">
        <f>-Tax!W28</f>
        <v>-13262.496631235053</v>
      </c>
      <c r="Z24" s="235">
        <f>-Tax!X28</f>
        <v>-13468.057957802475</v>
      </c>
      <c r="AA24" s="235">
        <f ca="1">-Tax!Y28</f>
        <v>-13785.668232648884</v>
      </c>
      <c r="AB24" s="757">
        <f t="shared" ca="1" si="1"/>
        <v>-123757.16818830269</v>
      </c>
      <c r="AD24"/>
      <c r="AE24"/>
      <c r="AF24"/>
    </row>
    <row r="25" spans="1:32">
      <c r="A25" s="4" t="s">
        <v>196</v>
      </c>
      <c r="B25" s="15"/>
      <c r="D25" s="430">
        <f>-Tax!D39</f>
        <v>0</v>
      </c>
      <c r="E25" s="429">
        <f ca="1">(-Tax!E39*1/12)*Allocation!$I$10</f>
        <v>344.24700450116683</v>
      </c>
      <c r="F25" s="484">
        <v>0</v>
      </c>
      <c r="G25" s="430">
        <f ca="1">(-Tax!E39*11/12)*Allocation!$I$10+(-Tax!E39)*Allocation!$I$15</f>
        <v>8897.2020875372946</v>
      </c>
      <c r="H25" s="430">
        <f>-Tax!F39</f>
        <v>23160.858279344757</v>
      </c>
      <c r="I25" s="430">
        <f>-Tax!G39</f>
        <v>18523.396352312328</v>
      </c>
      <c r="J25" s="430">
        <f>-Tax!H39</f>
        <v>376.44395015300466</v>
      </c>
      <c r="K25" s="430">
        <f ca="1">-Tax!I39</f>
        <v>-14613.283752921283</v>
      </c>
      <c r="L25" s="430">
        <f ca="1">-Tax!J39</f>
        <v>-19710.679930751543</v>
      </c>
      <c r="M25" s="430">
        <f ca="1">-Tax!K39</f>
        <v>-22157.915982541264</v>
      </c>
      <c r="N25" s="430">
        <f ca="1">-Tax!L39</f>
        <v>-23552.70388637585</v>
      </c>
      <c r="O25" s="430">
        <f ca="1">-Tax!M39</f>
        <v>-25405.010849193794</v>
      </c>
      <c r="P25" s="430">
        <f ca="1">-Tax!N39</f>
        <v>-28314.554368849873</v>
      </c>
      <c r="Q25" s="430">
        <f ca="1">-Tax!O39</f>
        <v>-29862.036255550349</v>
      </c>
      <c r="R25" s="430">
        <f ca="1">-Tax!P39</f>
        <v>-32583.62555004314</v>
      </c>
      <c r="S25" s="430">
        <f ca="1">-Tax!Q39</f>
        <v>-34631.775938290055</v>
      </c>
      <c r="T25" s="430">
        <f ca="1">-Tax!R39</f>
        <v>-36450.175187087807</v>
      </c>
      <c r="U25" s="430">
        <f ca="1">-Tax!S39</f>
        <v>-38546.107812748363</v>
      </c>
      <c r="V25" s="430">
        <f ca="1">-Tax!T39</f>
        <v>-57555.606869115996</v>
      </c>
      <c r="W25" s="430">
        <f ca="1">-Tax!U39</f>
        <v>-67060.677634757521</v>
      </c>
      <c r="X25" s="430">
        <f>-Tax!V39</f>
        <v>-69378.229826462004</v>
      </c>
      <c r="Y25" s="430">
        <f>-Tax!W39</f>
        <v>-71461.203318363099</v>
      </c>
      <c r="Z25" s="430">
        <f>-Tax!X39</f>
        <v>-72568.812252086107</v>
      </c>
      <c r="AA25" s="430">
        <f ca="1">-Tax!Y39</f>
        <v>-74280.16517890578</v>
      </c>
      <c r="AB25" s="764">
        <f t="shared" ca="1" si="1"/>
        <v>-666830.41692019533</v>
      </c>
      <c r="AC25" s="303"/>
      <c r="AD25"/>
      <c r="AE25"/>
      <c r="AF25"/>
    </row>
    <row r="26" spans="1:32">
      <c r="A26" s="15"/>
      <c r="B26" s="15"/>
      <c r="D26" s="122"/>
      <c r="E26" s="74"/>
      <c r="F26" s="74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765"/>
      <c r="AC26" s="303"/>
      <c r="AD26"/>
      <c r="AE26"/>
      <c r="AF26"/>
    </row>
    <row r="27" spans="1:32" s="21" customFormat="1">
      <c r="A27" s="14" t="s">
        <v>197</v>
      </c>
      <c r="B27" s="14"/>
      <c r="D27" s="31">
        <f>D18+D25+D24</f>
        <v>0</v>
      </c>
      <c r="E27" s="31">
        <f ca="1">E18+E25+E24</f>
        <v>344.24700450116683</v>
      </c>
      <c r="F27" s="31">
        <f t="shared" ref="F27:Z27" si="4">F18+F25+F24</f>
        <v>0</v>
      </c>
      <c r="G27" s="74">
        <f t="shared" ca="1" si="4"/>
        <v>65655.218802759366</v>
      </c>
      <c r="H27" s="74">
        <f t="shared" si="4"/>
        <v>50506.027071154764</v>
      </c>
      <c r="I27" s="74">
        <f t="shared" si="4"/>
        <v>45837.106661883081</v>
      </c>
      <c r="J27" s="74">
        <f t="shared" si="4"/>
        <v>47393.426395908951</v>
      </c>
      <c r="K27" s="74">
        <f t="shared" ca="1" si="4"/>
        <v>90873.888191683232</v>
      </c>
      <c r="L27" s="74">
        <f t="shared" ca="1" si="4"/>
        <v>87665.200429171644</v>
      </c>
      <c r="M27" s="74">
        <f t="shared" ca="1" si="4"/>
        <v>84966.795565802866</v>
      </c>
      <c r="N27" s="74">
        <f t="shared" ca="1" si="4"/>
        <v>82646.928278841282</v>
      </c>
      <c r="O27" s="74">
        <f t="shared" ca="1" si="4"/>
        <v>81489.545853871823</v>
      </c>
      <c r="P27" s="74">
        <f t="shared" ca="1" si="4"/>
        <v>80757.213114070473</v>
      </c>
      <c r="Q27" s="74">
        <f t="shared" ca="1" si="4"/>
        <v>91603.389401491702</v>
      </c>
      <c r="R27" s="74">
        <f t="shared" ca="1" si="4"/>
        <v>96698.847289230704</v>
      </c>
      <c r="S27" s="74">
        <f t="shared" ca="1" si="4"/>
        <v>96555.855154686928</v>
      </c>
      <c r="T27" s="74">
        <f t="shared" ca="1" si="4"/>
        <v>97304.630001116806</v>
      </c>
      <c r="U27" s="74">
        <f t="shared" ca="1" si="4"/>
        <v>98040.392120968812</v>
      </c>
      <c r="V27" s="74">
        <f t="shared" ca="1" si="4"/>
        <v>78184.915125144718</v>
      </c>
      <c r="W27" s="74">
        <f t="shared" ca="1" si="4"/>
        <v>73042.939981658143</v>
      </c>
      <c r="X27" s="74">
        <f t="shared" si="4"/>
        <v>78564.878234555232</v>
      </c>
      <c r="Y27" s="74">
        <f t="shared" si="4"/>
        <v>88499.942444875851</v>
      </c>
      <c r="Z27" s="74">
        <f t="shared" si="4"/>
        <v>96972.854441286356</v>
      </c>
      <c r="AA27" s="74">
        <f ca="1">AA18+AA25+AA24</f>
        <v>137948.87818939643</v>
      </c>
      <c r="AB27" s="762">
        <f t="shared" ca="1" si="1"/>
        <v>1751553.1197540604</v>
      </c>
      <c r="AC27" s="427"/>
      <c r="AD27"/>
      <c r="AE27"/>
      <c r="AF27"/>
    </row>
    <row r="28" spans="1:32">
      <c r="A28" s="15"/>
      <c r="B28" s="15"/>
      <c r="D28" s="31"/>
      <c r="E28" s="31"/>
      <c r="F28" s="31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765"/>
      <c r="AC28" s="303"/>
      <c r="AD28"/>
      <c r="AE28"/>
      <c r="AF28"/>
    </row>
    <row r="29" spans="1:32">
      <c r="A29" s="16" t="s">
        <v>198</v>
      </c>
      <c r="B29" s="16"/>
      <c r="C29" s="660">
        <f>Assumptions!B13</f>
        <v>0.5</v>
      </c>
      <c r="D29" s="31">
        <v>0</v>
      </c>
      <c r="E29" s="31"/>
      <c r="F29" s="31"/>
      <c r="G29" s="31">
        <f ca="1">$C$29*IS!E53</f>
        <v>2637.4636004893564</v>
      </c>
      <c r="H29" s="31">
        <f>$C$29*IS!F53</f>
        <v>4246.5552010952451</v>
      </c>
      <c r="I29" s="31">
        <f>$C$29*IS!G53</f>
        <v>4716.9190772545908</v>
      </c>
      <c r="J29" s="31">
        <f>$C$29*IS!H53</f>
        <v>17350.822395025007</v>
      </c>
      <c r="K29" s="31">
        <f>$C$29*IS!I53</f>
        <v>27533.001528586654</v>
      </c>
      <c r="L29" s="31">
        <f>$C$29*IS!J53</f>
        <v>29345.06119749897</v>
      </c>
      <c r="M29" s="31">
        <f>$C$29*IS!K53</f>
        <v>30533.791939789611</v>
      </c>
      <c r="N29" s="31">
        <f>$C$29*IS!L53</f>
        <v>32827.545249094226</v>
      </c>
      <c r="O29" s="31">
        <f>$C$29*IS!M53</f>
        <v>34509.823070556871</v>
      </c>
      <c r="P29" s="31">
        <f>$C$29*IS!N53</f>
        <v>37248.942706147442</v>
      </c>
      <c r="Q29" s="31">
        <f>$C$29*IS!O53</f>
        <v>38643.363780013227</v>
      </c>
      <c r="R29" s="31">
        <f>$C$29*IS!P53</f>
        <v>41207.69163681817</v>
      </c>
      <c r="S29" s="31">
        <f>$C$29*IS!Q53</f>
        <v>43072.763135731147</v>
      </c>
      <c r="T29" s="31">
        <f>$C$29*IS!R53</f>
        <v>44795.651588469307</v>
      </c>
      <c r="U29" s="31">
        <f>$C$29*IS!S53</f>
        <v>46704.889864413162</v>
      </c>
      <c r="V29" s="31">
        <f>$C$29*IS!T53</f>
        <v>48818.919969999894</v>
      </c>
      <c r="W29" s="31">
        <f>$C$29*IS!U53</f>
        <v>50996.464551925434</v>
      </c>
      <c r="X29" s="31">
        <f>$C$29*IS!V53</f>
        <v>53149.36504789062</v>
      </c>
      <c r="Y29" s="31">
        <f>$C$29*IS!W53</f>
        <v>55083.884213335456</v>
      </c>
      <c r="Z29" s="31">
        <f>$C$29*IS!X53</f>
        <v>56111.894780887291</v>
      </c>
      <c r="AA29" s="31">
        <f>$C$29*IS!Y53</f>
        <v>57708.319011204469</v>
      </c>
      <c r="AB29" s="761">
        <f t="shared" ca="1" si="1"/>
        <v>757243.13354622619</v>
      </c>
      <c r="AC29" s="142"/>
      <c r="AD29"/>
      <c r="AE29"/>
      <c r="AF29"/>
    </row>
    <row r="30" spans="1:32">
      <c r="A30" s="16" t="s">
        <v>199</v>
      </c>
      <c r="B30" s="16"/>
      <c r="C30" s="660">
        <v>0.5</v>
      </c>
      <c r="D30" s="31">
        <f>(D27)*$C$30</f>
        <v>0</v>
      </c>
      <c r="E30" s="31">
        <f ca="1">(E27)*$C$30</f>
        <v>172.12350225058341</v>
      </c>
      <c r="F30" s="31">
        <f t="shared" ref="F30:Z30" si="5">(F27)*$C$30</f>
        <v>0</v>
      </c>
      <c r="G30" s="124">
        <f t="shared" ca="1" si="5"/>
        <v>32827.609401379683</v>
      </c>
      <c r="H30" s="124">
        <f t="shared" si="5"/>
        <v>25253.013535577382</v>
      </c>
      <c r="I30" s="124">
        <f t="shared" si="5"/>
        <v>22918.55333094154</v>
      </c>
      <c r="J30" s="124">
        <f t="shared" si="5"/>
        <v>23696.713197954476</v>
      </c>
      <c r="K30" s="124">
        <f t="shared" ca="1" si="5"/>
        <v>45436.944095841616</v>
      </c>
      <c r="L30" s="124">
        <f t="shared" ca="1" si="5"/>
        <v>43832.600214585822</v>
      </c>
      <c r="M30" s="124">
        <f t="shared" ca="1" si="5"/>
        <v>42483.397782901433</v>
      </c>
      <c r="N30" s="124">
        <f t="shared" ca="1" si="5"/>
        <v>41323.464139420641</v>
      </c>
      <c r="O30" s="124">
        <f t="shared" ca="1" si="5"/>
        <v>40744.772926935912</v>
      </c>
      <c r="P30" s="124">
        <f t="shared" ca="1" si="5"/>
        <v>40378.606557035237</v>
      </c>
      <c r="Q30" s="124">
        <f t="shared" ca="1" si="5"/>
        <v>45801.694700745851</v>
      </c>
      <c r="R30" s="124">
        <f t="shared" ca="1" si="5"/>
        <v>48349.423644615352</v>
      </c>
      <c r="S30" s="124">
        <f t="shared" ca="1" si="5"/>
        <v>48277.927577343464</v>
      </c>
      <c r="T30" s="124">
        <f t="shared" ca="1" si="5"/>
        <v>48652.315000558403</v>
      </c>
      <c r="U30" s="124">
        <f t="shared" ca="1" si="5"/>
        <v>49020.196060484406</v>
      </c>
      <c r="V30" s="124">
        <f t="shared" ca="1" si="5"/>
        <v>39092.457562572359</v>
      </c>
      <c r="W30" s="124">
        <f t="shared" ca="1" si="5"/>
        <v>36521.469990829071</v>
      </c>
      <c r="X30" s="124">
        <f t="shared" si="5"/>
        <v>39282.439117277616</v>
      </c>
      <c r="Y30" s="124">
        <f t="shared" si="5"/>
        <v>44249.971222437925</v>
      </c>
      <c r="Z30" s="124">
        <f t="shared" si="5"/>
        <v>48486.427220643178</v>
      </c>
      <c r="AA30" s="124">
        <f ca="1">(AA27)*$C$30</f>
        <v>68974.439094698217</v>
      </c>
      <c r="AB30" s="760">
        <f t="shared" ca="1" si="1"/>
        <v>875776.5598770302</v>
      </c>
      <c r="AC30" s="255"/>
      <c r="AD30"/>
      <c r="AE30"/>
      <c r="AF30"/>
    </row>
    <row r="31" spans="1:32">
      <c r="A31" s="15"/>
      <c r="B31" s="15"/>
      <c r="D31" s="277"/>
      <c r="E31" s="277"/>
      <c r="F31" s="277"/>
      <c r="G31" s="277"/>
      <c r="H31" s="277"/>
      <c r="I31" s="277"/>
      <c r="J31" s="277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303"/>
    </row>
    <row r="32" spans="1:32">
      <c r="A32" s="84"/>
      <c r="B32" s="84"/>
      <c r="E32" s="22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</row>
    <row r="33" spans="1:30">
      <c r="A33" s="84"/>
      <c r="B33" s="84"/>
      <c r="E33" s="22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</row>
    <row r="34" spans="1:30" ht="18">
      <c r="A34" s="292" t="s">
        <v>200</v>
      </c>
      <c r="B34" s="439"/>
      <c r="E34" s="22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</row>
    <row r="35" spans="1:30">
      <c r="D35" s="601"/>
      <c r="E35" s="601"/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601"/>
      <c r="W35" s="601"/>
      <c r="X35" s="601"/>
      <c r="Y35" s="601"/>
      <c r="Z35" s="601"/>
      <c r="AA35" s="601"/>
    </row>
    <row r="36" spans="1:30" ht="13.8" thickBot="1">
      <c r="A36" s="422" t="s">
        <v>164</v>
      </c>
      <c r="B36" s="422"/>
      <c r="C36" s="2"/>
      <c r="D36" s="9">
        <v>1999</v>
      </c>
      <c r="E36" s="9">
        <v>2000</v>
      </c>
      <c r="F36" s="9">
        <v>2000</v>
      </c>
      <c r="G36" s="9">
        <f>D36+1</f>
        <v>2000</v>
      </c>
      <c r="H36" s="9">
        <f t="shared" ref="H36:Q36" si="6">G36+1</f>
        <v>2001</v>
      </c>
      <c r="I36" s="9">
        <f t="shared" si="6"/>
        <v>2002</v>
      </c>
      <c r="J36" s="9">
        <f t="shared" si="6"/>
        <v>2003</v>
      </c>
      <c r="K36" s="9">
        <f t="shared" si="6"/>
        <v>2004</v>
      </c>
      <c r="L36" s="9">
        <f t="shared" si="6"/>
        <v>2005</v>
      </c>
      <c r="M36" s="9">
        <f t="shared" si="6"/>
        <v>2006</v>
      </c>
      <c r="N36" s="9">
        <f t="shared" si="6"/>
        <v>2007</v>
      </c>
      <c r="O36" s="9">
        <f t="shared" si="6"/>
        <v>2008</v>
      </c>
      <c r="P36" s="9">
        <f t="shared" si="6"/>
        <v>2009</v>
      </c>
      <c r="Q36" s="9">
        <f t="shared" si="6"/>
        <v>2010</v>
      </c>
      <c r="R36" s="9">
        <f t="shared" ref="R36:AA36" si="7">Q36+1</f>
        <v>2011</v>
      </c>
      <c r="S36" s="9">
        <f t="shared" si="7"/>
        <v>2012</v>
      </c>
      <c r="T36" s="9">
        <f t="shared" si="7"/>
        <v>2013</v>
      </c>
      <c r="U36" s="9">
        <f t="shared" si="7"/>
        <v>2014</v>
      </c>
      <c r="V36" s="9">
        <f t="shared" si="7"/>
        <v>2015</v>
      </c>
      <c r="W36" s="9">
        <f t="shared" si="7"/>
        <v>2016</v>
      </c>
      <c r="X36" s="9">
        <f t="shared" si="7"/>
        <v>2017</v>
      </c>
      <c r="Y36" s="9">
        <f t="shared" si="7"/>
        <v>2018</v>
      </c>
      <c r="Z36" s="9">
        <f t="shared" si="7"/>
        <v>2019</v>
      </c>
      <c r="AA36" s="9">
        <f t="shared" si="7"/>
        <v>2020</v>
      </c>
    </row>
    <row r="37" spans="1:30" ht="14.25" customHeight="1">
      <c r="A37" s="440"/>
      <c r="B37" s="440"/>
      <c r="E37" s="125"/>
      <c r="F37" s="125"/>
      <c r="M37" s="71"/>
    </row>
    <row r="38" spans="1:30">
      <c r="A38" s="84"/>
      <c r="B38" s="84"/>
      <c r="E38" s="22"/>
      <c r="M38" s="71"/>
    </row>
    <row r="39" spans="1:30" s="21" customFormat="1">
      <c r="A39" s="14" t="s">
        <v>194</v>
      </c>
      <c r="B39" s="84"/>
      <c r="D39" s="74">
        <f>$C$30*D18</f>
        <v>0</v>
      </c>
      <c r="E39" s="74">
        <f ca="1">$C$30*E18</f>
        <v>0</v>
      </c>
      <c r="F39" s="74">
        <f t="shared" ref="F39:AA39" si="8">$C$30*F18</f>
        <v>0</v>
      </c>
      <c r="G39" s="428">
        <f t="shared" ca="1" si="8"/>
        <v>28379.008357611037</v>
      </c>
      <c r="H39" s="428">
        <f t="shared" si="8"/>
        <v>13672.584395905003</v>
      </c>
      <c r="I39" s="428">
        <f t="shared" si="8"/>
        <v>13656.855154785379</v>
      </c>
      <c r="J39" s="428">
        <f t="shared" si="8"/>
        <v>23508.491222877972</v>
      </c>
      <c r="K39" s="428">
        <f t="shared" si="8"/>
        <v>52743.585972302259</v>
      </c>
      <c r="L39" s="428">
        <f t="shared" si="8"/>
        <v>53687.940179961595</v>
      </c>
      <c r="M39" s="428">
        <f t="shared" si="8"/>
        <v>54043.009435945736</v>
      </c>
      <c r="N39" s="428">
        <f t="shared" si="8"/>
        <v>55285.391202005332</v>
      </c>
      <c r="O39" s="428">
        <f t="shared" si="8"/>
        <v>55804.738449866629</v>
      </c>
      <c r="P39" s="428">
        <f t="shared" si="8"/>
        <v>57163.335173105021</v>
      </c>
      <c r="Q39" s="428">
        <f t="shared" si="8"/>
        <v>63503.762970768526</v>
      </c>
      <c r="R39" s="428">
        <f t="shared" si="8"/>
        <v>67664.836667212279</v>
      </c>
      <c r="S39" s="428">
        <f t="shared" si="8"/>
        <v>68807.474079980006</v>
      </c>
      <c r="T39" s="428">
        <f t="shared" si="8"/>
        <v>70259.799637383388</v>
      </c>
      <c r="U39" s="428">
        <f t="shared" si="8"/>
        <v>71870.139252757537</v>
      </c>
      <c r="V39" s="428">
        <f t="shared" si="8"/>
        <v>73211.138331714712</v>
      </c>
      <c r="W39" s="428">
        <f t="shared" si="8"/>
        <v>76274.709976391547</v>
      </c>
      <c r="X39" s="428">
        <f t="shared" si="8"/>
        <v>80409.512647405165</v>
      </c>
      <c r="Y39" s="428">
        <f t="shared" si="8"/>
        <v>86611.821197237005</v>
      </c>
      <c r="Z39" s="428">
        <f t="shared" si="8"/>
        <v>91504.86232558747</v>
      </c>
      <c r="AA39" s="428">
        <f t="shared" si="8"/>
        <v>113007.35580047556</v>
      </c>
      <c r="AB39" s="138"/>
      <c r="AC39" s="138"/>
      <c r="AD39" s="138"/>
    </row>
    <row r="40" spans="1:30">
      <c r="A40" s="14"/>
      <c r="B40" s="84"/>
      <c r="D40" s="235"/>
      <c r="E40" s="74"/>
      <c r="F40" s="74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30">
      <c r="A41" s="15" t="s">
        <v>201</v>
      </c>
      <c r="B41" s="84"/>
      <c r="D41" s="74">
        <f>$C$30*D24</f>
        <v>0</v>
      </c>
      <c r="E41" s="74">
        <f>$C$30*E24</f>
        <v>0</v>
      </c>
      <c r="F41" s="74">
        <f t="shared" ref="F41:AA41" si="9">$C$30*F24</f>
        <v>0</v>
      </c>
      <c r="G41" s="280">
        <f t="shared" ca="1" si="9"/>
        <v>0</v>
      </c>
      <c r="H41" s="280">
        <f t="shared" si="9"/>
        <v>0</v>
      </c>
      <c r="I41" s="280">
        <f t="shared" si="9"/>
        <v>0</v>
      </c>
      <c r="J41" s="280">
        <f t="shared" si="9"/>
        <v>0</v>
      </c>
      <c r="K41" s="280">
        <f t="shared" ca="1" si="9"/>
        <v>0</v>
      </c>
      <c r="L41" s="280">
        <f t="shared" ca="1" si="9"/>
        <v>0</v>
      </c>
      <c r="M41" s="280">
        <f t="shared" ca="1" si="9"/>
        <v>-480.65366177367355</v>
      </c>
      <c r="N41" s="280">
        <f t="shared" ca="1" si="9"/>
        <v>-2185.575119396769</v>
      </c>
      <c r="O41" s="280">
        <f t="shared" ca="1" si="9"/>
        <v>-2357.4600983338191</v>
      </c>
      <c r="P41" s="280">
        <f t="shared" ca="1" si="9"/>
        <v>-2627.4514316448467</v>
      </c>
      <c r="Q41" s="280">
        <f t="shared" ca="1" si="9"/>
        <v>-2771.0501422475022</v>
      </c>
      <c r="R41" s="280">
        <f t="shared" ca="1" si="9"/>
        <v>-3023.6002475753589</v>
      </c>
      <c r="S41" s="280">
        <f t="shared" ca="1" si="9"/>
        <v>-3213.6585334915117</v>
      </c>
      <c r="T41" s="280">
        <f t="shared" ca="1" si="9"/>
        <v>-3382.3970432810843</v>
      </c>
      <c r="U41" s="280">
        <f t="shared" ca="1" si="9"/>
        <v>-3576.8892858989461</v>
      </c>
      <c r="V41" s="280">
        <f t="shared" ca="1" si="9"/>
        <v>-5340.8773345843574</v>
      </c>
      <c r="W41" s="280">
        <f t="shared" ca="1" si="9"/>
        <v>-6222.9011681837146</v>
      </c>
      <c r="X41" s="280">
        <f t="shared" si="9"/>
        <v>-6437.958616896547</v>
      </c>
      <c r="Y41" s="280">
        <f t="shared" si="9"/>
        <v>-6631.2483156175267</v>
      </c>
      <c r="Z41" s="280">
        <f t="shared" si="9"/>
        <v>-6734.0289789012377</v>
      </c>
      <c r="AA41" s="280">
        <f t="shared" ca="1" si="9"/>
        <v>-6892.8341163244422</v>
      </c>
    </row>
    <row r="42" spans="1:30">
      <c r="A42" s="15" t="s">
        <v>202</v>
      </c>
      <c r="B42" s="84"/>
      <c r="D42" s="484">
        <f>$C$30*D25</f>
        <v>0</v>
      </c>
      <c r="E42" s="484">
        <f ca="1">$C$30*E25</f>
        <v>172.12350225058341</v>
      </c>
      <c r="F42" s="484">
        <f t="shared" ref="F42:AA42" si="10">$C$30*F25</f>
        <v>0</v>
      </c>
      <c r="G42" s="284">
        <f t="shared" ca="1" si="10"/>
        <v>4448.6010437686473</v>
      </c>
      <c r="H42" s="284">
        <f t="shared" si="10"/>
        <v>11580.429139672378</v>
      </c>
      <c r="I42" s="284">
        <f t="shared" si="10"/>
        <v>9261.6981761561638</v>
      </c>
      <c r="J42" s="284">
        <f t="shared" si="10"/>
        <v>188.22197507650233</v>
      </c>
      <c r="K42" s="284">
        <f t="shared" ca="1" si="10"/>
        <v>-7306.6418764606415</v>
      </c>
      <c r="L42" s="284">
        <f t="shared" ca="1" si="10"/>
        <v>-9855.3399653757715</v>
      </c>
      <c r="M42" s="284">
        <f t="shared" ca="1" si="10"/>
        <v>-11078.957991270632</v>
      </c>
      <c r="N42" s="284">
        <f t="shared" ca="1" si="10"/>
        <v>-11776.351943187925</v>
      </c>
      <c r="O42" s="284">
        <f t="shared" ca="1" si="10"/>
        <v>-12702.505424596897</v>
      </c>
      <c r="P42" s="284">
        <f t="shared" ca="1" si="10"/>
        <v>-14157.277184424936</v>
      </c>
      <c r="Q42" s="284">
        <f t="shared" ca="1" si="10"/>
        <v>-14931.018127775174</v>
      </c>
      <c r="R42" s="284">
        <f t="shared" ca="1" si="10"/>
        <v>-16291.81277502157</v>
      </c>
      <c r="S42" s="284">
        <f t="shared" ca="1" si="10"/>
        <v>-17315.887969145027</v>
      </c>
      <c r="T42" s="284">
        <f t="shared" ca="1" si="10"/>
        <v>-18225.087593543903</v>
      </c>
      <c r="U42" s="284">
        <f t="shared" ca="1" si="10"/>
        <v>-19273.053906374182</v>
      </c>
      <c r="V42" s="284">
        <f t="shared" ca="1" si="10"/>
        <v>-28777.803434557998</v>
      </c>
      <c r="W42" s="284">
        <f t="shared" ca="1" si="10"/>
        <v>-33530.338817378761</v>
      </c>
      <c r="X42" s="284">
        <f t="shared" si="10"/>
        <v>-34689.114913231002</v>
      </c>
      <c r="Y42" s="284">
        <f t="shared" si="10"/>
        <v>-35730.60165918155</v>
      </c>
      <c r="Z42" s="284">
        <f t="shared" si="10"/>
        <v>-36284.406126043054</v>
      </c>
      <c r="AA42" s="284">
        <f t="shared" ca="1" si="10"/>
        <v>-37140.08258945289</v>
      </c>
    </row>
    <row r="43" spans="1:30">
      <c r="A43" s="15"/>
      <c r="B43" s="84"/>
      <c r="D43" s="235"/>
      <c r="E43" s="74"/>
      <c r="F43" s="74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30" s="21" customFormat="1">
      <c r="A44" s="14" t="s">
        <v>197</v>
      </c>
      <c r="B44" s="84"/>
      <c r="D44" s="74">
        <f>$C$30*D27</f>
        <v>0</v>
      </c>
      <c r="E44" s="74">
        <f ca="1">$C$30*E27</f>
        <v>172.12350225058341</v>
      </c>
      <c r="F44" s="74">
        <f t="shared" ref="F44:AA44" si="11">$C$30*F27</f>
        <v>0</v>
      </c>
      <c r="G44" s="428">
        <f t="shared" ca="1" si="11"/>
        <v>32827.609401379683</v>
      </c>
      <c r="H44" s="428">
        <f t="shared" si="11"/>
        <v>25253.013535577382</v>
      </c>
      <c r="I44" s="428">
        <f t="shared" si="11"/>
        <v>22918.55333094154</v>
      </c>
      <c r="J44" s="428">
        <f t="shared" si="11"/>
        <v>23696.713197954476</v>
      </c>
      <c r="K44" s="428">
        <f t="shared" ca="1" si="11"/>
        <v>45436.944095841616</v>
      </c>
      <c r="L44" s="428">
        <f t="shared" ca="1" si="11"/>
        <v>43832.600214585822</v>
      </c>
      <c r="M44" s="428">
        <f t="shared" ca="1" si="11"/>
        <v>42483.397782901433</v>
      </c>
      <c r="N44" s="428">
        <f t="shared" ca="1" si="11"/>
        <v>41323.464139420641</v>
      </c>
      <c r="O44" s="428">
        <f t="shared" ca="1" si="11"/>
        <v>40744.772926935912</v>
      </c>
      <c r="P44" s="428">
        <f t="shared" ca="1" si="11"/>
        <v>40378.606557035237</v>
      </c>
      <c r="Q44" s="428">
        <f t="shared" ca="1" si="11"/>
        <v>45801.694700745851</v>
      </c>
      <c r="R44" s="428">
        <f t="shared" ca="1" si="11"/>
        <v>48349.423644615352</v>
      </c>
      <c r="S44" s="428">
        <f t="shared" ca="1" si="11"/>
        <v>48277.927577343464</v>
      </c>
      <c r="T44" s="428">
        <f t="shared" ca="1" si="11"/>
        <v>48652.315000558403</v>
      </c>
      <c r="U44" s="428">
        <f t="shared" ca="1" si="11"/>
        <v>49020.196060484406</v>
      </c>
      <c r="V44" s="428">
        <f t="shared" ca="1" si="11"/>
        <v>39092.457562572359</v>
      </c>
      <c r="W44" s="428">
        <f t="shared" ca="1" si="11"/>
        <v>36521.469990829071</v>
      </c>
      <c r="X44" s="428">
        <f t="shared" si="11"/>
        <v>39282.439117277616</v>
      </c>
      <c r="Y44" s="428">
        <f t="shared" si="11"/>
        <v>44249.971222437925</v>
      </c>
      <c r="Z44" s="428">
        <f t="shared" si="11"/>
        <v>48486.427220643178</v>
      </c>
      <c r="AA44" s="428">
        <f t="shared" ca="1" si="11"/>
        <v>68974.439094698217</v>
      </c>
      <c r="AB44" s="138"/>
      <c r="AC44" s="138"/>
      <c r="AD44" s="138"/>
    </row>
    <row r="45" spans="1:30">
      <c r="A45" s="14"/>
      <c r="B45" s="84"/>
      <c r="E45" s="22"/>
      <c r="M45" s="71"/>
    </row>
    <row r="46" spans="1:30">
      <c r="A46" s="14"/>
      <c r="B46" s="84"/>
      <c r="E46" s="22"/>
      <c r="M46" s="71"/>
    </row>
    <row r="47" spans="1:30">
      <c r="A47" s="14"/>
      <c r="B47" s="84"/>
      <c r="E47" s="22"/>
      <c r="M47" s="71"/>
    </row>
    <row r="48" spans="1:30" ht="15.6">
      <c r="A48" s="84" t="s">
        <v>203</v>
      </c>
      <c r="B48" s="84"/>
      <c r="E48" s="22"/>
      <c r="M48" s="71"/>
      <c r="AB48" s="142"/>
      <c r="AC48" s="305"/>
    </row>
    <row r="49" spans="1:29">
      <c r="A49" s="447" t="s">
        <v>204</v>
      </c>
      <c r="B49" s="447"/>
      <c r="C49" s="448">
        <f>Assumptions!B13</f>
        <v>0.5</v>
      </c>
      <c r="D49" s="74">
        <f>(D27)*$C$49</f>
        <v>0</v>
      </c>
      <c r="E49" s="74">
        <f>$C$30*E32</f>
        <v>0</v>
      </c>
      <c r="F49" s="74">
        <f>$C$30*F32</f>
        <v>0</v>
      </c>
      <c r="G49" s="31">
        <f t="shared" ref="G49:AA49" ca="1" si="12">(G27)*$C$49</f>
        <v>32827.609401379683</v>
      </c>
      <c r="H49" s="31">
        <f t="shared" si="12"/>
        <v>25253.013535577382</v>
      </c>
      <c r="I49" s="31">
        <f t="shared" si="12"/>
        <v>22918.55333094154</v>
      </c>
      <c r="J49" s="31">
        <f t="shared" si="12"/>
        <v>23696.713197954476</v>
      </c>
      <c r="K49" s="31">
        <f t="shared" ca="1" si="12"/>
        <v>45436.944095841616</v>
      </c>
      <c r="L49" s="31">
        <f t="shared" ca="1" si="12"/>
        <v>43832.600214585822</v>
      </c>
      <c r="M49" s="31">
        <f t="shared" ca="1" si="12"/>
        <v>42483.397782901433</v>
      </c>
      <c r="N49" s="31">
        <f t="shared" ca="1" si="12"/>
        <v>41323.464139420641</v>
      </c>
      <c r="O49" s="31">
        <f t="shared" ca="1" si="12"/>
        <v>40744.772926935912</v>
      </c>
      <c r="P49" s="31">
        <f t="shared" ca="1" si="12"/>
        <v>40378.606557035237</v>
      </c>
      <c r="Q49" s="31">
        <f t="shared" ca="1" si="12"/>
        <v>45801.694700745851</v>
      </c>
      <c r="R49" s="31">
        <f t="shared" ca="1" si="12"/>
        <v>48349.423644615352</v>
      </c>
      <c r="S49" s="31">
        <f t="shared" ca="1" si="12"/>
        <v>48277.927577343464</v>
      </c>
      <c r="T49" s="31">
        <f t="shared" ca="1" si="12"/>
        <v>48652.315000558403</v>
      </c>
      <c r="U49" s="31">
        <f t="shared" ca="1" si="12"/>
        <v>49020.196060484406</v>
      </c>
      <c r="V49" s="31">
        <f t="shared" ca="1" si="12"/>
        <v>39092.457562572359</v>
      </c>
      <c r="W49" s="31">
        <f t="shared" ca="1" si="12"/>
        <v>36521.469990829071</v>
      </c>
      <c r="X49" s="31">
        <f t="shared" si="12"/>
        <v>39282.439117277616</v>
      </c>
      <c r="Y49" s="31">
        <f t="shared" si="12"/>
        <v>44249.971222437925</v>
      </c>
      <c r="Z49" s="31">
        <f t="shared" si="12"/>
        <v>48486.427220643178</v>
      </c>
      <c r="AA49" s="31">
        <f t="shared" ca="1" si="12"/>
        <v>68974.439094698217</v>
      </c>
    </row>
    <row r="50" spans="1:29">
      <c r="A50" s="157" t="s">
        <v>205</v>
      </c>
      <c r="B50" s="157"/>
      <c r="D50" s="39">
        <f>-0.5*B55</f>
        <v>-133750</v>
      </c>
      <c r="E50" s="74">
        <v>0</v>
      </c>
      <c r="F50" s="39">
        <f>D50</f>
        <v>-133750</v>
      </c>
      <c r="AB50" s="195"/>
      <c r="AC50" s="195"/>
    </row>
    <row r="51" spans="1:29">
      <c r="A51" s="157" t="s">
        <v>206</v>
      </c>
      <c r="B51" s="157"/>
      <c r="D51" s="39">
        <f>D50+D49</f>
        <v>-133750</v>
      </c>
      <c r="E51" s="74">
        <f ca="1">E44</f>
        <v>172.12350225058341</v>
      </c>
      <c r="F51" s="39">
        <f t="shared" ref="F51:AA51" si="13">F50+F49</f>
        <v>-133750</v>
      </c>
      <c r="G51" s="236">
        <f t="shared" ca="1" si="13"/>
        <v>32827.609401379683</v>
      </c>
      <c r="H51" s="236">
        <f t="shared" si="13"/>
        <v>25253.013535577382</v>
      </c>
      <c r="I51" s="236">
        <f t="shared" si="13"/>
        <v>22918.55333094154</v>
      </c>
      <c r="J51" s="236">
        <f t="shared" si="13"/>
        <v>23696.713197954476</v>
      </c>
      <c r="K51" s="236">
        <f t="shared" ca="1" si="13"/>
        <v>45436.944095841616</v>
      </c>
      <c r="L51" s="236">
        <f t="shared" ca="1" si="13"/>
        <v>43832.600214585822</v>
      </c>
      <c r="M51" s="236">
        <f t="shared" ca="1" si="13"/>
        <v>42483.397782901433</v>
      </c>
      <c r="N51" s="236">
        <f t="shared" ca="1" si="13"/>
        <v>41323.464139420641</v>
      </c>
      <c r="O51" s="236">
        <f t="shared" ca="1" si="13"/>
        <v>40744.772926935912</v>
      </c>
      <c r="P51" s="236">
        <f t="shared" ca="1" si="13"/>
        <v>40378.606557035237</v>
      </c>
      <c r="Q51" s="236">
        <f t="shared" ca="1" si="13"/>
        <v>45801.694700745851</v>
      </c>
      <c r="R51" s="236">
        <f t="shared" ca="1" si="13"/>
        <v>48349.423644615352</v>
      </c>
      <c r="S51" s="236">
        <f t="shared" ca="1" si="13"/>
        <v>48277.927577343464</v>
      </c>
      <c r="T51" s="236">
        <f t="shared" ca="1" si="13"/>
        <v>48652.315000558403</v>
      </c>
      <c r="U51" s="236">
        <f t="shared" ca="1" si="13"/>
        <v>49020.196060484406</v>
      </c>
      <c r="V51" s="236">
        <f t="shared" ca="1" si="13"/>
        <v>39092.457562572359</v>
      </c>
      <c r="W51" s="236">
        <f t="shared" ca="1" si="13"/>
        <v>36521.469990829071</v>
      </c>
      <c r="X51" s="236">
        <f t="shared" si="13"/>
        <v>39282.439117277616</v>
      </c>
      <c r="Y51" s="236">
        <f t="shared" si="13"/>
        <v>44249.971222437925</v>
      </c>
      <c r="Z51" s="236">
        <f t="shared" si="13"/>
        <v>48486.427220643178</v>
      </c>
      <c r="AA51" s="236">
        <f t="shared" ca="1" si="13"/>
        <v>68974.439094698217</v>
      </c>
    </row>
    <row r="52" spans="1:29">
      <c r="A52" s="157"/>
      <c r="B52" s="157"/>
      <c r="D52" s="39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9">
      <c r="A53" s="79" t="s">
        <v>207</v>
      </c>
      <c r="B53" s="79"/>
      <c r="C53" s="79"/>
      <c r="D53" s="517">
        <f ca="1">D79</f>
        <v>0.12921063170379621</v>
      </c>
      <c r="E53" s="22"/>
    </row>
    <row r="54" spans="1:29">
      <c r="A54" s="18"/>
      <c r="B54" s="18"/>
      <c r="D54" s="235"/>
      <c r="E54" s="235"/>
      <c r="F54" s="235"/>
      <c r="G54" s="235"/>
      <c r="H54" s="235"/>
      <c r="I54" s="235"/>
      <c r="J54" s="235"/>
      <c r="K54" s="235"/>
      <c r="L54" s="71"/>
    </row>
    <row r="55" spans="1:29">
      <c r="A55" s="535" t="s">
        <v>208</v>
      </c>
      <c r="B55" s="534">
        <f>Assumptions!C8*C49</f>
        <v>267500</v>
      </c>
      <c r="D55" s="31"/>
      <c r="E55" s="22"/>
    </row>
    <row r="56" spans="1:29">
      <c r="E56" s="22"/>
    </row>
    <row r="57" spans="1:29">
      <c r="E57" s="236"/>
      <c r="F57" s="236"/>
    </row>
    <row r="58" spans="1:29">
      <c r="A58" s="84" t="s">
        <v>209</v>
      </c>
      <c r="E58" s="22"/>
    </row>
    <row r="59" spans="1:29">
      <c r="A59" s="22" t="s">
        <v>210</v>
      </c>
      <c r="D59" s="236">
        <f t="shared" ref="D59:AA59" si="14">D51</f>
        <v>-133750</v>
      </c>
      <c r="E59" s="236">
        <f t="shared" ca="1" si="14"/>
        <v>172.12350225058341</v>
      </c>
      <c r="F59" s="236">
        <f t="shared" si="14"/>
        <v>-133750</v>
      </c>
      <c r="G59" s="236">
        <f t="shared" ca="1" si="14"/>
        <v>32827.609401379683</v>
      </c>
      <c r="H59" s="236">
        <f t="shared" si="14"/>
        <v>25253.013535577382</v>
      </c>
      <c r="I59" s="236">
        <f t="shared" si="14"/>
        <v>22918.55333094154</v>
      </c>
      <c r="J59" s="236">
        <f t="shared" si="14"/>
        <v>23696.713197954476</v>
      </c>
      <c r="K59" s="236">
        <f t="shared" ca="1" si="14"/>
        <v>45436.944095841616</v>
      </c>
      <c r="L59" s="236">
        <f t="shared" ca="1" si="14"/>
        <v>43832.600214585822</v>
      </c>
      <c r="M59" s="236">
        <f t="shared" ca="1" si="14"/>
        <v>42483.397782901433</v>
      </c>
      <c r="N59" s="236">
        <f t="shared" ca="1" si="14"/>
        <v>41323.464139420641</v>
      </c>
      <c r="O59" s="236">
        <f t="shared" ca="1" si="14"/>
        <v>40744.772926935912</v>
      </c>
      <c r="P59" s="236">
        <f t="shared" ca="1" si="14"/>
        <v>40378.606557035237</v>
      </c>
      <c r="Q59" s="236">
        <f t="shared" ca="1" si="14"/>
        <v>45801.694700745851</v>
      </c>
      <c r="R59" s="236">
        <f t="shared" ca="1" si="14"/>
        <v>48349.423644615352</v>
      </c>
      <c r="S59" s="236">
        <f t="shared" ca="1" si="14"/>
        <v>48277.927577343464</v>
      </c>
      <c r="T59" s="236">
        <f t="shared" ca="1" si="14"/>
        <v>48652.315000558403</v>
      </c>
      <c r="U59" s="236">
        <f t="shared" ca="1" si="14"/>
        <v>49020.196060484406</v>
      </c>
      <c r="V59" s="236">
        <f t="shared" ca="1" si="14"/>
        <v>39092.457562572359</v>
      </c>
      <c r="W59" s="236">
        <f t="shared" ca="1" si="14"/>
        <v>36521.469990829071</v>
      </c>
      <c r="X59" s="236">
        <f t="shared" si="14"/>
        <v>39282.439117277616</v>
      </c>
      <c r="Y59" s="236">
        <f t="shared" si="14"/>
        <v>44249.971222437925</v>
      </c>
      <c r="Z59" s="236">
        <f t="shared" si="14"/>
        <v>48486.427220643178</v>
      </c>
      <c r="AA59" s="236">
        <f t="shared" ca="1" si="14"/>
        <v>68974.439094698217</v>
      </c>
    </row>
    <row r="60" spans="1:29">
      <c r="A60" s="22" t="s">
        <v>211</v>
      </c>
      <c r="D60" s="236">
        <v>0</v>
      </c>
      <c r="E60" s="236">
        <v>0</v>
      </c>
      <c r="F60" s="236">
        <v>0</v>
      </c>
      <c r="G60" s="236">
        <v>0</v>
      </c>
      <c r="H60" s="236">
        <v>0</v>
      </c>
      <c r="I60" s="236">
        <v>0</v>
      </c>
      <c r="J60" s="236">
        <v>0</v>
      </c>
      <c r="K60" s="236">
        <v>0</v>
      </c>
      <c r="L60" s="236">
        <v>0</v>
      </c>
      <c r="M60" s="236">
        <v>0</v>
      </c>
      <c r="N60" s="236">
        <v>0</v>
      </c>
      <c r="O60" s="236">
        <v>0</v>
      </c>
      <c r="P60" s="236">
        <v>0</v>
      </c>
      <c r="Q60" s="236">
        <v>0</v>
      </c>
      <c r="R60" s="236">
        <v>0</v>
      </c>
      <c r="S60" s="236">
        <v>0</v>
      </c>
      <c r="T60" s="236">
        <v>0</v>
      </c>
      <c r="U60" s="236">
        <v>0</v>
      </c>
      <c r="V60" s="236">
        <v>0</v>
      </c>
      <c r="W60" s="236">
        <v>0</v>
      </c>
      <c r="X60" s="236">
        <v>0</v>
      </c>
      <c r="Y60" s="236">
        <v>0</v>
      </c>
      <c r="Z60" s="236">
        <v>0</v>
      </c>
      <c r="AA60" s="122">
        <f>5*AA10*$C$49</f>
        <v>565036.77900237776</v>
      </c>
    </row>
    <row r="61" spans="1:29">
      <c r="A61" s="22" t="s">
        <v>212</v>
      </c>
      <c r="D61" s="236">
        <f t="shared" ref="D61:AA61" si="15">D59+D60</f>
        <v>-133750</v>
      </c>
      <c r="E61" s="236">
        <f t="shared" ca="1" si="15"/>
        <v>172.12350225058341</v>
      </c>
      <c r="F61" s="236">
        <f t="shared" si="15"/>
        <v>-133750</v>
      </c>
      <c r="G61" s="236">
        <f t="shared" ca="1" si="15"/>
        <v>32827.609401379683</v>
      </c>
      <c r="H61" s="236">
        <f t="shared" si="15"/>
        <v>25253.013535577382</v>
      </c>
      <c r="I61" s="236">
        <f t="shared" si="15"/>
        <v>22918.55333094154</v>
      </c>
      <c r="J61" s="236">
        <f t="shared" si="15"/>
        <v>23696.713197954476</v>
      </c>
      <c r="K61" s="236">
        <f t="shared" ca="1" si="15"/>
        <v>45436.944095841616</v>
      </c>
      <c r="L61" s="236">
        <f t="shared" ca="1" si="15"/>
        <v>43832.600214585822</v>
      </c>
      <c r="M61" s="236">
        <f t="shared" ca="1" si="15"/>
        <v>42483.397782901433</v>
      </c>
      <c r="N61" s="236">
        <f t="shared" ca="1" si="15"/>
        <v>41323.464139420641</v>
      </c>
      <c r="O61" s="236">
        <f t="shared" ca="1" si="15"/>
        <v>40744.772926935912</v>
      </c>
      <c r="P61" s="236">
        <f t="shared" ca="1" si="15"/>
        <v>40378.606557035237</v>
      </c>
      <c r="Q61" s="236">
        <f t="shared" ca="1" si="15"/>
        <v>45801.694700745851</v>
      </c>
      <c r="R61" s="236">
        <f t="shared" ca="1" si="15"/>
        <v>48349.423644615352</v>
      </c>
      <c r="S61" s="236">
        <f t="shared" ca="1" si="15"/>
        <v>48277.927577343464</v>
      </c>
      <c r="T61" s="236">
        <f t="shared" ca="1" si="15"/>
        <v>48652.315000558403</v>
      </c>
      <c r="U61" s="236">
        <f t="shared" ca="1" si="15"/>
        <v>49020.196060484406</v>
      </c>
      <c r="V61" s="236">
        <f t="shared" ca="1" si="15"/>
        <v>39092.457562572359</v>
      </c>
      <c r="W61" s="236">
        <f t="shared" ca="1" si="15"/>
        <v>36521.469990829071</v>
      </c>
      <c r="X61" s="236">
        <f t="shared" si="15"/>
        <v>39282.439117277616</v>
      </c>
      <c r="Y61" s="236">
        <f t="shared" si="15"/>
        <v>44249.971222437925</v>
      </c>
      <c r="Z61" s="236">
        <f t="shared" si="15"/>
        <v>48486.427220643178</v>
      </c>
      <c r="AA61" s="236">
        <f t="shared" ca="1" si="15"/>
        <v>634011.21809707594</v>
      </c>
    </row>
    <row r="62" spans="1:29">
      <c r="A62" s="70" t="s">
        <v>213</v>
      </c>
      <c r="D62" s="273">
        <f ca="1">D83</f>
        <v>0.14812250293308163</v>
      </c>
      <c r="E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9">
      <c r="A63" s="70"/>
      <c r="C63" s="274"/>
      <c r="E63" s="236"/>
    </row>
    <row r="64" spans="1:29">
      <c r="A64" s="84" t="s">
        <v>214</v>
      </c>
      <c r="E64" s="236"/>
    </row>
    <row r="65" spans="1:29">
      <c r="A65" s="22" t="s">
        <v>210</v>
      </c>
      <c r="D65" s="236">
        <f t="shared" ref="D65:AA65" si="16">D51</f>
        <v>-133750</v>
      </c>
      <c r="E65" s="236">
        <f t="shared" ca="1" si="16"/>
        <v>172.12350225058341</v>
      </c>
      <c r="F65" s="236">
        <f t="shared" si="16"/>
        <v>-133750</v>
      </c>
      <c r="G65" s="236">
        <f t="shared" ca="1" si="16"/>
        <v>32827.609401379683</v>
      </c>
      <c r="H65" s="236">
        <f t="shared" si="16"/>
        <v>25253.013535577382</v>
      </c>
      <c r="I65" s="236">
        <f t="shared" si="16"/>
        <v>22918.55333094154</v>
      </c>
      <c r="J65" s="236">
        <f t="shared" si="16"/>
        <v>23696.713197954476</v>
      </c>
      <c r="K65" s="236">
        <f t="shared" ca="1" si="16"/>
        <v>45436.944095841616</v>
      </c>
      <c r="L65" s="236">
        <f t="shared" ca="1" si="16"/>
        <v>43832.600214585822</v>
      </c>
      <c r="M65" s="236">
        <f t="shared" ca="1" si="16"/>
        <v>42483.397782901433</v>
      </c>
      <c r="N65" s="236">
        <f t="shared" ca="1" si="16"/>
        <v>41323.464139420641</v>
      </c>
      <c r="O65" s="236">
        <f t="shared" ca="1" si="16"/>
        <v>40744.772926935912</v>
      </c>
      <c r="P65" s="236">
        <f t="shared" ca="1" si="16"/>
        <v>40378.606557035237</v>
      </c>
      <c r="Q65" s="236">
        <f t="shared" ca="1" si="16"/>
        <v>45801.694700745851</v>
      </c>
      <c r="R65" s="236">
        <f t="shared" ca="1" si="16"/>
        <v>48349.423644615352</v>
      </c>
      <c r="S65" s="236">
        <f t="shared" ca="1" si="16"/>
        <v>48277.927577343464</v>
      </c>
      <c r="T65" s="236">
        <f t="shared" ca="1" si="16"/>
        <v>48652.315000558403</v>
      </c>
      <c r="U65" s="236">
        <f t="shared" ca="1" si="16"/>
        <v>49020.196060484406</v>
      </c>
      <c r="V65" s="236">
        <f t="shared" ca="1" si="16"/>
        <v>39092.457562572359</v>
      </c>
      <c r="W65" s="236">
        <f t="shared" ca="1" si="16"/>
        <v>36521.469990829071</v>
      </c>
      <c r="X65" s="236">
        <f t="shared" si="16"/>
        <v>39282.439117277616</v>
      </c>
      <c r="Y65" s="236">
        <f t="shared" si="16"/>
        <v>44249.971222437925</v>
      </c>
      <c r="Z65" s="236">
        <f t="shared" si="16"/>
        <v>48486.427220643178</v>
      </c>
      <c r="AA65" s="236">
        <f t="shared" ca="1" si="16"/>
        <v>68974.439094698217</v>
      </c>
    </row>
    <row r="66" spans="1:29">
      <c r="A66" s="22" t="s">
        <v>215</v>
      </c>
      <c r="D66" s="518">
        <v>0</v>
      </c>
      <c r="E66" s="236">
        <v>0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6">
        <v>0</v>
      </c>
      <c r="S66" s="236">
        <v>0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122">
        <f>0.5*Assumptions!$C$11*CF!$C$49</f>
        <v>314500</v>
      </c>
    </row>
    <row r="67" spans="1:29">
      <c r="A67" s="22" t="s">
        <v>212</v>
      </c>
      <c r="B67" s="16"/>
      <c r="D67" s="236">
        <f t="shared" ref="D67:Z67" si="17">D65+D66</f>
        <v>-133750</v>
      </c>
      <c r="E67" s="236">
        <f t="shared" ca="1" si="17"/>
        <v>172.12350225058341</v>
      </c>
      <c r="F67" s="236">
        <f t="shared" si="17"/>
        <v>-133750</v>
      </c>
      <c r="G67" s="236">
        <f t="shared" ca="1" si="17"/>
        <v>32827.609401379683</v>
      </c>
      <c r="H67" s="236">
        <f t="shared" si="17"/>
        <v>25253.013535577382</v>
      </c>
      <c r="I67" s="236">
        <f t="shared" si="17"/>
        <v>22918.55333094154</v>
      </c>
      <c r="J67" s="236">
        <f t="shared" si="17"/>
        <v>23696.713197954476</v>
      </c>
      <c r="K67" s="236">
        <f t="shared" ca="1" si="17"/>
        <v>45436.944095841616</v>
      </c>
      <c r="L67" s="236">
        <f t="shared" ca="1" si="17"/>
        <v>43832.600214585822</v>
      </c>
      <c r="M67" s="236">
        <f t="shared" ca="1" si="17"/>
        <v>42483.397782901433</v>
      </c>
      <c r="N67" s="236">
        <f t="shared" ca="1" si="17"/>
        <v>41323.464139420641</v>
      </c>
      <c r="O67" s="236">
        <f t="shared" ca="1" si="17"/>
        <v>40744.772926935912</v>
      </c>
      <c r="P67" s="236">
        <f t="shared" ca="1" si="17"/>
        <v>40378.606557035237</v>
      </c>
      <c r="Q67" s="236">
        <f t="shared" ca="1" si="17"/>
        <v>45801.694700745851</v>
      </c>
      <c r="R67" s="236">
        <f t="shared" ca="1" si="17"/>
        <v>48349.423644615352</v>
      </c>
      <c r="S67" s="236">
        <f t="shared" ca="1" si="17"/>
        <v>48277.927577343464</v>
      </c>
      <c r="T67" s="236">
        <f t="shared" ca="1" si="17"/>
        <v>48652.315000558403</v>
      </c>
      <c r="U67" s="236">
        <f t="shared" ca="1" si="17"/>
        <v>49020.196060484406</v>
      </c>
      <c r="V67" s="236">
        <f t="shared" ca="1" si="17"/>
        <v>39092.457562572359</v>
      </c>
      <c r="W67" s="236">
        <f t="shared" ca="1" si="17"/>
        <v>36521.469990829071</v>
      </c>
      <c r="X67" s="236">
        <f t="shared" si="17"/>
        <v>39282.439117277616</v>
      </c>
      <c r="Y67" s="236">
        <f t="shared" si="17"/>
        <v>44249.971222437925</v>
      </c>
      <c r="Z67" s="236">
        <f t="shared" si="17"/>
        <v>48486.427220643178</v>
      </c>
      <c r="AA67" s="236">
        <f ca="1">AA65+AA66</f>
        <v>383474.43909469823</v>
      </c>
      <c r="AB67" s="195"/>
      <c r="AC67" s="195"/>
    </row>
    <row r="68" spans="1:29">
      <c r="A68" s="70" t="s">
        <v>216</v>
      </c>
      <c r="D68" s="273">
        <f ca="1">D87</f>
        <v>0.14079020552538504</v>
      </c>
      <c r="E68" s="236"/>
    </row>
    <row r="69" spans="1:29">
      <c r="E69" s="236"/>
    </row>
    <row r="70" spans="1:29">
      <c r="E70" s="236"/>
    </row>
    <row r="71" spans="1:29">
      <c r="E71" s="22"/>
    </row>
    <row r="72" spans="1:29">
      <c r="E72" s="22"/>
    </row>
    <row r="73" spans="1:29" ht="17.399999999999999">
      <c r="A73" s="292" t="s">
        <v>217</v>
      </c>
      <c r="E73" s="22"/>
    </row>
    <row r="74" spans="1:29" ht="17.399999999999999">
      <c r="A74" s="292"/>
      <c r="E74" s="22"/>
    </row>
    <row r="75" spans="1:29" ht="13.8" thickBot="1">
      <c r="A75" s="422" t="s">
        <v>164</v>
      </c>
      <c r="B75" s="422"/>
      <c r="C75" s="2"/>
      <c r="D75" s="602">
        <v>36525</v>
      </c>
      <c r="E75" s="602">
        <v>36891</v>
      </c>
      <c r="F75" s="602">
        <v>37256</v>
      </c>
      <c r="G75" s="602">
        <v>37621</v>
      </c>
      <c r="H75" s="602">
        <v>37986</v>
      </c>
      <c r="I75" s="602">
        <v>38352</v>
      </c>
      <c r="J75" s="602">
        <v>38717</v>
      </c>
      <c r="K75" s="602">
        <v>39082</v>
      </c>
      <c r="L75" s="602">
        <v>39447</v>
      </c>
      <c r="M75" s="602">
        <v>39813</v>
      </c>
      <c r="N75" s="602">
        <v>40178</v>
      </c>
      <c r="O75" s="602">
        <v>40543</v>
      </c>
      <c r="P75" s="602">
        <v>40908</v>
      </c>
      <c r="Q75" s="602">
        <v>41274</v>
      </c>
      <c r="R75" s="602">
        <v>41639</v>
      </c>
      <c r="S75" s="602">
        <v>42004</v>
      </c>
      <c r="T75" s="602">
        <v>42369</v>
      </c>
      <c r="U75" s="602">
        <v>42735</v>
      </c>
      <c r="V75" s="602">
        <v>43100</v>
      </c>
      <c r="W75" s="602">
        <v>43465</v>
      </c>
      <c r="X75" s="602">
        <v>43830</v>
      </c>
      <c r="Y75" s="602">
        <v>44196</v>
      </c>
      <c r="Z75"/>
      <c r="AA75" s="8"/>
      <c r="AC75" s="22"/>
    </row>
    <row r="76" spans="1:29">
      <c r="E76" s="22"/>
      <c r="Z76"/>
      <c r="AA76" s="8"/>
      <c r="AC76" s="22"/>
    </row>
    <row r="77" spans="1:29">
      <c r="A77" s="22" t="s">
        <v>218</v>
      </c>
      <c r="B77" s="657">
        <f ca="1">D79</f>
        <v>0.12921063170379621</v>
      </c>
      <c r="D77" s="31">
        <f ca="1">D50+F50/((1+B77)^((F8-D8)/365))</f>
        <v>-263508.61408426519</v>
      </c>
      <c r="E77" s="22"/>
      <c r="Z77"/>
      <c r="AA77" s="8"/>
      <c r="AC77" s="22"/>
    </row>
    <row r="78" spans="1:29">
      <c r="A78" s="22" t="s">
        <v>219</v>
      </c>
      <c r="D78" s="31">
        <f ca="1">D77+D49</f>
        <v>-263508.61408426519</v>
      </c>
      <c r="E78" s="236">
        <f ca="1">G51+E51</f>
        <v>32999.732903630269</v>
      </c>
      <c r="F78" s="236">
        <f t="shared" ref="F78:Y78" si="18">H51</f>
        <v>25253.013535577382</v>
      </c>
      <c r="G78" s="236">
        <f t="shared" si="18"/>
        <v>22918.55333094154</v>
      </c>
      <c r="H78" s="236">
        <f t="shared" si="18"/>
        <v>23696.713197954476</v>
      </c>
      <c r="I78" s="236">
        <f t="shared" ca="1" si="18"/>
        <v>45436.944095841616</v>
      </c>
      <c r="J78" s="236">
        <f t="shared" ca="1" si="18"/>
        <v>43832.600214585822</v>
      </c>
      <c r="K78" s="236">
        <f t="shared" ca="1" si="18"/>
        <v>42483.397782901433</v>
      </c>
      <c r="L78" s="236">
        <f t="shared" ca="1" si="18"/>
        <v>41323.464139420641</v>
      </c>
      <c r="M78" s="236">
        <f t="shared" ca="1" si="18"/>
        <v>40744.772926935912</v>
      </c>
      <c r="N78" s="236">
        <f t="shared" ca="1" si="18"/>
        <v>40378.606557035237</v>
      </c>
      <c r="O78" s="236">
        <f t="shared" ca="1" si="18"/>
        <v>45801.694700745851</v>
      </c>
      <c r="P78" s="236">
        <f t="shared" ca="1" si="18"/>
        <v>48349.423644615352</v>
      </c>
      <c r="Q78" s="236">
        <f t="shared" ca="1" si="18"/>
        <v>48277.927577343464</v>
      </c>
      <c r="R78" s="236">
        <f t="shared" ca="1" si="18"/>
        <v>48652.315000558403</v>
      </c>
      <c r="S78" s="236">
        <f t="shared" ca="1" si="18"/>
        <v>49020.196060484406</v>
      </c>
      <c r="T78" s="236">
        <f t="shared" ca="1" si="18"/>
        <v>39092.457562572359</v>
      </c>
      <c r="U78" s="236">
        <f t="shared" ca="1" si="18"/>
        <v>36521.469990829071</v>
      </c>
      <c r="V78" s="236">
        <f t="shared" si="18"/>
        <v>39282.439117277616</v>
      </c>
      <c r="W78" s="236">
        <f t="shared" si="18"/>
        <v>44249.971222437925</v>
      </c>
      <c r="X78" s="236">
        <f t="shared" si="18"/>
        <v>48486.427220643178</v>
      </c>
      <c r="Y78" s="236">
        <f t="shared" ca="1" si="18"/>
        <v>68974.439094698217</v>
      </c>
      <c r="Z78"/>
      <c r="AA78" s="8"/>
      <c r="AC78" s="22"/>
    </row>
    <row r="79" spans="1:29">
      <c r="A79" s="22" t="s">
        <v>220</v>
      </c>
      <c r="D79" s="273">
        <f ca="1">IRR(D78:Y78)</f>
        <v>0.12921063170379621</v>
      </c>
      <c r="E79" s="22"/>
      <c r="Z79"/>
      <c r="AA79" s="8"/>
      <c r="AC79" s="22"/>
    </row>
    <row r="80" spans="1:29"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/>
      <c r="AA80" s="8"/>
      <c r="AC80" s="22"/>
    </row>
    <row r="81" spans="1:29">
      <c r="A81" s="22" t="s">
        <v>218</v>
      </c>
      <c r="B81" s="657">
        <f ca="1">D83</f>
        <v>0.14812250293308163</v>
      </c>
      <c r="D81" s="31">
        <f ca="1">D50+F50/((1+B81)^((F8-D8)/365))</f>
        <v>-262972.40549760906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/>
      <c r="AA81" s="8"/>
      <c r="AC81" s="22"/>
    </row>
    <row r="82" spans="1:29">
      <c r="A82" s="22" t="s">
        <v>209</v>
      </c>
      <c r="D82" s="236">
        <f ca="1">D81+D49</f>
        <v>-262972.40549760906</v>
      </c>
      <c r="E82" s="236">
        <f ca="1">G61+E61</f>
        <v>32999.732903630269</v>
      </c>
      <c r="F82" s="236">
        <f t="shared" ref="F82:Y82" si="19">H61</f>
        <v>25253.013535577382</v>
      </c>
      <c r="G82" s="236">
        <f t="shared" si="19"/>
        <v>22918.55333094154</v>
      </c>
      <c r="H82" s="236">
        <f t="shared" si="19"/>
        <v>23696.713197954476</v>
      </c>
      <c r="I82" s="236">
        <f t="shared" ca="1" si="19"/>
        <v>45436.944095841616</v>
      </c>
      <c r="J82" s="236">
        <f t="shared" ca="1" si="19"/>
        <v>43832.600214585822</v>
      </c>
      <c r="K82" s="236">
        <f t="shared" ca="1" si="19"/>
        <v>42483.397782901433</v>
      </c>
      <c r="L82" s="236">
        <f t="shared" ca="1" si="19"/>
        <v>41323.464139420641</v>
      </c>
      <c r="M82" s="236">
        <f t="shared" ca="1" si="19"/>
        <v>40744.772926935912</v>
      </c>
      <c r="N82" s="236">
        <f t="shared" ca="1" si="19"/>
        <v>40378.606557035237</v>
      </c>
      <c r="O82" s="236">
        <f t="shared" ca="1" si="19"/>
        <v>45801.694700745851</v>
      </c>
      <c r="P82" s="236">
        <f t="shared" ca="1" si="19"/>
        <v>48349.423644615352</v>
      </c>
      <c r="Q82" s="236">
        <f t="shared" ca="1" si="19"/>
        <v>48277.927577343464</v>
      </c>
      <c r="R82" s="236">
        <f t="shared" ca="1" si="19"/>
        <v>48652.315000558403</v>
      </c>
      <c r="S82" s="236">
        <f t="shared" ca="1" si="19"/>
        <v>49020.196060484406</v>
      </c>
      <c r="T82" s="236">
        <f t="shared" ca="1" si="19"/>
        <v>39092.457562572359</v>
      </c>
      <c r="U82" s="236">
        <f t="shared" ca="1" si="19"/>
        <v>36521.469990829071</v>
      </c>
      <c r="V82" s="236">
        <f t="shared" si="19"/>
        <v>39282.439117277616</v>
      </c>
      <c r="W82" s="236">
        <f t="shared" si="19"/>
        <v>44249.971222437925</v>
      </c>
      <c r="X82" s="236">
        <f t="shared" si="19"/>
        <v>48486.427220643178</v>
      </c>
      <c r="Y82" s="236">
        <f t="shared" ca="1" si="19"/>
        <v>634011.21809707594</v>
      </c>
      <c r="Z82"/>
      <c r="AA82" s="8"/>
      <c r="AC82" s="22"/>
    </row>
    <row r="83" spans="1:29">
      <c r="A83" s="22" t="s">
        <v>220</v>
      </c>
      <c r="D83" s="273">
        <f ca="1">IRR(D82:Y82)</f>
        <v>0.14812250293308163</v>
      </c>
      <c r="E83" s="22"/>
      <c r="Z83"/>
      <c r="AA83" s="8"/>
      <c r="AC83" s="22"/>
    </row>
    <row r="84" spans="1:29">
      <c r="E84" s="22"/>
      <c r="Z84"/>
      <c r="AA84" s="8"/>
      <c r="AC84" s="22"/>
    </row>
    <row r="85" spans="1:29">
      <c r="A85" s="22" t="s">
        <v>218</v>
      </c>
      <c r="B85" s="657">
        <f ca="1">D87</f>
        <v>0.14079020552538504</v>
      </c>
      <c r="D85" s="31">
        <f ca="1">D50+F50/((1+B85)^((F8-D8)/365))</f>
        <v>-263178.97945573466</v>
      </c>
      <c r="E85" s="22"/>
      <c r="Z85"/>
      <c r="AA85" s="8"/>
      <c r="AC85" s="22"/>
    </row>
    <row r="86" spans="1:29">
      <c r="A86" s="22" t="s">
        <v>214</v>
      </c>
      <c r="D86" s="656">
        <f ca="1">D85+D49</f>
        <v>-263178.97945573466</v>
      </c>
      <c r="E86" s="236">
        <f ca="1">G67+E67</f>
        <v>32999.732903630269</v>
      </c>
      <c r="F86" s="236">
        <f t="shared" ref="F86:X86" si="20">H67</f>
        <v>25253.013535577382</v>
      </c>
      <c r="G86" s="236">
        <f t="shared" si="20"/>
        <v>22918.55333094154</v>
      </c>
      <c r="H86" s="236">
        <f t="shared" si="20"/>
        <v>23696.713197954476</v>
      </c>
      <c r="I86" s="236">
        <f t="shared" ca="1" si="20"/>
        <v>45436.944095841616</v>
      </c>
      <c r="J86" s="236">
        <f t="shared" ca="1" si="20"/>
        <v>43832.600214585822</v>
      </c>
      <c r="K86" s="236">
        <f t="shared" ca="1" si="20"/>
        <v>42483.397782901433</v>
      </c>
      <c r="L86" s="236">
        <f t="shared" ca="1" si="20"/>
        <v>41323.464139420641</v>
      </c>
      <c r="M86" s="236">
        <f t="shared" ca="1" si="20"/>
        <v>40744.772926935912</v>
      </c>
      <c r="N86" s="236">
        <f t="shared" ca="1" si="20"/>
        <v>40378.606557035237</v>
      </c>
      <c r="O86" s="236">
        <f t="shared" ca="1" si="20"/>
        <v>45801.694700745851</v>
      </c>
      <c r="P86" s="236">
        <f t="shared" ca="1" si="20"/>
        <v>48349.423644615352</v>
      </c>
      <c r="Q86" s="236">
        <f t="shared" ca="1" si="20"/>
        <v>48277.927577343464</v>
      </c>
      <c r="R86" s="236">
        <f t="shared" ca="1" si="20"/>
        <v>48652.315000558403</v>
      </c>
      <c r="S86" s="236">
        <f t="shared" ca="1" si="20"/>
        <v>49020.196060484406</v>
      </c>
      <c r="T86" s="236">
        <f t="shared" ca="1" si="20"/>
        <v>39092.457562572359</v>
      </c>
      <c r="U86" s="236">
        <f t="shared" ca="1" si="20"/>
        <v>36521.469990829071</v>
      </c>
      <c r="V86" s="236">
        <f t="shared" si="20"/>
        <v>39282.439117277616</v>
      </c>
      <c r="W86" s="236">
        <f t="shared" si="20"/>
        <v>44249.971222437925</v>
      </c>
      <c r="X86" s="236">
        <f t="shared" si="20"/>
        <v>48486.427220643178</v>
      </c>
      <c r="Y86" s="236">
        <f ca="1">AA67</f>
        <v>383474.43909469823</v>
      </c>
      <c r="Z86"/>
      <c r="AA86" s="8"/>
      <c r="AC86" s="22"/>
    </row>
    <row r="87" spans="1:29">
      <c r="A87" s="22" t="s">
        <v>220</v>
      </c>
      <c r="D87" s="273">
        <f ca="1">IRR(D86:Y86)</f>
        <v>0.14079020552538504</v>
      </c>
      <c r="E87" s="22"/>
    </row>
    <row r="88" spans="1:29">
      <c r="E88" s="22"/>
      <c r="Z88"/>
    </row>
    <row r="89" spans="1:29">
      <c r="E89" s="22"/>
      <c r="Z89"/>
    </row>
    <row r="90" spans="1:29">
      <c r="E90" s="22"/>
      <c r="Z90"/>
    </row>
    <row r="91" spans="1:29">
      <c r="E91" s="22"/>
      <c r="Z91"/>
    </row>
    <row r="92" spans="1:29">
      <c r="E92" s="22"/>
      <c r="Z92"/>
    </row>
    <row r="93" spans="1:29">
      <c r="E93" s="22"/>
    </row>
    <row r="94" spans="1:29">
      <c r="E94" s="22"/>
    </row>
    <row r="95" spans="1:29">
      <c r="E95" s="22"/>
    </row>
    <row r="96" spans="1:29">
      <c r="E96" s="22"/>
    </row>
    <row r="97" spans="1:90">
      <c r="E97" s="22"/>
    </row>
    <row r="98" spans="1:90">
      <c r="E98" s="22"/>
    </row>
    <row r="99" spans="1:90">
      <c r="E99" s="22"/>
    </row>
    <row r="100" spans="1:90">
      <c r="E100" s="22"/>
    </row>
    <row r="101" spans="1:90">
      <c r="E101" s="22"/>
    </row>
    <row r="102" spans="1:90">
      <c r="E102" s="22"/>
    </row>
    <row r="103" spans="1:90">
      <c r="E103" s="22"/>
    </row>
    <row r="104" spans="1:90">
      <c r="E104" s="22"/>
    </row>
    <row r="105" spans="1:90">
      <c r="E105" s="22"/>
    </row>
    <row r="106" spans="1:90">
      <c r="E106" s="22"/>
    </row>
    <row r="107" spans="1:90">
      <c r="E107" s="22"/>
    </row>
    <row r="108" spans="1:90">
      <c r="E108" s="22"/>
    </row>
    <row r="109" spans="1:90">
      <c r="E109" s="22"/>
    </row>
    <row r="110" spans="1:90">
      <c r="E110" s="22"/>
    </row>
    <row r="111" spans="1:90">
      <c r="A111"/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>
      <c r="A112"/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>
      <c r="A113"/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>
      <c r="A114"/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>
      <c r="A115"/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>
      <c r="A116"/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>
      <c r="A117"/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>
      <c r="A118"/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>
      <c r="A119"/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>
      <c r="A120"/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>
      <c r="A121"/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>
      <c r="A122"/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>
      <c r="A123"/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>
      <c r="A124"/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>
      <c r="A125"/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>
      <c r="E126" s="22"/>
    </row>
    <row r="127" spans="1:90">
      <c r="E127" s="22"/>
    </row>
    <row r="128" spans="1:90">
      <c r="E128" s="22"/>
    </row>
    <row r="129" spans="5:5">
      <c r="E129" s="22"/>
    </row>
  </sheetData>
  <pageMargins left="0.18" right="1.26" top="0.37" bottom="0.4" header="0.17" footer="0.21"/>
  <pageSetup scale="46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6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0"/>
  <sheetViews>
    <sheetView topLeftCell="AC1" zoomScale="75" zoomScaleNormal="75" workbookViewId="0">
      <selection activeCell="I6" sqref="I6"/>
    </sheetView>
  </sheetViews>
  <sheetFormatPr defaultColWidth="9.109375" defaultRowHeight="13.2"/>
  <cols>
    <col min="1" max="1" width="52" style="22" customWidth="1"/>
    <col min="2" max="2" width="14.109375" style="22" customWidth="1"/>
    <col min="3" max="7" width="9.109375" style="22"/>
    <col min="8" max="8" width="9.6640625" style="22" customWidth="1"/>
    <col min="9" max="45" width="9.109375" style="22"/>
    <col min="46" max="46" width="9.6640625" style="22" bestFit="1" customWidth="1"/>
    <col min="47" max="47" width="9.33203125" style="22" bestFit="1" customWidth="1"/>
    <col min="48" max="48" width="11.6640625" style="22" bestFit="1" customWidth="1"/>
    <col min="49" max="16384" width="9.109375" style="22"/>
  </cols>
  <sheetData>
    <row r="1" spans="1:81" ht="17.399999999999999">
      <c r="A1" s="126" t="s">
        <v>419</v>
      </c>
      <c r="B1" s="66"/>
    </row>
    <row r="2" spans="1:81">
      <c r="E2" s="22">
        <v>2</v>
      </c>
      <c r="G2" s="22">
        <v>2</v>
      </c>
      <c r="H2" s="22">
        <f>1+G2</f>
        <v>3</v>
      </c>
      <c r="I2" s="22">
        <f>H2</f>
        <v>3</v>
      </c>
      <c r="J2" s="22">
        <f>1+I2</f>
        <v>4</v>
      </c>
      <c r="K2" s="22">
        <f>J2</f>
        <v>4</v>
      </c>
      <c r="L2" s="22">
        <f>1+K2</f>
        <v>5</v>
      </c>
      <c r="M2" s="22">
        <f>L2</f>
        <v>5</v>
      </c>
      <c r="N2" s="22">
        <f>1+M2</f>
        <v>6</v>
      </c>
      <c r="O2" s="22">
        <f>N2</f>
        <v>6</v>
      </c>
      <c r="P2" s="22">
        <f>1+O2</f>
        <v>7</v>
      </c>
      <c r="Q2" s="22">
        <f>P2</f>
        <v>7</v>
      </c>
      <c r="R2" s="22">
        <f>1+Q2</f>
        <v>8</v>
      </c>
      <c r="S2" s="22">
        <f>R2</f>
        <v>8</v>
      </c>
      <c r="T2" s="22">
        <f>1+S2</f>
        <v>9</v>
      </c>
      <c r="U2" s="22">
        <f>T2</f>
        <v>9</v>
      </c>
      <c r="V2" s="22">
        <f>1+U2</f>
        <v>10</v>
      </c>
      <c r="W2" s="22">
        <f>V2</f>
        <v>10</v>
      </c>
      <c r="X2" s="22">
        <f>1+W2</f>
        <v>11</v>
      </c>
      <c r="Y2" s="22">
        <f>X2</f>
        <v>11</v>
      </c>
      <c r="Z2" s="22">
        <f>1+Y2</f>
        <v>12</v>
      </c>
      <c r="AA2" s="22">
        <f>Z2</f>
        <v>12</v>
      </c>
      <c r="AB2" s="22">
        <f>1+AA2</f>
        <v>13</v>
      </c>
      <c r="AC2" s="22">
        <f>AB2</f>
        <v>13</v>
      </c>
      <c r="AD2" s="22">
        <f>1+AC2</f>
        <v>14</v>
      </c>
      <c r="AE2" s="22">
        <f>AD2</f>
        <v>14</v>
      </c>
      <c r="AF2" s="22">
        <f>1+AE2</f>
        <v>15</v>
      </c>
      <c r="AG2" s="22">
        <f>AF2</f>
        <v>15</v>
      </c>
      <c r="AH2" s="22">
        <f>1+AG2</f>
        <v>16</v>
      </c>
      <c r="AI2" s="22">
        <f>AH2</f>
        <v>16</v>
      </c>
      <c r="AJ2" s="22">
        <f>1+AI2</f>
        <v>17</v>
      </c>
      <c r="AK2" s="22">
        <f>AJ2</f>
        <v>17</v>
      </c>
      <c r="AL2" s="22">
        <f>1+AK2</f>
        <v>18</v>
      </c>
      <c r="AM2" s="22">
        <f>AL2</f>
        <v>18</v>
      </c>
      <c r="AN2" s="22">
        <f>1+AM2</f>
        <v>19</v>
      </c>
      <c r="AO2" s="22">
        <f>AN2</f>
        <v>19</v>
      </c>
      <c r="AP2" s="22">
        <f>1+AO2</f>
        <v>20</v>
      </c>
      <c r="AQ2" s="22">
        <f>AP2</f>
        <v>20</v>
      </c>
      <c r="AR2" s="22">
        <f>1+AQ2</f>
        <v>21</v>
      </c>
      <c r="AS2" s="7">
        <f>AR2</f>
        <v>21</v>
      </c>
      <c r="AT2" s="7">
        <f>AS2+1</f>
        <v>22</v>
      </c>
      <c r="AU2" s="7">
        <f>AT2</f>
        <v>22</v>
      </c>
      <c r="AV2" s="7"/>
    </row>
    <row r="3" spans="1:81">
      <c r="AS3" s="7"/>
      <c r="AT3" s="7"/>
      <c r="AU3" s="7"/>
      <c r="AV3" s="7"/>
    </row>
    <row r="4" spans="1:81" ht="18">
      <c r="A4" s="292" t="s">
        <v>403</v>
      </c>
      <c r="B4" s="439"/>
      <c r="E4"/>
      <c r="AB4" s="8"/>
      <c r="AC4" s="8"/>
      <c r="AD4" s="8"/>
    </row>
    <row r="5" spans="1:81" ht="17.399999999999999">
      <c r="A5" s="292"/>
      <c r="E5"/>
      <c r="AB5" s="302"/>
      <c r="AC5" s="302"/>
      <c r="AD5" s="8"/>
    </row>
    <row r="6" spans="1:81" ht="13.8" thickBot="1">
      <c r="A6" s="422" t="s">
        <v>164</v>
      </c>
      <c r="B6" s="422"/>
      <c r="C6" s="2"/>
      <c r="D6" s="803">
        <v>36525</v>
      </c>
      <c r="E6" s="803">
        <v>36571</v>
      </c>
      <c r="F6" s="803">
        <v>36616</v>
      </c>
      <c r="G6" s="803">
        <v>36753</v>
      </c>
      <c r="H6" s="803">
        <v>36937</v>
      </c>
      <c r="I6" s="803">
        <v>37118</v>
      </c>
      <c r="J6" s="803">
        <v>37302</v>
      </c>
      <c r="K6" s="803">
        <v>37483</v>
      </c>
      <c r="L6" s="803">
        <v>37667</v>
      </c>
      <c r="M6" s="803">
        <v>37848</v>
      </c>
      <c r="N6" s="803">
        <v>38032</v>
      </c>
      <c r="O6" s="803">
        <v>38214</v>
      </c>
      <c r="P6" s="803">
        <v>38398</v>
      </c>
      <c r="Q6" s="803">
        <v>38579</v>
      </c>
      <c r="R6" s="803">
        <v>38763</v>
      </c>
      <c r="S6" s="803">
        <v>38944</v>
      </c>
      <c r="T6" s="803">
        <v>39128</v>
      </c>
      <c r="U6" s="803">
        <v>39309</v>
      </c>
      <c r="V6" s="803">
        <v>39493</v>
      </c>
      <c r="W6" s="803">
        <v>39675</v>
      </c>
      <c r="X6" s="803">
        <v>39859</v>
      </c>
      <c r="Y6" s="803">
        <v>40040</v>
      </c>
      <c r="Z6" s="803">
        <v>40224</v>
      </c>
      <c r="AA6" s="803">
        <v>40405</v>
      </c>
      <c r="AB6" s="803">
        <v>40589</v>
      </c>
      <c r="AC6" s="803">
        <v>40770</v>
      </c>
      <c r="AD6" s="803">
        <v>40954</v>
      </c>
      <c r="AE6" s="803">
        <v>41136</v>
      </c>
      <c r="AF6" s="803">
        <v>41320</v>
      </c>
      <c r="AG6" s="803">
        <v>41501</v>
      </c>
      <c r="AH6" s="803">
        <v>41685</v>
      </c>
      <c r="AI6" s="803">
        <v>41866</v>
      </c>
      <c r="AJ6" s="803">
        <v>42050</v>
      </c>
      <c r="AK6" s="803">
        <v>42231</v>
      </c>
      <c r="AL6" s="803">
        <v>42415</v>
      </c>
      <c r="AM6" s="803">
        <v>42597</v>
      </c>
      <c r="AN6" s="803">
        <v>42781</v>
      </c>
      <c r="AO6" s="803">
        <v>42962</v>
      </c>
      <c r="AP6" s="803">
        <v>43146</v>
      </c>
      <c r="AQ6" s="803">
        <v>43327</v>
      </c>
      <c r="AR6" s="803">
        <v>43511</v>
      </c>
      <c r="AS6" s="602">
        <v>43692</v>
      </c>
      <c r="AT6" s="602">
        <v>43876</v>
      </c>
      <c r="AU6" s="602">
        <v>44196</v>
      </c>
      <c r="AV6" s="804" t="s">
        <v>73</v>
      </c>
    </row>
    <row r="7" spans="1:81">
      <c r="D7" s="732"/>
      <c r="E7" s="732"/>
      <c r="F7" s="732"/>
      <c r="G7" s="732"/>
      <c r="H7" s="732"/>
      <c r="I7" s="732"/>
      <c r="J7" s="732"/>
      <c r="K7" s="732"/>
      <c r="L7" s="732"/>
      <c r="M7" s="732"/>
      <c r="N7" s="732"/>
      <c r="O7" s="732"/>
      <c r="P7" s="732"/>
      <c r="Q7" s="732"/>
      <c r="R7" s="732"/>
      <c r="S7" s="732"/>
      <c r="T7" s="732"/>
      <c r="U7" s="732"/>
      <c r="V7" s="732"/>
      <c r="W7" s="732"/>
      <c r="X7" s="732"/>
      <c r="Y7" s="732"/>
      <c r="Z7" s="732"/>
      <c r="AA7" s="732"/>
      <c r="AB7" s="732"/>
      <c r="AC7" s="732"/>
      <c r="AD7" s="732"/>
      <c r="AE7" s="732"/>
      <c r="AF7" s="732"/>
      <c r="AG7" s="732"/>
      <c r="AH7" s="732"/>
      <c r="AI7" s="732"/>
      <c r="AJ7" s="732"/>
      <c r="AK7" s="732"/>
      <c r="AL7" s="732"/>
      <c r="AM7" s="732"/>
      <c r="AN7" s="732"/>
      <c r="AO7" s="732"/>
      <c r="AP7" s="732"/>
      <c r="AQ7" s="732"/>
      <c r="AR7" s="732"/>
      <c r="AS7" s="766"/>
      <c r="AT7" s="766"/>
      <c r="AU7" s="766"/>
      <c r="AV7" s="756"/>
    </row>
    <row r="8" spans="1:81">
      <c r="A8" s="21" t="s">
        <v>184</v>
      </c>
      <c r="D8" s="235">
        <f>+IS!D38</f>
        <v>0</v>
      </c>
      <c r="E8" s="253">
        <f ca="1">1/12*(Brownsville!$F$39+Caledonia!$F$39+'New Albany'!$F$39)</f>
        <v>4450.1773702528308</v>
      </c>
      <c r="F8" s="235">
        <v>0</v>
      </c>
      <c r="G8" s="235">
        <f ca="1">6/12*(Brownsville!F39+Caledonia!F39+'New Albany'!F39)+2/7*(Wilton!F39)+1/6*(Calvert!F39+Wheatland!F39)</f>
        <v>34536.513743294418</v>
      </c>
      <c r="H8" s="253">
        <f ca="1">5/12*(Brownsville!F39+Caledonia!F39+'New Albany'!F39)+5/7*(Wilton!F39)+5/6*(Calvert!F39+Wheatland!F39)+1/12*(SUM(Brownsville:Wilton!G39))</f>
        <v>60522.911180105053</v>
      </c>
      <c r="I8" s="253">
        <f>1/2*(SUM(Brownsville:Wilton!G39))</f>
        <v>60999.534758439644</v>
      </c>
      <c r="J8" s="253">
        <f>5/12*(SUM(Brownsville:Wilton!G39))+1/12*(SUM(Brownsville:Wilton!H39))</f>
        <v>60955.951044062385</v>
      </c>
      <c r="K8" s="253">
        <f>1/2*(SUM(Brownsville:Wilton!H39))</f>
        <v>60738.032472176114</v>
      </c>
      <c r="L8" s="253">
        <f>5/12*(SUM(Brownsville:Wilton!H39))+1/12*(SUM(Brownsville:Wilton!I39))</f>
        <v>63898.125891022151</v>
      </c>
      <c r="M8" s="253">
        <f>1/2*(SUM(Brownsville:Wilton!I39))</f>
        <v>79698.592985252311</v>
      </c>
      <c r="N8" s="253">
        <f>5/12*(SUM(Brownsville:Wilton!I39))+1/12*(SUM(Brownsville:Wilton!J39))</f>
        <v>82256.938806719452</v>
      </c>
      <c r="O8" s="253">
        <f>1/2*(SUM(Brownsville:Wilton!J39))</f>
        <v>95048.667914055142</v>
      </c>
      <c r="P8" s="253">
        <f>5/12*(SUM(Brownsville:Wilton!J39))+1/12*(SUM(Brownsville:Wilton!K39))</f>
        <v>95338.888536165046</v>
      </c>
      <c r="Q8" s="253">
        <f>1/2*(SUM(Brownsville:Wilton!K39))</f>
        <v>96789.991646714479</v>
      </c>
      <c r="R8" s="253">
        <f>5/12*(SUM(Brownsville:Wilton!K39))+1/12*(SUM(Brownsville:Wilton!L39))</f>
        <v>96889.643247711851</v>
      </c>
      <c r="S8" s="253">
        <f>1/2*(SUM(Brownsville:Wilton!L39))</f>
        <v>97387.901252698619</v>
      </c>
      <c r="T8" s="253">
        <f>5/12*(SUM(Brownsville:Wilton!L39))+1/12*(SUM(Brownsville:Wilton!M39))</f>
        <v>97755.803692875226</v>
      </c>
      <c r="U8" s="253">
        <f>1/2*(SUM(Brownsville:Wilton!M39))</f>
        <v>99595.315893758219</v>
      </c>
      <c r="V8" s="253">
        <f>5/12*(SUM(Brownsville:Wilton!M39))+1/12*(SUM(Brownsville:Wilton!N39))</f>
        <v>99759.825601735094</v>
      </c>
      <c r="W8" s="253">
        <f>1/2*(SUM(Brownsville:Wilton!N39))</f>
        <v>100582.37414161951</v>
      </c>
      <c r="X8" s="253">
        <f>5/12*(SUM(Brownsville:Wilton!N39))+1/12*(SUM(Brownsville:Wilton!O39))</f>
        <v>100972.22322211001</v>
      </c>
      <c r="Y8" s="253">
        <f>1/2*(SUM(Brownsville:Wilton!O39))</f>
        <v>102921.46862456251</v>
      </c>
      <c r="Z8" s="253">
        <f>5/12*(SUM(Brownsville:Wilton!O39))+1/12*(SUM(Brownsville:Wilton!P39))</f>
        <v>102987.57565134825</v>
      </c>
      <c r="AA8" s="253">
        <f>1/2*(SUM(Brownsville:Wilton!P39))</f>
        <v>103318.11078527692</v>
      </c>
      <c r="AB8" s="253">
        <f>5/12*(SUM(Brownsville:Wilton!P39))+1/12*(SUM(Brownsville:Wilton!Q39))</f>
        <v>103715.47255634182</v>
      </c>
      <c r="AC8" s="253">
        <f>1/2*(SUM(Brownsville:Wilton!Q39))</f>
        <v>105702.28141166636</v>
      </c>
      <c r="AD8" s="253">
        <f>5/12*(SUM(Brownsville:Wilton!Q39))+1/12*(SUM(Brownsville:Wilton!R39))</f>
        <v>105876.61052544965</v>
      </c>
      <c r="AE8" s="253">
        <f>1/2*(SUM(Brownsville:Wilton!R39))</f>
        <v>106748.25609436601</v>
      </c>
      <c r="AF8" s="253">
        <f>5/12*(SUM(Brownsville:Wilton!R39))+1/12*(SUM(Brownsville:Wilton!S39))</f>
        <v>106858.96048843116</v>
      </c>
      <c r="AG8" s="253">
        <f>1/2*(SUM(Brownsville:Wilton!S39))</f>
        <v>107412.4824587569</v>
      </c>
      <c r="AH8" s="253">
        <f>5/12*(SUM(Brownsville:Wilton!S39))+1/12*(SUM(Brownsville:Wilton!T39))</f>
        <v>107548.52398956136</v>
      </c>
      <c r="AI8" s="253">
        <f>1/2*(SUM(Brownsville:Wilton!T39))</f>
        <v>108228.73164358374</v>
      </c>
      <c r="AJ8" s="253">
        <f>5/12*(SUM(Brownsville:Wilton!T39))+1/12*(SUM(Brownsville:Wilton!U39))</f>
        <v>108388.60785114623</v>
      </c>
      <c r="AK8" s="253">
        <f>1/2*(SUM(Brownsville:Wilton!U39))</f>
        <v>109187.9888889586</v>
      </c>
      <c r="AL8" s="253">
        <f>5/12*(SUM(Brownsville:Wilton!U39))+1/12*(SUM(Brownsville:Wilton!V39))</f>
        <v>109347.8112645225</v>
      </c>
      <c r="AM8" s="253">
        <f>1/2*(SUM(Brownsville:Wilton!V39))</f>
        <v>110146.92314234201</v>
      </c>
      <c r="AN8" s="253">
        <f>5/12*(SUM(Brownsville:Wilton!V39))+1/12*(SUM(Brownsville:Wilton!W39))</f>
        <v>110304.04412401184</v>
      </c>
      <c r="AO8" s="253">
        <f>1/2*(SUM(Brownsville:Wilton!W39))</f>
        <v>111089.64903236099</v>
      </c>
      <c r="AP8" s="253">
        <f>5/12*(SUM(Brownsville:Wilton!W39))+1/12*(SUM(Brownsville:Wilton!X39))</f>
        <v>111224.37762057345</v>
      </c>
      <c r="AQ8" s="253">
        <f>1/2*(SUM(Brownsville:Wilton!X39))</f>
        <v>111898.0205616357</v>
      </c>
      <c r="AR8" s="253">
        <f>5/12*(SUM(Brownsville:Wilton!X39))+1/12*(SUM(Brownsville:Wilton!Y39))</f>
        <v>111837.93162649848</v>
      </c>
      <c r="AS8" s="253">
        <f>1/2*(SUM(Brownsville:Wilton!Y39))</f>
        <v>111537.48695081242</v>
      </c>
      <c r="AT8" s="253">
        <f>5/12*(SUM(Brownsville:Wilton!Y39))+1/12*(SUM(Brownsville:Wilton!Z39))</f>
        <v>111782.46509242295</v>
      </c>
      <c r="AU8" s="253">
        <f>11/12*(SUM(Brownsville:Wilton!Z39))</f>
        <v>207180.15230087179</v>
      </c>
      <c r="AV8" s="761">
        <f ca="1">SUM(D8:AU8)</f>
        <v>4073421.3460862688</v>
      </c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</row>
    <row r="9" spans="1:81">
      <c r="D9" s="235"/>
      <c r="E9" s="235"/>
      <c r="AS9" s="7"/>
      <c r="AT9" s="7"/>
      <c r="AU9" s="7"/>
      <c r="AV9" s="761"/>
    </row>
    <row r="10" spans="1:81">
      <c r="A10" s="22" t="s">
        <v>402</v>
      </c>
      <c r="D10" s="235">
        <v>0</v>
      </c>
      <c r="E10" s="235">
        <f ca="1">SUM(CF!D12:E12)</f>
        <v>-1093.3396039210511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2">
        <v>0</v>
      </c>
      <c r="M10" s="235">
        <v>0</v>
      </c>
      <c r="N10" s="22">
        <v>0</v>
      </c>
      <c r="O10" s="235">
        <v>0</v>
      </c>
      <c r="P10" s="22">
        <v>0</v>
      </c>
      <c r="Q10" s="235">
        <v>0</v>
      </c>
      <c r="R10" s="22">
        <v>0</v>
      </c>
      <c r="S10" s="235">
        <v>0</v>
      </c>
      <c r="T10" s="22">
        <v>0</v>
      </c>
      <c r="U10" s="235">
        <v>0</v>
      </c>
      <c r="V10" s="22">
        <v>0</v>
      </c>
      <c r="W10" s="235">
        <v>0</v>
      </c>
      <c r="X10" s="22">
        <v>0</v>
      </c>
      <c r="Y10" s="235">
        <v>0</v>
      </c>
      <c r="Z10" s="22">
        <v>0</v>
      </c>
      <c r="AA10" s="235">
        <v>0</v>
      </c>
      <c r="AB10" s="22">
        <v>0</v>
      </c>
      <c r="AC10" s="235">
        <v>0</v>
      </c>
      <c r="AD10" s="22">
        <v>0</v>
      </c>
      <c r="AE10" s="235">
        <v>0</v>
      </c>
      <c r="AF10" s="22">
        <v>0</v>
      </c>
      <c r="AG10" s="235">
        <v>0</v>
      </c>
      <c r="AH10" s="22">
        <v>0</v>
      </c>
      <c r="AI10" s="235">
        <v>0</v>
      </c>
      <c r="AJ10" s="22">
        <v>0</v>
      </c>
      <c r="AK10" s="235">
        <v>0</v>
      </c>
      <c r="AL10" s="22">
        <v>0</v>
      </c>
      <c r="AM10" s="235">
        <v>0</v>
      </c>
      <c r="AN10" s="22">
        <v>0</v>
      </c>
      <c r="AO10" s="235">
        <v>0</v>
      </c>
      <c r="AP10" s="22">
        <v>0</v>
      </c>
      <c r="AQ10" s="235">
        <v>0</v>
      </c>
      <c r="AR10" s="22">
        <v>0</v>
      </c>
      <c r="AS10" s="253">
        <v>0</v>
      </c>
      <c r="AT10" s="253">
        <v>0</v>
      </c>
      <c r="AU10" s="7">
        <v>0</v>
      </c>
      <c r="AV10" s="761">
        <f ca="1">SUM(D10:AU10)</f>
        <v>-1093.3396039210511</v>
      </c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</row>
    <row r="11" spans="1:81">
      <c r="A11" s="22" t="s">
        <v>433</v>
      </c>
      <c r="D11" s="235">
        <f>-D8</f>
        <v>0</v>
      </c>
      <c r="E11" s="235">
        <f>-D11</f>
        <v>0</v>
      </c>
      <c r="F11" s="235">
        <v>0</v>
      </c>
      <c r="G11" s="235">
        <v>0</v>
      </c>
      <c r="H11" s="235">
        <v>0</v>
      </c>
      <c r="I11" s="235">
        <v>0</v>
      </c>
      <c r="J11" s="235">
        <v>0</v>
      </c>
      <c r="K11" s="235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7">
        <v>0</v>
      </c>
      <c r="AT11" s="7">
        <v>0</v>
      </c>
      <c r="AU11" s="7">
        <v>0</v>
      </c>
      <c r="AV11" s="761">
        <f>SUM(D11:AU11)</f>
        <v>0</v>
      </c>
    </row>
    <row r="12" spans="1:81" s="23" customFormat="1">
      <c r="A12" s="22" t="s">
        <v>380</v>
      </c>
      <c r="B12" s="22"/>
      <c r="C12" s="22"/>
      <c r="D12" s="280">
        <v>0</v>
      </c>
      <c r="E12" s="280">
        <f>CF!E14</f>
        <v>3320.0248154705105</v>
      </c>
      <c r="F12" s="280">
        <v>0</v>
      </c>
      <c r="G12" s="280">
        <f>CF!G14</f>
        <v>15264.582647621271</v>
      </c>
      <c r="H12" s="280">
        <v>0</v>
      </c>
      <c r="I12" s="280">
        <v>0</v>
      </c>
      <c r="J12" s="280">
        <v>0</v>
      </c>
      <c r="K12" s="280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7">
        <v>0</v>
      </c>
      <c r="AT12" s="7">
        <v>0</v>
      </c>
      <c r="AU12" s="7">
        <v>0</v>
      </c>
      <c r="AV12" s="761">
        <f>SUM(D12:AU12)</f>
        <v>18584.607463091783</v>
      </c>
    </row>
    <row r="13" spans="1:81">
      <c r="A13" s="22" t="s">
        <v>354</v>
      </c>
      <c r="D13" s="235">
        <v>0</v>
      </c>
      <c r="E13" s="235">
        <f>-Debt!C31-Debt!B41-Debt!C54-Debt!B64-Debt!C77-Debt!B87</f>
        <v>-673.15841513562407</v>
      </c>
      <c r="F13" s="235">
        <v>0</v>
      </c>
      <c r="G13" s="235">
        <f>-(Debt!C36+Debt!C59+Debt!C82)</f>
        <v>-7404.7425664918655</v>
      </c>
      <c r="H13" s="235">
        <f>-HLOOKUP(H$2,Debt!$A$17:$V$115,94)-I13</f>
        <v>-10869.903627462523</v>
      </c>
      <c r="I13" s="235">
        <f>-(Debt!D36+Debt!D59+Debt!D82)</f>
        <v>-12846.249741546619</v>
      </c>
      <c r="J13" s="235">
        <f>-HLOOKUP(J$2,Debt!$A$17:$V$115,94)-K13</f>
        <v>-12619.298989866833</v>
      </c>
      <c r="K13" s="235">
        <f>-(Debt!E36+Debt!E59+Debt!E82)</f>
        <v>-12619.298989866833</v>
      </c>
      <c r="L13" s="235">
        <f>-HLOOKUP(L$2,Debt!$A$17:$V$115,94)-M13</f>
        <v>-25967.347669629693</v>
      </c>
      <c r="M13" s="235">
        <f>-(Debt!F36+Debt!F59+Debt!F82)</f>
        <v>-20102.742968047642</v>
      </c>
      <c r="N13" s="235">
        <f>-HLOOKUP(N$2,Debt!$A$17:$V$115,94)-O13</f>
        <v>-9065.8333333333339</v>
      </c>
      <c r="O13" s="235">
        <f>-(Debt!G36+Debt!G59+Debt!G82)</f>
        <v>-12692.166666666666</v>
      </c>
      <c r="P13" s="235">
        <f>-HLOOKUP(P$2,Debt!$A$17:$V$115,94)-Q13</f>
        <v>-12824.75</v>
      </c>
      <c r="Q13" s="235">
        <f>-(Debt!H36+Debt!H59+Debt!H82)</f>
        <v>-12824.75</v>
      </c>
      <c r="R13" s="235">
        <f>-HLOOKUP(R$2,Debt!$A$17:$V$115,94)-S13</f>
        <v>-14351.25</v>
      </c>
      <c r="S13" s="235">
        <f>-(Debt!I36+Debt!I59+Debt!I82)</f>
        <v>-14351.25</v>
      </c>
      <c r="T13" s="235">
        <f>-HLOOKUP(T$2,Debt!$A$17:$V$115,94)-U13</f>
        <v>-16770</v>
      </c>
      <c r="U13" s="235">
        <f>-(Debt!J36+Debt!J59+Debt!J82)</f>
        <v>-16770</v>
      </c>
      <c r="V13" s="235">
        <f>-HLOOKUP(V$2,Debt!$A$17:$V$115,94)-W13</f>
        <v>-18920</v>
      </c>
      <c r="W13" s="235">
        <f>-(Debt!K36+Debt!K59+Debt!K82)</f>
        <v>-18920</v>
      </c>
      <c r="X13" s="235">
        <f>-HLOOKUP(X$2,Debt!$A$17:$V$115,94)-Y13</f>
        <v>-23703.628515976179</v>
      </c>
      <c r="Y13" s="235">
        <f>-(Debt!L36+Debt!L59+Debt!L82)</f>
        <v>-23703.628515976179</v>
      </c>
      <c r="Z13" s="235">
        <f>-HLOOKUP(Z$2,Debt!$A$17:$V$115,94)-AA13</f>
        <v>-16215.120178840541</v>
      </c>
      <c r="AA13" s="235">
        <f>-(Debt!M36+Debt!M59+Debt!M82)</f>
        <v>-16215.120178840541</v>
      </c>
      <c r="AB13" s="235">
        <f>-HLOOKUP(AB$2,Debt!$A$17:$V$115,94)-AC13</f>
        <v>-18025.353956455132</v>
      </c>
      <c r="AC13" s="235">
        <f>-(Debt!N36+Debt!N59+Debt!N82)</f>
        <v>-18025.353956455132</v>
      </c>
      <c r="AD13" s="235">
        <f>-HLOOKUP(AD$2,Debt!$A$17:$V$115,94)-AE13</f>
        <v>-19857.431227552912</v>
      </c>
      <c r="AE13" s="235">
        <f>-(Debt!O36+Debt!O59+Debt!O82)</f>
        <v>-19857.431227552912</v>
      </c>
      <c r="AF13" s="235">
        <f>-HLOOKUP(AF$2,Debt!$A$17:$V$115,94)-AG13</f>
        <v>-21175.849212312987</v>
      </c>
      <c r="AG13" s="235">
        <f>-(Debt!P36+Debt!P59+Debt!P82)</f>
        <v>-21175.849212312987</v>
      </c>
      <c r="AH13" s="235">
        <f>-HLOOKUP(AH$2,Debt!$A$17:$V$115,94)-AI13</f>
        <v>-22629.377568050826</v>
      </c>
      <c r="AI13" s="235">
        <f>-(Debt!Q36+Debt!Q59+Debt!Q82)</f>
        <v>-22629.377568050826</v>
      </c>
      <c r="AJ13" s="235">
        <f>-HLOOKUP(AJ$2,Debt!$A$17:$V$115,94)-AK13</f>
        <v>-24662.038321089542</v>
      </c>
      <c r="AK13" s="235">
        <f>-(Debt!R36+Debt!R59+Debt!R82)</f>
        <v>-24662.038321089542</v>
      </c>
      <c r="AL13" s="235">
        <f>-HLOOKUP(AL$2,Debt!$A$17:$V$115,94)-AM13</f>
        <v>-25143.443280479903</v>
      </c>
      <c r="AM13" s="235">
        <f>-(Debt!S36+Debt!S59+Debt!S82)</f>
        <v>-25143.443280479903</v>
      </c>
      <c r="AN13" s="235">
        <f>-HLOOKUP(AN$2,Debt!$A$17:$V$115,94)-AO13</f>
        <v>-24559.860592428802</v>
      </c>
      <c r="AO13" s="235">
        <f>-(Debt!T36+Debt!T59+Debt!T82)</f>
        <v>-24559.860592428802</v>
      </c>
      <c r="AP13" s="235">
        <f>-HLOOKUP(AP$2,Debt!$A$17:$V$115,94)-AQ13</f>
        <v>-21652.909949802073</v>
      </c>
      <c r="AQ13" s="235">
        <f>-(Debt!U36+Debt!U59+Debt!U82)</f>
        <v>-21652.909949802073</v>
      </c>
      <c r="AR13" s="235">
        <f>-HLOOKUP(AR$2,Debt!$A$17:$V$115,94)-AS13</f>
        <v>-18578.615712987288</v>
      </c>
      <c r="AS13" s="253">
        <f>-(Debt!V36+Debt!V59+Debt!V82)</f>
        <v>-18578.615712987288</v>
      </c>
      <c r="AT13" s="253">
        <v>0</v>
      </c>
      <c r="AU13" s="253">
        <v>0</v>
      </c>
      <c r="AV13" s="761">
        <f>SUM(D13:AU13)</f>
        <v>-723000</v>
      </c>
    </row>
    <row r="14" spans="1:81">
      <c r="A14" s="22" t="s">
        <v>353</v>
      </c>
      <c r="D14" s="280">
        <v>0</v>
      </c>
      <c r="E14" s="280">
        <f>-Debt!B42-Debt!C32-Debt!B65-Debt!C55-Debt!B88-Debt!C78</f>
        <v>-6003.7041666666664</v>
      </c>
      <c r="F14" s="280">
        <v>0</v>
      </c>
      <c r="G14" s="280">
        <f>-(Debt!C37+Debt!C60+Debt!C83)</f>
        <v>-35994.6591629002</v>
      </c>
      <c r="H14" s="280">
        <f>-HLOOKUP(H$2,Debt!$A$17:$V$115,92)-I14</f>
        <v>-35691.43495480236</v>
      </c>
      <c r="I14" s="280">
        <f>-(Debt!D37+Debt!D60+Debt!D83)</f>
        <v>-35246.312401257761</v>
      </c>
      <c r="J14" s="280">
        <f>-HLOOKUP(J$2,Debt!$A$17:$V$115,92)-K14</f>
        <v>-34720.258474341434</v>
      </c>
      <c r="K14" s="280">
        <f>-(Debt!E37+Debt!E60+Debt!E83)</f>
        <v>-34203.498180706389</v>
      </c>
      <c r="L14" s="280">
        <f>-HLOOKUP(L$2,Debt!$A$17:$V$115,92)-M14</f>
        <v>-33686.737887071344</v>
      </c>
      <c r="M14" s="280">
        <f>-(Debt!F37+Debt!F60+Debt!F83)</f>
        <v>-32623.375</v>
      </c>
      <c r="N14" s="280">
        <f>-HLOOKUP(N$2,Debt!$A$17:$V$115,92)-O14</f>
        <v>-31646.381691752882</v>
      </c>
      <c r="O14" s="280">
        <f>-(Debt!G37+Debt!G60+Debt!G83)</f>
        <v>-31205.782191752885</v>
      </c>
      <c r="P14" s="280">
        <f>-HLOOKUP(P$2,Debt!$A$17:$V$115,92)-Q14</f>
        <v>-30588.942891752882</v>
      </c>
      <c r="Q14" s="280">
        <f>-(Debt!H37+Debt!H60+Debt!H83)</f>
        <v>-29965.660041752886</v>
      </c>
      <c r="R14" s="280">
        <f>-HLOOKUP(R$2,Debt!$A$17:$V$115,92)-S14</f>
        <v>-29342.377191752879</v>
      </c>
      <c r="S14" s="280">
        <f>-(Debt!I37+Debt!I60+Debt!I83)</f>
        <v>-28644.906441752886</v>
      </c>
      <c r="T14" s="280">
        <f>-HLOOKUP(T$2,Debt!$A$17:$V$115,92)-U14</f>
        <v>-27947.435691752889</v>
      </c>
      <c r="U14" s="280">
        <f>-(Debt!J37+Debt!J60+Debt!J83)</f>
        <v>-27132.413691752885</v>
      </c>
      <c r="V14" s="280">
        <f>-HLOOKUP(V$2,Debt!$A$17:$V$115,92)-W14</f>
        <v>-26317.39169175288</v>
      </c>
      <c r="W14" s="280">
        <f>-(Debt!K37+Debt!K60+Debt!K83)</f>
        <v>-25397.879691752885</v>
      </c>
      <c r="X14" s="280">
        <f>-HLOOKUP(X$2,Debt!$A$17:$V$115,92)-Y14</f>
        <v>-24478.367691752879</v>
      </c>
      <c r="Y14" s="280">
        <f>-(Debt!L37+Debt!L60+Debt!L83)</f>
        <v>-19630.642179209775</v>
      </c>
      <c r="Z14" s="280">
        <f>-HLOOKUP(Z$2,Debt!$A$17:$V$115,92)-AA14</f>
        <v>-25870.104166666672</v>
      </c>
      <c r="AA14" s="280">
        <f>-(Debt!M37+Debt!M60+Debt!M83)</f>
        <v>-21328.351104668996</v>
      </c>
      <c r="AB14" s="280">
        <f>-HLOOKUP(AB$2,Debt!$A$17:$V$115,92)-AC14</f>
        <v>-20482.327209337993</v>
      </c>
      <c r="AC14" s="280">
        <f>-(Debt!N37+Debt!N60+Debt!N83)</f>
        <v>-19541.854366659943</v>
      </c>
      <c r="AD14" s="280">
        <f>-HLOOKUP(AD$2,Debt!$A$17:$V$115,92)-AE14</f>
        <v>-18601.381523981898</v>
      </c>
      <c r="AE14" s="280">
        <f>-(Debt!O37+Debt!O60+Debt!O83)</f>
        <v>-17565.320049684324</v>
      </c>
      <c r="AF14" s="280">
        <f>-HLOOKUP(AF$2,Debt!$A$17:$V$115,92)-AG14</f>
        <v>-16529.25857538675</v>
      </c>
      <c r="AG14" s="280">
        <f>-(Debt!P37+Debt!P60+Debt!P83)</f>
        <v>-15424.408642734317</v>
      </c>
      <c r="AH14" s="280">
        <f>-HLOOKUP(AH$2,Debt!$A$17:$V$115,92)-AI14</f>
        <v>-14319.558710081883</v>
      </c>
      <c r="AI14" s="280">
        <f>-(Debt!Q37+Debt!Q60+Debt!Q83)</f>
        <v>-13138.870935468834</v>
      </c>
      <c r="AJ14" s="280">
        <f>-HLOOKUP(AJ$2,Debt!$A$17:$V$115,92)-AK14</f>
        <v>-11958.183160855786</v>
      </c>
      <c r="AK14" s="280">
        <f>-(Debt!R37+Debt!R60+Debt!R83)</f>
        <v>-10671.441311452936</v>
      </c>
      <c r="AL14" s="280">
        <f>-HLOOKUP(AL$2,Debt!$A$17:$V$115,92)-AM14</f>
        <v>-9384.6994620500918</v>
      </c>
      <c r="AM14" s="280">
        <f>-(Debt!S37+Debt!S60+Debt!S83)</f>
        <v>-8072.84030889105</v>
      </c>
      <c r="AN14" s="280">
        <f>-HLOOKUP(AN$2,Debt!$A$17:$V$115,92)-AO14</f>
        <v>-6760.9811557320118</v>
      </c>
      <c r="AO14" s="280">
        <f>-(Debt!T37+Debt!T60+Debt!T83)</f>
        <v>-5479.5704293220388</v>
      </c>
      <c r="AP14" s="280">
        <f>-HLOOKUP(AP$2,Debt!$A$17:$V$115,92)-AQ14</f>
        <v>-4198.1597029120667</v>
      </c>
      <c r="AQ14" s="280">
        <f>-(Debt!U37+Debt!U60+Debt!U83)</f>
        <v>-3068.4191262811428</v>
      </c>
      <c r="AR14" s="280">
        <f>-HLOOKUP(AR$2,Debt!$A$17:$V$115,92)-AS14</f>
        <v>-1938.6785496502198</v>
      </c>
      <c r="AS14" s="187">
        <f>-(Debt!V37+Debt!V60+Debt!V83)</f>
        <v>-969.33927482510796</v>
      </c>
      <c r="AT14" s="187">
        <v>0</v>
      </c>
      <c r="AU14" s="187">
        <v>0</v>
      </c>
      <c r="AV14" s="771">
        <f>SUM(D14:AU14)</f>
        <v>-825771.90908288164</v>
      </c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</row>
    <row r="15" spans="1:81">
      <c r="D15" s="118"/>
      <c r="E15" s="734"/>
      <c r="F15" s="734"/>
      <c r="G15" s="734"/>
      <c r="H15" s="734"/>
      <c r="I15" s="734"/>
      <c r="J15" s="734"/>
      <c r="K15" s="734"/>
      <c r="L15" s="734"/>
      <c r="M15" s="734"/>
      <c r="N15" s="734"/>
      <c r="O15" s="734"/>
      <c r="P15" s="734"/>
      <c r="Q15" s="734"/>
      <c r="R15" s="734"/>
      <c r="S15" s="734"/>
      <c r="T15" s="734"/>
      <c r="U15" s="734"/>
      <c r="V15" s="734"/>
      <c r="W15" s="734"/>
      <c r="X15" s="734"/>
      <c r="Y15" s="734"/>
      <c r="Z15" s="734"/>
      <c r="AA15" s="734"/>
      <c r="AB15" s="734"/>
      <c r="AC15" s="734"/>
      <c r="AD15" s="734"/>
      <c r="AE15" s="734"/>
      <c r="AF15" s="734"/>
      <c r="AG15" s="734"/>
      <c r="AH15" s="734"/>
      <c r="AI15" s="734"/>
      <c r="AJ15" s="734"/>
      <c r="AK15" s="734"/>
      <c r="AL15" s="734"/>
      <c r="AM15" s="734"/>
      <c r="AN15" s="734"/>
      <c r="AO15" s="734"/>
      <c r="AP15" s="734"/>
      <c r="AQ15" s="734"/>
      <c r="AR15" s="734"/>
      <c r="AS15" s="767"/>
      <c r="AT15" s="767"/>
      <c r="AU15" s="767"/>
      <c r="AV15" s="772"/>
    </row>
    <row r="16" spans="1:81">
      <c r="A16" s="21" t="s">
        <v>194</v>
      </c>
      <c r="D16" s="428">
        <f>SUM(D8:D14)</f>
        <v>0</v>
      </c>
      <c r="E16" s="428">
        <f ca="1">SUM(E8:E14)</f>
        <v>0</v>
      </c>
      <c r="F16" s="428">
        <v>0</v>
      </c>
      <c r="G16" s="428">
        <f ca="1">SUM(G8:G15)</f>
        <v>6401.6946615236229</v>
      </c>
      <c r="H16" s="428">
        <f t="shared" ref="H16:AS16" ca="1" si="0">SUM(H8:H15)</f>
        <v>13961.572597840168</v>
      </c>
      <c r="I16" s="428">
        <f t="shared" si="0"/>
        <v>12906.972615635263</v>
      </c>
      <c r="J16" s="428">
        <f t="shared" si="0"/>
        <v>13616.393579854121</v>
      </c>
      <c r="K16" s="428">
        <f t="shared" si="0"/>
        <v>13915.235301602894</v>
      </c>
      <c r="L16" s="428">
        <f t="shared" si="0"/>
        <v>4244.0403343211146</v>
      </c>
      <c r="M16" s="428">
        <f t="shared" si="0"/>
        <v>26972.47501720467</v>
      </c>
      <c r="N16" s="428">
        <f t="shared" si="0"/>
        <v>41544.723781633242</v>
      </c>
      <c r="O16" s="428">
        <f t="shared" si="0"/>
        <v>51150.719055635585</v>
      </c>
      <c r="P16" s="428">
        <f t="shared" si="0"/>
        <v>51925.195644412161</v>
      </c>
      <c r="Q16" s="428">
        <f t="shared" si="0"/>
        <v>53999.581604961597</v>
      </c>
      <c r="R16" s="428">
        <f t="shared" si="0"/>
        <v>53196.016055958971</v>
      </c>
      <c r="S16" s="428">
        <f t="shared" si="0"/>
        <v>54391.744810945733</v>
      </c>
      <c r="T16" s="428">
        <f t="shared" si="0"/>
        <v>53038.368001122333</v>
      </c>
      <c r="U16" s="428">
        <f t="shared" si="0"/>
        <v>55692.902202005338</v>
      </c>
      <c r="V16" s="428">
        <f t="shared" si="0"/>
        <v>54522.43390998221</v>
      </c>
      <c r="W16" s="428">
        <f t="shared" si="0"/>
        <v>56264.49444986663</v>
      </c>
      <c r="X16" s="428">
        <f t="shared" si="0"/>
        <v>52790.227014380958</v>
      </c>
      <c r="Y16" s="428">
        <f t="shared" si="0"/>
        <v>59587.197929376554</v>
      </c>
      <c r="Z16" s="428">
        <f t="shared" si="0"/>
        <v>60902.351305841032</v>
      </c>
      <c r="AA16" s="428">
        <f t="shared" si="0"/>
        <v>65774.639501767379</v>
      </c>
      <c r="AB16" s="428">
        <f t="shared" si="0"/>
        <v>65207.791390548693</v>
      </c>
      <c r="AC16" s="428">
        <f t="shared" si="0"/>
        <v>68135.073088551289</v>
      </c>
      <c r="AD16" s="428">
        <f t="shared" si="0"/>
        <v>67417.797773914848</v>
      </c>
      <c r="AE16" s="428">
        <f t="shared" si="0"/>
        <v>69325.504817128778</v>
      </c>
      <c r="AF16" s="428">
        <f t="shared" si="0"/>
        <v>69153.852700731426</v>
      </c>
      <c r="AG16" s="428">
        <f t="shared" si="0"/>
        <v>70812.224603709605</v>
      </c>
      <c r="AH16" s="428">
        <f t="shared" si="0"/>
        <v>70599.587711428656</v>
      </c>
      <c r="AI16" s="428">
        <f t="shared" si="0"/>
        <v>72460.483140064083</v>
      </c>
      <c r="AJ16" s="428">
        <f t="shared" si="0"/>
        <v>71768.386369200904</v>
      </c>
      <c r="AK16" s="428">
        <f t="shared" si="0"/>
        <v>73854.509256416131</v>
      </c>
      <c r="AL16" s="428">
        <f t="shared" si="0"/>
        <v>74819.668521992513</v>
      </c>
      <c r="AM16" s="428">
        <f t="shared" si="0"/>
        <v>76930.639552971057</v>
      </c>
      <c r="AN16" s="428">
        <f t="shared" si="0"/>
        <v>78983.202375851033</v>
      </c>
      <c r="AO16" s="428">
        <f t="shared" si="0"/>
        <v>81050.218010610159</v>
      </c>
      <c r="AP16" s="428">
        <f t="shared" si="0"/>
        <v>85373.30796785932</v>
      </c>
      <c r="AQ16" s="428">
        <f t="shared" si="0"/>
        <v>87176.691485552496</v>
      </c>
      <c r="AR16" s="428">
        <f t="shared" si="0"/>
        <v>91320.637363860966</v>
      </c>
      <c r="AS16" s="259">
        <f t="shared" si="0"/>
        <v>91989.53196300003</v>
      </c>
      <c r="AT16" s="259">
        <f>SUM(AT8:AT15)</f>
        <v>111782.46509242295</v>
      </c>
      <c r="AU16" s="259">
        <f>SUM(AU8:AU15)</f>
        <v>207180.15230087179</v>
      </c>
      <c r="AV16" s="762">
        <f ca="1">SUM(D16:AU16)</f>
        <v>2542140.7048625587</v>
      </c>
    </row>
    <row r="17" spans="1:63">
      <c r="A17" s="2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53"/>
      <c r="AT17" s="253"/>
      <c r="AU17" s="253"/>
      <c r="AV17" s="761"/>
    </row>
    <row r="18" spans="1:63">
      <c r="A18" s="22" t="s">
        <v>409</v>
      </c>
      <c r="D18" s="235">
        <v>0</v>
      </c>
      <c r="E18" s="235">
        <v>0</v>
      </c>
      <c r="F18" s="235">
        <v>0</v>
      </c>
      <c r="G18" s="253">
        <v>0</v>
      </c>
      <c r="H18" s="235">
        <v>0</v>
      </c>
      <c r="I18" s="235">
        <v>0</v>
      </c>
      <c r="J18" s="235">
        <v>0</v>
      </c>
      <c r="K18" s="235">
        <v>0</v>
      </c>
      <c r="L18" s="235">
        <v>0</v>
      </c>
      <c r="M18" s="235">
        <v>0</v>
      </c>
      <c r="N18" s="235">
        <v>0</v>
      </c>
      <c r="O18" s="235">
        <v>0</v>
      </c>
      <c r="P18" s="235">
        <v>0</v>
      </c>
      <c r="Q18" s="235">
        <v>0</v>
      </c>
      <c r="R18" s="235">
        <v>0</v>
      </c>
      <c r="S18" s="235">
        <v>0</v>
      </c>
      <c r="T18" s="235">
        <v>0</v>
      </c>
      <c r="U18" s="235">
        <v>0</v>
      </c>
      <c r="V18" s="235">
        <v>0</v>
      </c>
      <c r="W18" s="235">
        <v>0</v>
      </c>
      <c r="X18" s="235">
        <v>0</v>
      </c>
      <c r="Y18" s="235">
        <v>0</v>
      </c>
      <c r="Z18" s="235">
        <v>0</v>
      </c>
      <c r="AA18" s="235">
        <v>0</v>
      </c>
      <c r="AB18" s="235">
        <v>0</v>
      </c>
      <c r="AC18" s="235">
        <v>0</v>
      </c>
      <c r="AD18" s="235">
        <v>0</v>
      </c>
      <c r="AE18" s="235">
        <v>0</v>
      </c>
      <c r="AF18" s="235">
        <v>0</v>
      </c>
      <c r="AG18" s="235">
        <v>0</v>
      </c>
      <c r="AH18" s="235">
        <v>0</v>
      </c>
      <c r="AI18" s="235">
        <v>0</v>
      </c>
      <c r="AJ18" s="235">
        <v>0</v>
      </c>
      <c r="AK18" s="235">
        <v>0</v>
      </c>
      <c r="AL18" s="235">
        <v>0</v>
      </c>
      <c r="AM18" s="235">
        <v>0</v>
      </c>
      <c r="AN18" s="235">
        <v>0</v>
      </c>
      <c r="AO18" s="235">
        <v>0</v>
      </c>
      <c r="AP18" s="235">
        <v>0</v>
      </c>
      <c r="AQ18" s="235">
        <v>0</v>
      </c>
      <c r="AR18" s="235">
        <v>0</v>
      </c>
      <c r="AS18" s="253">
        <v>0</v>
      </c>
      <c r="AT18" s="253">
        <v>0</v>
      </c>
      <c r="AU18" s="253">
        <v>0</v>
      </c>
      <c r="AV18" s="761">
        <f>SUM(D18:AU18)</f>
        <v>0</v>
      </c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</row>
    <row r="19" spans="1:63"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53"/>
      <c r="AT19" s="253"/>
      <c r="AU19" s="253"/>
      <c r="AV19" s="761"/>
    </row>
    <row r="20" spans="1:63">
      <c r="A20" s="21" t="s">
        <v>408</v>
      </c>
      <c r="D20" s="428">
        <f>D16+D18</f>
        <v>0</v>
      </c>
      <c r="E20" s="428">
        <f t="shared" ref="E20:AS20" ca="1" si="1">E16+E18</f>
        <v>0</v>
      </c>
      <c r="F20" s="428">
        <f t="shared" si="1"/>
        <v>0</v>
      </c>
      <c r="G20" s="428">
        <f t="shared" ca="1" si="1"/>
        <v>6401.6946615236229</v>
      </c>
      <c r="H20" s="428">
        <f t="shared" ca="1" si="1"/>
        <v>13961.572597840168</v>
      </c>
      <c r="I20" s="428">
        <f t="shared" si="1"/>
        <v>12906.972615635263</v>
      </c>
      <c r="J20" s="428">
        <f t="shared" si="1"/>
        <v>13616.393579854121</v>
      </c>
      <c r="K20" s="428">
        <f t="shared" si="1"/>
        <v>13915.235301602894</v>
      </c>
      <c r="L20" s="428">
        <f t="shared" si="1"/>
        <v>4244.0403343211146</v>
      </c>
      <c r="M20" s="428">
        <f t="shared" si="1"/>
        <v>26972.47501720467</v>
      </c>
      <c r="N20" s="428">
        <f t="shared" si="1"/>
        <v>41544.723781633242</v>
      </c>
      <c r="O20" s="428">
        <f t="shared" si="1"/>
        <v>51150.719055635585</v>
      </c>
      <c r="P20" s="428">
        <f t="shared" si="1"/>
        <v>51925.195644412161</v>
      </c>
      <c r="Q20" s="428">
        <f t="shared" si="1"/>
        <v>53999.581604961597</v>
      </c>
      <c r="R20" s="428">
        <f t="shared" si="1"/>
        <v>53196.016055958971</v>
      </c>
      <c r="S20" s="428">
        <f t="shared" si="1"/>
        <v>54391.744810945733</v>
      </c>
      <c r="T20" s="428">
        <f t="shared" si="1"/>
        <v>53038.368001122333</v>
      </c>
      <c r="U20" s="428">
        <f t="shared" si="1"/>
        <v>55692.902202005338</v>
      </c>
      <c r="V20" s="428">
        <f t="shared" si="1"/>
        <v>54522.43390998221</v>
      </c>
      <c r="W20" s="428">
        <f t="shared" si="1"/>
        <v>56264.49444986663</v>
      </c>
      <c r="X20" s="428">
        <f t="shared" si="1"/>
        <v>52790.227014380958</v>
      </c>
      <c r="Y20" s="428">
        <f t="shared" si="1"/>
        <v>59587.197929376554</v>
      </c>
      <c r="Z20" s="428">
        <f t="shared" si="1"/>
        <v>60902.351305841032</v>
      </c>
      <c r="AA20" s="428">
        <f t="shared" si="1"/>
        <v>65774.639501767379</v>
      </c>
      <c r="AB20" s="428">
        <f t="shared" si="1"/>
        <v>65207.791390548693</v>
      </c>
      <c r="AC20" s="428">
        <f t="shared" si="1"/>
        <v>68135.073088551289</v>
      </c>
      <c r="AD20" s="428">
        <f t="shared" si="1"/>
        <v>67417.797773914848</v>
      </c>
      <c r="AE20" s="428">
        <f t="shared" si="1"/>
        <v>69325.504817128778</v>
      </c>
      <c r="AF20" s="428">
        <f t="shared" si="1"/>
        <v>69153.852700731426</v>
      </c>
      <c r="AG20" s="428">
        <f t="shared" si="1"/>
        <v>70812.224603709605</v>
      </c>
      <c r="AH20" s="428">
        <f t="shared" si="1"/>
        <v>70599.587711428656</v>
      </c>
      <c r="AI20" s="428">
        <f t="shared" si="1"/>
        <v>72460.483140064083</v>
      </c>
      <c r="AJ20" s="428">
        <f t="shared" si="1"/>
        <v>71768.386369200904</v>
      </c>
      <c r="AK20" s="428">
        <f t="shared" si="1"/>
        <v>73854.509256416131</v>
      </c>
      <c r="AL20" s="428">
        <f t="shared" si="1"/>
        <v>74819.668521992513</v>
      </c>
      <c r="AM20" s="428">
        <f t="shared" si="1"/>
        <v>76930.639552971057</v>
      </c>
      <c r="AN20" s="428">
        <f t="shared" si="1"/>
        <v>78983.202375851033</v>
      </c>
      <c r="AO20" s="428">
        <f t="shared" si="1"/>
        <v>81050.218010610159</v>
      </c>
      <c r="AP20" s="428">
        <f t="shared" si="1"/>
        <v>85373.30796785932</v>
      </c>
      <c r="AQ20" s="428">
        <f t="shared" si="1"/>
        <v>87176.691485552496</v>
      </c>
      <c r="AR20" s="428">
        <f t="shared" si="1"/>
        <v>91320.637363860966</v>
      </c>
      <c r="AS20" s="259">
        <f t="shared" si="1"/>
        <v>91989.53196300003</v>
      </c>
      <c r="AT20" s="259">
        <f>AT16+AT18</f>
        <v>111782.46509242295</v>
      </c>
      <c r="AU20" s="259">
        <f>AU16+AU18</f>
        <v>207180.15230087179</v>
      </c>
      <c r="AV20" s="762">
        <f ca="1">SUM(D20:AU20)</f>
        <v>2542140.7048625587</v>
      </c>
    </row>
    <row r="21" spans="1:63"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53"/>
      <c r="AT21" s="253"/>
      <c r="AU21" s="253"/>
      <c r="AV21" s="761"/>
    </row>
    <row r="22" spans="1:63">
      <c r="A22" s="4" t="s">
        <v>195</v>
      </c>
      <c r="D22" s="22">
        <v>0</v>
      </c>
      <c r="E22" s="235">
        <v>0</v>
      </c>
      <c r="F22" s="235">
        <v>0</v>
      </c>
      <c r="G22" s="235">
        <f ca="1">1/2*(Brownsville!F69+Caledonia!F69+'New Albany'!F69)+2/7*(Calvert!F69+Wheatland!F69+Wilton!F69)</f>
        <v>0</v>
      </c>
      <c r="H22" s="235">
        <f ca="1">5/12*(Brownsville!F69+Caledonia!F69+'New Albany'!F69)+5/7*(Calvert!F69+Wheatland!F69+Wilton!F69)+1/12*(SUM(Brownsville:Wilton!G69))</f>
        <v>0</v>
      </c>
      <c r="I22" s="235">
        <f>1/2*(SUM(Brownsville:Wilton!G69))</f>
        <v>0</v>
      </c>
      <c r="J22" s="235">
        <f>5/12*(SUM(Brownsville:Wilton!G69))+1/12*(SUM(Brownsville:Wilton!H69))</f>
        <v>0</v>
      </c>
      <c r="K22" s="235">
        <f>1/2*(SUM(Brownsville:Wilton!H69))</f>
        <v>0</v>
      </c>
      <c r="L22" s="235">
        <f>5/12*(SUM(Brownsville:Wilton!H69))+1/12*(SUM(Brownsville:Wilton!I69))</f>
        <v>0</v>
      </c>
      <c r="M22" s="235">
        <f>1/2*(SUM(Brownsville:Wilton!I69))</f>
        <v>0</v>
      </c>
      <c r="N22" s="235">
        <f ca="1">5/12*(SUM(Brownsville:Wilton!I69))+1/12*(SUM(Brownsville:Wilton!J69))</f>
        <v>0</v>
      </c>
      <c r="O22" s="235">
        <f ca="1">1/2*(SUM(Brownsville:Wilton!J69))</f>
        <v>0</v>
      </c>
      <c r="P22" s="235">
        <f ca="1">5/12*(SUM(Brownsville:Wilton!J69))+1/12*(SUM(Brownsville:Wilton!K69))</f>
        <v>0</v>
      </c>
      <c r="Q22" s="235">
        <f ca="1">1/2*(SUM(Brownsville:Wilton!K69))</f>
        <v>0</v>
      </c>
      <c r="R22" s="235">
        <f ca="1">5/12*(SUM(Brownsville:Wilton!K69))+1/12*(SUM(Brownsville:Wilton!L69))</f>
        <v>-80.108943628945582</v>
      </c>
      <c r="S22" s="235">
        <f ca="1">1/2*(SUM(Brownsville:Wilton!L69))</f>
        <v>-480.65366177367355</v>
      </c>
      <c r="T22" s="235">
        <f ca="1">5/12*(SUM(Brownsville:Wilton!L69))+1/12*(SUM(Brownsville:Wilton!M69))</f>
        <v>-764.80723804418949</v>
      </c>
      <c r="U22" s="235">
        <f ca="1">1/2*(SUM(Brownsville:Wilton!M69))</f>
        <v>-2185.575119396769</v>
      </c>
      <c r="V22" s="235">
        <f ca="1">5/12*(SUM(Brownsville:Wilton!M69))+1/12*(SUM(Brownsville:Wilton!N69))</f>
        <v>-2214.2226158862773</v>
      </c>
      <c r="W22" s="235">
        <f ca="1">1/2*(SUM(Brownsville:Wilton!N69))</f>
        <v>-2357.4600983338191</v>
      </c>
      <c r="X22" s="235">
        <f ca="1">5/12*(SUM(Brownsville:Wilton!N69))+1/12*(SUM(Brownsville:Wilton!O69))</f>
        <v>-2402.458653885657</v>
      </c>
      <c r="Y22" s="235">
        <f ca="1">1/2*(SUM(Brownsville:Wilton!O69))</f>
        <v>-2627.4514316448467</v>
      </c>
      <c r="Z22" s="235">
        <f ca="1">5/12*(SUM(Brownsville:Wilton!O69))+1/12*(SUM(Brownsville:Wilton!P69))</f>
        <v>-2651.3845500786229</v>
      </c>
      <c r="AA22" s="235">
        <f ca="1">1/2*(SUM(Brownsville:Wilton!P69))</f>
        <v>-2771.0501422475022</v>
      </c>
      <c r="AB22" s="235">
        <f ca="1">5/12*(SUM(Brownsville:Wilton!P69))+1/12*(SUM(Brownsville:Wilton!Q69))</f>
        <v>-2813.1418264688114</v>
      </c>
      <c r="AC22" s="235">
        <f ca="1">1/2*(SUM(Brownsville:Wilton!Q69))</f>
        <v>-3023.6002475753585</v>
      </c>
      <c r="AD22" s="235">
        <f ca="1">5/12*(SUM(Brownsville:Wilton!Q69))+1/12*(SUM(Brownsville:Wilton!R69))</f>
        <v>-3055.2766285613843</v>
      </c>
      <c r="AE22" s="235">
        <f ca="1">1/2*(SUM(Brownsville:Wilton!R69))</f>
        <v>-3213.6585334915121</v>
      </c>
      <c r="AF22" s="235">
        <f ca="1">5/12*(SUM(Brownsville:Wilton!R69))+1/12*(SUM(Brownsville:Wilton!S69))</f>
        <v>-3241.7816184564408</v>
      </c>
      <c r="AG22" s="235">
        <f ca="1">1/2*(SUM(Brownsville:Wilton!S69))</f>
        <v>-3382.3970432810838</v>
      </c>
      <c r="AH22" s="235">
        <f ca="1">5/12*(SUM(Brownsville:Wilton!S69))+1/12*(SUM(Brownsville:Wilton!T69))</f>
        <v>-3414.8124170507281</v>
      </c>
      <c r="AI22" s="235">
        <f ca="1">1/2*(SUM(Brownsville:Wilton!T69))</f>
        <v>-3576.8892858989461</v>
      </c>
      <c r="AJ22" s="235">
        <f ca="1">5/12*(SUM(Brownsville:Wilton!T69))+1/12*(SUM(Brownsville:Wilton!U69))</f>
        <v>-3870.8872940131814</v>
      </c>
      <c r="AK22" s="235">
        <f ca="1">1/2*(SUM(Brownsville:Wilton!U69))</f>
        <v>-5340.8773345843583</v>
      </c>
      <c r="AL22" s="235">
        <f ca="1">5/12*(SUM(Brownsville:Wilton!U69))+1/12*(SUM(Brownsville:Wilton!V69))</f>
        <v>-5487.881306850918</v>
      </c>
      <c r="AM22" s="235">
        <f ca="1">1/2*(SUM(Brownsville:Wilton!V69))</f>
        <v>-6222.9011681837146</v>
      </c>
      <c r="AN22" s="235">
        <f ca="1">5/12*(SUM(Brownsville:Wilton!V69))+1/12*(SUM(Brownsville:Wilton!W69))</f>
        <v>-6258.7440763025197</v>
      </c>
      <c r="AO22" s="235">
        <f>1/2*(SUM(Brownsville:Wilton!W69))</f>
        <v>-6437.958616896547</v>
      </c>
      <c r="AP22" s="235">
        <f>5/12*(SUM(Brownsville:Wilton!W69))+1/12*(SUM(Brownsville:Wilton!X69))</f>
        <v>-6470.1735666833774</v>
      </c>
      <c r="AQ22" s="235">
        <f>1/2*(SUM(Brownsville:Wilton!X69))</f>
        <v>-6631.2483156175267</v>
      </c>
      <c r="AR22" s="235">
        <f>5/12*(SUM(Brownsville:Wilton!X69))+1/12*(SUM(Brownsville:Wilton!Y69))</f>
        <v>-6648.3784261648116</v>
      </c>
      <c r="AS22" s="253">
        <f>1/2*(SUM(Brownsville:Wilton!Y69))</f>
        <v>-6734.0289789012377</v>
      </c>
      <c r="AT22" s="253">
        <f ca="1">5/12*(SUM(Brownsville:Wilton!Y69))+1/12*(SUM(Brownsville:Wilton!Z69))</f>
        <v>-6760.4965018051053</v>
      </c>
      <c r="AU22" s="253">
        <f ca="1">11/12*(SUM(Brownsville:Wilton!Z69))</f>
        <v>-12636.862546594808</v>
      </c>
      <c r="AV22" s="761">
        <f ca="1">SUM(D22:AU22)</f>
        <v>-123757.16818830268</v>
      </c>
    </row>
    <row r="23" spans="1:63">
      <c r="A23" s="4" t="s">
        <v>196</v>
      </c>
      <c r="D23" s="284">
        <f>CF!D25</f>
        <v>0</v>
      </c>
      <c r="E23" s="284">
        <f ca="1">CF!E25</f>
        <v>344.24700450116683</v>
      </c>
      <c r="F23" s="284">
        <v>0</v>
      </c>
      <c r="G23" s="284">
        <f ca="1">1/2*(-Tax!E39)*Allocation!$I$10+2/7*(-Tax!E39)*Allocation!$I$15</f>
        <v>3525.6206092997036</v>
      </c>
      <c r="H23" s="284">
        <f ca="1">5/12*(-Tax!E39)*Allocation!$I$10+5/7*(-Tax!E39)*Allocation!$I$15+1/12*(SUM(Brownsville:Wilton!G70))</f>
        <v>7301.6530015163216</v>
      </c>
      <c r="I23" s="284">
        <f>1/2*(SUM(Brownsville:Wilton!G70))</f>
        <v>11580.429139672378</v>
      </c>
      <c r="J23" s="284">
        <f>5/12*(SUM(Brownsville:Wilton!G70))+1/12*(SUM(Brownsville:Wilton!H70))</f>
        <v>11193.973979086342</v>
      </c>
      <c r="K23" s="284">
        <f>1/2*(SUM(Brownsville:Wilton!H70))</f>
        <v>9261.6981761561638</v>
      </c>
      <c r="L23" s="284">
        <f>5/12*(SUM(Brownsville:Wilton!H70))+1/12*(SUM(Brownsville:Wilton!I70))</f>
        <v>7749.4521426428873</v>
      </c>
      <c r="M23" s="284">
        <f>1/2*(SUM(Brownsville:Wilton!I70))</f>
        <v>188.22197507650233</v>
      </c>
      <c r="N23" s="284">
        <f ca="1">5/12*(SUM(Brownsville:Wilton!I70))+1/12*(SUM(Brownsville:Wilton!J70))</f>
        <v>-1060.9220001796884</v>
      </c>
      <c r="O23" s="284">
        <f ca="1">1/2*(SUM(Brownsville:Wilton!J70))</f>
        <v>-7306.6418764606424</v>
      </c>
      <c r="P23" s="284">
        <f ca="1">5/12*(SUM(Brownsville:Wilton!J70))+1/12*(SUM(Brownsville:Wilton!K70))</f>
        <v>-7731.4248912798303</v>
      </c>
      <c r="Q23" s="284">
        <f ca="1">1/2*(SUM(Brownsville:Wilton!K70))</f>
        <v>-9855.3399653757697</v>
      </c>
      <c r="R23" s="284">
        <f ca="1">5/12*(SUM(Brownsville:Wilton!K70))+1/12*(SUM(Brownsville:Wilton!L70))</f>
        <v>-10059.276303024913</v>
      </c>
      <c r="S23" s="284">
        <f ca="1">1/2*(SUM(Brownsville:Wilton!L70))</f>
        <v>-11078.957991270632</v>
      </c>
      <c r="T23" s="284">
        <f ca="1">5/12*(SUM(Brownsville:Wilton!L70))+1/12*(SUM(Brownsville:Wilton!M70))</f>
        <v>-11195.19031659018</v>
      </c>
      <c r="U23" s="284">
        <f ca="1">1/2*(SUM(Brownsville:Wilton!M70))</f>
        <v>-11776.351943187925</v>
      </c>
      <c r="V23" s="284">
        <f ca="1">5/12*(SUM(Brownsville:Wilton!M70))+1/12*(SUM(Brownsville:Wilton!N70))</f>
        <v>-11930.710856756086</v>
      </c>
      <c r="W23" s="284">
        <f ca="1">1/2*(SUM(Brownsville:Wilton!N70))</f>
        <v>-12702.505424596897</v>
      </c>
      <c r="X23" s="284">
        <f ca="1">5/12*(SUM(Brownsville:Wilton!N70))+1/12*(SUM(Brownsville:Wilton!O70))</f>
        <v>-12944.967384568237</v>
      </c>
      <c r="Y23" s="284">
        <f ca="1">1/2*(SUM(Brownsville:Wilton!O70))</f>
        <v>-14157.277184424935</v>
      </c>
      <c r="Z23" s="284">
        <f ca="1">5/12*(SUM(Brownsville:Wilton!O70))+1/12*(SUM(Brownsville:Wilton!P70))</f>
        <v>-14286.234008316642</v>
      </c>
      <c r="AA23" s="284">
        <f ca="1">1/2*(SUM(Brownsville:Wilton!P70))</f>
        <v>-14931.018127775173</v>
      </c>
      <c r="AB23" s="284">
        <f ca="1">5/12*(SUM(Brownsville:Wilton!P70))+1/12*(SUM(Brownsville:Wilton!Q70))</f>
        <v>-15157.817235649574</v>
      </c>
      <c r="AC23" s="284">
        <f ca="1">1/2*(SUM(Brownsville:Wilton!Q70))</f>
        <v>-16291.812775021572</v>
      </c>
      <c r="AD23" s="284">
        <f ca="1">5/12*(SUM(Brownsville:Wilton!Q70))+1/12*(SUM(Brownsville:Wilton!R70))</f>
        <v>-16462.49197404215</v>
      </c>
      <c r="AE23" s="284">
        <f ca="1">1/2*(SUM(Brownsville:Wilton!R70))</f>
        <v>-17315.887969145027</v>
      </c>
      <c r="AF23" s="284">
        <f ca="1">5/12*(SUM(Brownsville:Wilton!R70))+1/12*(SUM(Brownsville:Wilton!S70))</f>
        <v>-17467.421239878175</v>
      </c>
      <c r="AG23" s="284">
        <f ca="1">1/2*(SUM(Brownsville:Wilton!S70))</f>
        <v>-18225.0875935439</v>
      </c>
      <c r="AH23" s="284">
        <f ca="1">5/12*(SUM(Brownsville:Wilton!S70))+1/12*(SUM(Brownsville:Wilton!T70))</f>
        <v>-18399.748645682281</v>
      </c>
      <c r="AI23" s="284">
        <f ca="1">1/2*(SUM(Brownsville:Wilton!T70))</f>
        <v>-19273.053906374182</v>
      </c>
      <c r="AJ23" s="284">
        <f ca="1">5/12*(SUM(Brownsville:Wilton!T70))+1/12*(SUM(Brownsville:Wilton!U70))</f>
        <v>-20857.178827738149</v>
      </c>
      <c r="AK23" s="284">
        <f ca="1">1/2*(SUM(Brownsville:Wilton!U70))</f>
        <v>-28777.803434557994</v>
      </c>
      <c r="AL23" s="284">
        <f ca="1">5/12*(SUM(Brownsville:Wilton!U70))+1/12*(SUM(Brownsville:Wilton!V70))</f>
        <v>-29569.892665028121</v>
      </c>
      <c r="AM23" s="284">
        <f ca="1">1/2*(SUM(Brownsville:Wilton!V70))</f>
        <v>-33530.338817378753</v>
      </c>
      <c r="AN23" s="284">
        <f ca="1">5/12*(SUM(Brownsville:Wilton!V70))+1/12*(SUM(Brownsville:Wilton!W70))</f>
        <v>-33723.46816668746</v>
      </c>
      <c r="AO23" s="284">
        <f>1/2*(SUM(Brownsville:Wilton!W70))</f>
        <v>-34689.114913231002</v>
      </c>
      <c r="AP23" s="284">
        <f>5/12*(SUM(Brownsville:Wilton!W70))+1/12*(SUM(Brownsville:Wilton!X70))</f>
        <v>-34862.696037556096</v>
      </c>
      <c r="AQ23" s="284">
        <f>1/2*(SUM(Brownsville:Wilton!X70))</f>
        <v>-35730.60165918155</v>
      </c>
      <c r="AR23" s="284">
        <f>5/12*(SUM(Brownsville:Wilton!X70))+1/12*(SUM(Brownsville:Wilton!Y70))</f>
        <v>-35822.902403658467</v>
      </c>
      <c r="AS23" s="768">
        <f>1/2*(SUM(Brownsville:Wilton!Y70))</f>
        <v>-36284.406126043054</v>
      </c>
      <c r="AT23" s="768">
        <f ca="1">5/12*(SUM(Brownsville:Wilton!Y70))+1/12*(SUM(Brownsville:Wilton!Z70))</f>
        <v>-36427.018869944695</v>
      </c>
      <c r="AU23" s="768">
        <f ca="1">11/12*(SUM(Brownsville:Wilton!Z70))</f>
        <v>-68090.151413996966</v>
      </c>
      <c r="AV23" s="773">
        <f ca="1">SUM(D23:AU23)</f>
        <v>-666830.41692019522</v>
      </c>
      <c r="AX23" s="235"/>
    </row>
    <row r="24" spans="1:63"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7"/>
      <c r="AT24" s="253"/>
      <c r="AU24" s="253"/>
      <c r="AV24" s="761"/>
    </row>
    <row r="25" spans="1:63">
      <c r="A25" s="21" t="s">
        <v>197</v>
      </c>
      <c r="D25" s="428">
        <f>D20+SUM(D22:D23)</f>
        <v>0</v>
      </c>
      <c r="E25" s="428">
        <f ca="1">E20+SUM(E22:E23)</f>
        <v>344.24700450116683</v>
      </c>
      <c r="F25" s="428">
        <f>F20+SUM(F22:F23)</f>
        <v>0</v>
      </c>
      <c r="G25" s="428">
        <f ca="1">G20+SUM(G22:G23)</f>
        <v>9927.3152708233265</v>
      </c>
      <c r="H25" s="428">
        <f ca="1">H20+SUM(H22:H23)</f>
        <v>21263.22559935649</v>
      </c>
      <c r="I25" s="428">
        <f t="shared" ref="I25:AS25" si="2">I20+SUM(I22:I23)</f>
        <v>24487.401755307641</v>
      </c>
      <c r="J25" s="428">
        <f t="shared" si="2"/>
        <v>24810.367558940463</v>
      </c>
      <c r="K25" s="428">
        <f t="shared" si="2"/>
        <v>23176.933477759056</v>
      </c>
      <c r="L25" s="428">
        <f t="shared" si="2"/>
        <v>11993.492476964002</v>
      </c>
      <c r="M25" s="428">
        <f t="shared" si="2"/>
        <v>27160.696992281173</v>
      </c>
      <c r="N25" s="428">
        <f t="shared" ca="1" si="2"/>
        <v>40483.801781453556</v>
      </c>
      <c r="O25" s="428">
        <f t="shared" ca="1" si="2"/>
        <v>43844.077179174943</v>
      </c>
      <c r="P25" s="428">
        <f t="shared" ca="1" si="2"/>
        <v>44193.770753132332</v>
      </c>
      <c r="Q25" s="428">
        <f t="shared" ca="1" si="2"/>
        <v>44144.241639585831</v>
      </c>
      <c r="R25" s="428">
        <f t="shared" ca="1" si="2"/>
        <v>43056.630809305112</v>
      </c>
      <c r="S25" s="428">
        <f t="shared" ca="1" si="2"/>
        <v>42832.13315790143</v>
      </c>
      <c r="T25" s="428">
        <f t="shared" ca="1" si="2"/>
        <v>41078.370446487963</v>
      </c>
      <c r="U25" s="428">
        <f t="shared" ca="1" si="2"/>
        <v>41730.97513942064</v>
      </c>
      <c r="V25" s="428">
        <f t="shared" ca="1" si="2"/>
        <v>40377.500437339848</v>
      </c>
      <c r="W25" s="428">
        <f t="shared" ca="1" si="2"/>
        <v>41204.528926935913</v>
      </c>
      <c r="X25" s="428">
        <f t="shared" ca="1" si="2"/>
        <v>37442.800975927064</v>
      </c>
      <c r="Y25" s="428">
        <f t="shared" ca="1" si="2"/>
        <v>42802.469313306778</v>
      </c>
      <c r="Z25" s="428">
        <f t="shared" ca="1" si="2"/>
        <v>43964.732747445771</v>
      </c>
      <c r="AA25" s="428">
        <f t="shared" ca="1" si="2"/>
        <v>48072.571231744703</v>
      </c>
      <c r="AB25" s="428">
        <f t="shared" ca="1" si="2"/>
        <v>47236.832328430304</v>
      </c>
      <c r="AC25" s="428">
        <f t="shared" ca="1" si="2"/>
        <v>48819.660065954362</v>
      </c>
      <c r="AD25" s="428">
        <f t="shared" ca="1" si="2"/>
        <v>47900.029171311311</v>
      </c>
      <c r="AE25" s="428">
        <f t="shared" ca="1" si="2"/>
        <v>48795.958314492236</v>
      </c>
      <c r="AF25" s="428">
        <f t="shared" ca="1" si="2"/>
        <v>48444.649842396815</v>
      </c>
      <c r="AG25" s="428">
        <f t="shared" ca="1" si="2"/>
        <v>49204.739966884619</v>
      </c>
      <c r="AH25" s="428">
        <f t="shared" ca="1" si="2"/>
        <v>48785.026648695646</v>
      </c>
      <c r="AI25" s="428">
        <f t="shared" ca="1" si="2"/>
        <v>49610.539947790952</v>
      </c>
      <c r="AJ25" s="428">
        <f t="shared" ca="1" si="2"/>
        <v>47040.320247449577</v>
      </c>
      <c r="AK25" s="428">
        <f t="shared" ca="1" si="2"/>
        <v>39735.828487273779</v>
      </c>
      <c r="AL25" s="428">
        <f t="shared" ca="1" si="2"/>
        <v>39761.894550113473</v>
      </c>
      <c r="AM25" s="428">
        <f t="shared" ca="1" si="2"/>
        <v>37177.399567408589</v>
      </c>
      <c r="AN25" s="428">
        <f t="shared" ca="1" si="2"/>
        <v>39000.99013286105</v>
      </c>
      <c r="AO25" s="428">
        <f t="shared" si="2"/>
        <v>39923.14448048261</v>
      </c>
      <c r="AP25" s="428">
        <f t="shared" si="2"/>
        <v>44040.438363619847</v>
      </c>
      <c r="AQ25" s="428">
        <f t="shared" si="2"/>
        <v>44814.841510753417</v>
      </c>
      <c r="AR25" s="428">
        <f t="shared" si="2"/>
        <v>48849.356534037688</v>
      </c>
      <c r="AS25" s="259">
        <f t="shared" si="2"/>
        <v>48971.096858055738</v>
      </c>
      <c r="AT25" s="259">
        <f ca="1">AT20+SUM(AT22:AT23)</f>
        <v>68594.949720673147</v>
      </c>
      <c r="AU25" s="259">
        <f ca="1">AU20+SUM(AU22:AU23)</f>
        <v>126453.13834028001</v>
      </c>
      <c r="AV25" s="762">
        <f ca="1">SUM(D25:AU25)</f>
        <v>1751553.1197540602</v>
      </c>
    </row>
    <row r="26" spans="1:63">
      <c r="AS26" s="7"/>
      <c r="AT26" s="7"/>
      <c r="AU26" s="7"/>
      <c r="AV26" s="761"/>
    </row>
    <row r="27" spans="1:63">
      <c r="A27" s="118" t="s">
        <v>193</v>
      </c>
      <c r="B27" s="118"/>
      <c r="C27" s="118"/>
      <c r="D27" s="734" t="s">
        <v>239</v>
      </c>
      <c r="E27" s="734">
        <f ca="1">-SUM(E10:E14)</f>
        <v>4450.1773702528317</v>
      </c>
      <c r="F27" s="118">
        <v>0</v>
      </c>
      <c r="G27" s="734">
        <f>-SUM(G10:G14)</f>
        <v>28134.819081770795</v>
      </c>
      <c r="H27" s="734">
        <f t="shared" ref="H27:AS27" si="3">-SUM(H10:H14)</f>
        <v>46561.338582264885</v>
      </c>
      <c r="I27" s="734">
        <f t="shared" si="3"/>
        <v>48092.562142804381</v>
      </c>
      <c r="J27" s="734">
        <f t="shared" si="3"/>
        <v>47339.557464208265</v>
      </c>
      <c r="K27" s="734">
        <f t="shared" si="3"/>
        <v>46822.79717057322</v>
      </c>
      <c r="L27" s="734">
        <f t="shared" si="3"/>
        <v>59654.085556701037</v>
      </c>
      <c r="M27" s="734">
        <f t="shared" si="3"/>
        <v>52726.117968047642</v>
      </c>
      <c r="N27" s="734">
        <f t="shared" si="3"/>
        <v>40712.215025086218</v>
      </c>
      <c r="O27" s="734">
        <f t="shared" si="3"/>
        <v>43897.94885841955</v>
      </c>
      <c r="P27" s="734">
        <f t="shared" si="3"/>
        <v>43413.692891752886</v>
      </c>
      <c r="Q27" s="734">
        <f t="shared" si="3"/>
        <v>42790.410041752883</v>
      </c>
      <c r="R27" s="734">
        <f t="shared" si="3"/>
        <v>43693.627191752879</v>
      </c>
      <c r="S27" s="734">
        <f t="shared" si="3"/>
        <v>42996.156441752886</v>
      </c>
      <c r="T27" s="734">
        <f t="shared" si="3"/>
        <v>44717.435691752893</v>
      </c>
      <c r="U27" s="734">
        <f t="shared" si="3"/>
        <v>43902.413691752881</v>
      </c>
      <c r="V27" s="734">
        <f t="shared" si="3"/>
        <v>45237.391691752884</v>
      </c>
      <c r="W27" s="734">
        <f t="shared" si="3"/>
        <v>44317.879691752882</v>
      </c>
      <c r="X27" s="734">
        <f t="shared" si="3"/>
        <v>48181.996207729055</v>
      </c>
      <c r="Y27" s="734">
        <f t="shared" si="3"/>
        <v>43334.270695185958</v>
      </c>
      <c r="Z27" s="734">
        <f t="shared" si="3"/>
        <v>42085.224345507217</v>
      </c>
      <c r="AA27" s="734">
        <f t="shared" si="3"/>
        <v>37543.471283509542</v>
      </c>
      <c r="AB27" s="734">
        <f t="shared" si="3"/>
        <v>38507.681165793125</v>
      </c>
      <c r="AC27" s="734">
        <f t="shared" si="3"/>
        <v>37567.208323115075</v>
      </c>
      <c r="AD27" s="734">
        <f t="shared" si="3"/>
        <v>38458.81275153481</v>
      </c>
      <c r="AE27" s="734">
        <f t="shared" si="3"/>
        <v>37422.751277237236</v>
      </c>
      <c r="AF27" s="734">
        <f t="shared" si="3"/>
        <v>37705.107787699737</v>
      </c>
      <c r="AG27" s="734">
        <f t="shared" si="3"/>
        <v>36600.257855047304</v>
      </c>
      <c r="AH27" s="734">
        <f t="shared" si="3"/>
        <v>36948.936278132707</v>
      </c>
      <c r="AI27" s="734">
        <f t="shared" si="3"/>
        <v>35768.248503519659</v>
      </c>
      <c r="AJ27" s="734">
        <f t="shared" si="3"/>
        <v>36620.221481945329</v>
      </c>
      <c r="AK27" s="734">
        <f t="shared" si="3"/>
        <v>35333.479632542476</v>
      </c>
      <c r="AL27" s="734">
        <f t="shared" si="3"/>
        <v>34528.142742529992</v>
      </c>
      <c r="AM27" s="734">
        <f t="shared" si="3"/>
        <v>33216.283589370956</v>
      </c>
      <c r="AN27" s="734">
        <f t="shared" si="3"/>
        <v>31320.841748160812</v>
      </c>
      <c r="AO27" s="734">
        <f t="shared" si="3"/>
        <v>30039.431021750839</v>
      </c>
      <c r="AP27" s="734">
        <f t="shared" si="3"/>
        <v>25851.069652714141</v>
      </c>
      <c r="AQ27" s="734">
        <f t="shared" si="3"/>
        <v>24721.329076083217</v>
      </c>
      <c r="AR27" s="734">
        <f t="shared" si="3"/>
        <v>20517.294262637508</v>
      </c>
      <c r="AS27" s="767">
        <f t="shared" si="3"/>
        <v>19547.954987812394</v>
      </c>
      <c r="AT27" s="767">
        <f>-SUM(AT10:AT14)</f>
        <v>0</v>
      </c>
      <c r="AU27" s="767">
        <f>-SUM(AU10:AU14)</f>
        <v>0</v>
      </c>
      <c r="AV27" s="761">
        <f ca="1">SUM(E27:AU27)</f>
        <v>1531280.641223711</v>
      </c>
    </row>
    <row r="28" spans="1:63">
      <c r="A28" s="120" t="s">
        <v>20</v>
      </c>
      <c r="B28" s="120"/>
      <c r="C28" s="120"/>
      <c r="D28" s="735"/>
      <c r="E28" s="735">
        <f ca="1">IF(E27=0,0,SUM(E8)/E27)</f>
        <v>0.99999999999999978</v>
      </c>
      <c r="F28" s="120">
        <v>0</v>
      </c>
      <c r="G28" s="735">
        <f t="shared" ref="G28:AS28" ca="1" si="4">SUM(G8:G10)/G27</f>
        <v>1.2275363720277637</v>
      </c>
      <c r="H28" s="735">
        <f t="shared" ca="1" si="4"/>
        <v>1.2998533337518372</v>
      </c>
      <c r="I28" s="735">
        <f t="shared" si="4"/>
        <v>1.2683777291238871</v>
      </c>
      <c r="J28" s="735">
        <f t="shared" si="4"/>
        <v>1.2876324644595376</v>
      </c>
      <c r="K28" s="735">
        <f t="shared" si="4"/>
        <v>1.2971893210674781</v>
      </c>
      <c r="L28" s="735">
        <f t="shared" si="4"/>
        <v>1.0711441688312726</v>
      </c>
      <c r="M28" s="735">
        <f t="shared" si="4"/>
        <v>1.5115581434148093</v>
      </c>
      <c r="N28" s="735">
        <f t="shared" si="4"/>
        <v>2.0204486234913537</v>
      </c>
      <c r="O28" s="735">
        <f t="shared" si="4"/>
        <v>2.1652188857526764</v>
      </c>
      <c r="P28" s="735">
        <f t="shared" si="4"/>
        <v>2.1960557185006522</v>
      </c>
      <c r="Q28" s="735">
        <f t="shared" si="4"/>
        <v>2.2619552267031637</v>
      </c>
      <c r="R28" s="735">
        <f t="shared" si="4"/>
        <v>2.2174776843887125</v>
      </c>
      <c r="S28" s="735">
        <f t="shared" si="4"/>
        <v>2.2650373733901192</v>
      </c>
      <c r="T28" s="735">
        <f t="shared" si="4"/>
        <v>2.1860780293111497</v>
      </c>
      <c r="U28" s="735">
        <f t="shared" si="4"/>
        <v>2.2685612821435219</v>
      </c>
      <c r="V28" s="735">
        <f t="shared" si="4"/>
        <v>2.2052514937531655</v>
      </c>
      <c r="W28" s="735">
        <f t="shared" si="4"/>
        <v>2.2695664783876586</v>
      </c>
      <c r="X28" s="735">
        <f t="shared" si="4"/>
        <v>2.0956421727896921</v>
      </c>
      <c r="Y28" s="735">
        <f t="shared" si="4"/>
        <v>2.3750594384872419</v>
      </c>
      <c r="Z28" s="735">
        <f t="shared" si="4"/>
        <v>2.4471195592507904</v>
      </c>
      <c r="AA28" s="735">
        <f t="shared" si="4"/>
        <v>2.7519594553489783</v>
      </c>
      <c r="AB28" s="735">
        <f t="shared" si="4"/>
        <v>2.6933710214800892</v>
      </c>
      <c r="AC28" s="735">
        <f t="shared" si="4"/>
        <v>2.813684756730455</v>
      </c>
      <c r="AD28" s="735">
        <f t="shared" si="4"/>
        <v>2.7529869736091719</v>
      </c>
      <c r="AE28" s="735">
        <f t="shared" si="4"/>
        <v>2.8524962075489277</v>
      </c>
      <c r="AF28" s="735">
        <f t="shared" si="4"/>
        <v>2.8340712109909676</v>
      </c>
      <c r="AG28" s="735">
        <f t="shared" si="4"/>
        <v>2.9347466043588089</v>
      </c>
      <c r="AH28" s="735">
        <f t="shared" si="4"/>
        <v>2.9107339702553556</v>
      </c>
      <c r="AI28" s="735">
        <f t="shared" si="4"/>
        <v>3.0258325797790699</v>
      </c>
      <c r="AJ28" s="735">
        <f t="shared" si="4"/>
        <v>2.9598020837909043</v>
      </c>
      <c r="AK28" s="735">
        <f t="shared" si="4"/>
        <v>3.0902133054678091</v>
      </c>
      <c r="AL28" s="735">
        <f t="shared" si="4"/>
        <v>3.1669184201394502</v>
      </c>
      <c r="AM28" s="735">
        <f t="shared" si="4"/>
        <v>3.3160519853457799</v>
      </c>
      <c r="AN28" s="735">
        <f t="shared" si="4"/>
        <v>3.5217458397486712</v>
      </c>
      <c r="AO28" s="735">
        <f t="shared" si="4"/>
        <v>3.6981276027473227</v>
      </c>
      <c r="AP28" s="735">
        <f t="shared" si="4"/>
        <v>4.3025058194795367</v>
      </c>
      <c r="AQ28" s="735">
        <f t="shared" si="4"/>
        <v>4.5263755932075691</v>
      </c>
      <c r="AR28" s="735">
        <f t="shared" si="4"/>
        <v>5.4509103488444905</v>
      </c>
      <c r="AS28" s="769">
        <f t="shared" si="4"/>
        <v>5.7058391540369797</v>
      </c>
      <c r="AT28" s="769" t="s">
        <v>239</v>
      </c>
      <c r="AU28" s="769" t="s">
        <v>239</v>
      </c>
      <c r="AV28" s="761"/>
    </row>
    <row r="29" spans="1:63">
      <c r="AS29" s="7"/>
      <c r="AT29" s="7"/>
      <c r="AU29" s="7"/>
      <c r="AV29" s="761"/>
    </row>
    <row r="30" spans="1:63" ht="18">
      <c r="A30" s="292" t="s">
        <v>200</v>
      </c>
      <c r="B30" s="439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8"/>
      <c r="AD30" s="8"/>
    </row>
    <row r="31" spans="1:63"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601"/>
      <c r="W31" s="601"/>
      <c r="X31" s="601"/>
      <c r="Y31" s="601"/>
      <c r="Z31" s="601"/>
      <c r="AA31" s="601"/>
      <c r="AB31" s="8"/>
      <c r="AC31" s="8"/>
      <c r="AD31" s="8"/>
    </row>
    <row r="32" spans="1:63" ht="13.8" thickBot="1">
      <c r="A32" s="422" t="s">
        <v>164</v>
      </c>
      <c r="B32" s="422"/>
      <c r="C32" s="2"/>
      <c r="D32" s="803">
        <v>36525</v>
      </c>
      <c r="E32" s="803">
        <v>36571</v>
      </c>
      <c r="F32" s="803">
        <v>36616</v>
      </c>
      <c r="G32" s="803">
        <v>36753</v>
      </c>
      <c r="H32" s="803">
        <v>36937</v>
      </c>
      <c r="I32" s="803">
        <v>37118</v>
      </c>
      <c r="J32" s="803">
        <v>37302</v>
      </c>
      <c r="K32" s="803">
        <v>37483</v>
      </c>
      <c r="L32" s="803">
        <v>37667</v>
      </c>
      <c r="M32" s="803">
        <v>37848</v>
      </c>
      <c r="N32" s="803">
        <v>38032</v>
      </c>
      <c r="O32" s="803">
        <v>38214</v>
      </c>
      <c r="P32" s="803">
        <v>38398</v>
      </c>
      <c r="Q32" s="803">
        <v>38579</v>
      </c>
      <c r="R32" s="803">
        <v>38763</v>
      </c>
      <c r="S32" s="803">
        <v>38944</v>
      </c>
      <c r="T32" s="803">
        <v>39128</v>
      </c>
      <c r="U32" s="803">
        <v>39309</v>
      </c>
      <c r="V32" s="803">
        <v>39493</v>
      </c>
      <c r="W32" s="803">
        <v>39675</v>
      </c>
      <c r="X32" s="803">
        <v>39859</v>
      </c>
      <c r="Y32" s="803">
        <v>40040</v>
      </c>
      <c r="Z32" s="803">
        <v>40224</v>
      </c>
      <c r="AA32" s="803">
        <v>40405</v>
      </c>
      <c r="AB32" s="803">
        <v>40589</v>
      </c>
      <c r="AC32" s="803">
        <v>40770</v>
      </c>
      <c r="AD32" s="803">
        <v>40954</v>
      </c>
      <c r="AE32" s="803">
        <v>41136</v>
      </c>
      <c r="AF32" s="803">
        <v>41320</v>
      </c>
      <c r="AG32" s="803">
        <v>41501</v>
      </c>
      <c r="AH32" s="803">
        <v>41685</v>
      </c>
      <c r="AI32" s="803">
        <v>41866</v>
      </c>
      <c r="AJ32" s="803">
        <v>42050</v>
      </c>
      <c r="AK32" s="803">
        <v>42231</v>
      </c>
      <c r="AL32" s="803">
        <v>42415</v>
      </c>
      <c r="AM32" s="803">
        <v>42597</v>
      </c>
      <c r="AN32" s="803">
        <v>42781</v>
      </c>
      <c r="AO32" s="803">
        <v>42962</v>
      </c>
      <c r="AP32" s="803">
        <v>43146</v>
      </c>
      <c r="AQ32" s="803">
        <v>43327</v>
      </c>
      <c r="AR32" s="803">
        <v>43511</v>
      </c>
      <c r="AS32" s="602">
        <v>43692</v>
      </c>
      <c r="AT32" s="602">
        <v>43876</v>
      </c>
      <c r="AU32" s="602">
        <v>44196</v>
      </c>
    </row>
    <row r="33" spans="1:48">
      <c r="A33" s="492"/>
      <c r="B33" s="492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8"/>
      <c r="AC33" s="8"/>
      <c r="AD33" s="8"/>
    </row>
    <row r="34" spans="1:48">
      <c r="A34" s="14" t="s">
        <v>194</v>
      </c>
      <c r="B34" s="492"/>
      <c r="C34" s="3"/>
      <c r="D34" s="801">
        <f>D20</f>
        <v>0</v>
      </c>
      <c r="E34" s="801">
        <f t="shared" ref="E34:AU34" ca="1" si="5">E20</f>
        <v>0</v>
      </c>
      <c r="F34" s="801">
        <f t="shared" si="5"/>
        <v>0</v>
      </c>
      <c r="G34" s="801">
        <f t="shared" ca="1" si="5"/>
        <v>6401.6946615236229</v>
      </c>
      <c r="H34" s="801">
        <f t="shared" ca="1" si="5"/>
        <v>13961.572597840168</v>
      </c>
      <c r="I34" s="801">
        <f t="shared" si="5"/>
        <v>12906.972615635263</v>
      </c>
      <c r="J34" s="801">
        <f t="shared" si="5"/>
        <v>13616.393579854121</v>
      </c>
      <c r="K34" s="801">
        <f t="shared" si="5"/>
        <v>13915.235301602894</v>
      </c>
      <c r="L34" s="801">
        <f t="shared" si="5"/>
        <v>4244.0403343211146</v>
      </c>
      <c r="M34" s="801">
        <f t="shared" si="5"/>
        <v>26972.47501720467</v>
      </c>
      <c r="N34" s="801">
        <f t="shared" si="5"/>
        <v>41544.723781633242</v>
      </c>
      <c r="O34" s="801">
        <f t="shared" si="5"/>
        <v>51150.719055635585</v>
      </c>
      <c r="P34" s="801">
        <f t="shared" si="5"/>
        <v>51925.195644412161</v>
      </c>
      <c r="Q34" s="801">
        <f t="shared" si="5"/>
        <v>53999.581604961597</v>
      </c>
      <c r="R34" s="801">
        <f t="shared" si="5"/>
        <v>53196.016055958971</v>
      </c>
      <c r="S34" s="801">
        <f t="shared" si="5"/>
        <v>54391.744810945733</v>
      </c>
      <c r="T34" s="801">
        <f t="shared" si="5"/>
        <v>53038.368001122333</v>
      </c>
      <c r="U34" s="801">
        <f t="shared" si="5"/>
        <v>55692.902202005338</v>
      </c>
      <c r="V34" s="801">
        <f t="shared" si="5"/>
        <v>54522.43390998221</v>
      </c>
      <c r="W34" s="801">
        <f t="shared" si="5"/>
        <v>56264.49444986663</v>
      </c>
      <c r="X34" s="801">
        <f t="shared" si="5"/>
        <v>52790.227014380958</v>
      </c>
      <c r="Y34" s="801">
        <f t="shared" si="5"/>
        <v>59587.197929376554</v>
      </c>
      <c r="Z34" s="801">
        <f t="shared" si="5"/>
        <v>60902.351305841032</v>
      </c>
      <c r="AA34" s="801">
        <f t="shared" si="5"/>
        <v>65774.639501767379</v>
      </c>
      <c r="AB34" s="801">
        <f t="shared" si="5"/>
        <v>65207.791390548693</v>
      </c>
      <c r="AC34" s="801">
        <f t="shared" si="5"/>
        <v>68135.073088551289</v>
      </c>
      <c r="AD34" s="801">
        <f t="shared" si="5"/>
        <v>67417.797773914848</v>
      </c>
      <c r="AE34" s="801">
        <f t="shared" si="5"/>
        <v>69325.504817128778</v>
      </c>
      <c r="AF34" s="801">
        <f t="shared" si="5"/>
        <v>69153.852700731426</v>
      </c>
      <c r="AG34" s="801">
        <f t="shared" si="5"/>
        <v>70812.224603709605</v>
      </c>
      <c r="AH34" s="801">
        <f t="shared" si="5"/>
        <v>70599.587711428656</v>
      </c>
      <c r="AI34" s="801">
        <f t="shared" si="5"/>
        <v>72460.483140064083</v>
      </c>
      <c r="AJ34" s="801">
        <f t="shared" si="5"/>
        <v>71768.386369200904</v>
      </c>
      <c r="AK34" s="801">
        <f t="shared" si="5"/>
        <v>73854.509256416131</v>
      </c>
      <c r="AL34" s="801">
        <f t="shared" si="5"/>
        <v>74819.668521992513</v>
      </c>
      <c r="AM34" s="801">
        <f t="shared" si="5"/>
        <v>76930.639552971057</v>
      </c>
      <c r="AN34" s="801">
        <f t="shared" si="5"/>
        <v>78983.202375851033</v>
      </c>
      <c r="AO34" s="801">
        <f t="shared" si="5"/>
        <v>81050.218010610159</v>
      </c>
      <c r="AP34" s="801">
        <f t="shared" si="5"/>
        <v>85373.30796785932</v>
      </c>
      <c r="AQ34" s="801">
        <f t="shared" si="5"/>
        <v>87176.691485552496</v>
      </c>
      <c r="AR34" s="801">
        <f t="shared" si="5"/>
        <v>91320.637363860966</v>
      </c>
      <c r="AS34" s="801">
        <f t="shared" si="5"/>
        <v>91989.53196300003</v>
      </c>
      <c r="AT34" s="801">
        <f t="shared" si="5"/>
        <v>111782.46509242295</v>
      </c>
      <c r="AU34" s="801">
        <f t="shared" si="5"/>
        <v>207180.15230087179</v>
      </c>
    </row>
    <row r="35" spans="1:48">
      <c r="A35" s="14"/>
      <c r="B35" s="492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8"/>
      <c r="AC35" s="8"/>
      <c r="AD35" s="8"/>
    </row>
    <row r="36" spans="1:48">
      <c r="A36" s="15" t="s">
        <v>201</v>
      </c>
      <c r="B36" s="492"/>
      <c r="C36" s="3"/>
      <c r="D36" s="802">
        <f>D22</f>
        <v>0</v>
      </c>
      <c r="E36" s="802">
        <f t="shared" ref="E36:AU36" si="6">E22</f>
        <v>0</v>
      </c>
      <c r="F36" s="802">
        <f t="shared" si="6"/>
        <v>0</v>
      </c>
      <c r="G36" s="802">
        <f t="shared" ca="1" si="6"/>
        <v>0</v>
      </c>
      <c r="H36" s="802">
        <f t="shared" ca="1" si="6"/>
        <v>0</v>
      </c>
      <c r="I36" s="802">
        <f t="shared" si="6"/>
        <v>0</v>
      </c>
      <c r="J36" s="802">
        <f t="shared" si="6"/>
        <v>0</v>
      </c>
      <c r="K36" s="802">
        <f t="shared" si="6"/>
        <v>0</v>
      </c>
      <c r="L36" s="802">
        <f t="shared" si="6"/>
        <v>0</v>
      </c>
      <c r="M36" s="802">
        <f t="shared" si="6"/>
        <v>0</v>
      </c>
      <c r="N36" s="802">
        <f t="shared" ca="1" si="6"/>
        <v>0</v>
      </c>
      <c r="O36" s="802">
        <f t="shared" ca="1" si="6"/>
        <v>0</v>
      </c>
      <c r="P36" s="802">
        <f t="shared" ca="1" si="6"/>
        <v>0</v>
      </c>
      <c r="Q36" s="802">
        <f t="shared" ca="1" si="6"/>
        <v>0</v>
      </c>
      <c r="R36" s="802">
        <f t="shared" ca="1" si="6"/>
        <v>-80.108943628945582</v>
      </c>
      <c r="S36" s="802">
        <f t="shared" ca="1" si="6"/>
        <v>-480.65366177367355</v>
      </c>
      <c r="T36" s="802">
        <f t="shared" ca="1" si="6"/>
        <v>-764.80723804418949</v>
      </c>
      <c r="U36" s="802">
        <f t="shared" ca="1" si="6"/>
        <v>-2185.575119396769</v>
      </c>
      <c r="V36" s="802">
        <f t="shared" ca="1" si="6"/>
        <v>-2214.2226158862773</v>
      </c>
      <c r="W36" s="802">
        <f t="shared" ca="1" si="6"/>
        <v>-2357.4600983338191</v>
      </c>
      <c r="X36" s="802">
        <f t="shared" ca="1" si="6"/>
        <v>-2402.458653885657</v>
      </c>
      <c r="Y36" s="802">
        <f t="shared" ca="1" si="6"/>
        <v>-2627.4514316448467</v>
      </c>
      <c r="Z36" s="802">
        <f t="shared" ca="1" si="6"/>
        <v>-2651.3845500786229</v>
      </c>
      <c r="AA36" s="802">
        <f t="shared" ca="1" si="6"/>
        <v>-2771.0501422475022</v>
      </c>
      <c r="AB36" s="802">
        <f t="shared" ca="1" si="6"/>
        <v>-2813.1418264688114</v>
      </c>
      <c r="AC36" s="802">
        <f t="shared" ca="1" si="6"/>
        <v>-3023.6002475753585</v>
      </c>
      <c r="AD36" s="802">
        <f t="shared" ca="1" si="6"/>
        <v>-3055.2766285613843</v>
      </c>
      <c r="AE36" s="802">
        <f t="shared" ca="1" si="6"/>
        <v>-3213.6585334915121</v>
      </c>
      <c r="AF36" s="802">
        <f t="shared" ca="1" si="6"/>
        <v>-3241.7816184564408</v>
      </c>
      <c r="AG36" s="802">
        <f t="shared" ca="1" si="6"/>
        <v>-3382.3970432810838</v>
      </c>
      <c r="AH36" s="802">
        <f t="shared" ca="1" si="6"/>
        <v>-3414.8124170507281</v>
      </c>
      <c r="AI36" s="802">
        <f t="shared" ca="1" si="6"/>
        <v>-3576.8892858989461</v>
      </c>
      <c r="AJ36" s="802">
        <f t="shared" ca="1" si="6"/>
        <v>-3870.8872940131814</v>
      </c>
      <c r="AK36" s="802">
        <f t="shared" ca="1" si="6"/>
        <v>-5340.8773345843583</v>
      </c>
      <c r="AL36" s="802">
        <f t="shared" ca="1" si="6"/>
        <v>-5487.881306850918</v>
      </c>
      <c r="AM36" s="802">
        <f t="shared" ca="1" si="6"/>
        <v>-6222.9011681837146</v>
      </c>
      <c r="AN36" s="802">
        <f t="shared" ca="1" si="6"/>
        <v>-6258.7440763025197</v>
      </c>
      <c r="AO36" s="802">
        <f t="shared" si="6"/>
        <v>-6437.958616896547</v>
      </c>
      <c r="AP36" s="802">
        <f t="shared" si="6"/>
        <v>-6470.1735666833774</v>
      </c>
      <c r="AQ36" s="802">
        <f t="shared" si="6"/>
        <v>-6631.2483156175267</v>
      </c>
      <c r="AR36" s="802">
        <f t="shared" si="6"/>
        <v>-6648.3784261648116</v>
      </c>
      <c r="AS36" s="802">
        <f t="shared" si="6"/>
        <v>-6734.0289789012377</v>
      </c>
      <c r="AT36" s="802">
        <f t="shared" ca="1" si="6"/>
        <v>-6760.4965018051053</v>
      </c>
      <c r="AU36" s="802">
        <f t="shared" ca="1" si="6"/>
        <v>-12636.862546594808</v>
      </c>
    </row>
    <row r="37" spans="1:48">
      <c r="A37" s="15" t="s">
        <v>202</v>
      </c>
      <c r="B37" s="492"/>
      <c r="C37" s="3"/>
      <c r="D37" s="805">
        <f>D23</f>
        <v>0</v>
      </c>
      <c r="E37" s="805">
        <f t="shared" ref="E37:AU37" ca="1" si="7">E23</f>
        <v>344.24700450116683</v>
      </c>
      <c r="F37" s="805">
        <f t="shared" si="7"/>
        <v>0</v>
      </c>
      <c r="G37" s="805">
        <f t="shared" ca="1" si="7"/>
        <v>3525.6206092997036</v>
      </c>
      <c r="H37" s="805">
        <f t="shared" ca="1" si="7"/>
        <v>7301.6530015163216</v>
      </c>
      <c r="I37" s="805">
        <f t="shared" si="7"/>
        <v>11580.429139672378</v>
      </c>
      <c r="J37" s="805">
        <f t="shared" si="7"/>
        <v>11193.973979086342</v>
      </c>
      <c r="K37" s="805">
        <f t="shared" si="7"/>
        <v>9261.6981761561638</v>
      </c>
      <c r="L37" s="805">
        <f t="shared" si="7"/>
        <v>7749.4521426428873</v>
      </c>
      <c r="M37" s="805">
        <f t="shared" si="7"/>
        <v>188.22197507650233</v>
      </c>
      <c r="N37" s="805">
        <f t="shared" ca="1" si="7"/>
        <v>-1060.9220001796884</v>
      </c>
      <c r="O37" s="805">
        <f t="shared" ca="1" si="7"/>
        <v>-7306.6418764606424</v>
      </c>
      <c r="P37" s="805">
        <f t="shared" ca="1" si="7"/>
        <v>-7731.4248912798303</v>
      </c>
      <c r="Q37" s="805">
        <f t="shared" ca="1" si="7"/>
        <v>-9855.3399653757697</v>
      </c>
      <c r="R37" s="805">
        <f t="shared" ca="1" si="7"/>
        <v>-10059.276303024913</v>
      </c>
      <c r="S37" s="805">
        <f t="shared" ca="1" si="7"/>
        <v>-11078.957991270632</v>
      </c>
      <c r="T37" s="805">
        <f t="shared" ca="1" si="7"/>
        <v>-11195.19031659018</v>
      </c>
      <c r="U37" s="805">
        <f t="shared" ca="1" si="7"/>
        <v>-11776.351943187925</v>
      </c>
      <c r="V37" s="805">
        <f t="shared" ca="1" si="7"/>
        <v>-11930.710856756086</v>
      </c>
      <c r="W37" s="805">
        <f t="shared" ca="1" si="7"/>
        <v>-12702.505424596897</v>
      </c>
      <c r="X37" s="805">
        <f t="shared" ca="1" si="7"/>
        <v>-12944.967384568237</v>
      </c>
      <c r="Y37" s="805">
        <f t="shared" ca="1" si="7"/>
        <v>-14157.277184424935</v>
      </c>
      <c r="Z37" s="805">
        <f t="shared" ca="1" si="7"/>
        <v>-14286.234008316642</v>
      </c>
      <c r="AA37" s="805">
        <f t="shared" ca="1" si="7"/>
        <v>-14931.018127775173</v>
      </c>
      <c r="AB37" s="805">
        <f t="shared" ca="1" si="7"/>
        <v>-15157.817235649574</v>
      </c>
      <c r="AC37" s="805">
        <f t="shared" ca="1" si="7"/>
        <v>-16291.812775021572</v>
      </c>
      <c r="AD37" s="805">
        <f t="shared" ca="1" si="7"/>
        <v>-16462.49197404215</v>
      </c>
      <c r="AE37" s="805">
        <f t="shared" ca="1" si="7"/>
        <v>-17315.887969145027</v>
      </c>
      <c r="AF37" s="805">
        <f t="shared" ca="1" si="7"/>
        <v>-17467.421239878175</v>
      </c>
      <c r="AG37" s="805">
        <f t="shared" ca="1" si="7"/>
        <v>-18225.0875935439</v>
      </c>
      <c r="AH37" s="805">
        <f t="shared" ca="1" si="7"/>
        <v>-18399.748645682281</v>
      </c>
      <c r="AI37" s="805">
        <f t="shared" ca="1" si="7"/>
        <v>-19273.053906374182</v>
      </c>
      <c r="AJ37" s="805">
        <f t="shared" ca="1" si="7"/>
        <v>-20857.178827738149</v>
      </c>
      <c r="AK37" s="805">
        <f t="shared" ca="1" si="7"/>
        <v>-28777.803434557994</v>
      </c>
      <c r="AL37" s="805">
        <f t="shared" ca="1" si="7"/>
        <v>-29569.892665028121</v>
      </c>
      <c r="AM37" s="805">
        <f t="shared" ca="1" si="7"/>
        <v>-33530.338817378753</v>
      </c>
      <c r="AN37" s="805">
        <f t="shared" ca="1" si="7"/>
        <v>-33723.46816668746</v>
      </c>
      <c r="AO37" s="805">
        <f t="shared" si="7"/>
        <v>-34689.114913231002</v>
      </c>
      <c r="AP37" s="805">
        <f t="shared" si="7"/>
        <v>-34862.696037556096</v>
      </c>
      <c r="AQ37" s="805">
        <f t="shared" si="7"/>
        <v>-35730.60165918155</v>
      </c>
      <c r="AR37" s="805">
        <f t="shared" si="7"/>
        <v>-35822.902403658467</v>
      </c>
      <c r="AS37" s="805">
        <f t="shared" si="7"/>
        <v>-36284.406126043054</v>
      </c>
      <c r="AT37" s="805">
        <f t="shared" ca="1" si="7"/>
        <v>-36427.018869944695</v>
      </c>
      <c r="AU37" s="805">
        <f t="shared" ca="1" si="7"/>
        <v>-68090.151413996966</v>
      </c>
    </row>
    <row r="38" spans="1:48">
      <c r="A38" s="15"/>
      <c r="B38" s="492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</row>
    <row r="39" spans="1:48">
      <c r="A39" s="14" t="s">
        <v>197</v>
      </c>
      <c r="B39" s="492"/>
      <c r="C39" s="3"/>
      <c r="D39" s="801">
        <f>D25</f>
        <v>0</v>
      </c>
      <c r="E39" s="801">
        <f t="shared" ref="E39:AU39" ca="1" si="8">E25</f>
        <v>344.24700450116683</v>
      </c>
      <c r="F39" s="801">
        <f t="shared" si="8"/>
        <v>0</v>
      </c>
      <c r="G39" s="801">
        <f t="shared" ca="1" si="8"/>
        <v>9927.3152708233265</v>
      </c>
      <c r="H39" s="801">
        <f t="shared" ca="1" si="8"/>
        <v>21263.22559935649</v>
      </c>
      <c r="I39" s="801">
        <f t="shared" si="8"/>
        <v>24487.401755307641</v>
      </c>
      <c r="J39" s="801">
        <f t="shared" si="8"/>
        <v>24810.367558940463</v>
      </c>
      <c r="K39" s="801">
        <f t="shared" si="8"/>
        <v>23176.933477759056</v>
      </c>
      <c r="L39" s="801">
        <f t="shared" si="8"/>
        <v>11993.492476964002</v>
      </c>
      <c r="M39" s="801">
        <f t="shared" si="8"/>
        <v>27160.696992281173</v>
      </c>
      <c r="N39" s="801">
        <f t="shared" ca="1" si="8"/>
        <v>40483.801781453556</v>
      </c>
      <c r="O39" s="801">
        <f t="shared" ca="1" si="8"/>
        <v>43844.077179174943</v>
      </c>
      <c r="P39" s="801">
        <f t="shared" ca="1" si="8"/>
        <v>44193.770753132332</v>
      </c>
      <c r="Q39" s="801">
        <f t="shared" ca="1" si="8"/>
        <v>44144.241639585831</v>
      </c>
      <c r="R39" s="801">
        <f t="shared" ca="1" si="8"/>
        <v>43056.630809305112</v>
      </c>
      <c r="S39" s="801">
        <f t="shared" ca="1" si="8"/>
        <v>42832.13315790143</v>
      </c>
      <c r="T39" s="801">
        <f t="shared" ca="1" si="8"/>
        <v>41078.370446487963</v>
      </c>
      <c r="U39" s="801">
        <f t="shared" ca="1" si="8"/>
        <v>41730.97513942064</v>
      </c>
      <c r="V39" s="801">
        <f t="shared" ca="1" si="8"/>
        <v>40377.500437339848</v>
      </c>
      <c r="W39" s="801">
        <f t="shared" ca="1" si="8"/>
        <v>41204.528926935913</v>
      </c>
      <c r="X39" s="801">
        <f t="shared" ca="1" si="8"/>
        <v>37442.800975927064</v>
      </c>
      <c r="Y39" s="801">
        <f t="shared" ca="1" si="8"/>
        <v>42802.469313306778</v>
      </c>
      <c r="Z39" s="801">
        <f t="shared" ca="1" si="8"/>
        <v>43964.732747445771</v>
      </c>
      <c r="AA39" s="801">
        <f t="shared" ca="1" si="8"/>
        <v>48072.571231744703</v>
      </c>
      <c r="AB39" s="801">
        <f t="shared" ca="1" si="8"/>
        <v>47236.832328430304</v>
      </c>
      <c r="AC39" s="801">
        <f t="shared" ca="1" si="8"/>
        <v>48819.660065954362</v>
      </c>
      <c r="AD39" s="801">
        <f t="shared" ca="1" si="8"/>
        <v>47900.029171311311</v>
      </c>
      <c r="AE39" s="801">
        <f t="shared" ca="1" si="8"/>
        <v>48795.958314492236</v>
      </c>
      <c r="AF39" s="801">
        <f t="shared" ca="1" si="8"/>
        <v>48444.649842396815</v>
      </c>
      <c r="AG39" s="801">
        <f t="shared" ca="1" si="8"/>
        <v>49204.739966884619</v>
      </c>
      <c r="AH39" s="801">
        <f t="shared" ca="1" si="8"/>
        <v>48785.026648695646</v>
      </c>
      <c r="AI39" s="801">
        <f t="shared" ca="1" si="8"/>
        <v>49610.539947790952</v>
      </c>
      <c r="AJ39" s="801">
        <f t="shared" ca="1" si="8"/>
        <v>47040.320247449577</v>
      </c>
      <c r="AK39" s="801">
        <f t="shared" ca="1" si="8"/>
        <v>39735.828487273779</v>
      </c>
      <c r="AL39" s="801">
        <f t="shared" ca="1" si="8"/>
        <v>39761.894550113473</v>
      </c>
      <c r="AM39" s="801">
        <f t="shared" ca="1" si="8"/>
        <v>37177.399567408589</v>
      </c>
      <c r="AN39" s="801">
        <f t="shared" ca="1" si="8"/>
        <v>39000.99013286105</v>
      </c>
      <c r="AO39" s="801">
        <f t="shared" si="8"/>
        <v>39923.14448048261</v>
      </c>
      <c r="AP39" s="801">
        <f t="shared" si="8"/>
        <v>44040.438363619847</v>
      </c>
      <c r="AQ39" s="801">
        <f t="shared" si="8"/>
        <v>44814.841510753417</v>
      </c>
      <c r="AR39" s="801">
        <f t="shared" si="8"/>
        <v>48849.356534037688</v>
      </c>
      <c r="AS39" s="801">
        <f t="shared" si="8"/>
        <v>48971.096858055738</v>
      </c>
      <c r="AT39" s="801">
        <f t="shared" ca="1" si="8"/>
        <v>68594.949720673147</v>
      </c>
      <c r="AU39" s="801">
        <f t="shared" ca="1" si="8"/>
        <v>126453.13834028001</v>
      </c>
    </row>
    <row r="40" spans="1:48">
      <c r="A40" s="492"/>
      <c r="B40" s="492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</row>
    <row r="41" spans="1:48">
      <c r="A41" s="492"/>
      <c r="B41" s="492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</row>
    <row r="42" spans="1:48">
      <c r="A42" s="84" t="s">
        <v>203</v>
      </c>
      <c r="B42" s="84"/>
      <c r="C42" s="84"/>
      <c r="AS42" s="7"/>
      <c r="AT42" s="7"/>
      <c r="AU42" s="7"/>
      <c r="AV42" s="761"/>
    </row>
    <row r="43" spans="1:48">
      <c r="A43" s="447" t="s">
        <v>204</v>
      </c>
      <c r="B43" s="448">
        <f>Assumptions!B13</f>
        <v>0.5</v>
      </c>
      <c r="C43" s="74">
        <v>0</v>
      </c>
      <c r="D43" s="235">
        <f>D25*$B$43</f>
        <v>0</v>
      </c>
      <c r="E43" s="235">
        <f ca="1">E25*$B$43</f>
        <v>172.12350225058341</v>
      </c>
      <c r="F43" s="74">
        <f ca="1">$D$75*H8</f>
        <v>0</v>
      </c>
      <c r="G43" s="235">
        <f ca="1">G25*$B$43</f>
        <v>4963.6576354116633</v>
      </c>
      <c r="H43" s="235">
        <f t="shared" ref="H43:AS43" ca="1" si="9">H25*$B$43</f>
        <v>10631.612799678245</v>
      </c>
      <c r="I43" s="235">
        <f t="shared" si="9"/>
        <v>12243.70087765382</v>
      </c>
      <c r="J43" s="235">
        <f>J25*$B$43</f>
        <v>12405.183779470231</v>
      </c>
      <c r="K43" s="235">
        <f t="shared" si="9"/>
        <v>11588.466738879528</v>
      </c>
      <c r="L43" s="235">
        <f t="shared" si="9"/>
        <v>5996.746238482001</v>
      </c>
      <c r="M43" s="235">
        <f t="shared" si="9"/>
        <v>13580.348496140587</v>
      </c>
      <c r="N43" s="235">
        <f t="shared" ca="1" si="9"/>
        <v>20241.900890726778</v>
      </c>
      <c r="O43" s="235">
        <f t="shared" ca="1" si="9"/>
        <v>21922.038589587472</v>
      </c>
      <c r="P43" s="235">
        <f t="shared" ca="1" si="9"/>
        <v>22096.885376566166</v>
      </c>
      <c r="Q43" s="235">
        <f t="shared" ca="1" si="9"/>
        <v>22072.120819792915</v>
      </c>
      <c r="R43" s="235">
        <f t="shared" ca="1" si="9"/>
        <v>21528.315404652556</v>
      </c>
      <c r="S43" s="235">
        <f t="shared" ca="1" si="9"/>
        <v>21416.066578950715</v>
      </c>
      <c r="T43" s="235">
        <f t="shared" ca="1" si="9"/>
        <v>20539.185223243981</v>
      </c>
      <c r="U43" s="235">
        <f t="shared" ca="1" si="9"/>
        <v>20865.48756971032</v>
      </c>
      <c r="V43" s="235">
        <f t="shared" ca="1" si="9"/>
        <v>20188.750218669924</v>
      </c>
      <c r="W43" s="235">
        <f t="shared" ca="1" si="9"/>
        <v>20602.264463467956</v>
      </c>
      <c r="X43" s="235">
        <f t="shared" ca="1" si="9"/>
        <v>18721.400487963532</v>
      </c>
      <c r="Y43" s="235">
        <f t="shared" ca="1" si="9"/>
        <v>21401.234656653389</v>
      </c>
      <c r="Z43" s="235">
        <f t="shared" ca="1" si="9"/>
        <v>21982.366373722885</v>
      </c>
      <c r="AA43" s="235">
        <f t="shared" ca="1" si="9"/>
        <v>24036.285615872352</v>
      </c>
      <c r="AB43" s="235">
        <f t="shared" ca="1" si="9"/>
        <v>23618.416164215152</v>
      </c>
      <c r="AC43" s="235">
        <f t="shared" ca="1" si="9"/>
        <v>24409.830032977181</v>
      </c>
      <c r="AD43" s="235">
        <f t="shared" ca="1" si="9"/>
        <v>23950.014585655656</v>
      </c>
      <c r="AE43" s="235">
        <f t="shared" ca="1" si="9"/>
        <v>24397.979157246118</v>
      </c>
      <c r="AF43" s="235">
        <f t="shared" ca="1" si="9"/>
        <v>24222.324921198408</v>
      </c>
      <c r="AG43" s="235">
        <f t="shared" ca="1" si="9"/>
        <v>24602.36998344231</v>
      </c>
      <c r="AH43" s="235">
        <f t="shared" ca="1" si="9"/>
        <v>24392.513324347823</v>
      </c>
      <c r="AI43" s="235">
        <f t="shared" ca="1" si="9"/>
        <v>24805.269973895476</v>
      </c>
      <c r="AJ43" s="235">
        <f t="shared" ca="1" si="9"/>
        <v>23520.160123724789</v>
      </c>
      <c r="AK43" s="235">
        <f t="shared" ca="1" si="9"/>
        <v>19867.914243636889</v>
      </c>
      <c r="AL43" s="235">
        <f t="shared" ca="1" si="9"/>
        <v>19880.947275056737</v>
      </c>
      <c r="AM43" s="235">
        <f t="shared" ca="1" si="9"/>
        <v>18588.699783704295</v>
      </c>
      <c r="AN43" s="235">
        <f t="shared" ca="1" si="9"/>
        <v>19500.495066430525</v>
      </c>
      <c r="AO43" s="235">
        <f t="shared" si="9"/>
        <v>19961.572240241305</v>
      </c>
      <c r="AP43" s="235">
        <f t="shared" si="9"/>
        <v>22020.219181809924</v>
      </c>
      <c r="AQ43" s="235">
        <f t="shared" si="9"/>
        <v>22407.420755376708</v>
      </c>
      <c r="AR43" s="235">
        <f t="shared" si="9"/>
        <v>24424.678267018844</v>
      </c>
      <c r="AS43" s="253">
        <f t="shared" si="9"/>
        <v>24485.548429027869</v>
      </c>
      <c r="AT43" s="253">
        <f ca="1">AT25*$B$43</f>
        <v>34297.474860336573</v>
      </c>
      <c r="AU43" s="253">
        <f ca="1">AU25*$B$43</f>
        <v>63226.569170140006</v>
      </c>
      <c r="AV43" s="761">
        <f ca="1">SUM(D43:AU43)</f>
        <v>875776.55987703009</v>
      </c>
    </row>
    <row r="44" spans="1:48">
      <c r="A44" s="157" t="s">
        <v>205</v>
      </c>
      <c r="C44" s="74">
        <v>0</v>
      </c>
      <c r="D44" s="39">
        <f>-0.5*B75</f>
        <v>-133750</v>
      </c>
      <c r="E44" s="74">
        <f>C44</f>
        <v>0</v>
      </c>
      <c r="F44" s="39">
        <f>D44</f>
        <v>-133750</v>
      </c>
      <c r="AS44" s="7"/>
      <c r="AT44" s="7"/>
      <c r="AU44" s="7"/>
    </row>
    <row r="45" spans="1:48">
      <c r="A45" s="157" t="s">
        <v>206</v>
      </c>
      <c r="C45" s="74">
        <v>0</v>
      </c>
      <c r="D45" s="39">
        <f>D44+D43</f>
        <v>-133750</v>
      </c>
      <c r="E45" s="31">
        <f ca="1">E44+E43</f>
        <v>172.12350225058341</v>
      </c>
      <c r="F45" s="39">
        <f ca="1">F44+F43</f>
        <v>-133750</v>
      </c>
      <c r="G45" s="235">
        <f ca="1">G44+G43</f>
        <v>4963.6576354116633</v>
      </c>
      <c r="H45" s="235">
        <f t="shared" ref="H45:AS45" ca="1" si="10">H44+H43</f>
        <v>10631.612799678245</v>
      </c>
      <c r="I45" s="235">
        <f t="shared" si="10"/>
        <v>12243.70087765382</v>
      </c>
      <c r="J45" s="235">
        <f t="shared" si="10"/>
        <v>12405.183779470231</v>
      </c>
      <c r="K45" s="235">
        <f t="shared" si="10"/>
        <v>11588.466738879528</v>
      </c>
      <c r="L45" s="235">
        <f t="shared" si="10"/>
        <v>5996.746238482001</v>
      </c>
      <c r="M45" s="235">
        <f t="shared" si="10"/>
        <v>13580.348496140587</v>
      </c>
      <c r="N45" s="235">
        <f t="shared" ca="1" si="10"/>
        <v>20241.900890726778</v>
      </c>
      <c r="O45" s="235">
        <f t="shared" ca="1" si="10"/>
        <v>21922.038589587472</v>
      </c>
      <c r="P45" s="235">
        <f t="shared" ca="1" si="10"/>
        <v>22096.885376566166</v>
      </c>
      <c r="Q45" s="235">
        <f t="shared" ca="1" si="10"/>
        <v>22072.120819792915</v>
      </c>
      <c r="R45" s="235">
        <f t="shared" ca="1" si="10"/>
        <v>21528.315404652556</v>
      </c>
      <c r="S45" s="235">
        <f t="shared" ca="1" si="10"/>
        <v>21416.066578950715</v>
      </c>
      <c r="T45" s="235">
        <f t="shared" ca="1" si="10"/>
        <v>20539.185223243981</v>
      </c>
      <c r="U45" s="235">
        <f t="shared" ca="1" si="10"/>
        <v>20865.48756971032</v>
      </c>
      <c r="V45" s="235">
        <f t="shared" ca="1" si="10"/>
        <v>20188.750218669924</v>
      </c>
      <c r="W45" s="235">
        <f t="shared" ca="1" si="10"/>
        <v>20602.264463467956</v>
      </c>
      <c r="X45" s="235">
        <f t="shared" ca="1" si="10"/>
        <v>18721.400487963532</v>
      </c>
      <c r="Y45" s="235">
        <f t="shared" ca="1" si="10"/>
        <v>21401.234656653389</v>
      </c>
      <c r="Z45" s="235">
        <f t="shared" ca="1" si="10"/>
        <v>21982.366373722885</v>
      </c>
      <c r="AA45" s="235">
        <f t="shared" ca="1" si="10"/>
        <v>24036.285615872352</v>
      </c>
      <c r="AB45" s="235">
        <f t="shared" ca="1" si="10"/>
        <v>23618.416164215152</v>
      </c>
      <c r="AC45" s="235">
        <f t="shared" ca="1" si="10"/>
        <v>24409.830032977181</v>
      </c>
      <c r="AD45" s="235">
        <f t="shared" ca="1" si="10"/>
        <v>23950.014585655656</v>
      </c>
      <c r="AE45" s="235">
        <f t="shared" ca="1" si="10"/>
        <v>24397.979157246118</v>
      </c>
      <c r="AF45" s="235">
        <f t="shared" ca="1" si="10"/>
        <v>24222.324921198408</v>
      </c>
      <c r="AG45" s="235">
        <f t="shared" ca="1" si="10"/>
        <v>24602.36998344231</v>
      </c>
      <c r="AH45" s="235">
        <f t="shared" ca="1" si="10"/>
        <v>24392.513324347823</v>
      </c>
      <c r="AI45" s="235">
        <f t="shared" ca="1" si="10"/>
        <v>24805.269973895476</v>
      </c>
      <c r="AJ45" s="235">
        <f t="shared" ca="1" si="10"/>
        <v>23520.160123724789</v>
      </c>
      <c r="AK45" s="235">
        <f t="shared" ca="1" si="10"/>
        <v>19867.914243636889</v>
      </c>
      <c r="AL45" s="235">
        <f t="shared" ca="1" si="10"/>
        <v>19880.947275056737</v>
      </c>
      <c r="AM45" s="235">
        <f t="shared" ca="1" si="10"/>
        <v>18588.699783704295</v>
      </c>
      <c r="AN45" s="235">
        <f t="shared" ca="1" si="10"/>
        <v>19500.495066430525</v>
      </c>
      <c r="AO45" s="235">
        <f t="shared" si="10"/>
        <v>19961.572240241305</v>
      </c>
      <c r="AP45" s="235">
        <f t="shared" si="10"/>
        <v>22020.219181809924</v>
      </c>
      <c r="AQ45" s="235">
        <f t="shared" si="10"/>
        <v>22407.420755376708</v>
      </c>
      <c r="AR45" s="235">
        <f t="shared" si="10"/>
        <v>24424.678267018844</v>
      </c>
      <c r="AS45" s="253">
        <f t="shared" si="10"/>
        <v>24485.548429027869</v>
      </c>
      <c r="AT45" s="253">
        <f ca="1">AT44+AT43</f>
        <v>34297.474860336573</v>
      </c>
      <c r="AU45" s="253">
        <f ca="1">AU44+AU43</f>
        <v>63226.569170140006</v>
      </c>
    </row>
    <row r="46" spans="1:48">
      <c r="A46" s="157"/>
      <c r="C46" s="60"/>
      <c r="D46" s="39"/>
      <c r="E46" s="236"/>
      <c r="F46" s="236"/>
      <c r="AS46" s="7"/>
      <c r="AT46" s="7"/>
      <c r="AU46" s="7"/>
    </row>
    <row r="47" spans="1:48">
      <c r="A47" s="79" t="s">
        <v>207</v>
      </c>
      <c r="B47" s="79"/>
      <c r="C47" s="79"/>
      <c r="D47" s="733">
        <f ca="1">D62</f>
        <v>0.12490847350272052</v>
      </c>
      <c r="AS47" s="7"/>
      <c r="AT47" s="7"/>
      <c r="AU47" s="7"/>
    </row>
    <row r="48" spans="1:48">
      <c r="AS48" s="7"/>
      <c r="AT48" s="7"/>
      <c r="AU48" s="7"/>
    </row>
    <row r="49" spans="1:47">
      <c r="AS49" s="7"/>
      <c r="AT49" s="7"/>
      <c r="AU49" s="7"/>
    </row>
    <row r="50" spans="1:47">
      <c r="A50" s="535" t="s">
        <v>208</v>
      </c>
      <c r="B50" s="534">
        <f>Assumptions!C8*B43</f>
        <v>267500</v>
      </c>
      <c r="E50" s="85"/>
      <c r="G50" s="85"/>
      <c r="AS50" s="7"/>
      <c r="AT50" s="7"/>
      <c r="AU50" s="7"/>
    </row>
    <row r="51" spans="1:47">
      <c r="G51" s="235"/>
      <c r="AS51" s="7"/>
      <c r="AT51" s="7"/>
      <c r="AU51" s="7"/>
    </row>
    <row r="52" spans="1:47">
      <c r="D52" s="799"/>
    </row>
    <row r="54" spans="1:47" ht="17.399999999999999">
      <c r="A54" s="292" t="s">
        <v>217</v>
      </c>
      <c r="D54"/>
      <c r="E54"/>
      <c r="F54"/>
      <c r="AB54" s="8"/>
      <c r="AC54" s="8"/>
      <c r="AD54" s="8"/>
    </row>
    <row r="55" spans="1:47" ht="17.399999999999999">
      <c r="A55" s="292"/>
      <c r="D55" s="22" t="s">
        <v>412</v>
      </c>
      <c r="AB55" s="8"/>
      <c r="AC55" s="8"/>
      <c r="AD55" s="8"/>
    </row>
    <row r="56" spans="1:47" customFormat="1">
      <c r="B56" t="s">
        <v>413</v>
      </c>
      <c r="C56" s="85">
        <f>I58-E77</f>
        <v>320</v>
      </c>
      <c r="H56" s="137" t="s">
        <v>415</v>
      </c>
    </row>
    <row r="57" spans="1:47" customFormat="1">
      <c r="B57" t="s">
        <v>414</v>
      </c>
      <c r="C57" s="85">
        <f>I58-G77</f>
        <v>138</v>
      </c>
    </row>
    <row r="58" spans="1:47" ht="13.8" thickBot="1">
      <c r="A58" s="422" t="s">
        <v>164</v>
      </c>
      <c r="B58" s="422"/>
      <c r="C58" s="2"/>
      <c r="D58" s="602">
        <v>36525</v>
      </c>
      <c r="E58" s="602"/>
      <c r="F58" s="602"/>
      <c r="G58" s="602"/>
      <c r="H58" s="602">
        <v>36525</v>
      </c>
      <c r="I58" s="602">
        <v>36891</v>
      </c>
      <c r="J58" s="602">
        <f t="shared" ref="J58:AC58" si="11">I58+365.25</f>
        <v>37256.25</v>
      </c>
      <c r="K58" s="602">
        <f t="shared" si="11"/>
        <v>37621.5</v>
      </c>
      <c r="L58" s="602">
        <f t="shared" si="11"/>
        <v>37986.75</v>
      </c>
      <c r="M58" s="602">
        <f t="shared" si="11"/>
        <v>38352</v>
      </c>
      <c r="N58" s="602">
        <f t="shared" si="11"/>
        <v>38717.25</v>
      </c>
      <c r="O58" s="602">
        <f t="shared" si="11"/>
        <v>39082.5</v>
      </c>
      <c r="P58" s="602">
        <f t="shared" si="11"/>
        <v>39447.75</v>
      </c>
      <c r="Q58" s="602">
        <f t="shared" si="11"/>
        <v>39813</v>
      </c>
      <c r="R58" s="602">
        <f t="shared" si="11"/>
        <v>40178.25</v>
      </c>
      <c r="S58" s="602">
        <f t="shared" si="11"/>
        <v>40543.5</v>
      </c>
      <c r="T58" s="602">
        <f t="shared" si="11"/>
        <v>40908.75</v>
      </c>
      <c r="U58" s="602">
        <f t="shared" si="11"/>
        <v>41274</v>
      </c>
      <c r="V58" s="602">
        <f t="shared" si="11"/>
        <v>41639.25</v>
      </c>
      <c r="W58" s="602">
        <f t="shared" si="11"/>
        <v>42004.5</v>
      </c>
      <c r="X58" s="602">
        <f t="shared" si="11"/>
        <v>42369.75</v>
      </c>
      <c r="Y58" s="602">
        <f t="shared" si="11"/>
        <v>42735</v>
      </c>
      <c r="Z58" s="602">
        <f t="shared" si="11"/>
        <v>43100.25</v>
      </c>
      <c r="AA58" s="602">
        <f t="shared" si="11"/>
        <v>43465.5</v>
      </c>
      <c r="AB58" s="602">
        <f t="shared" si="11"/>
        <v>43830.75</v>
      </c>
      <c r="AC58" s="602">
        <f t="shared" si="11"/>
        <v>44196</v>
      </c>
      <c r="AD58"/>
      <c r="AE58"/>
      <c r="AF58"/>
    </row>
    <row r="59" spans="1:47">
      <c r="S59" s="8"/>
    </row>
    <row r="60" spans="1:47">
      <c r="A60" s="22" t="s">
        <v>218</v>
      </c>
      <c r="B60" s="657">
        <f ca="1">D62</f>
        <v>0.12490847350272052</v>
      </c>
      <c r="D60" s="31">
        <f ca="1">D44+F44/((1+B60)^((F6-D6)/365))</f>
        <v>-263632.16086560773</v>
      </c>
      <c r="S60" s="8"/>
    </row>
    <row r="61" spans="1:47">
      <c r="A61" s="22" t="s">
        <v>219</v>
      </c>
      <c r="B61" s="886">
        <v>0.13231733462845141</v>
      </c>
      <c r="D61" s="31">
        <f ca="1">D60+$D$43</f>
        <v>-263632.16086560773</v>
      </c>
      <c r="E61" s="236"/>
      <c r="F61" s="236"/>
      <c r="G61" s="236"/>
      <c r="H61" s="236">
        <f ca="1">D61</f>
        <v>-263632.16086560773</v>
      </c>
      <c r="I61" s="236">
        <f ca="1">E79*((1+$B$60)^((I58-E77)/365))+G79*((1+$B$60)^((I58-G77)/365))</f>
        <v>5380.3672454914449</v>
      </c>
      <c r="J61" s="236">
        <f ca="1">H79*((1+$B$60)^($C$56/365))+I79*((1+$B$60)^($C$57/365))</f>
        <v>24588.15865388466</v>
      </c>
      <c r="K61" s="236">
        <f ca="1">J79*((1+$B$60)^($C$56/365))+K79*((1+$B$60)^($C$57/365))</f>
        <v>25869.470249808248</v>
      </c>
      <c r="L61" s="236">
        <f ca="1">L79*((1+$B$60)^($C$56/365))+M79*((1+$B$60)^($C$57/365))</f>
        <v>20846.943015646168</v>
      </c>
      <c r="M61" s="236">
        <f ca="1">N79*((1+$B$60)^($C$56/365))+O79*((1+$B$60)^($C$57/365))</f>
        <v>45361.869549155301</v>
      </c>
      <c r="N61" s="236">
        <f ca="1">P79*((1+$B$60)^($C$56/365))+Q79*((1+$B$60)^($C$57/365))</f>
        <v>47575.407547171053</v>
      </c>
      <c r="O61" s="236">
        <f ca="1">R79*((1+$B$60)^($C$56/365))+S79*((1+$B$60)^($C$57/365))</f>
        <v>46259.123940337129</v>
      </c>
      <c r="P61" s="236">
        <f ca="1">T79*((1+$B$60)^($C$56/365))+U79*((1+$B$60)^($C$57/365))</f>
        <v>44586.839112090864</v>
      </c>
      <c r="Q61" s="236">
        <f ca="1">V79*((1+$B$60)^($C$56/365))+W79*((1+$B$60)^($C$57/365))</f>
        <v>43923.109591337474</v>
      </c>
      <c r="R61" s="236">
        <f ca="1">X79*((1+$B$60)^($C$56/365))+Y79*((1+$B$60)^($C$57/365))</f>
        <v>43131.583189450248</v>
      </c>
      <c r="S61" s="236">
        <f ca="1">Z79*((1+$B$60)^($C$56/365))+AA79*((1+$B$60)^($C$57/365))</f>
        <v>49501.985962904197</v>
      </c>
      <c r="T61" s="236">
        <f ca="1">AB79*((1+$B$60)^($C$56/365))+AC79*((1+$B$60)^($C$57/365))</f>
        <v>51706.421533747111</v>
      </c>
      <c r="U61" s="236">
        <f ca="1">AD79*((1+$B$60)^($C$56/365))+AE79*((1+$B$60)^($C$57/365))</f>
        <v>52061.675407569695</v>
      </c>
      <c r="V61" s="236">
        <f ca="1">AF79*((1+$B$60)^($C$56/365))+AG79*((1+$B$60)^($C$57/365))</f>
        <v>52577.278406632773</v>
      </c>
      <c r="W61" s="236">
        <f ca="1">AH79*((1+$B$60)^($C$56/365))+AI79*((1+$B$60)^($C$57/365))</f>
        <v>52978.099875326094</v>
      </c>
      <c r="X61" s="236">
        <f ca="1">AJ79*((1+$B$60)^($C$56/365))+AK79*((1+$B$60)^($C$57/365))</f>
        <v>46848.884934819696</v>
      </c>
      <c r="Y61" s="236">
        <f ca="1">AL79*((1+$B$60)^($C$56/365))+AM79*((1+$B$60)^($C$57/365))</f>
        <v>41476.653861093917</v>
      </c>
      <c r="Z61" s="236">
        <f ca="1">AN79*((1+$B$60)^($C$56/365))+AO79*((1+$B$60)^($C$57/365))</f>
        <v>42490.191793395119</v>
      </c>
      <c r="AA61" s="236">
        <f ca="1">AP79*((1+$B$60)^($C$56/365))+AQ79*((1+$B$60)^($C$57/365))</f>
        <v>47840.965606560138</v>
      </c>
      <c r="AB61" s="236">
        <f ca="1">AR79*((1+$B$60)^($C$56/365))+AS79*((1+$B$60)^($C$57/365))</f>
        <v>52679.490461498615</v>
      </c>
      <c r="AC61" s="236">
        <f ca="1">AT79*((1+$B$60)^($C$56/365))+AU79*((1+$B$60)^($C$57/365))</f>
        <v>104129.45253395777</v>
      </c>
      <c r="AD61" s="236"/>
    </row>
    <row r="62" spans="1:47">
      <c r="A62" s="22" t="s">
        <v>220</v>
      </c>
      <c r="B62" s="887">
        <v>535000</v>
      </c>
      <c r="D62" s="273">
        <f ca="1">IRR(H61:AC61)</f>
        <v>0.12490847350272052</v>
      </c>
      <c r="S62" s="8"/>
    </row>
    <row r="63" spans="1:47"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8"/>
    </row>
    <row r="64" spans="1:47">
      <c r="A64" s="22" t="s">
        <v>218</v>
      </c>
      <c r="B64" s="657">
        <f ca="1">D66</f>
        <v>0.14410205445738961</v>
      </c>
      <c r="D64" s="31">
        <f ca="1">D44+F44/((1+B64)^((F6-D6)/365))</f>
        <v>-263085.46942185774</v>
      </c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8"/>
    </row>
    <row r="65" spans="1:47">
      <c r="A65" s="22" t="s">
        <v>209</v>
      </c>
      <c r="D65" s="31">
        <f ca="1">D64+$D$43</f>
        <v>-263085.46942185774</v>
      </c>
      <c r="E65" s="236"/>
      <c r="F65" s="236"/>
      <c r="G65" s="236"/>
      <c r="H65" s="236">
        <f ca="1">D65</f>
        <v>-263085.46942185774</v>
      </c>
      <c r="I65" s="236">
        <f ca="1">E79*((1+$B$64)^((I58-E77)/365))+G79*((1+$B$64)^((I58-G77)/365))</f>
        <v>5416.520426234687</v>
      </c>
      <c r="J65" s="236">
        <f ca="1">H79*((1+$B$64)^($C$56/365))+I79*((1+$B$64)^($C$57/365))</f>
        <v>24846.441698829509</v>
      </c>
      <c r="K65" s="236">
        <f ca="1">J79*((1+$B$64)^($C$56/365))+K79*((1+$B$64)^($C$57/365))</f>
        <v>26152.74091318106</v>
      </c>
      <c r="L65" s="236">
        <f ca="1">L79*((1+$B$64)^($C$56/365))+M79*((1+$B$64)^($C$57/365))</f>
        <v>21037.405589860249</v>
      </c>
      <c r="M65" s="236">
        <f ca="1">N79*((1+$B$64)^($C$56/365))+O79*((1+$B$64)^($C$57/365))</f>
        <v>45844.303645672866</v>
      </c>
      <c r="N65" s="236">
        <f ca="1">P79*((1+$B$64)^($C$56/365))+Q79*((1+$B$64)^($C$57/365))</f>
        <v>48089.581003741165</v>
      </c>
      <c r="O65" s="236">
        <f ca="1">R79*((1+$B$64)^($C$56/365))+S79*((1+$B$64)^($C$57/365))</f>
        <v>46759.47610255162</v>
      </c>
      <c r="P65" s="236">
        <f ca="1">T79*((1+$B$64)^($C$56/365))+U79*((1+$B$64)^($C$57/365))</f>
        <v>45067.109991081154</v>
      </c>
      <c r="Q65" s="236">
        <f ca="1">V79*((1+$B$64)^($C$56/365))+W79*((1+$B$64)^($C$57/365))</f>
        <v>44395.808657638001</v>
      </c>
      <c r="R65" s="236">
        <f ca="1">X79*((1+$B$64)^($C$56/365))+Y79*((1+$B$64)^($C$57/365))</f>
        <v>43585.332291833212</v>
      </c>
      <c r="S65" s="236">
        <f ca="1">Z79*((1+$B$64)^($C$56/365))+AA79*((1+$B$64)^($C$57/365))</f>
        <v>50027.439844991539</v>
      </c>
      <c r="T65" s="236">
        <f ca="1">AB79*((1+$B$64)^($C$56/365))+AC79*((1+$B$64)^($C$57/365))</f>
        <v>52261.486799614861</v>
      </c>
      <c r="U65" s="236">
        <f ca="1">AD79*((1+$B$64)^($C$56/365))+AE79*((1+$B$64)^($C$57/365))</f>
        <v>52622.154920579807</v>
      </c>
      <c r="V65" s="236">
        <f ca="1">AF79*((1+$B$64)^($C$56/365))+AG79*((1+$B$64)^($C$57/365))</f>
        <v>53143.640692326466</v>
      </c>
      <c r="W65" s="236">
        <f ca="1">AH79*((1+$B$64)^($C$56/365))+AI79*((1+$B$64)^($C$57/365))</f>
        <v>53548.643026884092</v>
      </c>
      <c r="X65" s="236">
        <f ca="1">AJ79*((1+$B$64)^($C$56/365))+AK79*((1+$B$64)^($C$57/365))</f>
        <v>47371.850314279945</v>
      </c>
      <c r="Y65" s="236">
        <f ca="1">AL79*((1+$B$64)^($C$56/365))+AM79*((1+$B$64)^($C$57/365))</f>
        <v>41930.74425748676</v>
      </c>
      <c r="Z65" s="236">
        <f ca="1">AN79*((1+$B$64)^($C$56/365))+AO79*((1+$B$64)^($C$57/365))</f>
        <v>42947.189746451062</v>
      </c>
      <c r="AA65" s="236">
        <f ca="1">AP79*((1+$B$64)^($C$56/365))+AQ79*((1+$B$64)^($C$57/365))</f>
        <v>48356.11844691851</v>
      </c>
      <c r="AB65" s="236">
        <f ca="1">AR79*((1+$B$64)^($C$56/365))+AS79*((1+$B$64)^($C$57/365))</f>
        <v>53248.421471466005</v>
      </c>
      <c r="AC65" s="236">
        <f ca="1">AT79*((1+$B$64)^($C$56/365))+AU79*((1+$B$64)^($C$57/365))+5*IS!Y38*$B$43</f>
        <v>670158.64627416153</v>
      </c>
      <c r="AD65" s="236"/>
    </row>
    <row r="66" spans="1:47">
      <c r="A66" s="22" t="s">
        <v>220</v>
      </c>
      <c r="D66" s="273">
        <f ca="1">IRR(H65:AC65)</f>
        <v>0.14410205445738961</v>
      </c>
    </row>
    <row r="68" spans="1:47">
      <c r="A68" s="22" t="s">
        <v>218</v>
      </c>
      <c r="B68" s="657">
        <f ca="1">D70</f>
        <v>0.13667418477318824</v>
      </c>
      <c r="D68" s="31">
        <f ca="1">D44+F44/((1+B68)^((F6-D6)/365))</f>
        <v>-263295.66906460753</v>
      </c>
    </row>
    <row r="69" spans="1:47">
      <c r="A69" s="22" t="s">
        <v>214</v>
      </c>
      <c r="D69" s="31">
        <f ca="1">D68+$D$43</f>
        <v>-263295.66906460753</v>
      </c>
      <c r="E69" s="236"/>
      <c r="F69" s="236"/>
      <c r="G69" s="236"/>
      <c r="H69" s="236">
        <f ca="1">D69</f>
        <v>-263295.66906460753</v>
      </c>
      <c r="I69" s="236">
        <f ca="1">E79*((1+$B$68)^((I58-E77)/365))+G79*((1+$B$68)^((I58-G77)/365))</f>
        <v>5402.571455979235</v>
      </c>
      <c r="J69" s="236">
        <f ca="1">H79*((1+$B$68)^($C$56/365))+I79*((1+$B$68)^($C$57/365))</f>
        <v>24746.632741640686</v>
      </c>
      <c r="K69" s="236">
        <f ca="1">J79*((1+$B$68)^($C$56/365))+K79*((1+$B$68)^($C$57/365))</f>
        <v>26043.263591566934</v>
      </c>
      <c r="L69" s="236">
        <f ca="1">L79*((1+$B$68)^($C$56/365))+M79*((1+$B$68)^($C$57/365))</f>
        <v>20963.835187773107</v>
      </c>
      <c r="M69" s="236">
        <f ca="1">N79*((1+$B$68)^($C$56/365))+O79*((1+$B$68)^($C$57/365))</f>
        <v>45657.869089208114</v>
      </c>
      <c r="N69" s="236">
        <f ca="1">P79*((1+$B$68)^($C$56/365))+Q79*((1+$B$68)^($C$57/365))</f>
        <v>47890.872244653103</v>
      </c>
      <c r="O69" s="236">
        <f ca="1">R79*((1+$B$68)^($C$56/365))+S79*((1+$B$68)^($C$57/365))</f>
        <v>46566.108334683231</v>
      </c>
      <c r="P69" s="236">
        <f ca="1">T79*((1+$B$68)^($C$56/365))+U79*((1+$B$68)^($C$57/365))</f>
        <v>44881.504974707168</v>
      </c>
      <c r="Q69" s="236">
        <f ca="1">V79*((1+$B$68)^($C$56/365))+W79*((1+$B$68)^($C$57/365))</f>
        <v>44213.130277442397</v>
      </c>
      <c r="R69" s="236">
        <f ca="1">X79*((1+$B$68)^($C$56/365))+Y79*((1+$B$68)^($C$57/365))</f>
        <v>43409.988174856247</v>
      </c>
      <c r="S69" s="236">
        <f ca="1">Z79*((1+$B$68)^($C$56/365))+AA79*((1+$B$68)^($C$57/365))</f>
        <v>49824.381548628262</v>
      </c>
      <c r="T69" s="236">
        <f ca="1">AB79*((1+$B$68)^($C$56/365))+AC79*((1+$B$68)^($C$57/365))</f>
        <v>52046.978794730509</v>
      </c>
      <c r="U69" s="236">
        <f ca="1">AD79*((1+$B$68)^($C$56/365))+AE79*((1+$B$68)^($C$57/365))</f>
        <v>52405.552874172281</v>
      </c>
      <c r="V69" s="236">
        <f ca="1">AF79*((1+$B$68)^($C$56/365))+AG79*((1+$B$68)^($C$57/365))</f>
        <v>52924.764852057124</v>
      </c>
      <c r="W69" s="236">
        <f ca="1">AH79*((1+$B$68)^($C$56/365))+AI79*((1+$B$68)^($C$57/365))</f>
        <v>53328.151595837408</v>
      </c>
      <c r="X69" s="236">
        <f ca="1">AJ79*((1+$B$68)^($C$56/365))+AK79*((1+$B$68)^($C$57/365))</f>
        <v>47169.726494730006</v>
      </c>
      <c r="Y69" s="236">
        <f ca="1">AL79*((1+$B$68)^($C$56/365))+AM79*((1+$B$68)^($C$57/365))</f>
        <v>41755.249284483347</v>
      </c>
      <c r="Z69" s="236">
        <f ca="1">AN79*((1+$B$68)^($C$56/365))+AO79*((1+$B$68)^($C$57/365))</f>
        <v>42770.579481130066</v>
      </c>
      <c r="AA69" s="236">
        <f ca="1">AP79*((1+$B$68)^($C$56/365))+AQ79*((1+$B$68)^($C$57/365))</f>
        <v>48157.033159265775</v>
      </c>
      <c r="AB69" s="236">
        <f ca="1">AR79*((1+$B$68)^($C$56/365))+AS79*((1+$B$68)^($C$57/365))</f>
        <v>53028.551392760754</v>
      </c>
      <c r="AC69" s="236">
        <f ca="1">AT79*((1+$B$68)^($C$56/365))+AU79*((1+$B$68)^($C$57/365))+0.5*Assumptions!$C$11*$B$43</f>
        <v>419238.47449876188</v>
      </c>
      <c r="AD69" s="236"/>
    </row>
    <row r="70" spans="1:47">
      <c r="A70" s="22" t="s">
        <v>220</v>
      </c>
      <c r="D70" s="273">
        <f ca="1">IRR(H69:AC69)</f>
        <v>0.13667418477318824</v>
      </c>
      <c r="AB70" s="8"/>
      <c r="AC70" s="8"/>
      <c r="AD70" s="8"/>
    </row>
    <row r="74" spans="1:47">
      <c r="A74" s="21" t="s">
        <v>417</v>
      </c>
    </row>
    <row r="75" spans="1:47">
      <c r="A75" s="535" t="s">
        <v>208</v>
      </c>
      <c r="B75" s="534">
        <f>Assumptions!C8*$B$43</f>
        <v>267500</v>
      </c>
      <c r="AS75" s="7"/>
      <c r="AT75" s="7"/>
      <c r="AU75" s="7"/>
    </row>
    <row r="76" spans="1:47">
      <c r="AS76" s="7"/>
      <c r="AT76" s="7"/>
      <c r="AU76" s="7"/>
    </row>
    <row r="77" spans="1:47">
      <c r="D77" s="726">
        <v>36525</v>
      </c>
      <c r="E77" s="726">
        <v>36571</v>
      </c>
      <c r="F77" s="726">
        <v>36616</v>
      </c>
      <c r="G77" s="726">
        <f t="shared" ref="G77:AU77" si="12">G6</f>
        <v>36753</v>
      </c>
      <c r="H77" s="726">
        <f t="shared" si="12"/>
        <v>36937</v>
      </c>
      <c r="I77" s="726">
        <f t="shared" si="12"/>
        <v>37118</v>
      </c>
      <c r="J77" s="726">
        <f t="shared" si="12"/>
        <v>37302</v>
      </c>
      <c r="K77" s="726">
        <f t="shared" si="12"/>
        <v>37483</v>
      </c>
      <c r="L77" s="726">
        <f t="shared" si="12"/>
        <v>37667</v>
      </c>
      <c r="M77" s="726">
        <f t="shared" si="12"/>
        <v>37848</v>
      </c>
      <c r="N77" s="726">
        <f t="shared" si="12"/>
        <v>38032</v>
      </c>
      <c r="O77" s="726">
        <f t="shared" si="12"/>
        <v>38214</v>
      </c>
      <c r="P77" s="726">
        <f t="shared" si="12"/>
        <v>38398</v>
      </c>
      <c r="Q77" s="726">
        <f t="shared" si="12"/>
        <v>38579</v>
      </c>
      <c r="R77" s="726">
        <f t="shared" si="12"/>
        <v>38763</v>
      </c>
      <c r="S77" s="726">
        <f t="shared" si="12"/>
        <v>38944</v>
      </c>
      <c r="T77" s="726">
        <f t="shared" si="12"/>
        <v>39128</v>
      </c>
      <c r="U77" s="726">
        <f t="shared" si="12"/>
        <v>39309</v>
      </c>
      <c r="V77" s="726">
        <f t="shared" si="12"/>
        <v>39493</v>
      </c>
      <c r="W77" s="726">
        <f t="shared" si="12"/>
        <v>39675</v>
      </c>
      <c r="X77" s="726">
        <f t="shared" si="12"/>
        <v>39859</v>
      </c>
      <c r="Y77" s="726">
        <f t="shared" si="12"/>
        <v>40040</v>
      </c>
      <c r="Z77" s="726">
        <f t="shared" si="12"/>
        <v>40224</v>
      </c>
      <c r="AA77" s="726">
        <f t="shared" si="12"/>
        <v>40405</v>
      </c>
      <c r="AB77" s="726">
        <f t="shared" si="12"/>
        <v>40589</v>
      </c>
      <c r="AC77" s="726">
        <f t="shared" si="12"/>
        <v>40770</v>
      </c>
      <c r="AD77" s="726">
        <f t="shared" si="12"/>
        <v>40954</v>
      </c>
      <c r="AE77" s="726">
        <f t="shared" si="12"/>
        <v>41136</v>
      </c>
      <c r="AF77" s="726">
        <f t="shared" si="12"/>
        <v>41320</v>
      </c>
      <c r="AG77" s="726">
        <f t="shared" si="12"/>
        <v>41501</v>
      </c>
      <c r="AH77" s="726">
        <f t="shared" si="12"/>
        <v>41685</v>
      </c>
      <c r="AI77" s="726">
        <f t="shared" si="12"/>
        <v>41866</v>
      </c>
      <c r="AJ77" s="726">
        <f t="shared" si="12"/>
        <v>42050</v>
      </c>
      <c r="AK77" s="726">
        <f t="shared" si="12"/>
        <v>42231</v>
      </c>
      <c r="AL77" s="726">
        <f t="shared" si="12"/>
        <v>42415</v>
      </c>
      <c r="AM77" s="726">
        <f t="shared" si="12"/>
        <v>42597</v>
      </c>
      <c r="AN77" s="726">
        <f t="shared" si="12"/>
        <v>42781</v>
      </c>
      <c r="AO77" s="726">
        <f t="shared" si="12"/>
        <v>42962</v>
      </c>
      <c r="AP77" s="726">
        <f t="shared" si="12"/>
        <v>43146</v>
      </c>
      <c r="AQ77" s="726">
        <f t="shared" si="12"/>
        <v>43327</v>
      </c>
      <c r="AR77" s="726">
        <f t="shared" si="12"/>
        <v>43511</v>
      </c>
      <c r="AS77" s="770">
        <f t="shared" si="12"/>
        <v>43692</v>
      </c>
      <c r="AT77" s="770">
        <f t="shared" si="12"/>
        <v>43876</v>
      </c>
      <c r="AU77" s="770">
        <f t="shared" si="12"/>
        <v>44196</v>
      </c>
    </row>
    <row r="78" spans="1:47">
      <c r="A78" s="22" t="s">
        <v>218</v>
      </c>
      <c r="B78" s="657">
        <f ca="1">D80</f>
        <v>0.12465111613273619</v>
      </c>
      <c r="D78" s="236"/>
      <c r="F78" s="31"/>
      <c r="AS78" s="7"/>
      <c r="AT78" s="7"/>
      <c r="AU78" s="7"/>
    </row>
    <row r="79" spans="1:47">
      <c r="A79" s="22" t="s">
        <v>219</v>
      </c>
      <c r="D79" s="236">
        <f>D45</f>
        <v>-133750</v>
      </c>
      <c r="E79" s="236">
        <f ca="1">E45</f>
        <v>172.12350225058341</v>
      </c>
      <c r="F79" s="31">
        <f>F44</f>
        <v>-133750</v>
      </c>
      <c r="G79" s="235">
        <f t="shared" ref="G79:AU79" ca="1" si="13">G45</f>
        <v>4963.6576354116633</v>
      </c>
      <c r="H79" s="235">
        <f t="shared" ca="1" si="13"/>
        <v>10631.612799678245</v>
      </c>
      <c r="I79" s="235">
        <f t="shared" si="13"/>
        <v>12243.70087765382</v>
      </c>
      <c r="J79" s="235">
        <f t="shared" si="13"/>
        <v>12405.183779470231</v>
      </c>
      <c r="K79" s="235">
        <f t="shared" si="13"/>
        <v>11588.466738879528</v>
      </c>
      <c r="L79" s="235">
        <f t="shared" si="13"/>
        <v>5996.746238482001</v>
      </c>
      <c r="M79" s="235">
        <f t="shared" si="13"/>
        <v>13580.348496140587</v>
      </c>
      <c r="N79" s="235">
        <f t="shared" ca="1" si="13"/>
        <v>20241.900890726778</v>
      </c>
      <c r="O79" s="235">
        <f t="shared" ca="1" si="13"/>
        <v>21922.038589587472</v>
      </c>
      <c r="P79" s="235">
        <f t="shared" ca="1" si="13"/>
        <v>22096.885376566166</v>
      </c>
      <c r="Q79" s="235">
        <f t="shared" ca="1" si="13"/>
        <v>22072.120819792915</v>
      </c>
      <c r="R79" s="235">
        <f t="shared" ca="1" si="13"/>
        <v>21528.315404652556</v>
      </c>
      <c r="S79" s="235">
        <f t="shared" ca="1" si="13"/>
        <v>21416.066578950715</v>
      </c>
      <c r="T79" s="235">
        <f t="shared" ca="1" si="13"/>
        <v>20539.185223243981</v>
      </c>
      <c r="U79" s="235">
        <f t="shared" ca="1" si="13"/>
        <v>20865.48756971032</v>
      </c>
      <c r="V79" s="235">
        <f t="shared" ca="1" si="13"/>
        <v>20188.750218669924</v>
      </c>
      <c r="W79" s="235">
        <f t="shared" ca="1" si="13"/>
        <v>20602.264463467956</v>
      </c>
      <c r="X79" s="235">
        <f t="shared" ca="1" si="13"/>
        <v>18721.400487963532</v>
      </c>
      <c r="Y79" s="235">
        <f t="shared" ca="1" si="13"/>
        <v>21401.234656653389</v>
      </c>
      <c r="Z79" s="235">
        <f t="shared" ca="1" si="13"/>
        <v>21982.366373722885</v>
      </c>
      <c r="AA79" s="235">
        <f t="shared" ca="1" si="13"/>
        <v>24036.285615872352</v>
      </c>
      <c r="AB79" s="235">
        <f t="shared" ca="1" si="13"/>
        <v>23618.416164215152</v>
      </c>
      <c r="AC79" s="235">
        <f t="shared" ca="1" si="13"/>
        <v>24409.830032977181</v>
      </c>
      <c r="AD79" s="235">
        <f t="shared" ca="1" si="13"/>
        <v>23950.014585655656</v>
      </c>
      <c r="AE79" s="235">
        <f t="shared" ca="1" si="13"/>
        <v>24397.979157246118</v>
      </c>
      <c r="AF79" s="235">
        <f t="shared" ca="1" si="13"/>
        <v>24222.324921198408</v>
      </c>
      <c r="AG79" s="235">
        <f t="shared" ca="1" si="13"/>
        <v>24602.36998344231</v>
      </c>
      <c r="AH79" s="235">
        <f t="shared" ca="1" si="13"/>
        <v>24392.513324347823</v>
      </c>
      <c r="AI79" s="235">
        <f t="shared" ca="1" si="13"/>
        <v>24805.269973895476</v>
      </c>
      <c r="AJ79" s="235">
        <f t="shared" ca="1" si="13"/>
        <v>23520.160123724789</v>
      </c>
      <c r="AK79" s="235">
        <f t="shared" ca="1" si="13"/>
        <v>19867.914243636889</v>
      </c>
      <c r="AL79" s="235">
        <f t="shared" ca="1" si="13"/>
        <v>19880.947275056737</v>
      </c>
      <c r="AM79" s="235">
        <f t="shared" ca="1" si="13"/>
        <v>18588.699783704295</v>
      </c>
      <c r="AN79" s="235">
        <f t="shared" ca="1" si="13"/>
        <v>19500.495066430525</v>
      </c>
      <c r="AO79" s="235">
        <f t="shared" si="13"/>
        <v>19961.572240241305</v>
      </c>
      <c r="AP79" s="235">
        <f t="shared" si="13"/>
        <v>22020.219181809924</v>
      </c>
      <c r="AQ79" s="235">
        <f t="shared" si="13"/>
        <v>22407.420755376708</v>
      </c>
      <c r="AR79" s="235">
        <f t="shared" si="13"/>
        <v>24424.678267018844</v>
      </c>
      <c r="AS79" s="253">
        <f t="shared" si="13"/>
        <v>24485.548429027869</v>
      </c>
      <c r="AT79" s="253">
        <f t="shared" ca="1" si="13"/>
        <v>34297.474860336573</v>
      </c>
      <c r="AU79" s="253">
        <f t="shared" ca="1" si="13"/>
        <v>63226.569170140006</v>
      </c>
    </row>
    <row r="80" spans="1:47">
      <c r="A80" s="22" t="s">
        <v>220</v>
      </c>
      <c r="D80" s="273">
        <f ca="1">XIRR(D79:AU79,D77:AU77)</f>
        <v>0.12465111613273619</v>
      </c>
      <c r="AS80" s="7"/>
      <c r="AT80" s="7"/>
      <c r="AU80" s="7"/>
    </row>
  </sheetData>
  <pageMargins left="0.5" right="0.53" top="1" bottom="1" header="0.5" footer="0.5"/>
  <pageSetup scale="45" fitToWidth="2" orientation="landscape" horizontalDpi="0" r:id="rId1"/>
  <headerFooter alignWithMargins="0"/>
  <colBreaks count="1" manualBreakCount="1">
    <brk id="25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64"/>
  <sheetViews>
    <sheetView topLeftCell="H1" zoomScale="75" zoomScaleNormal="75" workbookViewId="0">
      <pane ySplit="5832" topLeftCell="A112"/>
      <selection activeCell="I6" sqref="I6"/>
      <selection pane="bottomLeft" activeCell="I6" sqref="I6"/>
    </sheetView>
  </sheetViews>
  <sheetFormatPr defaultColWidth="9.109375" defaultRowHeight="13.2"/>
  <cols>
    <col min="1" max="1" width="36" style="22" customWidth="1"/>
    <col min="2" max="2" width="18.44140625" style="22" customWidth="1"/>
    <col min="3" max="6" width="14.5546875" style="22" customWidth="1"/>
    <col min="7" max="7" width="17.5546875" style="22" customWidth="1"/>
    <col min="8" max="8" width="16.109375" style="22" customWidth="1"/>
    <col min="9" max="9" width="16.33203125" style="22" customWidth="1"/>
    <col min="10" max="22" width="14.5546875" style="22" customWidth="1"/>
    <col min="23" max="26" width="14.44140625" style="22" customWidth="1"/>
    <col min="27" max="28" width="14.44140625" style="8" customWidth="1"/>
    <col min="29" max="42" width="14.44140625" style="22" customWidth="1"/>
    <col min="43" max="16384" width="9.109375" style="22"/>
  </cols>
  <sheetData>
    <row r="1" spans="1:28" ht="17.399999999999999">
      <c r="A1" s="132"/>
    </row>
    <row r="2" spans="1:28" ht="17.399999999999999">
      <c r="A2" s="132"/>
    </row>
    <row r="4" spans="1:28" ht="15.6">
      <c r="A4" s="76"/>
      <c r="C4" s="109" t="s">
        <v>70</v>
      </c>
      <c r="D4" s="110"/>
      <c r="E4" s="110"/>
      <c r="F4" s="111"/>
      <c r="I4" s="109" t="s">
        <v>71</v>
      </c>
      <c r="J4" s="110"/>
      <c r="K4" s="110"/>
      <c r="L4" s="111"/>
      <c r="O4" s="109" t="s">
        <v>72</v>
      </c>
      <c r="P4" s="110"/>
      <c r="Q4" s="110"/>
      <c r="R4" s="111"/>
    </row>
    <row r="5" spans="1:28">
      <c r="A5" s="76"/>
      <c r="C5" s="112" t="s">
        <v>426</v>
      </c>
      <c r="D5" s="113"/>
      <c r="E5" s="113"/>
      <c r="F5" s="114">
        <v>5.9400000000000001E-2</v>
      </c>
      <c r="G5" s="774"/>
      <c r="I5" s="112" t="s">
        <v>427</v>
      </c>
      <c r="J5" s="113"/>
      <c r="K5" s="113"/>
      <c r="L5" s="114">
        <v>6.2199999999999998E-2</v>
      </c>
      <c r="O5" s="112" t="s">
        <v>428</v>
      </c>
      <c r="P5" s="113"/>
      <c r="Q5" s="113"/>
      <c r="R5" s="114">
        <v>6.3100000000000003E-2</v>
      </c>
    </row>
    <row r="6" spans="1:28">
      <c r="A6" s="76"/>
      <c r="C6" s="112" t="s">
        <v>221</v>
      </c>
      <c r="D6" s="113"/>
      <c r="E6" s="113"/>
      <c r="F6" s="114">
        <v>2.2499999999999999E-2</v>
      </c>
      <c r="I6" s="112" t="s">
        <v>222</v>
      </c>
      <c r="J6" s="113"/>
      <c r="K6" s="113"/>
      <c r="L6" s="114">
        <v>3.5000000000000003E-2</v>
      </c>
      <c r="O6" s="112" t="s">
        <v>222</v>
      </c>
      <c r="P6" s="113"/>
      <c r="Q6" s="113"/>
      <c r="R6" s="114">
        <v>4.1250000000000002E-2</v>
      </c>
    </row>
    <row r="7" spans="1:28">
      <c r="A7" s="76"/>
      <c r="C7" s="115" t="s">
        <v>223</v>
      </c>
      <c r="D7" s="116"/>
      <c r="E7" s="116"/>
      <c r="F7" s="117">
        <f>F6+F5</f>
        <v>8.1900000000000001E-2</v>
      </c>
      <c r="I7" s="115" t="s">
        <v>223</v>
      </c>
      <c r="J7" s="116"/>
      <c r="K7" s="116"/>
      <c r="L7" s="117">
        <f>L5+L6</f>
        <v>9.7200000000000009E-2</v>
      </c>
      <c r="O7" s="115" t="s">
        <v>223</v>
      </c>
      <c r="P7" s="116"/>
      <c r="Q7" s="116"/>
      <c r="R7" s="117">
        <f>R5+R6</f>
        <v>0.10435</v>
      </c>
    </row>
    <row r="8" spans="1:28" ht="15.6">
      <c r="A8" s="76"/>
      <c r="C8" s="94" t="s">
        <v>224</v>
      </c>
      <c r="D8" s="118"/>
      <c r="E8" s="119"/>
      <c r="F8" s="98">
        <v>3.33</v>
      </c>
      <c r="I8" s="94" t="s">
        <v>225</v>
      </c>
      <c r="J8" s="99"/>
      <c r="K8" s="99"/>
      <c r="L8" s="98">
        <v>9.83</v>
      </c>
      <c r="O8" s="94" t="s">
        <v>225</v>
      </c>
      <c r="P8" s="99"/>
      <c r="Q8" s="99"/>
      <c r="R8" s="98">
        <v>19.829999999999998</v>
      </c>
    </row>
    <row r="9" spans="1:28" ht="15.6">
      <c r="A9" s="76"/>
      <c r="C9" s="100" t="s">
        <v>226</v>
      </c>
      <c r="D9" s="120"/>
      <c r="E9" s="120"/>
      <c r="F9" s="101">
        <f>B131</f>
        <v>2.1137701854974145</v>
      </c>
      <c r="I9" s="100" t="s">
        <v>227</v>
      </c>
      <c r="J9" s="102"/>
      <c r="K9" s="102"/>
      <c r="L9" s="101">
        <f>B132</f>
        <v>7.2762776178110595</v>
      </c>
      <c r="O9" s="100" t="s">
        <v>476</v>
      </c>
      <c r="P9" s="102"/>
      <c r="Q9" s="102"/>
      <c r="R9" s="101">
        <f>B133</f>
        <v>15.039434304588985</v>
      </c>
    </row>
    <row r="10" spans="1:28">
      <c r="A10" s="76"/>
      <c r="C10" s="128" t="s">
        <v>228</v>
      </c>
      <c r="D10" s="129"/>
      <c r="E10" s="129"/>
      <c r="F10" s="130">
        <v>83000</v>
      </c>
      <c r="I10" s="128" t="s">
        <v>228</v>
      </c>
      <c r="J10" s="133"/>
      <c r="K10" s="133"/>
      <c r="L10" s="130">
        <v>215000</v>
      </c>
      <c r="O10" s="128" t="s">
        <v>228</v>
      </c>
      <c r="P10" s="133"/>
      <c r="Q10" s="133"/>
      <c r="R10" s="130">
        <f>E160</f>
        <v>425000</v>
      </c>
    </row>
    <row r="11" spans="1:28">
      <c r="A11" s="76"/>
      <c r="C11" s="131"/>
      <c r="D11" s="113"/>
      <c r="E11" s="113"/>
      <c r="F11" s="327"/>
      <c r="I11" s="131"/>
      <c r="J11" s="131"/>
      <c r="K11" s="131"/>
      <c r="L11" s="327"/>
      <c r="O11" s="131"/>
      <c r="P11" s="131"/>
      <c r="Q11" s="131"/>
      <c r="R11"/>
    </row>
    <row r="12" spans="1:28">
      <c r="A12" s="76"/>
      <c r="C12" s="131"/>
      <c r="D12" s="113"/>
      <c r="E12" s="113"/>
      <c r="F12" s="327"/>
      <c r="I12" s="131"/>
      <c r="J12" s="131"/>
      <c r="K12" s="131"/>
      <c r="L12" s="327"/>
      <c r="O12" s="131"/>
      <c r="P12" s="131"/>
      <c r="Q12" s="131"/>
      <c r="R12" s="327"/>
    </row>
    <row r="13" spans="1:28" hidden="1">
      <c r="A13" s="76"/>
      <c r="C13" s="131"/>
      <c r="D13" s="113"/>
      <c r="E13" s="113"/>
      <c r="F13" s="288"/>
      <c r="I13" s="131"/>
      <c r="J13" s="131"/>
      <c r="K13" s="131"/>
      <c r="L13" s="288"/>
      <c r="O13" s="131"/>
      <c r="P13" s="131"/>
      <c r="Q13" s="131"/>
      <c r="R13" s="288"/>
    </row>
    <row r="14" spans="1:28" ht="17.399999999999999">
      <c r="A14" s="126" t="s">
        <v>229</v>
      </c>
      <c r="C14" s="131"/>
      <c r="D14" s="113"/>
      <c r="E14" s="113"/>
      <c r="F14" s="327"/>
      <c r="I14" s="131"/>
      <c r="J14" s="131"/>
      <c r="K14" s="131"/>
      <c r="L14" s="327"/>
      <c r="O14" s="131"/>
      <c r="P14" s="131"/>
      <c r="Q14" s="131"/>
      <c r="R14" s="327"/>
    </row>
    <row r="15" spans="1:28" s="23" customFormat="1">
      <c r="A15" s="3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8"/>
      <c r="AB15" s="8"/>
    </row>
    <row r="16" spans="1:28" s="23" customFormat="1">
      <c r="A16" s="492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306"/>
      <c r="AB16" s="8"/>
    </row>
    <row r="17" spans="1:34" s="545" customFormat="1" ht="13.8">
      <c r="A17" s="78"/>
      <c r="B17" s="540">
        <v>1</v>
      </c>
      <c r="C17" s="540">
        <f>B17+1</f>
        <v>2</v>
      </c>
      <c r="D17" s="540">
        <f t="shared" ref="D17:Z17" si="0">C17+1</f>
        <v>3</v>
      </c>
      <c r="E17" s="540">
        <f t="shared" si="0"/>
        <v>4</v>
      </c>
      <c r="F17" s="540">
        <f t="shared" si="0"/>
        <v>5</v>
      </c>
      <c r="G17" s="540">
        <f t="shared" si="0"/>
        <v>6</v>
      </c>
      <c r="H17" s="540">
        <f t="shared" si="0"/>
        <v>7</v>
      </c>
      <c r="I17" s="540">
        <f t="shared" si="0"/>
        <v>8</v>
      </c>
      <c r="J17" s="540">
        <f t="shared" si="0"/>
        <v>9</v>
      </c>
      <c r="K17" s="540">
        <f t="shared" si="0"/>
        <v>10</v>
      </c>
      <c r="L17" s="540">
        <f t="shared" si="0"/>
        <v>11</v>
      </c>
      <c r="M17" s="540">
        <f t="shared" si="0"/>
        <v>12</v>
      </c>
      <c r="N17" s="540">
        <f t="shared" si="0"/>
        <v>13</v>
      </c>
      <c r="O17" s="540">
        <f t="shared" si="0"/>
        <v>14</v>
      </c>
      <c r="P17" s="540">
        <f t="shared" si="0"/>
        <v>15</v>
      </c>
      <c r="Q17" s="540">
        <f t="shared" si="0"/>
        <v>16</v>
      </c>
      <c r="R17" s="540">
        <f t="shared" si="0"/>
        <v>17</v>
      </c>
      <c r="S17" s="540">
        <f t="shared" si="0"/>
        <v>18</v>
      </c>
      <c r="T17" s="540">
        <f t="shared" si="0"/>
        <v>19</v>
      </c>
      <c r="U17" s="540">
        <f t="shared" si="0"/>
        <v>20</v>
      </c>
      <c r="V17" s="540">
        <f t="shared" si="0"/>
        <v>21</v>
      </c>
      <c r="W17" s="540">
        <f t="shared" si="0"/>
        <v>22</v>
      </c>
      <c r="X17" s="540">
        <f t="shared" si="0"/>
        <v>23</v>
      </c>
      <c r="Y17" s="540">
        <f t="shared" si="0"/>
        <v>24</v>
      </c>
      <c r="Z17" s="540">
        <f t="shared" si="0"/>
        <v>25</v>
      </c>
      <c r="AA17" s="159"/>
      <c r="AB17" s="279"/>
    </row>
    <row r="18" spans="1:34" ht="13.8" thickBot="1">
      <c r="A18" s="422" t="s">
        <v>164</v>
      </c>
      <c r="B18" s="816">
        <v>36525</v>
      </c>
      <c r="C18" s="583">
        <v>2000</v>
      </c>
      <c r="D18" s="583">
        <v>2001</v>
      </c>
      <c r="E18" s="583">
        <v>2002</v>
      </c>
      <c r="F18" s="583">
        <v>2003</v>
      </c>
      <c r="G18" s="583">
        <v>2004</v>
      </c>
      <c r="H18" s="583">
        <v>2005</v>
      </c>
      <c r="I18" s="583">
        <v>2006</v>
      </c>
      <c r="J18" s="583">
        <v>2007</v>
      </c>
      <c r="K18" s="583">
        <v>2008</v>
      </c>
      <c r="L18" s="583">
        <v>2009</v>
      </c>
      <c r="M18" s="583">
        <v>2010</v>
      </c>
      <c r="N18" s="583">
        <v>2011</v>
      </c>
      <c r="O18" s="583">
        <v>2012</v>
      </c>
      <c r="P18" s="583">
        <v>2013</v>
      </c>
      <c r="Q18" s="583">
        <v>2014</v>
      </c>
      <c r="R18" s="583">
        <v>2015</v>
      </c>
      <c r="S18" s="583">
        <v>2016</v>
      </c>
      <c r="T18" s="583">
        <v>2017</v>
      </c>
      <c r="U18" s="583">
        <v>2018</v>
      </c>
      <c r="V18" s="583">
        <v>2019</v>
      </c>
      <c r="W18"/>
      <c r="X18"/>
      <c r="Y18"/>
      <c r="Z18"/>
      <c r="AA18" s="21"/>
      <c r="AB18" s="138"/>
      <c r="AC18" s="21"/>
      <c r="AD18" s="21"/>
      <c r="AE18" s="21"/>
      <c r="AF18" s="21"/>
      <c r="AG18" s="21"/>
      <c r="AH18" s="21"/>
    </row>
    <row r="19" spans="1:34" s="90" customFormat="1">
      <c r="A19" s="546"/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/>
      <c r="X19"/>
      <c r="Y19"/>
      <c r="Z19"/>
      <c r="AA19" s="11"/>
      <c r="AB19" s="138"/>
      <c r="AC19" s="21"/>
      <c r="AD19" s="21"/>
      <c r="AE19" s="21"/>
      <c r="AF19" s="21"/>
      <c r="AG19" s="21"/>
      <c r="AH19" s="21"/>
    </row>
    <row r="20" spans="1:34">
      <c r="R20" s="23"/>
      <c r="S20" s="23"/>
      <c r="T20" s="23"/>
      <c r="U20" s="23"/>
      <c r="V20" s="23"/>
      <c r="W20"/>
      <c r="X20"/>
      <c r="Y20"/>
      <c r="Z20"/>
    </row>
    <row r="21" spans="1:34">
      <c r="A21" s="76" t="s">
        <v>230</v>
      </c>
      <c r="B21" s="578">
        <v>0</v>
      </c>
      <c r="C21" s="578">
        <v>9.7324108212379384E-2</v>
      </c>
      <c r="D21" s="578">
        <v>0.28573678757842341</v>
      </c>
      <c r="E21" s="578">
        <v>0.30407949373173093</v>
      </c>
      <c r="F21" s="578">
        <f>1-SUM(B21:E21)</f>
        <v>0.31285961047746624</v>
      </c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/>
      <c r="X21"/>
      <c r="Y21"/>
      <c r="Z21"/>
      <c r="AA21" s="307"/>
      <c r="AB21" s="148"/>
      <c r="AC21" s="80"/>
      <c r="AD21" s="80"/>
      <c r="AE21" s="80"/>
      <c r="AF21" s="80"/>
      <c r="AG21" s="80"/>
      <c r="AH21" s="80"/>
    </row>
    <row r="22" spans="1:34">
      <c r="A22" s="81" t="str">
        <f>IF(SUM(B21:U21)&lt;&gt;1,"CHECK!","")</f>
        <v/>
      </c>
      <c r="B22" s="580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80"/>
      <c r="P22" s="580"/>
      <c r="Q22" s="580"/>
      <c r="R22" s="580"/>
      <c r="S22" s="580"/>
      <c r="T22" s="580"/>
      <c r="U22" s="580"/>
      <c r="V22" s="580"/>
      <c r="W22"/>
      <c r="X22"/>
      <c r="Y22"/>
      <c r="Z22"/>
    </row>
    <row r="23" spans="1:34">
      <c r="A23" s="76" t="s">
        <v>231</v>
      </c>
      <c r="B23" s="581">
        <f>SUM(B190,B195,B200)/$B$189</f>
        <v>0</v>
      </c>
      <c r="C23" s="581">
        <v>0</v>
      </c>
      <c r="D23" s="581">
        <v>0</v>
      </c>
      <c r="E23" s="581">
        <v>0</v>
      </c>
      <c r="F23" s="581">
        <v>9.3501130083942521E-2</v>
      </c>
      <c r="G23" s="581">
        <v>0.1012</v>
      </c>
      <c r="H23" s="581">
        <v>0.1193</v>
      </c>
      <c r="I23" s="581">
        <v>0.13350000000000001</v>
      </c>
      <c r="J23" s="581">
        <v>0.156</v>
      </c>
      <c r="K23" s="581">
        <v>0.17599999999999999</v>
      </c>
      <c r="L23" s="581">
        <f>1-SUM(F23:K23)</f>
        <v>0.22049886991605749</v>
      </c>
      <c r="M23"/>
      <c r="N23" s="582"/>
      <c r="O23" s="582"/>
      <c r="P23" s="582"/>
      <c r="Q23" s="582"/>
      <c r="R23" s="582"/>
      <c r="S23" s="582"/>
      <c r="T23" s="582"/>
      <c r="U23" s="582"/>
      <c r="V23" s="582"/>
      <c r="W23"/>
      <c r="X23"/>
      <c r="Y23"/>
      <c r="Z23"/>
      <c r="AA23" s="308"/>
    </row>
    <row r="24" spans="1:34">
      <c r="A24" s="81" t="str">
        <f>IF(SUM(B23:U23)&lt;&gt;1,"CHECK!","")</f>
        <v/>
      </c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0"/>
      <c r="P24" s="580"/>
      <c r="Q24" s="580"/>
      <c r="R24" s="580"/>
      <c r="S24" s="580"/>
      <c r="T24" s="580"/>
      <c r="U24" s="580"/>
      <c r="V24" s="580"/>
      <c r="W24"/>
      <c r="X24"/>
      <c r="Y24"/>
      <c r="Z24"/>
    </row>
    <row r="25" spans="1:34">
      <c r="A25" s="76" t="s">
        <v>232</v>
      </c>
      <c r="B25" s="581">
        <f>SUM(B77,B82,B87)/$R$10</f>
        <v>0</v>
      </c>
      <c r="C25" s="581">
        <v>0</v>
      </c>
      <c r="D25" s="581">
        <v>0</v>
      </c>
      <c r="E25" s="581">
        <v>0</v>
      </c>
      <c r="F25" s="581">
        <v>0</v>
      </c>
      <c r="G25" s="581">
        <v>0</v>
      </c>
      <c r="H25" s="581">
        <v>0</v>
      </c>
      <c r="I25" s="581">
        <v>0</v>
      </c>
      <c r="J25" s="581">
        <v>0</v>
      </c>
      <c r="K25" s="581">
        <v>0</v>
      </c>
      <c r="L25" s="581">
        <v>0</v>
      </c>
      <c r="M25" s="581">
        <v>7.630644790042608E-2</v>
      </c>
      <c r="N25" s="581">
        <v>8.4825195089200625E-2</v>
      </c>
      <c r="O25" s="581">
        <v>9.3446735188484287E-2</v>
      </c>
      <c r="P25" s="581">
        <v>9.9651055116767001E-2</v>
      </c>
      <c r="Q25" s="581">
        <v>0.1064911885555333</v>
      </c>
      <c r="R25" s="581">
        <v>0.11605665092277431</v>
      </c>
      <c r="S25" s="581">
        <v>0.11832208602578778</v>
      </c>
      <c r="T25" s="581">
        <v>0.11557581455260613</v>
      </c>
      <c r="U25" s="581">
        <v>0.10189604682259799</v>
      </c>
      <c r="V25" s="581">
        <f>1-SUM(B25:U25)</f>
        <v>8.7428779825822533E-2</v>
      </c>
      <c r="W25"/>
      <c r="X25"/>
      <c r="Y25"/>
      <c r="Z25"/>
      <c r="AA25" s="308"/>
      <c r="AC25" s="7"/>
      <c r="AD25" s="7"/>
      <c r="AE25" s="7"/>
      <c r="AF25" s="7"/>
      <c r="AG25" s="7"/>
      <c r="AH25" s="7"/>
    </row>
    <row r="26" spans="1:34">
      <c r="A26" s="81" t="str">
        <f>IF(SUM(B25:V25)&lt;&gt;1,"CHECK!","")</f>
        <v/>
      </c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/>
      <c r="X26"/>
      <c r="Y26"/>
      <c r="Z26"/>
    </row>
    <row r="27" spans="1:34">
      <c r="A27" s="8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/>
      <c r="X27"/>
      <c r="Y27"/>
      <c r="Z27"/>
    </row>
    <row r="28" spans="1:34">
      <c r="A28" s="82" t="str">
        <f>CONCATENATE("Tranche 1 @ ",F7*100,"%")</f>
        <v>Tranche 1 @ 8.19%</v>
      </c>
      <c r="C28" s="83"/>
      <c r="W28"/>
      <c r="X28"/>
      <c r="Y28"/>
      <c r="Z28"/>
    </row>
    <row r="29" spans="1:34">
      <c r="A29" s="84" t="s">
        <v>375</v>
      </c>
      <c r="B29" s="85"/>
      <c r="W29"/>
      <c r="X29"/>
      <c r="Y29"/>
      <c r="Z29"/>
    </row>
    <row r="30" spans="1:34">
      <c r="A30" s="85" t="s">
        <v>233</v>
      </c>
      <c r="B30" s="86">
        <f>F10</f>
        <v>83000</v>
      </c>
      <c r="C30" s="85">
        <f>B43</f>
        <v>83000</v>
      </c>
      <c r="D30" s="85">
        <f t="shared" ref="D30:V30" si="1">C43</f>
        <v>74922.099018372508</v>
      </c>
      <c r="E30" s="85">
        <f t="shared" si="1"/>
        <v>51205.945649363362</v>
      </c>
      <c r="F30" s="85">
        <f t="shared" si="1"/>
        <v>25967.3476696297</v>
      </c>
      <c r="G30" s="85">
        <f t="shared" si="1"/>
        <v>0</v>
      </c>
      <c r="H30" s="85">
        <f t="shared" si="1"/>
        <v>0</v>
      </c>
      <c r="I30" s="85">
        <f t="shared" si="1"/>
        <v>0</v>
      </c>
      <c r="J30" s="85">
        <f t="shared" si="1"/>
        <v>0</v>
      </c>
      <c r="K30" s="85">
        <f t="shared" si="1"/>
        <v>0</v>
      </c>
      <c r="L30" s="85">
        <f t="shared" si="1"/>
        <v>0</v>
      </c>
      <c r="M30" s="85">
        <f t="shared" si="1"/>
        <v>0</v>
      </c>
      <c r="N30" s="85">
        <f t="shared" si="1"/>
        <v>0</v>
      </c>
      <c r="O30" s="85">
        <f t="shared" si="1"/>
        <v>0</v>
      </c>
      <c r="P30" s="85">
        <f t="shared" si="1"/>
        <v>0</v>
      </c>
      <c r="Q30" s="85">
        <f t="shared" si="1"/>
        <v>0</v>
      </c>
      <c r="R30" s="85">
        <f t="shared" si="1"/>
        <v>0</v>
      </c>
      <c r="S30" s="85">
        <f t="shared" si="1"/>
        <v>0</v>
      </c>
      <c r="T30" s="85">
        <f t="shared" si="1"/>
        <v>0</v>
      </c>
      <c r="U30" s="85">
        <f t="shared" si="1"/>
        <v>0</v>
      </c>
      <c r="V30" s="85">
        <f t="shared" si="1"/>
        <v>0</v>
      </c>
      <c r="W30"/>
      <c r="X30"/>
      <c r="Y30"/>
      <c r="Z30"/>
      <c r="AA30" s="309"/>
      <c r="AB30" s="309"/>
      <c r="AC30" s="85"/>
      <c r="AD30" s="85"/>
      <c r="AE30" s="85"/>
      <c r="AF30" s="85"/>
      <c r="AG30" s="85"/>
      <c r="AH30" s="85"/>
    </row>
    <row r="31" spans="1:34">
      <c r="A31" s="85" t="s">
        <v>234</v>
      </c>
      <c r="B31" s="85">
        <v>0</v>
      </c>
      <c r="C31" s="85">
        <f>$B$30*C21*1/12</f>
        <v>673.15841513562407</v>
      </c>
      <c r="D31" s="85">
        <f>$B$30*D21*5.5/12</f>
        <v>10869.903627462523</v>
      </c>
      <c r="E31" s="85">
        <f>$B$30*E21*6/12</f>
        <v>12619.298989866833</v>
      </c>
      <c r="F31" s="85">
        <f>$B$30*F21*12/12</f>
        <v>25967.347669629697</v>
      </c>
      <c r="G31" s="85">
        <f t="shared" ref="G31:V31" si="2">$B$30*G21*7/12</f>
        <v>0</v>
      </c>
      <c r="H31" s="85">
        <f t="shared" si="2"/>
        <v>0</v>
      </c>
      <c r="I31" s="85">
        <f t="shared" si="2"/>
        <v>0</v>
      </c>
      <c r="J31" s="85">
        <f t="shared" si="2"/>
        <v>0</v>
      </c>
      <c r="K31" s="85">
        <f t="shared" si="2"/>
        <v>0</v>
      </c>
      <c r="L31" s="85">
        <f t="shared" si="2"/>
        <v>0</v>
      </c>
      <c r="M31" s="85">
        <f t="shared" si="2"/>
        <v>0</v>
      </c>
      <c r="N31" s="85">
        <f t="shared" si="2"/>
        <v>0</v>
      </c>
      <c r="O31" s="85">
        <f t="shared" si="2"/>
        <v>0</v>
      </c>
      <c r="P31" s="85">
        <f t="shared" si="2"/>
        <v>0</v>
      </c>
      <c r="Q31" s="85">
        <f t="shared" si="2"/>
        <v>0</v>
      </c>
      <c r="R31" s="85">
        <f t="shared" si="2"/>
        <v>0</v>
      </c>
      <c r="S31" s="85">
        <f t="shared" si="2"/>
        <v>0</v>
      </c>
      <c r="T31" s="85">
        <f t="shared" si="2"/>
        <v>0</v>
      </c>
      <c r="U31" s="85">
        <f t="shared" si="2"/>
        <v>0</v>
      </c>
      <c r="V31" s="85">
        <f t="shared" si="2"/>
        <v>0</v>
      </c>
      <c r="W31"/>
      <c r="X31"/>
      <c r="Y31"/>
      <c r="Z31"/>
      <c r="AA31" s="309"/>
      <c r="AB31" s="309"/>
      <c r="AC31" s="85"/>
      <c r="AD31" s="85"/>
      <c r="AE31" s="85"/>
      <c r="AF31" s="85"/>
      <c r="AG31" s="85"/>
      <c r="AH31" s="85"/>
    </row>
    <row r="32" spans="1:34">
      <c r="A32" s="85" t="s">
        <v>235</v>
      </c>
      <c r="B32" s="727">
        <v>0</v>
      </c>
      <c r="C32" s="85">
        <f>C30*$F$7*1/12</f>
        <v>566.47500000000002</v>
      </c>
      <c r="D32" s="85">
        <f t="shared" ref="D32:V32" si="3">D30*$F$7*1/12</f>
        <v>511.34332580039239</v>
      </c>
      <c r="E32" s="85">
        <f t="shared" si="3"/>
        <v>349.4805790569049</v>
      </c>
      <c r="F32" s="85">
        <f t="shared" si="3"/>
        <v>177.2271478452227</v>
      </c>
      <c r="G32" s="85">
        <f t="shared" si="3"/>
        <v>0</v>
      </c>
      <c r="H32" s="85">
        <f t="shared" si="3"/>
        <v>0</v>
      </c>
      <c r="I32" s="85">
        <f t="shared" si="3"/>
        <v>0</v>
      </c>
      <c r="J32" s="85">
        <f t="shared" si="3"/>
        <v>0</v>
      </c>
      <c r="K32" s="85">
        <f t="shared" si="3"/>
        <v>0</v>
      </c>
      <c r="L32" s="85">
        <f t="shared" si="3"/>
        <v>0</v>
      </c>
      <c r="M32" s="85">
        <f t="shared" si="3"/>
        <v>0</v>
      </c>
      <c r="N32" s="85">
        <f t="shared" si="3"/>
        <v>0</v>
      </c>
      <c r="O32" s="85">
        <f t="shared" si="3"/>
        <v>0</v>
      </c>
      <c r="P32" s="85">
        <f t="shared" si="3"/>
        <v>0</v>
      </c>
      <c r="Q32" s="85">
        <f t="shared" si="3"/>
        <v>0</v>
      </c>
      <c r="R32" s="85">
        <f t="shared" si="3"/>
        <v>0</v>
      </c>
      <c r="S32" s="85">
        <f t="shared" si="3"/>
        <v>0</v>
      </c>
      <c r="T32" s="85">
        <f t="shared" si="3"/>
        <v>0</v>
      </c>
      <c r="U32" s="85">
        <f t="shared" si="3"/>
        <v>0</v>
      </c>
      <c r="V32" s="85">
        <f t="shared" si="3"/>
        <v>0</v>
      </c>
      <c r="W32"/>
      <c r="X32"/>
      <c r="Y32"/>
      <c r="Z32"/>
      <c r="AA32" s="309"/>
      <c r="AB32" s="309"/>
      <c r="AC32" s="85"/>
      <c r="AD32" s="85"/>
      <c r="AE32" s="85"/>
      <c r="AF32" s="85"/>
      <c r="AG32" s="85"/>
      <c r="AH32" s="85"/>
    </row>
    <row r="33" spans="1:34">
      <c r="A33" s="85" t="s">
        <v>236</v>
      </c>
      <c r="B33" s="727">
        <f>B30-B31</f>
        <v>83000</v>
      </c>
      <c r="C33" s="85">
        <f>C30-C31-B41</f>
        <v>82326.841584864378</v>
      </c>
      <c r="D33" s="85">
        <f t="shared" ref="D33:R33" si="4">D30-D31</f>
        <v>64052.195390909983</v>
      </c>
      <c r="E33" s="85">
        <f t="shared" si="4"/>
        <v>38586.646659496531</v>
      </c>
      <c r="F33" s="85">
        <f t="shared" si="4"/>
        <v>0</v>
      </c>
      <c r="G33" s="85">
        <f t="shared" si="4"/>
        <v>0</v>
      </c>
      <c r="H33" s="85">
        <f t="shared" si="4"/>
        <v>0</v>
      </c>
      <c r="I33" s="85">
        <f t="shared" si="4"/>
        <v>0</v>
      </c>
      <c r="J33" s="85">
        <f t="shared" si="4"/>
        <v>0</v>
      </c>
      <c r="K33" s="85">
        <f t="shared" si="4"/>
        <v>0</v>
      </c>
      <c r="L33" s="85">
        <f t="shared" si="4"/>
        <v>0</v>
      </c>
      <c r="M33" s="85">
        <f t="shared" si="4"/>
        <v>0</v>
      </c>
      <c r="N33" s="85">
        <f t="shared" si="4"/>
        <v>0</v>
      </c>
      <c r="O33" s="85">
        <f t="shared" si="4"/>
        <v>0</v>
      </c>
      <c r="P33" s="85">
        <f t="shared" si="4"/>
        <v>0</v>
      </c>
      <c r="Q33" s="85">
        <f t="shared" si="4"/>
        <v>0</v>
      </c>
      <c r="R33" s="85">
        <f t="shared" si="4"/>
        <v>0</v>
      </c>
      <c r="S33" s="85">
        <f>S30-S31</f>
        <v>0</v>
      </c>
      <c r="T33" s="85">
        <f>T30-T31</f>
        <v>0</v>
      </c>
      <c r="U33" s="85">
        <f>U30-U31</f>
        <v>0</v>
      </c>
      <c r="V33" s="85">
        <f>V30-V31</f>
        <v>0</v>
      </c>
      <c r="W33"/>
      <c r="X33"/>
      <c r="Y33"/>
      <c r="Z33"/>
      <c r="AA33" s="309"/>
      <c r="AB33" s="309"/>
      <c r="AC33" s="85"/>
      <c r="AD33" s="85"/>
      <c r="AE33" s="85"/>
      <c r="AF33" s="85"/>
      <c r="AG33" s="85"/>
      <c r="AH33" s="85"/>
    </row>
    <row r="34" spans="1:34">
      <c r="A34" s="84" t="s">
        <v>376</v>
      </c>
      <c r="B34" s="72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/>
      <c r="X34"/>
      <c r="Y34"/>
      <c r="Z34"/>
      <c r="AA34" s="309"/>
      <c r="AB34" s="309"/>
      <c r="AC34" s="85"/>
      <c r="AD34" s="85"/>
      <c r="AE34" s="85"/>
      <c r="AF34" s="85"/>
      <c r="AG34" s="85"/>
      <c r="AH34" s="85"/>
    </row>
    <row r="35" spans="1:34">
      <c r="A35" s="85" t="s">
        <v>233</v>
      </c>
      <c r="B35" s="727">
        <f>B33</f>
        <v>83000</v>
      </c>
      <c r="C35" s="85">
        <f t="shared" ref="C35:V35" si="5">C33</f>
        <v>82326.841584864378</v>
      </c>
      <c r="D35" s="85">
        <f t="shared" si="5"/>
        <v>64052.195390909983</v>
      </c>
      <c r="E35" s="85">
        <f t="shared" si="5"/>
        <v>38586.646659496531</v>
      </c>
      <c r="F35" s="85">
        <f t="shared" si="5"/>
        <v>0</v>
      </c>
      <c r="G35" s="85">
        <f t="shared" si="5"/>
        <v>0</v>
      </c>
      <c r="H35" s="85">
        <f t="shared" si="5"/>
        <v>0</v>
      </c>
      <c r="I35" s="85">
        <f t="shared" si="5"/>
        <v>0</v>
      </c>
      <c r="J35" s="85">
        <f t="shared" si="5"/>
        <v>0</v>
      </c>
      <c r="K35" s="85">
        <f t="shared" si="5"/>
        <v>0</v>
      </c>
      <c r="L35" s="85">
        <f t="shared" si="5"/>
        <v>0</v>
      </c>
      <c r="M35" s="85">
        <f t="shared" si="5"/>
        <v>0</v>
      </c>
      <c r="N35" s="85">
        <f t="shared" si="5"/>
        <v>0</v>
      </c>
      <c r="O35" s="85">
        <f t="shared" si="5"/>
        <v>0</v>
      </c>
      <c r="P35" s="85">
        <f t="shared" si="5"/>
        <v>0</v>
      </c>
      <c r="Q35" s="85">
        <f t="shared" si="5"/>
        <v>0</v>
      </c>
      <c r="R35" s="85">
        <f t="shared" si="5"/>
        <v>0</v>
      </c>
      <c r="S35" s="85">
        <f t="shared" si="5"/>
        <v>0</v>
      </c>
      <c r="T35" s="85">
        <f t="shared" si="5"/>
        <v>0</v>
      </c>
      <c r="U35" s="85">
        <f t="shared" si="5"/>
        <v>0</v>
      </c>
      <c r="V35" s="85">
        <f t="shared" si="5"/>
        <v>0</v>
      </c>
      <c r="W35"/>
      <c r="X35"/>
      <c r="Y35"/>
      <c r="Z35"/>
      <c r="AA35" s="309"/>
      <c r="AB35" s="309"/>
      <c r="AC35" s="85"/>
      <c r="AD35" s="85"/>
      <c r="AE35" s="85"/>
      <c r="AF35" s="85"/>
      <c r="AG35" s="85"/>
      <c r="AH35" s="85"/>
    </row>
    <row r="36" spans="1:34">
      <c r="A36" s="85" t="s">
        <v>234</v>
      </c>
      <c r="B36" s="727">
        <v>0</v>
      </c>
      <c r="C36" s="85">
        <f>$B$30*C21*11/12</f>
        <v>7404.7425664918655</v>
      </c>
      <c r="D36" s="85">
        <f>$B$30*D21*6.5/12</f>
        <v>12846.249741546619</v>
      </c>
      <c r="E36" s="85">
        <f>$B$30*E21*6/12</f>
        <v>12619.298989866833</v>
      </c>
      <c r="F36" s="85">
        <f>$B$30*F21*0/12</f>
        <v>0</v>
      </c>
      <c r="G36" s="85">
        <f t="shared" ref="G36:V36" si="6">$B$30*G21*5/12</f>
        <v>0</v>
      </c>
      <c r="H36" s="85">
        <f t="shared" si="6"/>
        <v>0</v>
      </c>
      <c r="I36" s="85">
        <f t="shared" si="6"/>
        <v>0</v>
      </c>
      <c r="J36" s="85">
        <f t="shared" si="6"/>
        <v>0</v>
      </c>
      <c r="K36" s="85">
        <f t="shared" si="6"/>
        <v>0</v>
      </c>
      <c r="L36" s="85">
        <f t="shared" si="6"/>
        <v>0</v>
      </c>
      <c r="M36" s="85">
        <f t="shared" si="6"/>
        <v>0</v>
      </c>
      <c r="N36" s="85">
        <f t="shared" si="6"/>
        <v>0</v>
      </c>
      <c r="O36" s="85">
        <f t="shared" si="6"/>
        <v>0</v>
      </c>
      <c r="P36" s="85">
        <f t="shared" si="6"/>
        <v>0</v>
      </c>
      <c r="Q36" s="85">
        <f t="shared" si="6"/>
        <v>0</v>
      </c>
      <c r="R36" s="85">
        <f t="shared" si="6"/>
        <v>0</v>
      </c>
      <c r="S36" s="85">
        <f t="shared" si="6"/>
        <v>0</v>
      </c>
      <c r="T36" s="85">
        <f t="shared" si="6"/>
        <v>0</v>
      </c>
      <c r="U36" s="85">
        <f t="shared" si="6"/>
        <v>0</v>
      </c>
      <c r="V36" s="85">
        <f t="shared" si="6"/>
        <v>0</v>
      </c>
      <c r="W36"/>
      <c r="X36"/>
      <c r="Y36"/>
      <c r="Z36"/>
      <c r="AA36" s="309"/>
      <c r="AB36" s="309"/>
      <c r="AC36" s="85"/>
      <c r="AD36" s="85"/>
      <c r="AE36" s="85"/>
      <c r="AF36" s="85"/>
      <c r="AG36" s="85"/>
      <c r="AH36" s="85"/>
    </row>
    <row r="37" spans="1:34">
      <c r="A37" s="85" t="s">
        <v>235</v>
      </c>
      <c r="B37" s="727">
        <v>0</v>
      </c>
      <c r="C37" s="85">
        <f t="shared" ref="C37:V37" si="7">C35*$F$7*0.5</f>
        <v>3371.2841629001964</v>
      </c>
      <c r="D37" s="85">
        <f t="shared" si="7"/>
        <v>2622.9374012577637</v>
      </c>
      <c r="E37" s="85">
        <f t="shared" si="7"/>
        <v>1580.123180706383</v>
      </c>
      <c r="F37" s="85">
        <f t="shared" si="7"/>
        <v>0</v>
      </c>
      <c r="G37" s="85">
        <f t="shared" si="7"/>
        <v>0</v>
      </c>
      <c r="H37" s="85">
        <f t="shared" si="7"/>
        <v>0</v>
      </c>
      <c r="I37" s="85">
        <f t="shared" si="7"/>
        <v>0</v>
      </c>
      <c r="J37" s="85">
        <f t="shared" si="7"/>
        <v>0</v>
      </c>
      <c r="K37" s="85">
        <f t="shared" si="7"/>
        <v>0</v>
      </c>
      <c r="L37" s="85">
        <f t="shared" si="7"/>
        <v>0</v>
      </c>
      <c r="M37" s="85">
        <f t="shared" si="7"/>
        <v>0</v>
      </c>
      <c r="N37" s="85">
        <f t="shared" si="7"/>
        <v>0</v>
      </c>
      <c r="O37" s="85">
        <f t="shared" si="7"/>
        <v>0</v>
      </c>
      <c r="P37" s="85">
        <f t="shared" si="7"/>
        <v>0</v>
      </c>
      <c r="Q37" s="85">
        <f t="shared" si="7"/>
        <v>0</v>
      </c>
      <c r="R37" s="85">
        <f t="shared" si="7"/>
        <v>0</v>
      </c>
      <c r="S37" s="85">
        <f t="shared" si="7"/>
        <v>0</v>
      </c>
      <c r="T37" s="85">
        <f t="shared" si="7"/>
        <v>0</v>
      </c>
      <c r="U37" s="85">
        <f t="shared" si="7"/>
        <v>0</v>
      </c>
      <c r="V37" s="85">
        <f t="shared" si="7"/>
        <v>0</v>
      </c>
      <c r="W37"/>
      <c r="X37"/>
      <c r="Y37"/>
      <c r="Z37"/>
      <c r="AA37" s="309"/>
      <c r="AB37" s="309"/>
      <c r="AC37" s="85"/>
      <c r="AD37" s="85"/>
      <c r="AE37" s="85"/>
      <c r="AF37" s="85"/>
      <c r="AG37" s="85"/>
      <c r="AH37" s="85"/>
    </row>
    <row r="38" spans="1:34">
      <c r="A38" s="85" t="s">
        <v>236</v>
      </c>
      <c r="B38" s="727">
        <f>B35-B36</f>
        <v>83000</v>
      </c>
      <c r="C38" s="85">
        <f t="shared" ref="C38:R38" si="8">C35-C36</f>
        <v>74922.099018372508</v>
      </c>
      <c r="D38" s="85">
        <f t="shared" si="8"/>
        <v>51205.945649363362</v>
      </c>
      <c r="E38" s="85">
        <f t="shared" si="8"/>
        <v>25967.3476696297</v>
      </c>
      <c r="F38" s="85">
        <f t="shared" si="8"/>
        <v>0</v>
      </c>
      <c r="G38" s="85">
        <f t="shared" si="8"/>
        <v>0</v>
      </c>
      <c r="H38" s="85">
        <f t="shared" si="8"/>
        <v>0</v>
      </c>
      <c r="I38" s="85">
        <f t="shared" si="8"/>
        <v>0</v>
      </c>
      <c r="J38" s="85">
        <f t="shared" si="8"/>
        <v>0</v>
      </c>
      <c r="K38" s="85">
        <f t="shared" si="8"/>
        <v>0</v>
      </c>
      <c r="L38" s="85">
        <f t="shared" si="8"/>
        <v>0</v>
      </c>
      <c r="M38" s="85">
        <f t="shared" si="8"/>
        <v>0</v>
      </c>
      <c r="N38" s="85">
        <f t="shared" si="8"/>
        <v>0</v>
      </c>
      <c r="O38" s="85">
        <f t="shared" si="8"/>
        <v>0</v>
      </c>
      <c r="P38" s="85">
        <f t="shared" si="8"/>
        <v>0</v>
      </c>
      <c r="Q38" s="85">
        <f t="shared" si="8"/>
        <v>0</v>
      </c>
      <c r="R38" s="85">
        <f t="shared" si="8"/>
        <v>0</v>
      </c>
      <c r="S38" s="85">
        <f>S35-S36</f>
        <v>0</v>
      </c>
      <c r="T38" s="85">
        <f>T35-T36</f>
        <v>0</v>
      </c>
      <c r="U38" s="85">
        <f>U35-U36</f>
        <v>0</v>
      </c>
      <c r="V38" s="85">
        <f>V35-V36</f>
        <v>0</v>
      </c>
      <c r="W38"/>
      <c r="X38"/>
      <c r="Y38"/>
      <c r="Z38"/>
      <c r="AA38" s="309"/>
      <c r="AB38" s="309"/>
      <c r="AC38" s="85"/>
      <c r="AD38" s="85"/>
      <c r="AE38" s="85"/>
      <c r="AF38" s="85"/>
      <c r="AG38" s="85"/>
      <c r="AH38" s="85"/>
    </row>
    <row r="39" spans="1:34">
      <c r="A39" s="87" t="s">
        <v>377</v>
      </c>
      <c r="B39" s="72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/>
      <c r="X39"/>
      <c r="Y39"/>
      <c r="Z39"/>
      <c r="AA39" s="309"/>
      <c r="AB39" s="309"/>
      <c r="AC39" s="85"/>
      <c r="AD39" s="85"/>
      <c r="AE39" s="85"/>
      <c r="AF39" s="85"/>
      <c r="AG39" s="85"/>
      <c r="AH39" s="85"/>
    </row>
    <row r="40" spans="1:34">
      <c r="A40" s="85" t="s">
        <v>233</v>
      </c>
      <c r="B40" s="727">
        <f>B38</f>
        <v>83000</v>
      </c>
      <c r="C40" s="85">
        <f t="shared" ref="C40:V40" si="9">C38</f>
        <v>74922.099018372508</v>
      </c>
      <c r="D40" s="85">
        <f t="shared" si="9"/>
        <v>51205.945649363362</v>
      </c>
      <c r="E40" s="85">
        <f t="shared" si="9"/>
        <v>25967.3476696297</v>
      </c>
      <c r="F40" s="85">
        <f t="shared" si="9"/>
        <v>0</v>
      </c>
      <c r="G40" s="85">
        <f t="shared" si="9"/>
        <v>0</v>
      </c>
      <c r="H40" s="85">
        <f t="shared" si="9"/>
        <v>0</v>
      </c>
      <c r="I40" s="85">
        <f t="shared" si="9"/>
        <v>0</v>
      </c>
      <c r="J40" s="85">
        <f t="shared" si="9"/>
        <v>0</v>
      </c>
      <c r="K40" s="85">
        <f t="shared" si="9"/>
        <v>0</v>
      </c>
      <c r="L40" s="85">
        <f t="shared" si="9"/>
        <v>0</v>
      </c>
      <c r="M40" s="85">
        <f t="shared" si="9"/>
        <v>0</v>
      </c>
      <c r="N40" s="85">
        <f t="shared" si="9"/>
        <v>0</v>
      </c>
      <c r="O40" s="85">
        <f t="shared" si="9"/>
        <v>0</v>
      </c>
      <c r="P40" s="85">
        <f t="shared" si="9"/>
        <v>0</v>
      </c>
      <c r="Q40" s="85">
        <f t="shared" si="9"/>
        <v>0</v>
      </c>
      <c r="R40" s="85">
        <f t="shared" si="9"/>
        <v>0</v>
      </c>
      <c r="S40" s="85">
        <f t="shared" si="9"/>
        <v>0</v>
      </c>
      <c r="T40" s="85">
        <f t="shared" si="9"/>
        <v>0</v>
      </c>
      <c r="U40" s="85">
        <f t="shared" si="9"/>
        <v>0</v>
      </c>
      <c r="V40" s="85">
        <f t="shared" si="9"/>
        <v>0</v>
      </c>
      <c r="W40"/>
      <c r="X40"/>
      <c r="Y40"/>
      <c r="Z40"/>
      <c r="AA40" s="309"/>
      <c r="AB40" s="309"/>
      <c r="AC40" s="85"/>
      <c r="AD40" s="85"/>
      <c r="AE40" s="85"/>
      <c r="AF40" s="85"/>
      <c r="AG40" s="85"/>
      <c r="AH40" s="85"/>
    </row>
    <row r="41" spans="1:34">
      <c r="A41" s="85" t="s">
        <v>371</v>
      </c>
      <c r="B41" s="727">
        <f>B30*B21</f>
        <v>0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/>
      <c r="X41"/>
      <c r="Y41"/>
      <c r="Z41"/>
      <c r="AA41" s="309"/>
      <c r="AB41" s="309"/>
      <c r="AC41" s="85"/>
      <c r="AD41" s="85"/>
      <c r="AE41" s="85"/>
      <c r="AF41" s="85"/>
      <c r="AG41" s="85"/>
      <c r="AH41" s="85"/>
    </row>
    <row r="42" spans="1:34">
      <c r="A42" s="85" t="s">
        <v>369</v>
      </c>
      <c r="B42" s="727">
        <f>B40*$F$7*(13-MONTH(Assumptions!C17))/12*0</f>
        <v>0</v>
      </c>
      <c r="C42" s="85">
        <f>C40*$F$7*5/12</f>
        <v>2556.7166290019618</v>
      </c>
      <c r="D42" s="85">
        <f t="shared" ref="D42:V42" si="10">D40*$F$7*5/12</f>
        <v>1747.4028952845247</v>
      </c>
      <c r="E42" s="85">
        <f t="shared" si="10"/>
        <v>886.13573922611351</v>
      </c>
      <c r="F42" s="85">
        <f t="shared" si="10"/>
        <v>0</v>
      </c>
      <c r="G42" s="85">
        <f t="shared" si="10"/>
        <v>0</v>
      </c>
      <c r="H42" s="85">
        <f t="shared" si="10"/>
        <v>0</v>
      </c>
      <c r="I42" s="85">
        <f t="shared" si="10"/>
        <v>0</v>
      </c>
      <c r="J42" s="85">
        <f t="shared" si="10"/>
        <v>0</v>
      </c>
      <c r="K42" s="85">
        <f t="shared" si="10"/>
        <v>0</v>
      </c>
      <c r="L42" s="85">
        <f t="shared" si="10"/>
        <v>0</v>
      </c>
      <c r="M42" s="85">
        <f t="shared" si="10"/>
        <v>0</v>
      </c>
      <c r="N42" s="85">
        <f t="shared" si="10"/>
        <v>0</v>
      </c>
      <c r="O42" s="85">
        <f t="shared" si="10"/>
        <v>0</v>
      </c>
      <c r="P42" s="85">
        <f t="shared" si="10"/>
        <v>0</v>
      </c>
      <c r="Q42" s="85">
        <f t="shared" si="10"/>
        <v>0</v>
      </c>
      <c r="R42" s="85">
        <f t="shared" si="10"/>
        <v>0</v>
      </c>
      <c r="S42" s="85">
        <f t="shared" si="10"/>
        <v>0</v>
      </c>
      <c r="T42" s="85">
        <f t="shared" si="10"/>
        <v>0</v>
      </c>
      <c r="U42" s="85">
        <f t="shared" si="10"/>
        <v>0</v>
      </c>
      <c r="V42" s="85">
        <f t="shared" si="10"/>
        <v>0</v>
      </c>
      <c r="W42"/>
      <c r="X42"/>
      <c r="Y42"/>
      <c r="Z42"/>
      <c r="AA42" s="309"/>
      <c r="AB42" s="309"/>
      <c r="AC42" s="85"/>
      <c r="AD42" s="85"/>
      <c r="AE42" s="85"/>
      <c r="AF42" s="85"/>
      <c r="AG42" s="85"/>
      <c r="AH42" s="85"/>
    </row>
    <row r="43" spans="1:34">
      <c r="A43" s="85" t="s">
        <v>236</v>
      </c>
      <c r="B43" s="727">
        <f>B40</f>
        <v>83000</v>
      </c>
      <c r="C43" s="85">
        <f t="shared" ref="C43:R43" si="11">C40-C41</f>
        <v>74922.099018372508</v>
      </c>
      <c r="D43" s="85">
        <f t="shared" si="11"/>
        <v>51205.945649363362</v>
      </c>
      <c r="E43" s="85">
        <f t="shared" si="11"/>
        <v>25967.3476696297</v>
      </c>
      <c r="F43" s="85">
        <f t="shared" si="11"/>
        <v>0</v>
      </c>
      <c r="G43" s="85">
        <f t="shared" si="11"/>
        <v>0</v>
      </c>
      <c r="H43" s="85">
        <f t="shared" si="11"/>
        <v>0</v>
      </c>
      <c r="I43" s="85">
        <f t="shared" si="11"/>
        <v>0</v>
      </c>
      <c r="J43" s="85">
        <f t="shared" si="11"/>
        <v>0</v>
      </c>
      <c r="K43" s="85">
        <f t="shared" si="11"/>
        <v>0</v>
      </c>
      <c r="L43" s="85">
        <f t="shared" si="11"/>
        <v>0</v>
      </c>
      <c r="M43" s="85">
        <f t="shared" si="11"/>
        <v>0</v>
      </c>
      <c r="N43" s="85">
        <f t="shared" si="11"/>
        <v>0</v>
      </c>
      <c r="O43" s="85">
        <f t="shared" si="11"/>
        <v>0</v>
      </c>
      <c r="P43" s="85">
        <f t="shared" si="11"/>
        <v>0</v>
      </c>
      <c r="Q43" s="85">
        <f t="shared" si="11"/>
        <v>0</v>
      </c>
      <c r="R43" s="85">
        <f t="shared" si="11"/>
        <v>0</v>
      </c>
      <c r="S43" s="85">
        <f>S40-S41</f>
        <v>0</v>
      </c>
      <c r="T43" s="85">
        <f>T40-T41</f>
        <v>0</v>
      </c>
      <c r="U43" s="85">
        <f>U40-U41</f>
        <v>0</v>
      </c>
      <c r="V43" s="85">
        <f>V40-V41</f>
        <v>0</v>
      </c>
      <c r="W43"/>
      <c r="X43"/>
      <c r="Y43"/>
      <c r="Z43"/>
      <c r="AA43" s="309"/>
      <c r="AB43" s="309"/>
      <c r="AC43" s="85"/>
      <c r="AD43" s="85"/>
      <c r="AE43" s="85"/>
      <c r="AF43" s="85"/>
      <c r="AG43" s="85"/>
      <c r="AH43" s="85"/>
    </row>
    <row r="44" spans="1:34">
      <c r="A44" s="85"/>
      <c r="B44" s="72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/>
      <c r="X44"/>
      <c r="Y44"/>
      <c r="Z44"/>
      <c r="AA44" s="309"/>
      <c r="AB44" s="309"/>
      <c r="AC44" s="85"/>
      <c r="AD44" s="85"/>
      <c r="AE44" s="85"/>
      <c r="AF44" s="85"/>
      <c r="AG44" s="85"/>
      <c r="AH44" s="85"/>
    </row>
    <row r="45" spans="1:34">
      <c r="A45" s="89" t="s">
        <v>355</v>
      </c>
      <c r="B45" s="727">
        <v>0</v>
      </c>
      <c r="C45" s="85">
        <f>C32+C37+B42</f>
        <v>3937.7591629001963</v>
      </c>
      <c r="D45" s="85">
        <f>D32+D37+C42</f>
        <v>5690.9973560601175</v>
      </c>
      <c r="E45" s="85">
        <f t="shared" ref="E45:V45" si="12">E32+E37+D42</f>
        <v>3677.0066550478123</v>
      </c>
      <c r="F45" s="85">
        <f t="shared" si="12"/>
        <v>1063.3628870713362</v>
      </c>
      <c r="G45" s="85">
        <f t="shared" si="12"/>
        <v>0</v>
      </c>
      <c r="H45" s="85">
        <f t="shared" si="12"/>
        <v>0</v>
      </c>
      <c r="I45" s="85">
        <f t="shared" si="12"/>
        <v>0</v>
      </c>
      <c r="J45" s="85">
        <f t="shared" si="12"/>
        <v>0</v>
      </c>
      <c r="K45" s="85">
        <f t="shared" si="12"/>
        <v>0</v>
      </c>
      <c r="L45" s="85">
        <f t="shared" si="12"/>
        <v>0</v>
      </c>
      <c r="M45" s="85">
        <f t="shared" si="12"/>
        <v>0</v>
      </c>
      <c r="N45" s="85">
        <f t="shared" si="12"/>
        <v>0</v>
      </c>
      <c r="O45" s="85">
        <f t="shared" si="12"/>
        <v>0</v>
      </c>
      <c r="P45" s="85">
        <f t="shared" si="12"/>
        <v>0</v>
      </c>
      <c r="Q45" s="85">
        <f t="shared" si="12"/>
        <v>0</v>
      </c>
      <c r="R45" s="85">
        <f t="shared" si="12"/>
        <v>0</v>
      </c>
      <c r="S45" s="85">
        <f t="shared" si="12"/>
        <v>0</v>
      </c>
      <c r="T45" s="85">
        <f t="shared" si="12"/>
        <v>0</v>
      </c>
      <c r="U45" s="85">
        <f t="shared" si="12"/>
        <v>0</v>
      </c>
      <c r="V45" s="85">
        <f t="shared" si="12"/>
        <v>0</v>
      </c>
      <c r="W45"/>
      <c r="X45"/>
      <c r="Y45"/>
      <c r="Z45"/>
      <c r="AA45" s="309"/>
      <c r="AB45" s="309"/>
      <c r="AC45" s="85"/>
      <c r="AD45" s="85"/>
      <c r="AE45" s="85"/>
      <c r="AF45" s="85"/>
      <c r="AG45" s="85"/>
      <c r="AH45" s="85"/>
    </row>
    <row r="46" spans="1:34">
      <c r="A46" s="21" t="s">
        <v>356</v>
      </c>
      <c r="B46" s="727">
        <f>B32+B37+B42</f>
        <v>0</v>
      </c>
      <c r="C46" s="85">
        <f>C32+C37+C42</f>
        <v>6494.4757919021577</v>
      </c>
      <c r="D46" s="85">
        <f t="shared" ref="D46:V46" si="13">D32+D37+D42</f>
        <v>4881.6836223426808</v>
      </c>
      <c r="E46" s="85">
        <f t="shared" si="13"/>
        <v>2815.7394989894015</v>
      </c>
      <c r="F46" s="85">
        <f t="shared" si="13"/>
        <v>177.2271478452227</v>
      </c>
      <c r="G46" s="85">
        <f t="shared" si="13"/>
        <v>0</v>
      </c>
      <c r="H46" s="85">
        <f t="shared" si="13"/>
        <v>0</v>
      </c>
      <c r="I46" s="85">
        <f t="shared" si="13"/>
        <v>0</v>
      </c>
      <c r="J46" s="85">
        <f t="shared" si="13"/>
        <v>0</v>
      </c>
      <c r="K46" s="85">
        <f t="shared" si="13"/>
        <v>0</v>
      </c>
      <c r="L46" s="85">
        <f t="shared" si="13"/>
        <v>0</v>
      </c>
      <c r="M46" s="85">
        <f t="shared" si="13"/>
        <v>0</v>
      </c>
      <c r="N46" s="85">
        <f t="shared" si="13"/>
        <v>0</v>
      </c>
      <c r="O46" s="85">
        <f t="shared" si="13"/>
        <v>0</v>
      </c>
      <c r="P46" s="85">
        <f t="shared" si="13"/>
        <v>0</v>
      </c>
      <c r="Q46" s="85">
        <f t="shared" si="13"/>
        <v>0</v>
      </c>
      <c r="R46" s="85">
        <f t="shared" si="13"/>
        <v>0</v>
      </c>
      <c r="S46" s="85">
        <f t="shared" si="13"/>
        <v>0</v>
      </c>
      <c r="T46" s="85">
        <f t="shared" si="13"/>
        <v>0</v>
      </c>
      <c r="U46" s="85">
        <f t="shared" si="13"/>
        <v>0</v>
      </c>
      <c r="V46" s="85">
        <f t="shared" si="13"/>
        <v>0</v>
      </c>
      <c r="W46"/>
      <c r="X46"/>
      <c r="Y46"/>
      <c r="Z46"/>
      <c r="AA46" s="22"/>
      <c r="AB46" s="22"/>
    </row>
    <row r="47" spans="1:34">
      <c r="A47" s="89" t="s">
        <v>373</v>
      </c>
      <c r="B47" s="727">
        <f>B31+B36</f>
        <v>0</v>
      </c>
      <c r="C47" s="727">
        <f>C31+C36+B41</f>
        <v>8077.9009816274893</v>
      </c>
      <c r="D47" s="727">
        <f t="shared" ref="D47:V47" si="14">D31+D36+C41</f>
        <v>23716.153369009142</v>
      </c>
      <c r="E47" s="727">
        <f t="shared" si="14"/>
        <v>25238.597979733666</v>
      </c>
      <c r="F47" s="727">
        <f t="shared" si="14"/>
        <v>25967.347669629697</v>
      </c>
      <c r="G47" s="727">
        <f t="shared" si="14"/>
        <v>0</v>
      </c>
      <c r="H47" s="727">
        <f t="shared" si="14"/>
        <v>0</v>
      </c>
      <c r="I47" s="727">
        <f t="shared" si="14"/>
        <v>0</v>
      </c>
      <c r="J47" s="727">
        <f t="shared" si="14"/>
        <v>0</v>
      </c>
      <c r="K47" s="727">
        <f t="shared" si="14"/>
        <v>0</v>
      </c>
      <c r="L47" s="727">
        <f t="shared" si="14"/>
        <v>0</v>
      </c>
      <c r="M47" s="727">
        <f t="shared" si="14"/>
        <v>0</v>
      </c>
      <c r="N47" s="727">
        <f t="shared" si="14"/>
        <v>0</v>
      </c>
      <c r="O47" s="727">
        <f t="shared" si="14"/>
        <v>0</v>
      </c>
      <c r="P47" s="727">
        <f t="shared" si="14"/>
        <v>0</v>
      </c>
      <c r="Q47" s="727">
        <f t="shared" si="14"/>
        <v>0</v>
      </c>
      <c r="R47" s="727">
        <f t="shared" si="14"/>
        <v>0</v>
      </c>
      <c r="S47" s="727">
        <f t="shared" si="14"/>
        <v>0</v>
      </c>
      <c r="T47" s="727">
        <f t="shared" si="14"/>
        <v>0</v>
      </c>
      <c r="U47" s="727">
        <f t="shared" si="14"/>
        <v>0</v>
      </c>
      <c r="V47" s="727">
        <f t="shared" si="14"/>
        <v>0</v>
      </c>
      <c r="W47"/>
      <c r="X47"/>
      <c r="Y47"/>
      <c r="Z47"/>
      <c r="AA47" s="22"/>
      <c r="AB47" s="22"/>
    </row>
    <row r="48" spans="1:34">
      <c r="A48" s="89" t="s">
        <v>370</v>
      </c>
      <c r="B48" s="727">
        <f>B41</f>
        <v>0</v>
      </c>
      <c r="C48" s="727">
        <f t="shared" ref="C48:V48" si="15">C41</f>
        <v>0</v>
      </c>
      <c r="D48" s="727">
        <f t="shared" si="15"/>
        <v>0</v>
      </c>
      <c r="E48" s="727">
        <f t="shared" si="15"/>
        <v>0</v>
      </c>
      <c r="F48" s="727">
        <f t="shared" si="15"/>
        <v>0</v>
      </c>
      <c r="G48" s="727">
        <f t="shared" si="15"/>
        <v>0</v>
      </c>
      <c r="H48" s="727">
        <f t="shared" si="15"/>
        <v>0</v>
      </c>
      <c r="I48" s="727">
        <f t="shared" si="15"/>
        <v>0</v>
      </c>
      <c r="J48" s="727">
        <f t="shared" si="15"/>
        <v>0</v>
      </c>
      <c r="K48" s="727">
        <f t="shared" si="15"/>
        <v>0</v>
      </c>
      <c r="L48" s="727">
        <f t="shared" si="15"/>
        <v>0</v>
      </c>
      <c r="M48" s="727">
        <f t="shared" si="15"/>
        <v>0</v>
      </c>
      <c r="N48" s="727">
        <f t="shared" si="15"/>
        <v>0</v>
      </c>
      <c r="O48" s="727">
        <f t="shared" si="15"/>
        <v>0</v>
      </c>
      <c r="P48" s="727">
        <f t="shared" si="15"/>
        <v>0</v>
      </c>
      <c r="Q48" s="727">
        <f t="shared" si="15"/>
        <v>0</v>
      </c>
      <c r="R48" s="727">
        <f t="shared" si="15"/>
        <v>0</v>
      </c>
      <c r="S48" s="727">
        <f t="shared" si="15"/>
        <v>0</v>
      </c>
      <c r="T48" s="727">
        <f t="shared" si="15"/>
        <v>0</v>
      </c>
      <c r="U48" s="727">
        <f t="shared" si="15"/>
        <v>0</v>
      </c>
      <c r="V48" s="727">
        <f t="shared" si="15"/>
        <v>0</v>
      </c>
      <c r="W48"/>
      <c r="X48"/>
      <c r="Y48"/>
      <c r="Z48"/>
      <c r="AA48" s="22"/>
      <c r="AB48" s="22"/>
    </row>
    <row r="49" spans="1:34">
      <c r="B49" s="23"/>
      <c r="W49"/>
      <c r="X49"/>
      <c r="Y49"/>
      <c r="Z49"/>
      <c r="AA49" s="22"/>
      <c r="AB49" s="22"/>
    </row>
    <row r="50" spans="1:34">
      <c r="B50" s="23"/>
      <c r="W50"/>
      <c r="X50"/>
      <c r="Y50"/>
      <c r="Z50"/>
      <c r="AA50" s="22"/>
      <c r="AB50" s="22"/>
    </row>
    <row r="51" spans="1:34">
      <c r="A51" s="82" t="str">
        <f>CONCATENATE("Tranche 2 @ ",L7*100,"%")</f>
        <v>Tranche 2 @ 9.72%</v>
      </c>
      <c r="B51" s="23"/>
      <c r="C51" s="83"/>
      <c r="AA51" s="22"/>
      <c r="AB51" s="22"/>
      <c r="AF51" s="7"/>
    </row>
    <row r="52" spans="1:34">
      <c r="A52" s="84" t="s">
        <v>375</v>
      </c>
      <c r="B52" s="727"/>
      <c r="AA52" s="22"/>
      <c r="AB52" s="22"/>
      <c r="AF52" s="7"/>
    </row>
    <row r="53" spans="1:34">
      <c r="A53" s="85" t="s">
        <v>233</v>
      </c>
      <c r="B53" s="728">
        <f>L10</f>
        <v>215000</v>
      </c>
      <c r="C53" s="85">
        <f>B66</f>
        <v>215000</v>
      </c>
      <c r="D53" s="85">
        <f t="shared" ref="D53:V53" si="16">C66</f>
        <v>215000</v>
      </c>
      <c r="E53" s="85">
        <f t="shared" si="16"/>
        <v>215000</v>
      </c>
      <c r="F53" s="85">
        <f t="shared" si="16"/>
        <v>215000</v>
      </c>
      <c r="G53" s="85">
        <f t="shared" si="16"/>
        <v>194897.25703195235</v>
      </c>
      <c r="H53" s="85">
        <f t="shared" si="16"/>
        <v>173139.25703195235</v>
      </c>
      <c r="I53" s="85">
        <f t="shared" si="16"/>
        <v>147489.75703195235</v>
      </c>
      <c r="J53" s="85">
        <f t="shared" si="16"/>
        <v>118787.25703195235</v>
      </c>
      <c r="K53" s="85">
        <f t="shared" si="16"/>
        <v>85247.257031952351</v>
      </c>
      <c r="L53" s="85">
        <f t="shared" si="16"/>
        <v>47407.257031952351</v>
      </c>
      <c r="M53" s="85">
        <f t="shared" si="16"/>
        <v>0</v>
      </c>
      <c r="N53" s="85">
        <f t="shared" si="16"/>
        <v>0</v>
      </c>
      <c r="O53" s="85">
        <f t="shared" si="16"/>
        <v>0</v>
      </c>
      <c r="P53" s="85">
        <f t="shared" si="16"/>
        <v>0</v>
      </c>
      <c r="Q53" s="85">
        <f t="shared" si="16"/>
        <v>0</v>
      </c>
      <c r="R53" s="85">
        <f t="shared" si="16"/>
        <v>0</v>
      </c>
      <c r="S53" s="85">
        <f t="shared" si="16"/>
        <v>0</v>
      </c>
      <c r="T53" s="85">
        <f t="shared" si="16"/>
        <v>0</v>
      </c>
      <c r="U53" s="85">
        <f t="shared" si="16"/>
        <v>0</v>
      </c>
      <c r="V53" s="85">
        <f t="shared" si="16"/>
        <v>0</v>
      </c>
      <c r="W53" s="85"/>
      <c r="X53" s="85"/>
      <c r="Y53" s="85"/>
      <c r="Z53" s="85"/>
      <c r="AA53" s="309"/>
      <c r="AB53" s="309"/>
      <c r="AC53" s="85"/>
      <c r="AD53" s="85"/>
      <c r="AE53" s="85"/>
      <c r="AF53" s="719"/>
      <c r="AG53" s="85"/>
      <c r="AH53" s="31"/>
    </row>
    <row r="54" spans="1:34">
      <c r="A54" s="85" t="s">
        <v>234</v>
      </c>
      <c r="B54" s="727">
        <v>0</v>
      </c>
      <c r="C54" s="85">
        <f>$B$53*C23*1/12</f>
        <v>0</v>
      </c>
      <c r="D54" s="85">
        <f t="shared" ref="D54:V54" si="17">$B$53*D23*6/12</f>
        <v>0</v>
      </c>
      <c r="E54" s="85">
        <f t="shared" si="17"/>
        <v>0</v>
      </c>
      <c r="F54" s="85">
        <v>0</v>
      </c>
      <c r="G54" s="796">
        <f>$B$53*G23*5/12</f>
        <v>9065.8333333333339</v>
      </c>
      <c r="H54" s="85">
        <f t="shared" si="17"/>
        <v>12824.75</v>
      </c>
      <c r="I54" s="85">
        <f t="shared" si="17"/>
        <v>14351.25</v>
      </c>
      <c r="J54" s="85">
        <f t="shared" si="17"/>
        <v>16770</v>
      </c>
      <c r="K54" s="85">
        <f t="shared" si="17"/>
        <v>18920</v>
      </c>
      <c r="L54" s="85">
        <f t="shared" si="17"/>
        <v>23703.628515976179</v>
      </c>
      <c r="M54" s="85">
        <f t="shared" si="17"/>
        <v>0</v>
      </c>
      <c r="N54" s="85">
        <f t="shared" si="17"/>
        <v>0</v>
      </c>
      <c r="O54" s="85">
        <f t="shared" si="17"/>
        <v>0</v>
      </c>
      <c r="P54" s="85">
        <f t="shared" si="17"/>
        <v>0</v>
      </c>
      <c r="Q54" s="85">
        <f t="shared" si="17"/>
        <v>0</v>
      </c>
      <c r="R54" s="85">
        <f t="shared" si="17"/>
        <v>0</v>
      </c>
      <c r="S54" s="85">
        <f t="shared" si="17"/>
        <v>0</v>
      </c>
      <c r="T54" s="85">
        <f t="shared" si="17"/>
        <v>0</v>
      </c>
      <c r="U54" s="85">
        <f t="shared" si="17"/>
        <v>0</v>
      </c>
      <c r="V54" s="85">
        <f t="shared" si="17"/>
        <v>0</v>
      </c>
      <c r="W54" s="85"/>
      <c r="X54" s="85"/>
      <c r="Y54" s="85"/>
      <c r="Z54" s="85"/>
      <c r="AA54" s="309"/>
      <c r="AB54" s="309"/>
      <c r="AC54" s="85"/>
      <c r="AD54" s="85"/>
      <c r="AE54" s="85"/>
      <c r="AF54" s="720"/>
      <c r="AG54" s="85"/>
      <c r="AH54" s="31"/>
    </row>
    <row r="55" spans="1:34">
      <c r="A55" s="85" t="s">
        <v>235</v>
      </c>
      <c r="B55" s="727">
        <v>0</v>
      </c>
      <c r="C55" s="85">
        <f>C53*$L$7*1/12</f>
        <v>1741.5000000000002</v>
      </c>
      <c r="D55" s="85">
        <f t="shared" ref="D55:V55" si="18">D53*$L$7*1/12</f>
        <v>1741.5000000000002</v>
      </c>
      <c r="E55" s="85">
        <f t="shared" si="18"/>
        <v>1741.5000000000002</v>
      </c>
      <c r="F55" s="85">
        <f t="shared" si="18"/>
        <v>1741.5000000000002</v>
      </c>
      <c r="G55" s="85">
        <f t="shared" si="18"/>
        <v>1578.6677819588142</v>
      </c>
      <c r="H55" s="85">
        <f t="shared" si="18"/>
        <v>1402.4279819588144</v>
      </c>
      <c r="I55" s="85">
        <f t="shared" si="18"/>
        <v>1194.6670319588141</v>
      </c>
      <c r="J55" s="85">
        <f t="shared" si="18"/>
        <v>962.1767819588141</v>
      </c>
      <c r="K55" s="85">
        <f t="shared" si="18"/>
        <v>690.50278195881413</v>
      </c>
      <c r="L55" s="85">
        <f t="shared" si="18"/>
        <v>383.99878195881411</v>
      </c>
      <c r="M55" s="85">
        <f t="shared" si="18"/>
        <v>0</v>
      </c>
      <c r="N55" s="85">
        <f t="shared" si="18"/>
        <v>0</v>
      </c>
      <c r="O55" s="85">
        <f t="shared" si="18"/>
        <v>0</v>
      </c>
      <c r="P55" s="85">
        <f t="shared" si="18"/>
        <v>0</v>
      </c>
      <c r="Q55" s="85">
        <f t="shared" si="18"/>
        <v>0</v>
      </c>
      <c r="R55" s="85">
        <f t="shared" si="18"/>
        <v>0</v>
      </c>
      <c r="S55" s="85">
        <f t="shared" si="18"/>
        <v>0</v>
      </c>
      <c r="T55" s="85">
        <f t="shared" si="18"/>
        <v>0</v>
      </c>
      <c r="U55" s="85">
        <f t="shared" si="18"/>
        <v>0</v>
      </c>
      <c r="V55" s="85">
        <f t="shared" si="18"/>
        <v>0</v>
      </c>
      <c r="W55" s="85"/>
      <c r="X55" s="85"/>
      <c r="Y55" s="85"/>
      <c r="Z55" s="85"/>
      <c r="AA55" s="309"/>
      <c r="AB55" s="309"/>
      <c r="AC55" s="85"/>
      <c r="AD55" s="85"/>
      <c r="AE55" s="85"/>
      <c r="AF55" s="720"/>
      <c r="AG55" s="85"/>
      <c r="AH55" s="31"/>
    </row>
    <row r="56" spans="1:34">
      <c r="A56" s="85" t="s">
        <v>236</v>
      </c>
      <c r="B56" s="727">
        <f>B53-B54</f>
        <v>215000</v>
      </c>
      <c r="C56" s="85">
        <f t="shared" ref="C56:R56" si="19">C53-C54</f>
        <v>215000</v>
      </c>
      <c r="D56" s="85">
        <f t="shared" si="19"/>
        <v>215000</v>
      </c>
      <c r="E56" s="85">
        <f t="shared" si="19"/>
        <v>215000</v>
      </c>
      <c r="F56" s="85">
        <f t="shared" si="19"/>
        <v>215000</v>
      </c>
      <c r="G56" s="85">
        <f t="shared" si="19"/>
        <v>185831.42369861901</v>
      </c>
      <c r="H56" s="85">
        <f t="shared" si="19"/>
        <v>160314.50703195235</v>
      </c>
      <c r="I56" s="85">
        <f t="shared" si="19"/>
        <v>133138.50703195235</v>
      </c>
      <c r="J56" s="85">
        <f t="shared" si="19"/>
        <v>102017.25703195235</v>
      </c>
      <c r="K56" s="85">
        <f t="shared" si="19"/>
        <v>66327.257031952351</v>
      </c>
      <c r="L56" s="85">
        <f t="shared" si="19"/>
        <v>23703.628515976172</v>
      </c>
      <c r="M56" s="85">
        <f t="shared" si="19"/>
        <v>0</v>
      </c>
      <c r="N56" s="85">
        <f t="shared" si="19"/>
        <v>0</v>
      </c>
      <c r="O56" s="85">
        <f t="shared" si="19"/>
        <v>0</v>
      </c>
      <c r="P56" s="85">
        <f t="shared" si="19"/>
        <v>0</v>
      </c>
      <c r="Q56" s="85">
        <f t="shared" si="19"/>
        <v>0</v>
      </c>
      <c r="R56" s="85">
        <f t="shared" si="19"/>
        <v>0</v>
      </c>
      <c r="S56" s="85">
        <f>S53-S54</f>
        <v>0</v>
      </c>
      <c r="T56" s="85">
        <f>T53-T54</f>
        <v>0</v>
      </c>
      <c r="U56" s="85">
        <f>U53-U54</f>
        <v>0</v>
      </c>
      <c r="V56" s="85">
        <f>V53-V54</f>
        <v>0</v>
      </c>
      <c r="W56" s="85"/>
      <c r="X56" s="85"/>
      <c r="Y56" s="85"/>
      <c r="Z56" s="85"/>
      <c r="AA56" s="309"/>
      <c r="AB56" s="309"/>
      <c r="AC56" s="85"/>
      <c r="AD56" s="85"/>
      <c r="AE56" s="85"/>
      <c r="AF56" s="720"/>
      <c r="AG56" s="85"/>
      <c r="AH56" s="31"/>
    </row>
    <row r="57" spans="1:34">
      <c r="A57" s="84" t="s">
        <v>376</v>
      </c>
      <c r="B57" s="72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309"/>
      <c r="AB57" s="309"/>
      <c r="AC57" s="85"/>
      <c r="AD57" s="85"/>
      <c r="AE57" s="85"/>
      <c r="AF57" s="720"/>
      <c r="AG57" s="85"/>
      <c r="AH57" s="31"/>
    </row>
    <row r="58" spans="1:34">
      <c r="A58" s="85" t="s">
        <v>233</v>
      </c>
      <c r="B58" s="727">
        <f>B56</f>
        <v>215000</v>
      </c>
      <c r="C58" s="85">
        <f t="shared" ref="C58:V58" si="20">C56</f>
        <v>215000</v>
      </c>
      <c r="D58" s="85">
        <f t="shared" si="20"/>
        <v>215000</v>
      </c>
      <c r="E58" s="85">
        <f t="shared" si="20"/>
        <v>215000</v>
      </c>
      <c r="F58" s="85">
        <f t="shared" si="20"/>
        <v>215000</v>
      </c>
      <c r="G58" s="85">
        <f t="shared" si="20"/>
        <v>185831.42369861901</v>
      </c>
      <c r="H58" s="85">
        <f t="shared" si="20"/>
        <v>160314.50703195235</v>
      </c>
      <c r="I58" s="85">
        <f t="shared" si="20"/>
        <v>133138.50703195235</v>
      </c>
      <c r="J58" s="85">
        <f t="shared" si="20"/>
        <v>102017.25703195235</v>
      </c>
      <c r="K58" s="85">
        <f t="shared" si="20"/>
        <v>66327.257031952351</v>
      </c>
      <c r="L58" s="85">
        <f t="shared" si="20"/>
        <v>23703.628515976172</v>
      </c>
      <c r="M58" s="85">
        <f t="shared" si="20"/>
        <v>0</v>
      </c>
      <c r="N58" s="85">
        <f t="shared" si="20"/>
        <v>0</v>
      </c>
      <c r="O58" s="85">
        <f t="shared" si="20"/>
        <v>0</v>
      </c>
      <c r="P58" s="85">
        <f t="shared" si="20"/>
        <v>0</v>
      </c>
      <c r="Q58" s="85">
        <f t="shared" si="20"/>
        <v>0</v>
      </c>
      <c r="R58" s="85">
        <f t="shared" si="20"/>
        <v>0</v>
      </c>
      <c r="S58" s="85">
        <f t="shared" si="20"/>
        <v>0</v>
      </c>
      <c r="T58" s="85">
        <f t="shared" si="20"/>
        <v>0</v>
      </c>
      <c r="U58" s="85">
        <f t="shared" si="20"/>
        <v>0</v>
      </c>
      <c r="V58" s="85">
        <f t="shared" si="20"/>
        <v>0</v>
      </c>
      <c r="W58" s="85"/>
      <c r="X58" s="85"/>
      <c r="Y58" s="85"/>
      <c r="Z58" s="85"/>
      <c r="AA58" s="309"/>
      <c r="AB58" s="309"/>
      <c r="AC58" s="85"/>
      <c r="AD58" s="85"/>
      <c r="AE58" s="85"/>
      <c r="AF58" s="720"/>
      <c r="AG58" s="85"/>
      <c r="AH58" s="31"/>
    </row>
    <row r="59" spans="1:34">
      <c r="A59" s="85" t="s">
        <v>234</v>
      </c>
      <c r="B59" s="727">
        <v>0</v>
      </c>
      <c r="C59" s="85">
        <f>$B$53*6/12*C23</f>
        <v>0</v>
      </c>
      <c r="D59" s="85">
        <f t="shared" ref="D59:V59" si="21">$B$53*6/12*D23</f>
        <v>0</v>
      </c>
      <c r="E59" s="85">
        <f t="shared" si="21"/>
        <v>0</v>
      </c>
      <c r="F59" s="85">
        <f>$B$53*F23</f>
        <v>20102.742968047642</v>
      </c>
      <c r="G59" s="796">
        <f>$B$53*7/12*G23</f>
        <v>12692.166666666666</v>
      </c>
      <c r="H59" s="85">
        <f t="shared" si="21"/>
        <v>12824.75</v>
      </c>
      <c r="I59" s="85">
        <f t="shared" si="21"/>
        <v>14351.25</v>
      </c>
      <c r="J59" s="85">
        <f t="shared" si="21"/>
        <v>16770</v>
      </c>
      <c r="K59" s="85">
        <f t="shared" si="21"/>
        <v>18920</v>
      </c>
      <c r="L59" s="85">
        <f t="shared" si="21"/>
        <v>23703.628515976179</v>
      </c>
      <c r="M59" s="85">
        <f t="shared" si="21"/>
        <v>0</v>
      </c>
      <c r="N59" s="85">
        <f t="shared" si="21"/>
        <v>0</v>
      </c>
      <c r="O59" s="85">
        <f t="shared" si="21"/>
        <v>0</v>
      </c>
      <c r="P59" s="85">
        <f t="shared" si="21"/>
        <v>0</v>
      </c>
      <c r="Q59" s="85">
        <f t="shared" si="21"/>
        <v>0</v>
      </c>
      <c r="R59" s="85">
        <f t="shared" si="21"/>
        <v>0</v>
      </c>
      <c r="S59" s="85">
        <f t="shared" si="21"/>
        <v>0</v>
      </c>
      <c r="T59" s="85">
        <f t="shared" si="21"/>
        <v>0</v>
      </c>
      <c r="U59" s="85">
        <f t="shared" si="21"/>
        <v>0</v>
      </c>
      <c r="V59" s="85">
        <f t="shared" si="21"/>
        <v>0</v>
      </c>
      <c r="W59" s="85"/>
      <c r="X59" s="85"/>
      <c r="Y59" s="85"/>
      <c r="Z59" s="85"/>
      <c r="AA59" s="309"/>
      <c r="AB59" s="309"/>
      <c r="AC59" s="85"/>
      <c r="AD59" s="85"/>
      <c r="AE59" s="85"/>
      <c r="AF59" s="720"/>
      <c r="AG59" s="85"/>
      <c r="AH59" s="31"/>
    </row>
    <row r="60" spans="1:34">
      <c r="A60" s="85" t="s">
        <v>235</v>
      </c>
      <c r="B60" s="727">
        <v>0</v>
      </c>
      <c r="C60" s="85">
        <f t="shared" ref="C60:V60" si="22">C58*$L$7*0.5</f>
        <v>10449.000000000002</v>
      </c>
      <c r="D60" s="85">
        <f t="shared" si="22"/>
        <v>10449.000000000002</v>
      </c>
      <c r="E60" s="85">
        <f t="shared" si="22"/>
        <v>10449.000000000002</v>
      </c>
      <c r="F60" s="85">
        <f t="shared" si="22"/>
        <v>10449.000000000002</v>
      </c>
      <c r="G60" s="85">
        <f t="shared" si="22"/>
        <v>9031.4071917528854</v>
      </c>
      <c r="H60" s="85">
        <f t="shared" si="22"/>
        <v>7791.2850417528853</v>
      </c>
      <c r="I60" s="85">
        <f t="shared" si="22"/>
        <v>6470.5314417528853</v>
      </c>
      <c r="J60" s="85">
        <f t="shared" si="22"/>
        <v>4958.0386917528849</v>
      </c>
      <c r="K60" s="85">
        <f t="shared" si="22"/>
        <v>3223.5046917528844</v>
      </c>
      <c r="L60" s="85">
        <f t="shared" si="22"/>
        <v>1151.9963458764421</v>
      </c>
      <c r="M60" s="85">
        <f t="shared" si="22"/>
        <v>0</v>
      </c>
      <c r="N60" s="85">
        <f t="shared" si="22"/>
        <v>0</v>
      </c>
      <c r="O60" s="85">
        <f t="shared" si="22"/>
        <v>0</v>
      </c>
      <c r="P60" s="85">
        <f t="shared" si="22"/>
        <v>0</v>
      </c>
      <c r="Q60" s="85">
        <f t="shared" si="22"/>
        <v>0</v>
      </c>
      <c r="R60" s="85">
        <f t="shared" si="22"/>
        <v>0</v>
      </c>
      <c r="S60" s="85">
        <f t="shared" si="22"/>
        <v>0</v>
      </c>
      <c r="T60" s="85">
        <f t="shared" si="22"/>
        <v>0</v>
      </c>
      <c r="U60" s="85">
        <f t="shared" si="22"/>
        <v>0</v>
      </c>
      <c r="V60" s="85">
        <f t="shared" si="22"/>
        <v>0</v>
      </c>
      <c r="W60" s="85"/>
      <c r="X60" s="85"/>
      <c r="Y60" s="85"/>
      <c r="Z60" s="85"/>
      <c r="AA60" s="309"/>
      <c r="AB60" s="309"/>
      <c r="AC60" s="85"/>
      <c r="AD60" s="85"/>
      <c r="AE60" s="85"/>
      <c r="AF60" s="720"/>
      <c r="AG60" s="85"/>
      <c r="AH60" s="31"/>
    </row>
    <row r="61" spans="1:34">
      <c r="A61" s="85" t="s">
        <v>236</v>
      </c>
      <c r="B61" s="727">
        <f>B58-B59</f>
        <v>215000</v>
      </c>
      <c r="C61" s="85">
        <f t="shared" ref="C61:R61" si="23">C58-C59</f>
        <v>215000</v>
      </c>
      <c r="D61" s="85">
        <f t="shared" si="23"/>
        <v>215000</v>
      </c>
      <c r="E61" s="85">
        <f t="shared" si="23"/>
        <v>215000</v>
      </c>
      <c r="F61" s="85">
        <f t="shared" si="23"/>
        <v>194897.25703195235</v>
      </c>
      <c r="G61" s="85">
        <f t="shared" si="23"/>
        <v>173139.25703195235</v>
      </c>
      <c r="H61" s="85">
        <f t="shared" si="23"/>
        <v>147489.75703195235</v>
      </c>
      <c r="I61" s="85">
        <f t="shared" si="23"/>
        <v>118787.25703195235</v>
      </c>
      <c r="J61" s="85">
        <f t="shared" si="23"/>
        <v>85247.257031952351</v>
      </c>
      <c r="K61" s="85">
        <f t="shared" si="23"/>
        <v>47407.257031952351</v>
      </c>
      <c r="L61" s="85">
        <f t="shared" si="23"/>
        <v>0</v>
      </c>
      <c r="M61" s="85">
        <f t="shared" si="23"/>
        <v>0</v>
      </c>
      <c r="N61" s="85">
        <f t="shared" si="23"/>
        <v>0</v>
      </c>
      <c r="O61" s="85">
        <f t="shared" si="23"/>
        <v>0</v>
      </c>
      <c r="P61" s="85">
        <f t="shared" si="23"/>
        <v>0</v>
      </c>
      <c r="Q61" s="85">
        <f t="shared" si="23"/>
        <v>0</v>
      </c>
      <c r="R61" s="85">
        <f t="shared" si="23"/>
        <v>0</v>
      </c>
      <c r="S61" s="85">
        <f>S58-S59</f>
        <v>0</v>
      </c>
      <c r="T61" s="85">
        <f>T58-T59</f>
        <v>0</v>
      </c>
      <c r="U61" s="85">
        <f>U58-U59</f>
        <v>0</v>
      </c>
      <c r="V61" s="85">
        <f>V58-V59</f>
        <v>0</v>
      </c>
      <c r="W61" s="85"/>
      <c r="X61" s="85"/>
      <c r="Y61" s="85"/>
      <c r="Z61" s="85"/>
      <c r="AA61" s="309"/>
      <c r="AB61" s="309"/>
      <c r="AC61" s="85"/>
      <c r="AD61" s="85"/>
      <c r="AE61" s="85"/>
      <c r="AF61" s="720"/>
      <c r="AG61" s="85"/>
      <c r="AH61" s="31"/>
    </row>
    <row r="62" spans="1:34">
      <c r="A62" s="87" t="s">
        <v>377</v>
      </c>
      <c r="B62" s="727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309"/>
      <c r="AB62" s="309"/>
      <c r="AC62" s="85"/>
      <c r="AD62" s="85"/>
      <c r="AE62" s="85"/>
      <c r="AF62" s="720"/>
      <c r="AG62" s="85"/>
      <c r="AH62" s="31"/>
    </row>
    <row r="63" spans="1:34">
      <c r="A63" s="85" t="s">
        <v>233</v>
      </c>
      <c r="B63" s="727">
        <f>B61</f>
        <v>215000</v>
      </c>
      <c r="C63" s="85">
        <f t="shared" ref="C63:V63" si="24">C61</f>
        <v>215000</v>
      </c>
      <c r="D63" s="85">
        <f t="shared" si="24"/>
        <v>215000</v>
      </c>
      <c r="E63" s="85">
        <f t="shared" si="24"/>
        <v>215000</v>
      </c>
      <c r="F63" s="85">
        <f t="shared" si="24"/>
        <v>194897.25703195235</v>
      </c>
      <c r="G63" s="85">
        <f t="shared" si="24"/>
        <v>173139.25703195235</v>
      </c>
      <c r="H63" s="85">
        <f t="shared" si="24"/>
        <v>147489.75703195235</v>
      </c>
      <c r="I63" s="85">
        <f t="shared" si="24"/>
        <v>118787.25703195235</v>
      </c>
      <c r="J63" s="85">
        <f t="shared" si="24"/>
        <v>85247.257031952351</v>
      </c>
      <c r="K63" s="85">
        <f t="shared" si="24"/>
        <v>47407.257031952351</v>
      </c>
      <c r="L63" s="85">
        <f t="shared" si="24"/>
        <v>0</v>
      </c>
      <c r="M63" s="85">
        <f t="shared" si="24"/>
        <v>0</v>
      </c>
      <c r="N63" s="85">
        <f t="shared" si="24"/>
        <v>0</v>
      </c>
      <c r="O63" s="85">
        <f t="shared" si="24"/>
        <v>0</v>
      </c>
      <c r="P63" s="85">
        <f t="shared" si="24"/>
        <v>0</v>
      </c>
      <c r="Q63" s="85">
        <f t="shared" si="24"/>
        <v>0</v>
      </c>
      <c r="R63" s="85">
        <f t="shared" si="24"/>
        <v>0</v>
      </c>
      <c r="S63" s="85">
        <f t="shared" si="24"/>
        <v>0</v>
      </c>
      <c r="T63" s="85">
        <f t="shared" si="24"/>
        <v>0</v>
      </c>
      <c r="U63" s="85">
        <f t="shared" si="24"/>
        <v>0</v>
      </c>
      <c r="V63" s="85">
        <f t="shared" si="24"/>
        <v>0</v>
      </c>
      <c r="W63" s="85"/>
      <c r="X63" s="85"/>
      <c r="Y63" s="85"/>
      <c r="Z63" s="85"/>
      <c r="AA63" s="309"/>
      <c r="AB63" s="309"/>
      <c r="AC63" s="85"/>
      <c r="AD63" s="85"/>
      <c r="AE63" s="85"/>
      <c r="AF63" s="720"/>
      <c r="AG63" s="85"/>
      <c r="AH63" s="31"/>
    </row>
    <row r="64" spans="1:34">
      <c r="A64" s="85" t="s">
        <v>370</v>
      </c>
      <c r="B64" s="727">
        <f>B53*5/12*C23</f>
        <v>0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5">
        <v>0</v>
      </c>
      <c r="T64" s="85">
        <v>0</v>
      </c>
      <c r="U64" s="85">
        <v>0</v>
      </c>
      <c r="V64" s="85">
        <v>0</v>
      </c>
      <c r="W64" s="85"/>
      <c r="X64" s="85"/>
      <c r="Y64" s="85"/>
      <c r="Z64" s="85"/>
      <c r="AA64" s="309"/>
      <c r="AB64" s="309"/>
      <c r="AC64" s="85"/>
      <c r="AD64" s="85"/>
      <c r="AE64" s="85"/>
      <c r="AF64" s="720"/>
      <c r="AG64" s="85"/>
      <c r="AH64" s="31"/>
    </row>
    <row r="65" spans="1:34">
      <c r="A65" s="85" t="s">
        <v>369</v>
      </c>
      <c r="B65" s="727">
        <f>B63*$L$7*(13-MONTH(Assumptions!C17))/12*0</f>
        <v>0</v>
      </c>
      <c r="C65" s="85">
        <f t="shared" ref="C65:V65" si="25">C63*$L$7*5/12</f>
        <v>8707.5000000000018</v>
      </c>
      <c r="D65" s="85">
        <f t="shared" si="25"/>
        <v>8707.5000000000018</v>
      </c>
      <c r="E65" s="85">
        <f t="shared" si="25"/>
        <v>8707.5000000000018</v>
      </c>
      <c r="F65" s="85">
        <f t="shared" si="25"/>
        <v>7893.3389097940717</v>
      </c>
      <c r="G65" s="85">
        <f t="shared" si="25"/>
        <v>7012.1399097940712</v>
      </c>
      <c r="H65" s="85">
        <f t="shared" si="25"/>
        <v>5973.3351597940709</v>
      </c>
      <c r="I65" s="85">
        <f t="shared" si="25"/>
        <v>4810.8839097940709</v>
      </c>
      <c r="J65" s="85">
        <f t="shared" si="25"/>
        <v>3452.5139097940705</v>
      </c>
      <c r="K65" s="85">
        <f t="shared" si="25"/>
        <v>1919.9939097940705</v>
      </c>
      <c r="L65" s="85">
        <f t="shared" si="25"/>
        <v>0</v>
      </c>
      <c r="M65" s="85">
        <f t="shared" si="25"/>
        <v>0</v>
      </c>
      <c r="N65" s="85">
        <f t="shared" si="25"/>
        <v>0</v>
      </c>
      <c r="O65" s="85">
        <f t="shared" si="25"/>
        <v>0</v>
      </c>
      <c r="P65" s="85">
        <f t="shared" si="25"/>
        <v>0</v>
      </c>
      <c r="Q65" s="85">
        <f t="shared" si="25"/>
        <v>0</v>
      </c>
      <c r="R65" s="85">
        <f t="shared" si="25"/>
        <v>0</v>
      </c>
      <c r="S65" s="85">
        <f t="shared" si="25"/>
        <v>0</v>
      </c>
      <c r="T65" s="85">
        <f t="shared" si="25"/>
        <v>0</v>
      </c>
      <c r="U65" s="85">
        <f t="shared" si="25"/>
        <v>0</v>
      </c>
      <c r="V65" s="85">
        <f t="shared" si="25"/>
        <v>0</v>
      </c>
      <c r="W65" s="85"/>
      <c r="X65" s="85"/>
      <c r="Y65" s="85"/>
      <c r="Z65" s="85"/>
      <c r="AA65" s="309"/>
      <c r="AB65" s="309"/>
      <c r="AC65" s="85"/>
      <c r="AD65" s="85"/>
      <c r="AE65" s="85"/>
      <c r="AF65" s="720"/>
      <c r="AG65" s="85"/>
      <c r="AH65" s="31"/>
    </row>
    <row r="66" spans="1:34">
      <c r="A66" s="85" t="s">
        <v>236</v>
      </c>
      <c r="B66" s="727">
        <f>B63-B64</f>
        <v>215000</v>
      </c>
      <c r="C66" s="85">
        <f t="shared" ref="C66:R66" si="26">C63-C64</f>
        <v>215000</v>
      </c>
      <c r="D66" s="85">
        <f t="shared" si="26"/>
        <v>215000</v>
      </c>
      <c r="E66" s="85">
        <f t="shared" si="26"/>
        <v>215000</v>
      </c>
      <c r="F66" s="85">
        <f t="shared" si="26"/>
        <v>194897.25703195235</v>
      </c>
      <c r="G66" s="85">
        <f t="shared" si="26"/>
        <v>173139.25703195235</v>
      </c>
      <c r="H66" s="85">
        <f t="shared" si="26"/>
        <v>147489.75703195235</v>
      </c>
      <c r="I66" s="85">
        <f t="shared" si="26"/>
        <v>118787.25703195235</v>
      </c>
      <c r="J66" s="85">
        <f t="shared" si="26"/>
        <v>85247.257031952351</v>
      </c>
      <c r="K66" s="85">
        <f t="shared" si="26"/>
        <v>47407.257031952351</v>
      </c>
      <c r="L66" s="85">
        <f t="shared" si="26"/>
        <v>0</v>
      </c>
      <c r="M66" s="85">
        <f t="shared" si="26"/>
        <v>0</v>
      </c>
      <c r="N66" s="85">
        <f t="shared" si="26"/>
        <v>0</v>
      </c>
      <c r="O66" s="85">
        <f t="shared" si="26"/>
        <v>0</v>
      </c>
      <c r="P66" s="85">
        <f t="shared" si="26"/>
        <v>0</v>
      </c>
      <c r="Q66" s="85">
        <f t="shared" si="26"/>
        <v>0</v>
      </c>
      <c r="R66" s="85">
        <f t="shared" si="26"/>
        <v>0</v>
      </c>
      <c r="S66" s="85">
        <f>S63-S64</f>
        <v>0</v>
      </c>
      <c r="T66" s="85">
        <f>T63-T64</f>
        <v>0</v>
      </c>
      <c r="U66" s="85">
        <f>U63-U64</f>
        <v>0</v>
      </c>
      <c r="V66" s="85">
        <f>V63-V64</f>
        <v>0</v>
      </c>
      <c r="W66" s="85"/>
      <c r="X66" s="85"/>
      <c r="Y66" s="85"/>
      <c r="Z66" s="85"/>
      <c r="AA66" s="309"/>
      <c r="AB66" s="309"/>
      <c r="AC66" s="85"/>
      <c r="AD66" s="85"/>
      <c r="AE66" s="85"/>
      <c r="AF66" s="720"/>
      <c r="AG66" s="85"/>
      <c r="AH66" s="31"/>
    </row>
    <row r="67" spans="1:34">
      <c r="A67" s="85"/>
      <c r="B67" s="727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309"/>
      <c r="AB67" s="309"/>
      <c r="AC67" s="85"/>
      <c r="AD67" s="85"/>
      <c r="AE67" s="85"/>
      <c r="AF67" s="720"/>
      <c r="AG67" s="85"/>
      <c r="AH67" s="31"/>
    </row>
    <row r="68" spans="1:34">
      <c r="A68" s="89" t="s">
        <v>355</v>
      </c>
      <c r="B68" s="727">
        <v>0</v>
      </c>
      <c r="C68" s="85">
        <f>C55+C60+B65</f>
        <v>12190.500000000002</v>
      </c>
      <c r="D68" s="85">
        <f>D55+D60+C65</f>
        <v>20898.000000000004</v>
      </c>
      <c r="E68" s="85">
        <f t="shared" ref="E68:V68" si="27">E55+E60+D65</f>
        <v>20898.000000000004</v>
      </c>
      <c r="F68" s="85">
        <f t="shared" si="27"/>
        <v>20898.000000000004</v>
      </c>
      <c r="G68" s="85">
        <f t="shared" si="27"/>
        <v>18503.413883505771</v>
      </c>
      <c r="H68" s="85">
        <f t="shared" si="27"/>
        <v>16205.852933505772</v>
      </c>
      <c r="I68" s="85">
        <f t="shared" si="27"/>
        <v>13638.533633505769</v>
      </c>
      <c r="J68" s="85">
        <f t="shared" si="27"/>
        <v>10731.099383505771</v>
      </c>
      <c r="K68" s="85">
        <f t="shared" si="27"/>
        <v>7366.5213835057693</v>
      </c>
      <c r="L68" s="85">
        <f t="shared" si="27"/>
        <v>3455.989037629327</v>
      </c>
      <c r="M68" s="85">
        <f t="shared" si="27"/>
        <v>0</v>
      </c>
      <c r="N68" s="85">
        <f t="shared" si="27"/>
        <v>0</v>
      </c>
      <c r="O68" s="85">
        <f t="shared" si="27"/>
        <v>0</v>
      </c>
      <c r="P68" s="85">
        <f t="shared" si="27"/>
        <v>0</v>
      </c>
      <c r="Q68" s="85">
        <f t="shared" si="27"/>
        <v>0</v>
      </c>
      <c r="R68" s="85">
        <f t="shared" si="27"/>
        <v>0</v>
      </c>
      <c r="S68" s="85">
        <f t="shared" si="27"/>
        <v>0</v>
      </c>
      <c r="T68" s="85">
        <f t="shared" si="27"/>
        <v>0</v>
      </c>
      <c r="U68" s="85">
        <f t="shared" si="27"/>
        <v>0</v>
      </c>
      <c r="V68" s="85">
        <f t="shared" si="27"/>
        <v>0</v>
      </c>
      <c r="W68" s="85"/>
      <c r="X68" s="85"/>
      <c r="Y68" s="85"/>
      <c r="Z68" s="85"/>
      <c r="AA68" s="309"/>
      <c r="AB68" s="309"/>
      <c r="AC68" s="85"/>
      <c r="AD68" s="85"/>
      <c r="AE68" s="85"/>
      <c r="AF68" s="720"/>
      <c r="AG68" s="85"/>
      <c r="AH68" s="31"/>
    </row>
    <row r="69" spans="1:34">
      <c r="A69" s="21" t="s">
        <v>356</v>
      </c>
      <c r="B69" s="727">
        <f>B55+B60+B65</f>
        <v>0</v>
      </c>
      <c r="C69" s="85">
        <f>C55+C60+C65</f>
        <v>20898.000000000004</v>
      </c>
      <c r="D69" s="85">
        <f t="shared" ref="D69:V69" si="28">D55+D60+D65</f>
        <v>20898.000000000004</v>
      </c>
      <c r="E69" s="85">
        <f t="shared" si="28"/>
        <v>20898.000000000004</v>
      </c>
      <c r="F69" s="85">
        <f t="shared" si="28"/>
        <v>20083.838909794074</v>
      </c>
      <c r="G69" s="85">
        <f t="shared" si="28"/>
        <v>17622.214883505771</v>
      </c>
      <c r="H69" s="85">
        <f t="shared" si="28"/>
        <v>15167.048183505771</v>
      </c>
      <c r="I69" s="85">
        <f t="shared" si="28"/>
        <v>12476.082383505771</v>
      </c>
      <c r="J69" s="85">
        <f t="shared" si="28"/>
        <v>9372.7293835057699</v>
      </c>
      <c r="K69" s="85">
        <f t="shared" si="28"/>
        <v>5834.0013835057689</v>
      </c>
      <c r="L69" s="85">
        <f t="shared" si="28"/>
        <v>1535.9951278352562</v>
      </c>
      <c r="M69" s="85">
        <f t="shared" si="28"/>
        <v>0</v>
      </c>
      <c r="N69" s="85">
        <f t="shared" si="28"/>
        <v>0</v>
      </c>
      <c r="O69" s="85">
        <f t="shared" si="28"/>
        <v>0</v>
      </c>
      <c r="P69" s="85">
        <f t="shared" si="28"/>
        <v>0</v>
      </c>
      <c r="Q69" s="85">
        <f t="shared" si="28"/>
        <v>0</v>
      </c>
      <c r="R69" s="85">
        <f t="shared" si="28"/>
        <v>0</v>
      </c>
      <c r="S69" s="85">
        <f t="shared" si="28"/>
        <v>0</v>
      </c>
      <c r="T69" s="85">
        <f t="shared" si="28"/>
        <v>0</v>
      </c>
      <c r="U69" s="85">
        <f t="shared" si="28"/>
        <v>0</v>
      </c>
      <c r="V69" s="85">
        <f t="shared" si="28"/>
        <v>0</v>
      </c>
      <c r="AA69" s="22"/>
      <c r="AB69" s="22"/>
      <c r="AF69" s="7"/>
      <c r="AG69" s="85"/>
      <c r="AH69" s="31"/>
    </row>
    <row r="70" spans="1:34">
      <c r="A70" s="89" t="s">
        <v>373</v>
      </c>
      <c r="B70" s="727">
        <f>B54+B59</f>
        <v>0</v>
      </c>
      <c r="C70" s="727">
        <f>C54+C59+B64</f>
        <v>0</v>
      </c>
      <c r="D70" s="727">
        <f t="shared" ref="D70:V70" si="29">D54+D59+C64</f>
        <v>0</v>
      </c>
      <c r="E70" s="727">
        <f t="shared" si="29"/>
        <v>0</v>
      </c>
      <c r="F70" s="727">
        <f t="shared" si="29"/>
        <v>20102.742968047642</v>
      </c>
      <c r="G70" s="727">
        <f t="shared" si="29"/>
        <v>21758</v>
      </c>
      <c r="H70" s="727">
        <f t="shared" si="29"/>
        <v>25649.5</v>
      </c>
      <c r="I70" s="727">
        <f t="shared" si="29"/>
        <v>28702.5</v>
      </c>
      <c r="J70" s="727">
        <f t="shared" si="29"/>
        <v>33540</v>
      </c>
      <c r="K70" s="727">
        <f t="shared" si="29"/>
        <v>37840</v>
      </c>
      <c r="L70" s="727">
        <f t="shared" si="29"/>
        <v>47407.257031952358</v>
      </c>
      <c r="M70" s="727">
        <f t="shared" si="29"/>
        <v>0</v>
      </c>
      <c r="N70" s="727">
        <f t="shared" si="29"/>
        <v>0</v>
      </c>
      <c r="O70" s="727">
        <f t="shared" si="29"/>
        <v>0</v>
      </c>
      <c r="P70" s="727">
        <f t="shared" si="29"/>
        <v>0</v>
      </c>
      <c r="Q70" s="727">
        <f t="shared" si="29"/>
        <v>0</v>
      </c>
      <c r="R70" s="727">
        <f t="shared" si="29"/>
        <v>0</v>
      </c>
      <c r="S70" s="727">
        <f t="shared" si="29"/>
        <v>0</v>
      </c>
      <c r="T70" s="727">
        <f t="shared" si="29"/>
        <v>0</v>
      </c>
      <c r="U70" s="727">
        <f t="shared" si="29"/>
        <v>0</v>
      </c>
      <c r="V70" s="727">
        <f t="shared" si="29"/>
        <v>0</v>
      </c>
      <c r="AA70" s="22"/>
      <c r="AB70" s="22"/>
      <c r="AF70" s="7"/>
      <c r="AG70" s="85"/>
      <c r="AH70" s="31"/>
    </row>
    <row r="71" spans="1:34">
      <c r="A71" s="21" t="s">
        <v>371</v>
      </c>
      <c r="B71" s="727">
        <f>B64</f>
        <v>0</v>
      </c>
      <c r="C71" s="727">
        <f t="shared" ref="C71:V71" si="30">C64</f>
        <v>0</v>
      </c>
      <c r="D71" s="727">
        <f t="shared" si="30"/>
        <v>0</v>
      </c>
      <c r="E71" s="727">
        <f t="shared" si="30"/>
        <v>0</v>
      </c>
      <c r="F71" s="727">
        <f t="shared" si="30"/>
        <v>0</v>
      </c>
      <c r="G71" s="727">
        <f t="shared" si="30"/>
        <v>0</v>
      </c>
      <c r="H71" s="727">
        <f t="shared" si="30"/>
        <v>0</v>
      </c>
      <c r="I71" s="727">
        <f t="shared" si="30"/>
        <v>0</v>
      </c>
      <c r="J71" s="727">
        <f t="shared" si="30"/>
        <v>0</v>
      </c>
      <c r="K71" s="727">
        <f t="shared" si="30"/>
        <v>0</v>
      </c>
      <c r="L71" s="727">
        <f t="shared" si="30"/>
        <v>0</v>
      </c>
      <c r="M71" s="727">
        <f t="shared" si="30"/>
        <v>0</v>
      </c>
      <c r="N71" s="727">
        <f t="shared" si="30"/>
        <v>0</v>
      </c>
      <c r="O71" s="727">
        <f t="shared" si="30"/>
        <v>0</v>
      </c>
      <c r="P71" s="727">
        <f t="shared" si="30"/>
        <v>0</v>
      </c>
      <c r="Q71" s="727">
        <f t="shared" si="30"/>
        <v>0</v>
      </c>
      <c r="R71" s="727">
        <f t="shared" si="30"/>
        <v>0</v>
      </c>
      <c r="S71" s="727">
        <f t="shared" si="30"/>
        <v>0</v>
      </c>
      <c r="T71" s="727">
        <f t="shared" si="30"/>
        <v>0</v>
      </c>
      <c r="U71" s="727">
        <f t="shared" si="30"/>
        <v>0</v>
      </c>
      <c r="V71" s="727">
        <f t="shared" si="30"/>
        <v>0</v>
      </c>
      <c r="AA71" s="22"/>
      <c r="AB71" s="22"/>
      <c r="AF71" s="7"/>
      <c r="AG71" s="85"/>
      <c r="AH71" s="31"/>
    </row>
    <row r="72" spans="1:34">
      <c r="B72" s="312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309"/>
      <c r="AB72" s="309"/>
      <c r="AC72" s="85"/>
      <c r="AD72" s="85"/>
      <c r="AE72" s="85"/>
      <c r="AF72" s="719"/>
      <c r="AG72" s="85"/>
      <c r="AH72" s="31"/>
    </row>
    <row r="73" spans="1:34">
      <c r="B73" s="727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309"/>
      <c r="AB73" s="309"/>
      <c r="AC73" s="85"/>
      <c r="AD73" s="85"/>
      <c r="AE73" s="85"/>
      <c r="AF73" s="720"/>
      <c r="AG73" s="85"/>
      <c r="AH73" s="31"/>
    </row>
    <row r="74" spans="1:34">
      <c r="A74" s="82" t="str">
        <f>CONCATENATE("Tranche 3 @ ",R7*100,"%")</f>
        <v>Tranche 3 @ 10.435%</v>
      </c>
      <c r="B74" s="23"/>
      <c r="C74" s="83"/>
      <c r="AA74" s="22"/>
      <c r="AB74" s="22"/>
      <c r="AF74" s="7"/>
    </row>
    <row r="75" spans="1:34">
      <c r="A75" s="84" t="s">
        <v>375</v>
      </c>
      <c r="B75" s="727"/>
      <c r="AA75" s="22"/>
      <c r="AB75" s="22"/>
      <c r="AF75" s="7"/>
    </row>
    <row r="76" spans="1:34">
      <c r="A76" s="85" t="s">
        <v>233</v>
      </c>
      <c r="B76" s="728">
        <f>R10</f>
        <v>425000</v>
      </c>
      <c r="C76" s="85">
        <f>B89</f>
        <v>425000</v>
      </c>
      <c r="D76" s="85">
        <f t="shared" ref="D76:V76" si="31">C89</f>
        <v>425000</v>
      </c>
      <c r="E76" s="85">
        <f t="shared" si="31"/>
        <v>425000</v>
      </c>
      <c r="F76" s="85">
        <f t="shared" si="31"/>
        <v>425000</v>
      </c>
      <c r="G76" s="85">
        <f t="shared" si="31"/>
        <v>425000</v>
      </c>
      <c r="H76" s="85">
        <f t="shared" si="31"/>
        <v>425000</v>
      </c>
      <c r="I76" s="85">
        <f t="shared" si="31"/>
        <v>425000</v>
      </c>
      <c r="J76" s="85">
        <f t="shared" si="31"/>
        <v>425000</v>
      </c>
      <c r="K76" s="85">
        <f t="shared" si="31"/>
        <v>425000</v>
      </c>
      <c r="L76" s="85">
        <f t="shared" si="31"/>
        <v>425000</v>
      </c>
      <c r="M76" s="85">
        <f t="shared" si="31"/>
        <v>425000</v>
      </c>
      <c r="N76" s="85">
        <f t="shared" si="31"/>
        <v>392569.75964231894</v>
      </c>
      <c r="O76" s="85">
        <f t="shared" si="31"/>
        <v>356519.05172940867</v>
      </c>
      <c r="P76" s="85">
        <f t="shared" si="31"/>
        <v>316804.1892743028</v>
      </c>
      <c r="Q76" s="85">
        <f t="shared" si="31"/>
        <v>274452.49084967677</v>
      </c>
      <c r="R76" s="85">
        <f t="shared" si="31"/>
        <v>229193.73571357515</v>
      </c>
      <c r="S76" s="85">
        <f t="shared" si="31"/>
        <v>179869.65907139605</v>
      </c>
      <c r="T76" s="85">
        <f t="shared" si="31"/>
        <v>129582.77251043625</v>
      </c>
      <c r="U76" s="85">
        <f t="shared" si="31"/>
        <v>80463.05132557865</v>
      </c>
      <c r="V76" s="85">
        <f t="shared" si="31"/>
        <v>37157.231425974504</v>
      </c>
      <c r="W76" s="85"/>
      <c r="X76" s="85"/>
      <c r="Y76" s="85"/>
      <c r="Z76" s="85"/>
      <c r="AA76" s="309"/>
      <c r="AB76" s="309"/>
      <c r="AC76" s="85"/>
      <c r="AD76" s="85"/>
      <c r="AE76" s="85"/>
      <c r="AF76" s="719"/>
      <c r="AG76" s="85"/>
      <c r="AH76" s="31"/>
    </row>
    <row r="77" spans="1:34">
      <c r="A77" s="85" t="s">
        <v>234</v>
      </c>
      <c r="B77" s="727">
        <v>0</v>
      </c>
      <c r="C77" s="85">
        <f>$B$76*1/12*C25</f>
        <v>0</v>
      </c>
      <c r="D77" s="85">
        <f t="shared" ref="D77:V77" si="32">$B$76*6/12*D25</f>
        <v>0</v>
      </c>
      <c r="E77" s="85">
        <f t="shared" si="32"/>
        <v>0</v>
      </c>
      <c r="F77" s="85">
        <f t="shared" si="32"/>
        <v>0</v>
      </c>
      <c r="G77" s="85">
        <f t="shared" si="32"/>
        <v>0</v>
      </c>
      <c r="H77" s="85">
        <f t="shared" si="32"/>
        <v>0</v>
      </c>
      <c r="I77" s="85">
        <f t="shared" si="32"/>
        <v>0</v>
      </c>
      <c r="J77" s="85">
        <f t="shared" si="32"/>
        <v>0</v>
      </c>
      <c r="K77" s="85">
        <f t="shared" si="32"/>
        <v>0</v>
      </c>
      <c r="L77" s="85">
        <v>0</v>
      </c>
      <c r="M77" s="720">
        <f t="shared" si="32"/>
        <v>16215.120178840541</v>
      </c>
      <c r="N77" s="85">
        <f t="shared" si="32"/>
        <v>18025.353956455132</v>
      </c>
      <c r="O77" s="85">
        <f t="shared" si="32"/>
        <v>19857.431227552912</v>
      </c>
      <c r="P77" s="85">
        <f t="shared" si="32"/>
        <v>21175.849212312987</v>
      </c>
      <c r="Q77" s="85">
        <f t="shared" si="32"/>
        <v>22629.377568050826</v>
      </c>
      <c r="R77" s="85">
        <f t="shared" si="32"/>
        <v>24662.038321089542</v>
      </c>
      <c r="S77" s="85">
        <f t="shared" si="32"/>
        <v>25143.443280479903</v>
      </c>
      <c r="T77" s="85">
        <f t="shared" si="32"/>
        <v>24559.860592428802</v>
      </c>
      <c r="U77" s="85">
        <f t="shared" si="32"/>
        <v>21652.909949802073</v>
      </c>
      <c r="V77" s="85">
        <f t="shared" si="32"/>
        <v>18578.615712987288</v>
      </c>
      <c r="W77" s="720"/>
      <c r="X77" s="720"/>
      <c r="Y77" s="720"/>
      <c r="Z77" s="720"/>
      <c r="AA77" s="309"/>
      <c r="AB77" s="309"/>
      <c r="AC77" s="720"/>
      <c r="AD77" s="720"/>
      <c r="AE77" s="720"/>
      <c r="AF77" s="720"/>
      <c r="AG77" s="720"/>
      <c r="AH77" s="31"/>
    </row>
    <row r="78" spans="1:34">
      <c r="A78" s="85" t="s">
        <v>235</v>
      </c>
      <c r="B78" s="727">
        <v>0</v>
      </c>
      <c r="C78" s="85">
        <f>C76*$R$7*1/12</f>
        <v>3695.7291666666665</v>
      </c>
      <c r="D78" s="85">
        <f t="shared" ref="D78:V78" si="33">D76*$R$7*1/12</f>
        <v>3695.7291666666665</v>
      </c>
      <c r="E78" s="85">
        <f t="shared" si="33"/>
        <v>3695.7291666666665</v>
      </c>
      <c r="F78" s="85">
        <f t="shared" si="33"/>
        <v>3695.7291666666665</v>
      </c>
      <c r="G78" s="85">
        <f t="shared" si="33"/>
        <v>3695.7291666666665</v>
      </c>
      <c r="H78" s="85">
        <f t="shared" si="33"/>
        <v>3695.7291666666665</v>
      </c>
      <c r="I78" s="85">
        <f t="shared" si="33"/>
        <v>3695.7291666666665</v>
      </c>
      <c r="J78" s="85">
        <f t="shared" si="33"/>
        <v>3695.7291666666665</v>
      </c>
      <c r="K78" s="85">
        <f t="shared" si="33"/>
        <v>3695.7291666666665</v>
      </c>
      <c r="L78" s="85">
        <f t="shared" si="33"/>
        <v>3695.7291666666665</v>
      </c>
      <c r="M78" s="720">
        <f t="shared" si="33"/>
        <v>3695.7291666666665</v>
      </c>
      <c r="N78" s="720">
        <f t="shared" si="33"/>
        <v>3413.7212015563314</v>
      </c>
      <c r="O78" s="720">
        <f t="shared" si="33"/>
        <v>3100.2302539969828</v>
      </c>
      <c r="P78" s="720">
        <f t="shared" si="33"/>
        <v>2754.8764292311248</v>
      </c>
      <c r="Q78" s="720">
        <f t="shared" si="33"/>
        <v>2386.5931183469806</v>
      </c>
      <c r="R78" s="720">
        <f t="shared" si="33"/>
        <v>1993.0305268092973</v>
      </c>
      <c r="S78" s="720">
        <f t="shared" si="33"/>
        <v>1564.116577008348</v>
      </c>
      <c r="T78" s="720">
        <f t="shared" si="33"/>
        <v>1126.8301926220017</v>
      </c>
      <c r="U78" s="720">
        <f t="shared" si="33"/>
        <v>699.69328381867763</v>
      </c>
      <c r="V78" s="720">
        <f t="shared" si="33"/>
        <v>323.11309160836998</v>
      </c>
      <c r="W78" s="720"/>
      <c r="X78" s="720"/>
      <c r="Y78" s="720"/>
      <c r="Z78" s="720"/>
      <c r="AA78" s="309"/>
      <c r="AB78" s="309"/>
      <c r="AC78" s="720"/>
      <c r="AD78" s="720"/>
      <c r="AE78" s="720"/>
      <c r="AF78" s="720"/>
      <c r="AG78" s="720"/>
      <c r="AH78" s="31"/>
    </row>
    <row r="79" spans="1:34">
      <c r="A79" s="85" t="s">
        <v>236</v>
      </c>
      <c r="B79" s="727">
        <f>B76-B77</f>
        <v>425000</v>
      </c>
      <c r="C79" s="85">
        <f t="shared" ref="C79:R79" si="34">C76-C77</f>
        <v>425000</v>
      </c>
      <c r="D79" s="85">
        <f t="shared" si="34"/>
        <v>425000</v>
      </c>
      <c r="E79" s="85">
        <f t="shared" si="34"/>
        <v>425000</v>
      </c>
      <c r="F79" s="85">
        <f t="shared" si="34"/>
        <v>425000</v>
      </c>
      <c r="G79" s="85">
        <f t="shared" si="34"/>
        <v>425000</v>
      </c>
      <c r="H79" s="85">
        <f t="shared" si="34"/>
        <v>425000</v>
      </c>
      <c r="I79" s="85">
        <f t="shared" si="34"/>
        <v>425000</v>
      </c>
      <c r="J79" s="85">
        <f t="shared" si="34"/>
        <v>425000</v>
      </c>
      <c r="K79" s="85">
        <f t="shared" si="34"/>
        <v>425000</v>
      </c>
      <c r="L79" s="85">
        <f t="shared" si="34"/>
        <v>425000</v>
      </c>
      <c r="M79" s="720">
        <f t="shared" si="34"/>
        <v>408784.87982115947</v>
      </c>
      <c r="N79" s="720">
        <f t="shared" si="34"/>
        <v>374544.40568586381</v>
      </c>
      <c r="O79" s="720">
        <f t="shared" si="34"/>
        <v>336661.62050185574</v>
      </c>
      <c r="P79" s="720">
        <f t="shared" si="34"/>
        <v>295628.34006198979</v>
      </c>
      <c r="Q79" s="720">
        <f t="shared" si="34"/>
        <v>251823.11328162596</v>
      </c>
      <c r="R79" s="720">
        <f t="shared" si="34"/>
        <v>204531.6973924856</v>
      </c>
      <c r="S79" s="720">
        <f>S76-S77</f>
        <v>154726.21579091615</v>
      </c>
      <c r="T79" s="720">
        <f>T76-T77</f>
        <v>105022.91191800745</v>
      </c>
      <c r="U79" s="720">
        <f>U76-U77</f>
        <v>58810.141375776577</v>
      </c>
      <c r="V79" s="720">
        <f>V76-V77</f>
        <v>18578.615712987215</v>
      </c>
      <c r="W79" s="720"/>
      <c r="X79" s="720"/>
      <c r="Y79" s="720"/>
      <c r="Z79" s="720"/>
      <c r="AA79" s="309"/>
      <c r="AB79" s="309"/>
      <c r="AC79" s="720"/>
      <c r="AD79" s="720"/>
      <c r="AE79" s="720"/>
      <c r="AF79" s="720"/>
      <c r="AG79" s="720"/>
      <c r="AH79" s="31"/>
    </row>
    <row r="80" spans="1:34">
      <c r="A80" s="84" t="s">
        <v>376</v>
      </c>
      <c r="B80" s="727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720"/>
      <c r="N80" s="720"/>
      <c r="O80" s="720"/>
      <c r="P80" s="720"/>
      <c r="Q80" s="720"/>
      <c r="R80" s="720"/>
      <c r="S80" s="720"/>
      <c r="T80" s="720"/>
      <c r="U80" s="720"/>
      <c r="V80" s="720"/>
      <c r="W80" s="720"/>
      <c r="X80" s="720"/>
      <c r="Y80" s="720"/>
      <c r="Z80" s="720"/>
      <c r="AA80" s="309"/>
      <c r="AB80" s="309"/>
      <c r="AC80" s="720"/>
      <c r="AD80" s="720"/>
      <c r="AE80" s="720"/>
      <c r="AF80" s="720"/>
      <c r="AG80" s="720"/>
      <c r="AH80" s="31"/>
    </row>
    <row r="81" spans="1:34">
      <c r="A81" s="85" t="s">
        <v>233</v>
      </c>
      <c r="B81" s="727">
        <f>B79</f>
        <v>425000</v>
      </c>
      <c r="C81" s="85">
        <f t="shared" ref="C81:V81" si="35">C79</f>
        <v>425000</v>
      </c>
      <c r="D81" s="85">
        <f t="shared" si="35"/>
        <v>425000</v>
      </c>
      <c r="E81" s="85">
        <f t="shared" si="35"/>
        <v>425000</v>
      </c>
      <c r="F81" s="85">
        <f t="shared" si="35"/>
        <v>425000</v>
      </c>
      <c r="G81" s="85">
        <f t="shared" si="35"/>
        <v>425000</v>
      </c>
      <c r="H81" s="85">
        <f t="shared" si="35"/>
        <v>425000</v>
      </c>
      <c r="I81" s="85">
        <f t="shared" si="35"/>
        <v>425000</v>
      </c>
      <c r="J81" s="85">
        <f t="shared" si="35"/>
        <v>425000</v>
      </c>
      <c r="K81" s="85">
        <f t="shared" si="35"/>
        <v>425000</v>
      </c>
      <c r="L81" s="85">
        <f t="shared" si="35"/>
        <v>425000</v>
      </c>
      <c r="M81" s="720">
        <f t="shared" si="35"/>
        <v>408784.87982115947</v>
      </c>
      <c r="N81" s="720">
        <f t="shared" si="35"/>
        <v>374544.40568586381</v>
      </c>
      <c r="O81" s="720">
        <f t="shared" si="35"/>
        <v>336661.62050185574</v>
      </c>
      <c r="P81" s="720">
        <f t="shared" si="35"/>
        <v>295628.34006198979</v>
      </c>
      <c r="Q81" s="720">
        <f t="shared" si="35"/>
        <v>251823.11328162596</v>
      </c>
      <c r="R81" s="720">
        <f t="shared" si="35"/>
        <v>204531.6973924856</v>
      </c>
      <c r="S81" s="720">
        <f t="shared" si="35"/>
        <v>154726.21579091615</v>
      </c>
      <c r="T81" s="720">
        <f t="shared" si="35"/>
        <v>105022.91191800745</v>
      </c>
      <c r="U81" s="720">
        <f t="shared" si="35"/>
        <v>58810.141375776577</v>
      </c>
      <c r="V81" s="720">
        <f t="shared" si="35"/>
        <v>18578.615712987215</v>
      </c>
      <c r="W81" s="720"/>
      <c r="X81" s="720"/>
      <c r="Y81" s="720"/>
      <c r="Z81" s="720"/>
      <c r="AA81" s="309"/>
      <c r="AB81" s="309"/>
      <c r="AC81" s="720"/>
      <c r="AD81" s="720"/>
      <c r="AE81" s="720"/>
      <c r="AF81" s="720"/>
      <c r="AG81" s="720"/>
      <c r="AH81" s="31"/>
    </row>
    <row r="82" spans="1:34">
      <c r="A82" s="85" t="s">
        <v>234</v>
      </c>
      <c r="B82" s="727">
        <v>0</v>
      </c>
      <c r="C82" s="85">
        <f>$B$76*6/12*C25</f>
        <v>0</v>
      </c>
      <c r="D82" s="85">
        <f t="shared" ref="D82:V82" si="36">$B$76*6/12*D25</f>
        <v>0</v>
      </c>
      <c r="E82" s="85">
        <f t="shared" si="36"/>
        <v>0</v>
      </c>
      <c r="F82" s="85">
        <f t="shared" si="36"/>
        <v>0</v>
      </c>
      <c r="G82" s="85">
        <f t="shared" si="36"/>
        <v>0</v>
      </c>
      <c r="H82" s="85">
        <f t="shared" si="36"/>
        <v>0</v>
      </c>
      <c r="I82" s="85">
        <f t="shared" si="36"/>
        <v>0</v>
      </c>
      <c r="J82" s="85">
        <f t="shared" si="36"/>
        <v>0</v>
      </c>
      <c r="K82" s="85">
        <f t="shared" si="36"/>
        <v>0</v>
      </c>
      <c r="L82" s="85">
        <f>$B$76*L25</f>
        <v>0</v>
      </c>
      <c r="M82" s="85">
        <f t="shared" si="36"/>
        <v>16215.120178840541</v>
      </c>
      <c r="N82" s="85">
        <f t="shared" si="36"/>
        <v>18025.353956455132</v>
      </c>
      <c r="O82" s="85">
        <f t="shared" si="36"/>
        <v>19857.431227552912</v>
      </c>
      <c r="P82" s="85">
        <f t="shared" si="36"/>
        <v>21175.849212312987</v>
      </c>
      <c r="Q82" s="85">
        <f t="shared" si="36"/>
        <v>22629.377568050826</v>
      </c>
      <c r="R82" s="85">
        <f t="shared" si="36"/>
        <v>24662.038321089542</v>
      </c>
      <c r="S82" s="85">
        <f t="shared" si="36"/>
        <v>25143.443280479903</v>
      </c>
      <c r="T82" s="720">
        <f t="shared" si="36"/>
        <v>24559.860592428802</v>
      </c>
      <c r="U82" s="720">
        <f t="shared" si="36"/>
        <v>21652.909949802073</v>
      </c>
      <c r="V82" s="720">
        <f t="shared" si="36"/>
        <v>18578.615712987288</v>
      </c>
      <c r="W82" s="720"/>
      <c r="X82" s="720"/>
      <c r="Y82" s="720"/>
      <c r="Z82" s="720"/>
      <c r="AA82" s="309"/>
      <c r="AB82" s="309"/>
      <c r="AC82" s="720"/>
      <c r="AD82" s="720"/>
      <c r="AE82" s="720"/>
      <c r="AF82" s="720"/>
      <c r="AG82" s="720"/>
      <c r="AH82" s="31"/>
    </row>
    <row r="83" spans="1:34">
      <c r="A83" s="85" t="s">
        <v>235</v>
      </c>
      <c r="B83" s="727">
        <v>0</v>
      </c>
      <c r="C83" s="85">
        <f t="shared" ref="C83:V83" si="37">C81*$R$7*0.5</f>
        <v>22174.375</v>
      </c>
      <c r="D83" s="85">
        <f t="shared" si="37"/>
        <v>22174.375</v>
      </c>
      <c r="E83" s="85">
        <f t="shared" si="37"/>
        <v>22174.375</v>
      </c>
      <c r="F83" s="85">
        <f t="shared" si="37"/>
        <v>22174.375</v>
      </c>
      <c r="G83" s="85">
        <f t="shared" si="37"/>
        <v>22174.375</v>
      </c>
      <c r="H83" s="85">
        <f t="shared" si="37"/>
        <v>22174.375</v>
      </c>
      <c r="I83" s="85">
        <f t="shared" si="37"/>
        <v>22174.375</v>
      </c>
      <c r="J83" s="85">
        <f t="shared" si="37"/>
        <v>22174.375</v>
      </c>
      <c r="K83" s="85">
        <f t="shared" si="37"/>
        <v>22174.375</v>
      </c>
      <c r="L83" s="888">
        <f>L81*$R$7*5/12</f>
        <v>18478.645833333332</v>
      </c>
      <c r="M83" s="85">
        <f t="shared" si="37"/>
        <v>21328.351104668996</v>
      </c>
      <c r="N83" s="85">
        <f t="shared" si="37"/>
        <v>19541.854366659943</v>
      </c>
      <c r="O83" s="85">
        <f t="shared" si="37"/>
        <v>17565.320049684324</v>
      </c>
      <c r="P83" s="85">
        <f t="shared" si="37"/>
        <v>15424.408642734317</v>
      </c>
      <c r="Q83" s="85">
        <f t="shared" si="37"/>
        <v>13138.870935468834</v>
      </c>
      <c r="R83" s="85">
        <f t="shared" si="37"/>
        <v>10671.441311452936</v>
      </c>
      <c r="S83" s="85">
        <f t="shared" si="37"/>
        <v>8072.84030889105</v>
      </c>
      <c r="T83" s="720">
        <f t="shared" si="37"/>
        <v>5479.5704293220388</v>
      </c>
      <c r="U83" s="720">
        <f t="shared" si="37"/>
        <v>3068.4191262811428</v>
      </c>
      <c r="V83" s="720">
        <f t="shared" si="37"/>
        <v>969.33927482510796</v>
      </c>
      <c r="W83" s="720"/>
      <c r="X83" s="85"/>
      <c r="Y83" s="85"/>
      <c r="Z83" s="85"/>
      <c r="AA83" s="309"/>
      <c r="AB83" s="309"/>
      <c r="AC83" s="85"/>
      <c r="AD83" s="85"/>
      <c r="AE83" s="85"/>
      <c r="AF83" s="720"/>
      <c r="AG83" s="85"/>
      <c r="AH83" s="31"/>
    </row>
    <row r="84" spans="1:34">
      <c r="A84" s="85" t="s">
        <v>236</v>
      </c>
      <c r="B84" s="727">
        <f>B81-B82</f>
        <v>425000</v>
      </c>
      <c r="C84" s="85">
        <f t="shared" ref="C84:R84" si="38">C81-C82</f>
        <v>425000</v>
      </c>
      <c r="D84" s="85">
        <f t="shared" si="38"/>
        <v>425000</v>
      </c>
      <c r="E84" s="85">
        <f t="shared" si="38"/>
        <v>425000</v>
      </c>
      <c r="F84" s="85">
        <f t="shared" si="38"/>
        <v>425000</v>
      </c>
      <c r="G84" s="85">
        <f t="shared" si="38"/>
        <v>425000</v>
      </c>
      <c r="H84" s="85">
        <f t="shared" si="38"/>
        <v>425000</v>
      </c>
      <c r="I84" s="85">
        <f t="shared" si="38"/>
        <v>425000</v>
      </c>
      <c r="J84" s="85">
        <f t="shared" si="38"/>
        <v>425000</v>
      </c>
      <c r="K84" s="85">
        <f t="shared" si="38"/>
        <v>425000</v>
      </c>
      <c r="L84" s="85">
        <f t="shared" si="38"/>
        <v>425000</v>
      </c>
      <c r="M84" s="85">
        <f t="shared" si="38"/>
        <v>392569.75964231894</v>
      </c>
      <c r="N84" s="85">
        <f t="shared" si="38"/>
        <v>356519.05172940867</v>
      </c>
      <c r="O84" s="85">
        <f t="shared" si="38"/>
        <v>316804.1892743028</v>
      </c>
      <c r="P84" s="85">
        <f t="shared" si="38"/>
        <v>274452.49084967677</v>
      </c>
      <c r="Q84" s="85">
        <f t="shared" si="38"/>
        <v>229193.73571357515</v>
      </c>
      <c r="R84" s="85">
        <f t="shared" si="38"/>
        <v>179869.65907139605</v>
      </c>
      <c r="S84" s="85">
        <f>S81-S82</f>
        <v>129582.77251043625</v>
      </c>
      <c r="T84" s="720">
        <f>T81-T82</f>
        <v>80463.05132557865</v>
      </c>
      <c r="U84" s="720">
        <f>U81-U82</f>
        <v>37157.231425974504</v>
      </c>
      <c r="V84" s="720">
        <f>V81-V82</f>
        <v>-7.2759576141834259E-11</v>
      </c>
      <c r="W84" s="720"/>
      <c r="X84" s="85"/>
      <c r="Y84" s="85"/>
      <c r="Z84" s="85"/>
      <c r="AA84" s="309"/>
      <c r="AB84" s="309"/>
      <c r="AC84" s="85"/>
      <c r="AD84" s="85"/>
      <c r="AE84" s="85"/>
      <c r="AF84" s="720"/>
      <c r="AG84" s="85"/>
      <c r="AH84" s="31"/>
    </row>
    <row r="85" spans="1:34">
      <c r="A85" s="87" t="s">
        <v>377</v>
      </c>
      <c r="B85" s="727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720"/>
      <c r="U85" s="720"/>
      <c r="V85" s="720"/>
      <c r="W85" s="720"/>
      <c r="X85" s="85"/>
      <c r="Y85" s="85"/>
      <c r="Z85" s="85"/>
      <c r="AA85" s="309"/>
      <c r="AB85" s="309"/>
      <c r="AC85" s="85"/>
      <c r="AD85" s="85"/>
      <c r="AE85" s="85"/>
      <c r="AF85" s="720"/>
      <c r="AG85" s="85"/>
      <c r="AH85" s="31"/>
    </row>
    <row r="86" spans="1:34">
      <c r="A86" s="85" t="s">
        <v>233</v>
      </c>
      <c r="B86" s="727">
        <f>B84</f>
        <v>425000</v>
      </c>
      <c r="C86" s="85">
        <f t="shared" ref="C86:V86" si="39">C84</f>
        <v>425000</v>
      </c>
      <c r="D86" s="85">
        <f t="shared" si="39"/>
        <v>425000</v>
      </c>
      <c r="E86" s="85">
        <f t="shared" si="39"/>
        <v>425000</v>
      </c>
      <c r="F86" s="85">
        <f t="shared" si="39"/>
        <v>425000</v>
      </c>
      <c r="G86" s="85">
        <f t="shared" si="39"/>
        <v>425000</v>
      </c>
      <c r="H86" s="85">
        <f t="shared" si="39"/>
        <v>425000</v>
      </c>
      <c r="I86" s="85">
        <f t="shared" si="39"/>
        <v>425000</v>
      </c>
      <c r="J86" s="85">
        <f t="shared" si="39"/>
        <v>425000</v>
      </c>
      <c r="K86" s="85">
        <f t="shared" si="39"/>
        <v>425000</v>
      </c>
      <c r="L86" s="85">
        <f t="shared" si="39"/>
        <v>425000</v>
      </c>
      <c r="M86" s="85">
        <f t="shared" si="39"/>
        <v>392569.75964231894</v>
      </c>
      <c r="N86" s="85">
        <f t="shared" si="39"/>
        <v>356519.05172940867</v>
      </c>
      <c r="O86" s="85">
        <f t="shared" si="39"/>
        <v>316804.1892743028</v>
      </c>
      <c r="P86" s="85">
        <f t="shared" si="39"/>
        <v>274452.49084967677</v>
      </c>
      <c r="Q86" s="85">
        <f t="shared" si="39"/>
        <v>229193.73571357515</v>
      </c>
      <c r="R86" s="85">
        <f t="shared" si="39"/>
        <v>179869.65907139605</v>
      </c>
      <c r="S86" s="85">
        <f t="shared" si="39"/>
        <v>129582.77251043625</v>
      </c>
      <c r="T86" s="720">
        <f t="shared" si="39"/>
        <v>80463.05132557865</v>
      </c>
      <c r="U86" s="720">
        <f t="shared" si="39"/>
        <v>37157.231425974504</v>
      </c>
      <c r="V86" s="720">
        <f t="shared" si="39"/>
        <v>-7.2759576141834259E-11</v>
      </c>
      <c r="W86" s="720"/>
      <c r="X86" s="85"/>
      <c r="Y86" s="85"/>
      <c r="Z86" s="85"/>
      <c r="AA86" s="309"/>
      <c r="AB86" s="309"/>
      <c r="AC86" s="85"/>
      <c r="AD86" s="85"/>
      <c r="AE86" s="85"/>
      <c r="AF86" s="720"/>
      <c r="AG86" s="85"/>
      <c r="AH86" s="31"/>
    </row>
    <row r="87" spans="1:34">
      <c r="A87" s="85" t="s">
        <v>370</v>
      </c>
      <c r="B87" s="727">
        <f>B76*5/12*C25</f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5">
        <v>0</v>
      </c>
      <c r="T87" s="720">
        <v>0</v>
      </c>
      <c r="U87" s="720">
        <v>0</v>
      </c>
      <c r="V87" s="720">
        <v>0</v>
      </c>
      <c r="W87" s="720"/>
      <c r="X87" s="85"/>
      <c r="Y87" s="85"/>
      <c r="Z87" s="85"/>
      <c r="AA87" s="309"/>
      <c r="AB87" s="309"/>
      <c r="AC87" s="85"/>
      <c r="AD87" s="85"/>
      <c r="AE87" s="85"/>
      <c r="AF87" s="720"/>
      <c r="AG87" s="85"/>
      <c r="AH87" s="31"/>
    </row>
    <row r="88" spans="1:34">
      <c r="A88" s="85" t="s">
        <v>369</v>
      </c>
      <c r="B88" s="727">
        <f>B86*$R$7*(13-MONTH(Assumptions!C17))/12*0</f>
        <v>0</v>
      </c>
      <c r="C88" s="85">
        <f t="shared" ref="C88:V88" si="40">C86*$R$7*5/12</f>
        <v>18478.645833333332</v>
      </c>
      <c r="D88" s="85">
        <f t="shared" si="40"/>
        <v>18478.645833333332</v>
      </c>
      <c r="E88" s="85">
        <f t="shared" si="40"/>
        <v>18478.645833333332</v>
      </c>
      <c r="F88" s="85">
        <f t="shared" si="40"/>
        <v>18478.645833333332</v>
      </c>
      <c r="G88" s="85">
        <f t="shared" si="40"/>
        <v>18478.645833333332</v>
      </c>
      <c r="H88" s="85">
        <f t="shared" si="40"/>
        <v>18478.645833333332</v>
      </c>
      <c r="I88" s="85">
        <f t="shared" si="40"/>
        <v>18478.645833333332</v>
      </c>
      <c r="J88" s="85">
        <f t="shared" si="40"/>
        <v>18478.645833333332</v>
      </c>
      <c r="K88" s="85">
        <f t="shared" si="40"/>
        <v>18478.645833333332</v>
      </c>
      <c r="L88" s="888">
        <f>L86*$R$7*6/12</f>
        <v>22174.375</v>
      </c>
      <c r="M88" s="85">
        <f t="shared" si="40"/>
        <v>17068.606007781658</v>
      </c>
      <c r="N88" s="85">
        <f t="shared" si="40"/>
        <v>15501.151269984914</v>
      </c>
      <c r="O88" s="85">
        <f t="shared" si="40"/>
        <v>13774.382146155624</v>
      </c>
      <c r="P88" s="85">
        <f t="shared" si="40"/>
        <v>11932.965591734903</v>
      </c>
      <c r="Q88" s="85">
        <f t="shared" si="40"/>
        <v>9965.1526340464861</v>
      </c>
      <c r="R88" s="85">
        <f t="shared" si="40"/>
        <v>7820.5828850417411</v>
      </c>
      <c r="S88" s="85">
        <f t="shared" si="40"/>
        <v>5634.1509631100089</v>
      </c>
      <c r="T88" s="720">
        <f t="shared" si="40"/>
        <v>3498.4664190933886</v>
      </c>
      <c r="U88" s="720">
        <f t="shared" si="40"/>
        <v>1615.5654580418498</v>
      </c>
      <c r="V88" s="720">
        <f t="shared" si="40"/>
        <v>-3.1635257376668351E-12</v>
      </c>
      <c r="W88" s="720"/>
      <c r="X88" s="85"/>
      <c r="Y88" s="85"/>
      <c r="Z88" s="85"/>
      <c r="AA88" s="309"/>
      <c r="AB88" s="309"/>
      <c r="AC88" s="85"/>
      <c r="AD88" s="85"/>
      <c r="AE88" s="85"/>
      <c r="AF88" s="720"/>
      <c r="AG88" s="85"/>
      <c r="AH88" s="31"/>
    </row>
    <row r="89" spans="1:34">
      <c r="A89" s="85" t="s">
        <v>236</v>
      </c>
      <c r="B89" s="85">
        <f>B86-B87</f>
        <v>425000</v>
      </c>
      <c r="C89" s="85">
        <f t="shared" ref="C89:R89" si="41">C86-C87</f>
        <v>425000</v>
      </c>
      <c r="D89" s="85">
        <f t="shared" si="41"/>
        <v>425000</v>
      </c>
      <c r="E89" s="85">
        <f t="shared" si="41"/>
        <v>425000</v>
      </c>
      <c r="F89" s="85">
        <f t="shared" si="41"/>
        <v>425000</v>
      </c>
      <c r="G89" s="85">
        <f t="shared" si="41"/>
        <v>425000</v>
      </c>
      <c r="H89" s="85">
        <f t="shared" si="41"/>
        <v>425000</v>
      </c>
      <c r="I89" s="85">
        <f t="shared" si="41"/>
        <v>425000</v>
      </c>
      <c r="J89" s="85">
        <f t="shared" si="41"/>
        <v>425000</v>
      </c>
      <c r="K89" s="85">
        <f t="shared" si="41"/>
        <v>425000</v>
      </c>
      <c r="L89" s="85">
        <f t="shared" si="41"/>
        <v>425000</v>
      </c>
      <c r="M89" s="85">
        <f t="shared" si="41"/>
        <v>392569.75964231894</v>
      </c>
      <c r="N89" s="85">
        <f t="shared" si="41"/>
        <v>356519.05172940867</v>
      </c>
      <c r="O89" s="85">
        <f t="shared" si="41"/>
        <v>316804.1892743028</v>
      </c>
      <c r="P89" s="85">
        <f t="shared" si="41"/>
        <v>274452.49084967677</v>
      </c>
      <c r="Q89" s="85">
        <f t="shared" si="41"/>
        <v>229193.73571357515</v>
      </c>
      <c r="R89" s="85">
        <f t="shared" si="41"/>
        <v>179869.65907139605</v>
      </c>
      <c r="S89" s="85">
        <f>S86-S87</f>
        <v>129582.77251043625</v>
      </c>
      <c r="T89" s="720">
        <f>T86-T87</f>
        <v>80463.05132557865</v>
      </c>
      <c r="U89" s="720">
        <f>U86-U87</f>
        <v>37157.231425974504</v>
      </c>
      <c r="V89" s="720">
        <f>V86-V87</f>
        <v>-7.2759576141834259E-11</v>
      </c>
      <c r="W89" s="720"/>
      <c r="X89" s="85"/>
      <c r="Y89" s="85"/>
      <c r="Z89" s="85"/>
      <c r="AA89" s="309"/>
      <c r="AB89" s="309"/>
      <c r="AC89" s="85"/>
      <c r="AD89" s="85"/>
      <c r="AE89" s="85"/>
      <c r="AF89" s="720"/>
      <c r="AG89" s="85"/>
      <c r="AH89" s="31"/>
    </row>
    <row r="90" spans="1:34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720"/>
      <c r="U90" s="720"/>
      <c r="V90" s="720"/>
      <c r="W90" s="720"/>
      <c r="X90" s="85"/>
      <c r="Y90" s="85"/>
      <c r="Z90" s="85"/>
      <c r="AA90" s="309"/>
      <c r="AB90" s="309"/>
      <c r="AC90" s="85"/>
      <c r="AD90" s="85"/>
      <c r="AE90" s="85"/>
      <c r="AF90" s="720"/>
      <c r="AG90" s="85"/>
      <c r="AH90" s="31"/>
    </row>
    <row r="91" spans="1:34">
      <c r="A91" s="89" t="s">
        <v>355</v>
      </c>
      <c r="B91" s="85">
        <v>0</v>
      </c>
      <c r="C91" s="85">
        <f>C78+C83+B88</f>
        <v>25870.104166666668</v>
      </c>
      <c r="D91" s="85">
        <f>D78+D83+C88</f>
        <v>44348.75</v>
      </c>
      <c r="E91" s="85">
        <f t="shared" ref="E91:V91" si="42">E78+E83+D88</f>
        <v>44348.75</v>
      </c>
      <c r="F91" s="85">
        <f t="shared" si="42"/>
        <v>44348.75</v>
      </c>
      <c r="G91" s="85">
        <f t="shared" si="42"/>
        <v>44348.75</v>
      </c>
      <c r="H91" s="85">
        <f t="shared" si="42"/>
        <v>44348.75</v>
      </c>
      <c r="I91" s="85">
        <f t="shared" si="42"/>
        <v>44348.75</v>
      </c>
      <c r="J91" s="85">
        <f t="shared" si="42"/>
        <v>44348.75</v>
      </c>
      <c r="K91" s="85">
        <f t="shared" si="42"/>
        <v>44348.75</v>
      </c>
      <c r="L91" s="85">
        <f t="shared" si="42"/>
        <v>40653.020833333328</v>
      </c>
      <c r="M91" s="85">
        <f t="shared" si="42"/>
        <v>47198.455271335668</v>
      </c>
      <c r="N91" s="85">
        <f t="shared" si="42"/>
        <v>40024.181575997936</v>
      </c>
      <c r="O91" s="85">
        <f t="shared" si="42"/>
        <v>36166.701573666222</v>
      </c>
      <c r="P91" s="85">
        <f t="shared" si="42"/>
        <v>31953.667218121067</v>
      </c>
      <c r="Q91" s="85">
        <f t="shared" si="42"/>
        <v>27458.429645550717</v>
      </c>
      <c r="R91" s="85">
        <f t="shared" si="42"/>
        <v>22629.624472308722</v>
      </c>
      <c r="S91" s="85">
        <f t="shared" si="42"/>
        <v>17457.539770941141</v>
      </c>
      <c r="T91" s="720">
        <f t="shared" si="42"/>
        <v>12240.551585054051</v>
      </c>
      <c r="U91" s="720">
        <f t="shared" si="42"/>
        <v>7266.5788291932095</v>
      </c>
      <c r="V91" s="720">
        <f t="shared" si="42"/>
        <v>2908.0178244753279</v>
      </c>
      <c r="W91" s="720"/>
      <c r="X91" s="85"/>
      <c r="Y91" s="85"/>
      <c r="Z91" s="85"/>
      <c r="AA91" s="309"/>
      <c r="AB91" s="309"/>
      <c r="AC91" s="85"/>
      <c r="AD91" s="85"/>
      <c r="AE91" s="85"/>
      <c r="AF91" s="720"/>
      <c r="AG91" s="85"/>
      <c r="AH91" s="31"/>
    </row>
    <row r="92" spans="1:34">
      <c r="A92" s="21" t="s">
        <v>356</v>
      </c>
      <c r="B92" s="85">
        <f>B78+B83+B88</f>
        <v>0</v>
      </c>
      <c r="C92" s="85">
        <f>C78+C83+C88</f>
        <v>44348.75</v>
      </c>
      <c r="D92" s="85">
        <f t="shared" ref="D92:V92" si="43">D78+D83+D88</f>
        <v>44348.75</v>
      </c>
      <c r="E92" s="85">
        <f t="shared" si="43"/>
        <v>44348.75</v>
      </c>
      <c r="F92" s="85">
        <f t="shared" si="43"/>
        <v>44348.75</v>
      </c>
      <c r="G92" s="85">
        <f t="shared" si="43"/>
        <v>44348.75</v>
      </c>
      <c r="H92" s="85">
        <f t="shared" si="43"/>
        <v>44348.75</v>
      </c>
      <c r="I92" s="85">
        <f t="shared" si="43"/>
        <v>44348.75</v>
      </c>
      <c r="J92" s="85">
        <f t="shared" si="43"/>
        <v>44348.75</v>
      </c>
      <c r="K92" s="85">
        <f t="shared" si="43"/>
        <v>44348.75</v>
      </c>
      <c r="L92" s="85">
        <f t="shared" si="43"/>
        <v>44348.75</v>
      </c>
      <c r="M92" s="85">
        <f t="shared" si="43"/>
        <v>42092.686279117319</v>
      </c>
      <c r="N92" s="85">
        <f t="shared" si="43"/>
        <v>38456.72683820119</v>
      </c>
      <c r="O92" s="85">
        <f t="shared" si="43"/>
        <v>34439.932449836931</v>
      </c>
      <c r="P92" s="85">
        <f t="shared" si="43"/>
        <v>30112.250663700346</v>
      </c>
      <c r="Q92" s="85">
        <f t="shared" si="43"/>
        <v>25490.616687862301</v>
      </c>
      <c r="R92" s="85">
        <f t="shared" si="43"/>
        <v>20485.054723303976</v>
      </c>
      <c r="S92" s="85">
        <f t="shared" si="43"/>
        <v>15271.107849009408</v>
      </c>
      <c r="T92" s="720">
        <f t="shared" si="43"/>
        <v>10104.867041037429</v>
      </c>
      <c r="U92" s="720">
        <f t="shared" si="43"/>
        <v>5383.6778681416699</v>
      </c>
      <c r="V92" s="720">
        <f t="shared" si="43"/>
        <v>1292.4523664334747</v>
      </c>
      <c r="W92" s="7"/>
      <c r="AA92" s="22"/>
      <c r="AB92" s="22"/>
      <c r="AF92" s="7"/>
      <c r="AG92" s="85"/>
      <c r="AH92" s="31"/>
    </row>
    <row r="93" spans="1:34">
      <c r="A93" s="89" t="s">
        <v>373</v>
      </c>
      <c r="B93" s="727">
        <f>B77+B82</f>
        <v>0</v>
      </c>
      <c r="C93" s="727">
        <f>C77+C82+B87</f>
        <v>0</v>
      </c>
      <c r="D93" s="727">
        <f t="shared" ref="D93:V93" si="44">D77+D82+C87</f>
        <v>0</v>
      </c>
      <c r="E93" s="727">
        <f t="shared" si="44"/>
        <v>0</v>
      </c>
      <c r="F93" s="727">
        <f t="shared" si="44"/>
        <v>0</v>
      </c>
      <c r="G93" s="727">
        <f t="shared" si="44"/>
        <v>0</v>
      </c>
      <c r="H93" s="727">
        <f t="shared" si="44"/>
        <v>0</v>
      </c>
      <c r="I93" s="727">
        <f t="shared" si="44"/>
        <v>0</v>
      </c>
      <c r="J93" s="727">
        <f t="shared" si="44"/>
        <v>0</v>
      </c>
      <c r="K93" s="727">
        <f t="shared" si="44"/>
        <v>0</v>
      </c>
      <c r="L93" s="727">
        <f t="shared" si="44"/>
        <v>0</v>
      </c>
      <c r="M93" s="727">
        <f t="shared" si="44"/>
        <v>32430.240357681083</v>
      </c>
      <c r="N93" s="727">
        <f t="shared" si="44"/>
        <v>36050.707912910264</v>
      </c>
      <c r="O93" s="727">
        <f t="shared" si="44"/>
        <v>39714.862455105824</v>
      </c>
      <c r="P93" s="727">
        <f t="shared" si="44"/>
        <v>42351.698424625974</v>
      </c>
      <c r="Q93" s="727">
        <f t="shared" si="44"/>
        <v>45258.755136101652</v>
      </c>
      <c r="R93" s="727">
        <f t="shared" si="44"/>
        <v>49324.076642179083</v>
      </c>
      <c r="S93" s="727">
        <f t="shared" si="44"/>
        <v>50286.886560959807</v>
      </c>
      <c r="T93" s="309">
        <f t="shared" si="44"/>
        <v>49119.721184857604</v>
      </c>
      <c r="U93" s="309">
        <f t="shared" si="44"/>
        <v>43305.819899604146</v>
      </c>
      <c r="V93" s="309">
        <f t="shared" si="44"/>
        <v>37157.231425974576</v>
      </c>
      <c r="W93" s="7"/>
      <c r="AA93" s="22"/>
      <c r="AB93" s="22"/>
      <c r="AF93" s="7"/>
      <c r="AG93" s="85"/>
      <c r="AH93" s="31"/>
    </row>
    <row r="94" spans="1:34">
      <c r="A94" s="21" t="s">
        <v>371</v>
      </c>
      <c r="B94" s="85">
        <f>B87</f>
        <v>0</v>
      </c>
      <c r="C94" s="85">
        <f t="shared" ref="C94:V94" si="45">C87</f>
        <v>0</v>
      </c>
      <c r="D94" s="85">
        <f t="shared" si="45"/>
        <v>0</v>
      </c>
      <c r="E94" s="85">
        <f t="shared" si="45"/>
        <v>0</v>
      </c>
      <c r="F94" s="85">
        <f t="shared" si="45"/>
        <v>0</v>
      </c>
      <c r="G94" s="85">
        <f t="shared" si="45"/>
        <v>0</v>
      </c>
      <c r="H94" s="85">
        <f t="shared" si="45"/>
        <v>0</v>
      </c>
      <c r="I94" s="85">
        <f t="shared" si="45"/>
        <v>0</v>
      </c>
      <c r="J94" s="85">
        <f t="shared" si="45"/>
        <v>0</v>
      </c>
      <c r="K94" s="85">
        <f t="shared" si="45"/>
        <v>0</v>
      </c>
      <c r="L94" s="85">
        <f t="shared" si="45"/>
        <v>0</v>
      </c>
      <c r="M94" s="85">
        <f t="shared" si="45"/>
        <v>0</v>
      </c>
      <c r="N94" s="85">
        <f t="shared" si="45"/>
        <v>0</v>
      </c>
      <c r="O94" s="85">
        <f t="shared" si="45"/>
        <v>0</v>
      </c>
      <c r="P94" s="85">
        <f t="shared" si="45"/>
        <v>0</v>
      </c>
      <c r="Q94" s="85">
        <f t="shared" si="45"/>
        <v>0</v>
      </c>
      <c r="R94" s="85">
        <f t="shared" si="45"/>
        <v>0</v>
      </c>
      <c r="S94" s="85">
        <f t="shared" si="45"/>
        <v>0</v>
      </c>
      <c r="T94" s="720">
        <f t="shared" si="45"/>
        <v>0</v>
      </c>
      <c r="U94" s="720">
        <f t="shared" si="45"/>
        <v>0</v>
      </c>
      <c r="V94" s="720">
        <f t="shared" si="45"/>
        <v>0</v>
      </c>
      <c r="W94" s="7"/>
      <c r="AA94" s="22"/>
      <c r="AB94" s="22"/>
      <c r="AF94" s="7"/>
      <c r="AG94" s="85"/>
      <c r="AH94" s="31"/>
    </row>
    <row r="95" spans="1:34">
      <c r="T95" s="7"/>
      <c r="U95" s="7"/>
      <c r="V95" s="7"/>
      <c r="W95" s="7"/>
    </row>
    <row r="97" spans="1:39">
      <c r="A97" s="103" t="s">
        <v>184</v>
      </c>
      <c r="B97" s="104">
        <v>0</v>
      </c>
      <c r="C97" s="104">
        <f ca="1">IS!E38</f>
        <v>89343.013167245706</v>
      </c>
      <c r="D97" s="104">
        <f>IS!F38</f>
        <v>121999.06951687927</v>
      </c>
      <c r="E97" s="104">
        <f>IS!G38</f>
        <v>121476.06494435224</v>
      </c>
      <c r="F97" s="104">
        <f>IS!H38</f>
        <v>159397.18597050462</v>
      </c>
      <c r="G97" s="104">
        <f>IS!I38</f>
        <v>190097.33582811028</v>
      </c>
      <c r="H97" s="104">
        <f>IS!J38</f>
        <v>193579.98329342896</v>
      </c>
      <c r="I97" s="104">
        <f>IS!K38</f>
        <v>194775.80250539724</v>
      </c>
      <c r="J97" s="104">
        <f>IS!L38</f>
        <v>199190.63178751644</v>
      </c>
      <c r="K97" s="104">
        <f>IS!M38</f>
        <v>201164.74828323902</v>
      </c>
      <c r="L97" s="104">
        <f>IS!N38</f>
        <v>205842.93724912504</v>
      </c>
      <c r="M97" s="104">
        <f>IS!O38</f>
        <v>206636.22157055381</v>
      </c>
      <c r="N97" s="104">
        <f>IS!P38</f>
        <v>211404.56282333276</v>
      </c>
      <c r="O97" s="104">
        <f>IS!Q38</f>
        <v>213496.51218873204</v>
      </c>
      <c r="P97" s="104">
        <f>IS!R38</f>
        <v>214824.9649175138</v>
      </c>
      <c r="Q97" s="104">
        <f>IS!S38</f>
        <v>216457.46328716745</v>
      </c>
      <c r="R97" s="104">
        <f>IS!T38</f>
        <v>218375.97777791723</v>
      </c>
      <c r="S97" s="104">
        <f>IS!U38</f>
        <v>220293.84628468403</v>
      </c>
      <c r="T97" s="104">
        <f>IS!V38</f>
        <v>222179.29806472198</v>
      </c>
      <c r="U97" s="104">
        <f>IS!W38</f>
        <v>223796.04112327134</v>
      </c>
      <c r="V97" s="104">
        <f>IS!X38</f>
        <v>223074.97390162485</v>
      </c>
      <c r="W97"/>
      <c r="X97"/>
      <c r="Y97"/>
      <c r="Z97"/>
      <c r="AA97"/>
      <c r="AB97" s="138"/>
      <c r="AC97" s="104"/>
      <c r="AD97" s="104"/>
      <c r="AE97" s="104"/>
      <c r="AF97" s="104"/>
      <c r="AG97" s="104"/>
      <c r="AH97" s="1"/>
      <c r="AI97" s="1"/>
      <c r="AJ97" s="1"/>
      <c r="AK97" s="1"/>
      <c r="AL97" s="1"/>
      <c r="AM97" s="1"/>
    </row>
    <row r="98" spans="1:39">
      <c r="A98" s="79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/>
      <c r="X98"/>
      <c r="Y98"/>
      <c r="Z98"/>
      <c r="AA98"/>
      <c r="AB98" s="310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</row>
    <row r="99" spans="1:39">
      <c r="A99" s="88" t="s">
        <v>366</v>
      </c>
      <c r="B99" s="88">
        <f>B45+B31+B36</f>
        <v>0</v>
      </c>
      <c r="C99" s="88">
        <f>C45+C47</f>
        <v>12015.660144527686</v>
      </c>
      <c r="D99" s="88">
        <f t="shared" ref="D99:V99" si="46">D45+D47</f>
        <v>29407.150725069259</v>
      </c>
      <c r="E99" s="88">
        <f t="shared" si="46"/>
        <v>28915.604634781477</v>
      </c>
      <c r="F99" s="88">
        <f t="shared" si="46"/>
        <v>27030.710556701033</v>
      </c>
      <c r="G99" s="88">
        <f t="shared" si="46"/>
        <v>0</v>
      </c>
      <c r="H99" s="88">
        <f t="shared" si="46"/>
        <v>0</v>
      </c>
      <c r="I99" s="88">
        <f t="shared" si="46"/>
        <v>0</v>
      </c>
      <c r="J99" s="88">
        <f t="shared" si="46"/>
        <v>0</v>
      </c>
      <c r="K99" s="88">
        <f t="shared" si="46"/>
        <v>0</v>
      </c>
      <c r="L99" s="88">
        <f t="shared" si="46"/>
        <v>0</v>
      </c>
      <c r="M99" s="88">
        <f t="shared" si="46"/>
        <v>0</v>
      </c>
      <c r="N99" s="88">
        <f t="shared" si="46"/>
        <v>0</v>
      </c>
      <c r="O99" s="88">
        <f t="shared" si="46"/>
        <v>0</v>
      </c>
      <c r="P99" s="88">
        <f t="shared" si="46"/>
        <v>0</v>
      </c>
      <c r="Q99" s="88">
        <f t="shared" si="46"/>
        <v>0</v>
      </c>
      <c r="R99" s="88">
        <f t="shared" si="46"/>
        <v>0</v>
      </c>
      <c r="S99" s="88">
        <f t="shared" si="46"/>
        <v>0</v>
      </c>
      <c r="T99" s="88">
        <f t="shared" si="46"/>
        <v>0</v>
      </c>
      <c r="U99" s="88">
        <f t="shared" si="46"/>
        <v>0</v>
      </c>
      <c r="V99" s="88">
        <f t="shared" si="46"/>
        <v>0</v>
      </c>
      <c r="W99"/>
      <c r="X99"/>
      <c r="Y99"/>
      <c r="Z99"/>
      <c r="AA99"/>
      <c r="AB99" s="311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</row>
    <row r="100" spans="1:39">
      <c r="A100" s="88" t="s">
        <v>367</v>
      </c>
      <c r="B100" s="88">
        <f>B68+B54+B59</f>
        <v>0</v>
      </c>
      <c r="C100" s="88">
        <f>C68+C70</f>
        <v>12190.500000000002</v>
      </c>
      <c r="D100" s="88">
        <f t="shared" ref="D100:V100" si="47">D68+D70</f>
        <v>20898.000000000004</v>
      </c>
      <c r="E100" s="88">
        <f t="shared" si="47"/>
        <v>20898.000000000004</v>
      </c>
      <c r="F100" s="88">
        <f t="shared" si="47"/>
        <v>41000.742968047649</v>
      </c>
      <c r="G100" s="88">
        <f t="shared" si="47"/>
        <v>40261.413883505767</v>
      </c>
      <c r="H100" s="88">
        <f t="shared" si="47"/>
        <v>41855.352933505768</v>
      </c>
      <c r="I100" s="88">
        <f t="shared" si="47"/>
        <v>42341.033633505765</v>
      </c>
      <c r="J100" s="88">
        <f t="shared" si="47"/>
        <v>44271.099383505774</v>
      </c>
      <c r="K100" s="88">
        <f t="shared" si="47"/>
        <v>45206.521383505766</v>
      </c>
      <c r="L100" s="88">
        <f t="shared" si="47"/>
        <v>50863.246069581684</v>
      </c>
      <c r="M100" s="88">
        <f t="shared" si="47"/>
        <v>0</v>
      </c>
      <c r="N100" s="88">
        <f t="shared" si="47"/>
        <v>0</v>
      </c>
      <c r="O100" s="88">
        <f t="shared" si="47"/>
        <v>0</v>
      </c>
      <c r="P100" s="88">
        <f t="shared" si="47"/>
        <v>0</v>
      </c>
      <c r="Q100" s="88">
        <f t="shared" si="47"/>
        <v>0</v>
      </c>
      <c r="R100" s="88">
        <f t="shared" si="47"/>
        <v>0</v>
      </c>
      <c r="S100" s="88">
        <f t="shared" si="47"/>
        <v>0</v>
      </c>
      <c r="T100" s="88">
        <f t="shared" si="47"/>
        <v>0</v>
      </c>
      <c r="U100" s="88">
        <f t="shared" si="47"/>
        <v>0</v>
      </c>
      <c r="V100" s="88">
        <f t="shared" si="47"/>
        <v>0</v>
      </c>
      <c r="W100"/>
      <c r="X100"/>
      <c r="Y100"/>
      <c r="Z100"/>
      <c r="AA100"/>
      <c r="AB100" s="311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</row>
    <row r="101" spans="1:39">
      <c r="A101" s="88" t="s">
        <v>368</v>
      </c>
      <c r="B101" s="88">
        <f>B91+B77+B82</f>
        <v>0</v>
      </c>
      <c r="C101" s="88">
        <f>C91+C93</f>
        <v>25870.104166666668</v>
      </c>
      <c r="D101" s="88">
        <f t="shared" ref="D101:V101" si="48">D91+D93</f>
        <v>44348.75</v>
      </c>
      <c r="E101" s="88">
        <f t="shared" si="48"/>
        <v>44348.75</v>
      </c>
      <c r="F101" s="88">
        <f t="shared" si="48"/>
        <v>44348.75</v>
      </c>
      <c r="G101" s="88">
        <f t="shared" si="48"/>
        <v>44348.75</v>
      </c>
      <c r="H101" s="88">
        <f t="shared" si="48"/>
        <v>44348.75</v>
      </c>
      <c r="I101" s="88">
        <f t="shared" si="48"/>
        <v>44348.75</v>
      </c>
      <c r="J101" s="88">
        <f t="shared" si="48"/>
        <v>44348.75</v>
      </c>
      <c r="K101" s="88">
        <f t="shared" si="48"/>
        <v>44348.75</v>
      </c>
      <c r="L101" s="88">
        <f t="shared" si="48"/>
        <v>40653.020833333328</v>
      </c>
      <c r="M101" s="88">
        <f t="shared" si="48"/>
        <v>79628.695629016758</v>
      </c>
      <c r="N101" s="88">
        <f t="shared" si="48"/>
        <v>76074.8894889082</v>
      </c>
      <c r="O101" s="88">
        <f t="shared" si="48"/>
        <v>75881.564028772045</v>
      </c>
      <c r="P101" s="88">
        <f t="shared" si="48"/>
        <v>74305.365642747041</v>
      </c>
      <c r="Q101" s="88">
        <f t="shared" si="48"/>
        <v>72717.184781652366</v>
      </c>
      <c r="R101" s="88">
        <f t="shared" si="48"/>
        <v>71953.701114487805</v>
      </c>
      <c r="S101" s="88">
        <f t="shared" si="48"/>
        <v>67744.426331900948</v>
      </c>
      <c r="T101" s="88">
        <f t="shared" si="48"/>
        <v>61360.272769911651</v>
      </c>
      <c r="U101" s="88">
        <f t="shared" si="48"/>
        <v>50572.398728797358</v>
      </c>
      <c r="V101" s="88">
        <f t="shared" si="48"/>
        <v>40065.249250449902</v>
      </c>
      <c r="W101"/>
      <c r="X101"/>
      <c r="Y101"/>
      <c r="Z101"/>
      <c r="AA101"/>
      <c r="AB101" s="311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</row>
    <row r="102" spans="1:39">
      <c r="A102" s="79" t="s">
        <v>434</v>
      </c>
      <c r="B102" s="817">
        <v>0</v>
      </c>
      <c r="C102" s="731">
        <f>IRR!D11</f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8">
        <v>0</v>
      </c>
      <c r="L102" s="88">
        <v>0</v>
      </c>
      <c r="M102" s="88">
        <v>0</v>
      </c>
      <c r="N102" s="88">
        <v>0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>
        <v>0</v>
      </c>
      <c r="V102" s="88">
        <v>0</v>
      </c>
      <c r="W102"/>
      <c r="X102"/>
      <c r="Y102"/>
      <c r="Z102"/>
      <c r="AA102"/>
      <c r="AB102" s="311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</row>
    <row r="103" spans="1:39">
      <c r="A103" s="79" t="s">
        <v>420</v>
      </c>
      <c r="B103" s="817">
        <v>0</v>
      </c>
      <c r="C103" s="731">
        <f ca="1">-CF!E12</f>
        <v>1093.3396039210511</v>
      </c>
      <c r="D103" s="731">
        <f>-CF!G12</f>
        <v>0</v>
      </c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/>
      <c r="X103"/>
      <c r="Y103"/>
      <c r="Z103"/>
      <c r="AA103"/>
      <c r="AB103" s="311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</row>
    <row r="104" spans="1:39">
      <c r="A104" s="79" t="s">
        <v>416</v>
      </c>
      <c r="B104" s="731">
        <f>-Allocation!H15*(B32+B55+B78)-4/6*(B37+B60+B83)*Allocation!$I15</f>
        <v>0</v>
      </c>
      <c r="C104" s="817">
        <f>-Allocation!I15*(C32+C55+C78)-(C37+C60+C83)*((11-Assumptions!R53)/6*Allocation!$I13+(11-Assumptions!P53)/6*Allocation!$I12+(11-Assumptions!Q53)/6*Allocation!$I14)-(B88+B65+B42)*Allocation!$I15*(MONTH(B18)-MONTH(Assumptions!C18))/(MONTH(B18)+1-MONTH(Assumptions!C17))</f>
        <v>-18584.607463091783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/>
      <c r="X104"/>
      <c r="Y104"/>
      <c r="Z104"/>
      <c r="AA104"/>
      <c r="AB104" s="311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</row>
    <row r="105" spans="1:39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/>
      <c r="X105"/>
      <c r="Y105"/>
      <c r="Z105"/>
      <c r="AA105"/>
      <c r="AB105" s="311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</row>
    <row r="106" spans="1:39">
      <c r="A106" s="89" t="s">
        <v>237</v>
      </c>
      <c r="B106" s="89">
        <v>0</v>
      </c>
      <c r="C106" s="89">
        <f ca="1">SUM(C99:C104)</f>
        <v>32584.996452023628</v>
      </c>
      <c r="D106" s="89">
        <f t="shared" ref="D106:V106" si="49">SUM(D99:D103)</f>
        <v>94653.900725069267</v>
      </c>
      <c r="E106" s="89">
        <f t="shared" si="49"/>
        <v>94162.354634781484</v>
      </c>
      <c r="F106" s="89">
        <f t="shared" si="49"/>
        <v>112380.20352474868</v>
      </c>
      <c r="G106" s="89">
        <f t="shared" si="49"/>
        <v>84610.163883505767</v>
      </c>
      <c r="H106" s="89">
        <f t="shared" si="49"/>
        <v>86204.102933505768</v>
      </c>
      <c r="I106" s="89">
        <f t="shared" si="49"/>
        <v>86689.783633505765</v>
      </c>
      <c r="J106" s="89">
        <f t="shared" si="49"/>
        <v>88619.849383505774</v>
      </c>
      <c r="K106" s="89">
        <f t="shared" si="49"/>
        <v>89555.271383505766</v>
      </c>
      <c r="L106" s="89">
        <f t="shared" si="49"/>
        <v>91516.266902915013</v>
      </c>
      <c r="M106" s="89">
        <f t="shared" si="49"/>
        <v>79628.695629016758</v>
      </c>
      <c r="N106" s="89">
        <f t="shared" si="49"/>
        <v>76074.8894889082</v>
      </c>
      <c r="O106" s="89">
        <f t="shared" si="49"/>
        <v>75881.564028772045</v>
      </c>
      <c r="P106" s="89">
        <f t="shared" si="49"/>
        <v>74305.365642747041</v>
      </c>
      <c r="Q106" s="89">
        <f t="shared" si="49"/>
        <v>72717.184781652366</v>
      </c>
      <c r="R106" s="89">
        <f t="shared" si="49"/>
        <v>71953.701114487805</v>
      </c>
      <c r="S106" s="89">
        <f t="shared" si="49"/>
        <v>67744.426331900948</v>
      </c>
      <c r="T106" s="89">
        <f t="shared" si="49"/>
        <v>61360.272769911651</v>
      </c>
      <c r="U106" s="89">
        <f t="shared" si="49"/>
        <v>50572.398728797358</v>
      </c>
      <c r="V106" s="89">
        <f t="shared" si="49"/>
        <v>40065.249250449902</v>
      </c>
      <c r="W106"/>
      <c r="X106"/>
      <c r="Y106"/>
      <c r="Z106"/>
      <c r="AA106"/>
      <c r="AB106" s="312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</row>
    <row r="107" spans="1:39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/>
      <c r="X107"/>
      <c r="Y107"/>
      <c r="Z107"/>
      <c r="AA107"/>
      <c r="AB107" s="312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</row>
    <row r="108" spans="1:39">
      <c r="A108" s="89" t="s">
        <v>364</v>
      </c>
      <c r="B108" s="89">
        <f t="shared" ref="B108:V108" si="50">B45+B68+B91</f>
        <v>0</v>
      </c>
      <c r="C108" s="89">
        <f t="shared" si="50"/>
        <v>41998.36332956687</v>
      </c>
      <c r="D108" s="89">
        <f t="shared" si="50"/>
        <v>70937.747356060121</v>
      </c>
      <c r="E108" s="89">
        <f t="shared" si="50"/>
        <v>68923.756655047822</v>
      </c>
      <c r="F108" s="89">
        <f t="shared" si="50"/>
        <v>66310.112887071344</v>
      </c>
      <c r="G108" s="89">
        <f t="shared" si="50"/>
        <v>62852.163883505767</v>
      </c>
      <c r="H108" s="89">
        <f t="shared" si="50"/>
        <v>60554.602933505768</v>
      </c>
      <c r="I108" s="89">
        <f t="shared" si="50"/>
        <v>57987.283633505765</v>
      </c>
      <c r="J108" s="89">
        <f t="shared" si="50"/>
        <v>55079.849383505774</v>
      </c>
      <c r="K108" s="89">
        <f t="shared" si="50"/>
        <v>51715.271383505766</v>
      </c>
      <c r="L108" s="89">
        <f t="shared" si="50"/>
        <v>44109.009870962655</v>
      </c>
      <c r="M108" s="89">
        <f t="shared" si="50"/>
        <v>47198.455271335668</v>
      </c>
      <c r="N108" s="89">
        <f t="shared" si="50"/>
        <v>40024.181575997936</v>
      </c>
      <c r="O108" s="89">
        <f t="shared" si="50"/>
        <v>36166.701573666222</v>
      </c>
      <c r="P108" s="89">
        <f t="shared" si="50"/>
        <v>31953.667218121067</v>
      </c>
      <c r="Q108" s="89">
        <f t="shared" si="50"/>
        <v>27458.429645550717</v>
      </c>
      <c r="R108" s="89">
        <f t="shared" si="50"/>
        <v>22629.624472308722</v>
      </c>
      <c r="S108" s="89">
        <f t="shared" si="50"/>
        <v>17457.539770941141</v>
      </c>
      <c r="T108" s="89">
        <f t="shared" si="50"/>
        <v>12240.551585054051</v>
      </c>
      <c r="U108" s="89">
        <f t="shared" si="50"/>
        <v>7266.5788291932095</v>
      </c>
      <c r="V108" s="89">
        <f t="shared" si="50"/>
        <v>2908.0178244753279</v>
      </c>
      <c r="W108"/>
      <c r="X108"/>
      <c r="Y108"/>
      <c r="Z108"/>
      <c r="AA108"/>
      <c r="AB108" s="312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</row>
    <row r="109" spans="1:39">
      <c r="A109" s="89" t="s">
        <v>365</v>
      </c>
      <c r="B109" s="89">
        <f>B46+B69+B92</f>
        <v>0</v>
      </c>
      <c r="C109" s="89">
        <f t="shared" ref="C109:V109" si="51">C46+C69+C92</f>
        <v>71741.225791902165</v>
      </c>
      <c r="D109" s="89">
        <f t="shared" si="51"/>
        <v>70128.43362234268</v>
      </c>
      <c r="E109" s="89">
        <f t="shared" si="51"/>
        <v>68062.489498989409</v>
      </c>
      <c r="F109" s="89">
        <f t="shared" si="51"/>
        <v>64609.816057639298</v>
      </c>
      <c r="G109" s="89">
        <f t="shared" si="51"/>
        <v>61970.964883505774</v>
      </c>
      <c r="H109" s="89">
        <f t="shared" si="51"/>
        <v>59515.798183505773</v>
      </c>
      <c r="I109" s="89">
        <f t="shared" si="51"/>
        <v>56824.832383505767</v>
      </c>
      <c r="J109" s="89">
        <f t="shared" si="51"/>
        <v>53721.479383505772</v>
      </c>
      <c r="K109" s="89">
        <f t="shared" si="51"/>
        <v>50182.751383505769</v>
      </c>
      <c r="L109" s="89">
        <f t="shared" si="51"/>
        <v>45884.745127835253</v>
      </c>
      <c r="M109" s="89">
        <f t="shared" si="51"/>
        <v>42092.686279117319</v>
      </c>
      <c r="N109" s="89">
        <f t="shared" si="51"/>
        <v>38456.72683820119</v>
      </c>
      <c r="O109" s="89">
        <f t="shared" si="51"/>
        <v>34439.932449836931</v>
      </c>
      <c r="P109" s="89">
        <f t="shared" si="51"/>
        <v>30112.250663700346</v>
      </c>
      <c r="Q109" s="89">
        <f t="shared" si="51"/>
        <v>25490.616687862301</v>
      </c>
      <c r="R109" s="89">
        <f t="shared" si="51"/>
        <v>20485.054723303976</v>
      </c>
      <c r="S109" s="89">
        <f t="shared" si="51"/>
        <v>15271.107849009408</v>
      </c>
      <c r="T109" s="89">
        <f t="shared" si="51"/>
        <v>10104.867041037429</v>
      </c>
      <c r="U109" s="89">
        <f t="shared" si="51"/>
        <v>5383.6778681416699</v>
      </c>
      <c r="V109" s="89">
        <f t="shared" si="51"/>
        <v>1292.4523664334747</v>
      </c>
      <c r="W109"/>
      <c r="X109"/>
      <c r="Y109"/>
      <c r="Z109"/>
      <c r="AA109"/>
      <c r="AB109" s="312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</row>
    <row r="110" spans="1:39">
      <c r="A110" s="89" t="s">
        <v>373</v>
      </c>
      <c r="B110" s="89">
        <f>B93+B70+B47</f>
        <v>0</v>
      </c>
      <c r="C110" s="89">
        <f t="shared" ref="C110:V110" si="52">C93+C70+C47</f>
        <v>8077.9009816274893</v>
      </c>
      <c r="D110" s="89">
        <f t="shared" si="52"/>
        <v>23716.153369009142</v>
      </c>
      <c r="E110" s="89">
        <f t="shared" si="52"/>
        <v>25238.597979733666</v>
      </c>
      <c r="F110" s="89">
        <f t="shared" si="52"/>
        <v>46070.090637677335</v>
      </c>
      <c r="G110" s="89">
        <f t="shared" si="52"/>
        <v>21758</v>
      </c>
      <c r="H110" s="89">
        <f t="shared" si="52"/>
        <v>25649.5</v>
      </c>
      <c r="I110" s="89">
        <f t="shared" si="52"/>
        <v>28702.5</v>
      </c>
      <c r="J110" s="89">
        <f t="shared" si="52"/>
        <v>33540</v>
      </c>
      <c r="K110" s="89">
        <f t="shared" si="52"/>
        <v>37840</v>
      </c>
      <c r="L110" s="89">
        <f t="shared" si="52"/>
        <v>47407.257031952358</v>
      </c>
      <c r="M110" s="89">
        <f t="shared" si="52"/>
        <v>32430.240357681083</v>
      </c>
      <c r="N110" s="89">
        <f t="shared" si="52"/>
        <v>36050.707912910264</v>
      </c>
      <c r="O110" s="89">
        <f t="shared" si="52"/>
        <v>39714.862455105824</v>
      </c>
      <c r="P110" s="89">
        <f t="shared" si="52"/>
        <v>42351.698424625974</v>
      </c>
      <c r="Q110" s="89">
        <f t="shared" si="52"/>
        <v>45258.755136101652</v>
      </c>
      <c r="R110" s="89">
        <f t="shared" si="52"/>
        <v>49324.076642179083</v>
      </c>
      <c r="S110" s="89">
        <f t="shared" si="52"/>
        <v>50286.886560959807</v>
      </c>
      <c r="T110" s="89">
        <f t="shared" si="52"/>
        <v>49119.721184857604</v>
      </c>
      <c r="U110" s="89">
        <f t="shared" si="52"/>
        <v>43305.819899604146</v>
      </c>
      <c r="V110" s="89">
        <f t="shared" si="52"/>
        <v>37157.231425974576</v>
      </c>
      <c r="W110"/>
      <c r="X110"/>
      <c r="Y110"/>
      <c r="Z110"/>
      <c r="AA110"/>
      <c r="AB110" s="312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</row>
    <row r="111" spans="1:39">
      <c r="A111" s="21" t="s">
        <v>372</v>
      </c>
      <c r="B111" s="89">
        <f>B48+B71+B94</f>
        <v>0</v>
      </c>
      <c r="C111" s="89">
        <f t="shared" ref="C111:V111" si="53">C48+C71+C94</f>
        <v>0</v>
      </c>
      <c r="D111" s="89">
        <f t="shared" si="53"/>
        <v>0</v>
      </c>
      <c r="E111" s="89">
        <f t="shared" si="53"/>
        <v>0</v>
      </c>
      <c r="F111" s="89">
        <f t="shared" si="53"/>
        <v>0</v>
      </c>
      <c r="G111" s="89">
        <f t="shared" si="53"/>
        <v>0</v>
      </c>
      <c r="H111" s="89">
        <f t="shared" si="53"/>
        <v>0</v>
      </c>
      <c r="I111" s="89">
        <f t="shared" si="53"/>
        <v>0</v>
      </c>
      <c r="J111" s="89">
        <f t="shared" si="53"/>
        <v>0</v>
      </c>
      <c r="K111" s="89">
        <f t="shared" si="53"/>
        <v>0</v>
      </c>
      <c r="L111" s="89">
        <f t="shared" si="53"/>
        <v>0</v>
      </c>
      <c r="M111" s="89">
        <f t="shared" si="53"/>
        <v>0</v>
      </c>
      <c r="N111" s="89">
        <f t="shared" si="53"/>
        <v>0</v>
      </c>
      <c r="O111" s="89">
        <f t="shared" si="53"/>
        <v>0</v>
      </c>
      <c r="P111" s="89">
        <f t="shared" si="53"/>
        <v>0</v>
      </c>
      <c r="Q111" s="89">
        <f t="shared" si="53"/>
        <v>0</v>
      </c>
      <c r="R111" s="89">
        <f t="shared" si="53"/>
        <v>0</v>
      </c>
      <c r="S111" s="89">
        <f t="shared" si="53"/>
        <v>0</v>
      </c>
      <c r="T111" s="89">
        <f t="shared" si="53"/>
        <v>0</v>
      </c>
      <c r="U111" s="89">
        <f t="shared" si="53"/>
        <v>0</v>
      </c>
      <c r="V111" s="89">
        <f t="shared" si="53"/>
        <v>0</v>
      </c>
      <c r="W111"/>
      <c r="X111"/>
      <c r="Y111"/>
      <c r="Z111"/>
      <c r="AA111"/>
      <c r="AB111" s="312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</row>
    <row r="112" spans="1:39">
      <c r="A112" s="21" t="s">
        <v>374</v>
      </c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/>
      <c r="X112"/>
      <c r="Y112"/>
      <c r="Z112"/>
      <c r="AA112"/>
      <c r="AB112" s="312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</row>
    <row r="113" spans="1:48">
      <c r="A113" s="88"/>
      <c r="B113" s="88"/>
      <c r="C113" s="88"/>
      <c r="D113" s="88"/>
      <c r="E113" s="88"/>
      <c r="F113" s="885">
        <f>F140/SUM(F31,F32,E41,E42,F54,F55,E64,E65,F77,F78,E87,E88)</f>
        <v>0.83524159807549314</v>
      </c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/>
      <c r="X113"/>
      <c r="Y113"/>
      <c r="Z113"/>
      <c r="AA113"/>
      <c r="AB113" s="311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 spans="1:48">
      <c r="A114" s="94" t="s">
        <v>238</v>
      </c>
      <c r="B114" s="721" t="str">
        <f>IF(AND(B101&lt;0.001,B100&lt;0.0001),"NA",B97/(B106))</f>
        <v>NA</v>
      </c>
      <c r="C114" s="721">
        <f ca="1">7/12*C97/C106</f>
        <v>1.5994096472475363</v>
      </c>
      <c r="D114" s="721">
        <f>D97/D106</f>
        <v>1.2888963749231688</v>
      </c>
      <c r="E114" s="721">
        <f>E97/E106</f>
        <v>1.2900703833873932</v>
      </c>
      <c r="F114" s="721" t="s">
        <v>239</v>
      </c>
      <c r="G114" s="721" t="s">
        <v>239</v>
      </c>
      <c r="H114" s="721" t="s">
        <v>239</v>
      </c>
      <c r="I114" s="721" t="s">
        <v>239</v>
      </c>
      <c r="J114" s="721" t="s">
        <v>239</v>
      </c>
      <c r="K114" s="721" t="s">
        <v>239</v>
      </c>
      <c r="L114" s="721" t="s">
        <v>239</v>
      </c>
      <c r="M114" s="721" t="s">
        <v>239</v>
      </c>
      <c r="N114" s="721" t="s">
        <v>239</v>
      </c>
      <c r="O114" s="721" t="s">
        <v>239</v>
      </c>
      <c r="P114" s="721" t="s">
        <v>239</v>
      </c>
      <c r="Q114" s="721" t="s">
        <v>239</v>
      </c>
      <c r="R114" s="721" t="s">
        <v>239</v>
      </c>
      <c r="S114" s="721" t="s">
        <v>239</v>
      </c>
      <c r="T114" s="721" t="s">
        <v>239</v>
      </c>
      <c r="U114" s="721" t="s">
        <v>239</v>
      </c>
      <c r="V114" s="722" t="s">
        <v>239</v>
      </c>
      <c r="W114"/>
      <c r="X114"/>
      <c r="Y114"/>
      <c r="Z114"/>
      <c r="AA114"/>
      <c r="AB114" s="313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</row>
    <row r="115" spans="1:48">
      <c r="A115" s="100" t="s">
        <v>240</v>
      </c>
      <c r="B115" s="577" t="s">
        <v>239</v>
      </c>
      <c r="C115" s="577" t="s">
        <v>239</v>
      </c>
      <c r="D115" s="577" t="s">
        <v>239</v>
      </c>
      <c r="E115" s="577" t="s">
        <v>239</v>
      </c>
      <c r="F115" s="577">
        <f>(IS!H13+IS!H14+IS!H15+7/12*IS!H18-7/12*IS!H35)/SUM(F36,F37,F59,F60,F82,F83)</f>
        <v>2.0781278129521037</v>
      </c>
      <c r="G115" s="577">
        <f t="shared" ref="G115:V115" si="54">G97/G106</f>
        <v>2.246743501050807</v>
      </c>
      <c r="H115" s="577">
        <f t="shared" si="54"/>
        <v>2.245600577071702</v>
      </c>
      <c r="I115" s="577">
        <f t="shared" si="54"/>
        <v>2.2468138036754315</v>
      </c>
      <c r="J115" s="577">
        <f t="shared" si="54"/>
        <v>2.2476977017362261</v>
      </c>
      <c r="K115" s="577">
        <f t="shared" si="54"/>
        <v>2.2462636221801393</v>
      </c>
      <c r="L115" s="577">
        <f t="shared" si="54"/>
        <v>2.2492497149986836</v>
      </c>
      <c r="M115" s="577">
        <f t="shared" si="54"/>
        <v>2.5949969409677913</v>
      </c>
      <c r="N115" s="577">
        <f t="shared" si="54"/>
        <v>2.7789006890921053</v>
      </c>
      <c r="O115" s="577">
        <f t="shared" si="54"/>
        <v>2.8135491791890384</v>
      </c>
      <c r="P115" s="577">
        <f t="shared" si="54"/>
        <v>2.8911097208022811</v>
      </c>
      <c r="Q115" s="577">
        <f t="shared" si="54"/>
        <v>2.9767030164482238</v>
      </c>
      <c r="R115" s="577">
        <f t="shared" si="54"/>
        <v>3.0349512866676909</v>
      </c>
      <c r="S115" s="577">
        <f t="shared" si="54"/>
        <v>3.2518372095350867</v>
      </c>
      <c r="T115" s="577">
        <f>T97/T106</f>
        <v>3.620898148511309</v>
      </c>
      <c r="U115" s="577">
        <f t="shared" si="54"/>
        <v>4.425260552172217</v>
      </c>
      <c r="V115" s="730">
        <f t="shared" si="54"/>
        <v>5.5677919911884706</v>
      </c>
      <c r="W115"/>
      <c r="X115"/>
      <c r="Y115"/>
      <c r="Z115"/>
      <c r="AA115"/>
      <c r="AB115" s="313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</row>
    <row r="116" spans="1:48">
      <c r="A116" s="92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/>
      <c r="X116"/>
      <c r="Y116"/>
      <c r="Z116"/>
      <c r="AA116"/>
      <c r="AB116" s="313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</row>
    <row r="117" spans="1:48">
      <c r="A117" s="92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/>
      <c r="X117"/>
      <c r="Y117"/>
      <c r="Z117"/>
      <c r="AA117"/>
      <c r="AB117" s="313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</row>
    <row r="118" spans="1:48">
      <c r="A118" s="90"/>
      <c r="B118" s="94" t="s">
        <v>406</v>
      </c>
      <c r="C118" s="233"/>
      <c r="D118" s="233"/>
      <c r="E118" s="95">
        <f ca="1">AVERAGE(C114:T114)</f>
        <v>1.3927921351860328</v>
      </c>
      <c r="F118" s="90"/>
      <c r="G118" s="94" t="s">
        <v>400</v>
      </c>
      <c r="H118" s="233"/>
      <c r="I118" s="233"/>
      <c r="J118" s="95">
        <f>AVERAGE(F115:V115)</f>
        <v>2.9127350275434885</v>
      </c>
      <c r="K118" s="90"/>
      <c r="L118" s="90"/>
      <c r="M118" s="96"/>
      <c r="N118" s="90"/>
      <c r="O118" s="90"/>
      <c r="P118" s="97"/>
      <c r="Q118" s="97"/>
      <c r="R118" s="97"/>
      <c r="S118" s="90"/>
      <c r="T118" s="90"/>
      <c r="U118" s="90"/>
      <c r="V118" s="90"/>
      <c r="W118"/>
      <c r="X118"/>
      <c r="Y118"/>
      <c r="Z118"/>
      <c r="AA118"/>
      <c r="AB118" s="313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</row>
    <row r="119" spans="1:48">
      <c r="A119" s="90"/>
      <c r="B119" s="100" t="s">
        <v>407</v>
      </c>
      <c r="C119" s="91"/>
      <c r="D119" s="91"/>
      <c r="E119" s="121">
        <f ca="1">MIN(C114:T114)</f>
        <v>1.2888963749231688</v>
      </c>
      <c r="F119" s="92"/>
      <c r="G119" s="100" t="s">
        <v>401</v>
      </c>
      <c r="H119" s="91"/>
      <c r="I119" s="91"/>
      <c r="J119" s="121">
        <f>MIN(F115:V115)</f>
        <v>2.0781278129521037</v>
      </c>
      <c r="K119" s="92"/>
      <c r="L119" s="92"/>
      <c r="M119" s="92"/>
      <c r="N119" s="92"/>
      <c r="O119" s="92"/>
      <c r="P119" s="97"/>
      <c r="Q119" s="97"/>
      <c r="R119" s="97"/>
      <c r="S119" s="90"/>
      <c r="T119" s="90"/>
      <c r="U119" s="90"/>
      <c r="V119" s="90"/>
      <c r="W119"/>
      <c r="X119"/>
      <c r="Y119"/>
      <c r="Z119"/>
      <c r="AA119"/>
      <c r="AB119" s="313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</row>
    <row r="122" spans="1:48">
      <c r="A122" s="21" t="s">
        <v>381</v>
      </c>
    </row>
    <row r="123" spans="1:48">
      <c r="B123" s="726">
        <f>Assumptions!C17</f>
        <v>36526</v>
      </c>
      <c r="C123" s="726">
        <v>36556</v>
      </c>
      <c r="D123" s="726">
        <v>36738</v>
      </c>
      <c r="E123" s="726">
        <v>36922</v>
      </c>
      <c r="F123" s="726">
        <v>37103</v>
      </c>
      <c r="G123" s="726">
        <v>37287</v>
      </c>
      <c r="H123" s="726">
        <v>37468</v>
      </c>
      <c r="I123" s="726">
        <v>37652</v>
      </c>
      <c r="J123" s="726">
        <v>37833</v>
      </c>
      <c r="K123" s="726">
        <v>38017</v>
      </c>
      <c r="L123" s="726">
        <v>38199</v>
      </c>
      <c r="M123" s="726">
        <v>38383</v>
      </c>
      <c r="N123" s="726">
        <v>38564</v>
      </c>
      <c r="O123" s="726">
        <v>38748</v>
      </c>
      <c r="P123" s="726">
        <v>38929</v>
      </c>
      <c r="Q123" s="726">
        <v>39113</v>
      </c>
      <c r="R123" s="726">
        <v>39294</v>
      </c>
      <c r="S123" s="726">
        <v>39478</v>
      </c>
      <c r="T123" s="726">
        <v>39660</v>
      </c>
      <c r="U123" s="726">
        <v>39844</v>
      </c>
      <c r="V123" s="726">
        <v>40025</v>
      </c>
      <c r="W123" s="726">
        <v>40209</v>
      </c>
      <c r="X123" s="726">
        <v>40390</v>
      </c>
      <c r="Y123" s="726">
        <v>40574</v>
      </c>
      <c r="Z123" s="726">
        <v>40755</v>
      </c>
      <c r="AA123" s="726">
        <v>40939</v>
      </c>
      <c r="AB123" s="726">
        <v>41121</v>
      </c>
      <c r="AC123" s="726">
        <v>41305</v>
      </c>
      <c r="AD123" s="726">
        <v>41486</v>
      </c>
      <c r="AE123" s="726">
        <v>41670</v>
      </c>
      <c r="AF123" s="726">
        <v>41851</v>
      </c>
      <c r="AG123" s="726">
        <v>42035</v>
      </c>
      <c r="AH123" s="726">
        <v>42216</v>
      </c>
      <c r="AI123" s="726">
        <v>42400</v>
      </c>
      <c r="AJ123" s="726">
        <v>42582</v>
      </c>
      <c r="AK123" s="726">
        <v>42766</v>
      </c>
      <c r="AL123" s="726">
        <v>42947</v>
      </c>
      <c r="AM123" s="726">
        <v>43131</v>
      </c>
      <c r="AN123" s="726">
        <v>43312</v>
      </c>
      <c r="AO123" s="726">
        <v>43496</v>
      </c>
      <c r="AP123" s="726">
        <v>43677</v>
      </c>
      <c r="AQ123" s="726"/>
      <c r="AR123" s="726"/>
      <c r="AS123" s="726"/>
      <c r="AT123" s="726"/>
      <c r="AU123" s="726"/>
      <c r="AV123" s="726"/>
    </row>
    <row r="124" spans="1:48">
      <c r="B124" s="22">
        <v>0</v>
      </c>
      <c r="C124" s="718">
        <f>(C123-$B$123)/365</f>
        <v>8.2191780821917804E-2</v>
      </c>
      <c r="D124" s="718">
        <f t="shared" ref="D124:J124" si="55">(D123-$B$123)/365</f>
        <v>0.58082191780821912</v>
      </c>
      <c r="E124" s="718">
        <f t="shared" si="55"/>
        <v>1.0849315068493151</v>
      </c>
      <c r="F124" s="718">
        <f t="shared" si="55"/>
        <v>1.5808219178082192</v>
      </c>
      <c r="G124" s="718">
        <f t="shared" si="55"/>
        <v>2.0849315068493151</v>
      </c>
      <c r="H124" s="718">
        <f t="shared" si="55"/>
        <v>2.580821917808219</v>
      </c>
      <c r="I124" s="718">
        <f t="shared" si="55"/>
        <v>3.0849315068493151</v>
      </c>
      <c r="J124" s="718">
        <f t="shared" si="55"/>
        <v>3.580821917808219</v>
      </c>
      <c r="K124" s="718">
        <f t="shared" ref="K124:AP124" si="56">(K123-$B$123)/365</f>
        <v>4.0849315068493155</v>
      </c>
      <c r="L124" s="718">
        <f t="shared" si="56"/>
        <v>4.5835616438356164</v>
      </c>
      <c r="M124" s="718">
        <f t="shared" si="56"/>
        <v>5.087671232876712</v>
      </c>
      <c r="N124" s="718">
        <f t="shared" si="56"/>
        <v>5.5835616438356164</v>
      </c>
      <c r="O124" s="718">
        <f t="shared" si="56"/>
        <v>6.087671232876712</v>
      </c>
      <c r="P124" s="718">
        <f t="shared" si="56"/>
        <v>6.5835616438356164</v>
      </c>
      <c r="Q124" s="718">
        <f t="shared" si="56"/>
        <v>7.087671232876712</v>
      </c>
      <c r="R124" s="718">
        <f t="shared" si="56"/>
        <v>7.5835616438356164</v>
      </c>
      <c r="S124" s="718">
        <f t="shared" si="56"/>
        <v>8.087671232876712</v>
      </c>
      <c r="T124" s="718">
        <f t="shared" si="56"/>
        <v>8.5863013698630137</v>
      </c>
      <c r="U124" s="718">
        <f t="shared" si="56"/>
        <v>9.0904109589041102</v>
      </c>
      <c r="V124" s="718">
        <f t="shared" si="56"/>
        <v>9.5863013698630137</v>
      </c>
      <c r="W124" s="718">
        <f t="shared" si="56"/>
        <v>10.09041095890411</v>
      </c>
      <c r="X124" s="718">
        <f t="shared" si="56"/>
        <v>10.586301369863014</v>
      </c>
      <c r="Y124" s="718">
        <f t="shared" si="56"/>
        <v>11.09041095890411</v>
      </c>
      <c r="Z124" s="718">
        <f t="shared" si="56"/>
        <v>11.586301369863014</v>
      </c>
      <c r="AA124" s="718">
        <f t="shared" si="56"/>
        <v>12.09041095890411</v>
      </c>
      <c r="AB124" s="718">
        <f t="shared" si="56"/>
        <v>12.58904109589041</v>
      </c>
      <c r="AC124" s="718">
        <f t="shared" si="56"/>
        <v>13.093150684931507</v>
      </c>
      <c r="AD124" s="718">
        <f t="shared" si="56"/>
        <v>13.58904109589041</v>
      </c>
      <c r="AE124" s="718">
        <f t="shared" si="56"/>
        <v>14.093150684931507</v>
      </c>
      <c r="AF124" s="718">
        <f t="shared" si="56"/>
        <v>14.58904109589041</v>
      </c>
      <c r="AG124" s="718">
        <f t="shared" si="56"/>
        <v>15.093150684931507</v>
      </c>
      <c r="AH124" s="718">
        <f t="shared" si="56"/>
        <v>15.58904109589041</v>
      </c>
      <c r="AI124" s="718">
        <f t="shared" si="56"/>
        <v>16.093150684931508</v>
      </c>
      <c r="AJ124" s="718">
        <f t="shared" si="56"/>
        <v>16.591780821917808</v>
      </c>
      <c r="AK124" s="718">
        <f t="shared" si="56"/>
        <v>17.095890410958905</v>
      </c>
      <c r="AL124" s="718">
        <f t="shared" si="56"/>
        <v>17.591780821917808</v>
      </c>
      <c r="AM124" s="718">
        <f t="shared" si="56"/>
        <v>18.095890410958905</v>
      </c>
      <c r="AN124" s="718">
        <f t="shared" si="56"/>
        <v>18.591780821917808</v>
      </c>
      <c r="AO124" s="718">
        <f t="shared" si="56"/>
        <v>19.095890410958905</v>
      </c>
      <c r="AP124" s="718">
        <f t="shared" si="56"/>
        <v>19.591780821917808</v>
      </c>
    </row>
    <row r="126" spans="1:48">
      <c r="A126" s="22" t="s">
        <v>357</v>
      </c>
      <c r="B126" s="85">
        <f>B31+B36</f>
        <v>0</v>
      </c>
      <c r="C126" s="85">
        <f>C31+B41</f>
        <v>673.15841513562407</v>
      </c>
      <c r="D126" s="85">
        <f>C36</f>
        <v>7404.7425664918655</v>
      </c>
      <c r="E126" s="85">
        <f>D31</f>
        <v>10869.903627462523</v>
      </c>
      <c r="F126" s="85">
        <f>D36</f>
        <v>12846.249741546619</v>
      </c>
      <c r="G126" s="85">
        <f>E31</f>
        <v>12619.298989866833</v>
      </c>
      <c r="H126" s="85">
        <f>E36</f>
        <v>12619.298989866833</v>
      </c>
      <c r="I126" s="85">
        <f>F31</f>
        <v>25967.347669629697</v>
      </c>
      <c r="J126" s="85">
        <f>F36</f>
        <v>0</v>
      </c>
      <c r="K126" s="85">
        <f t="shared" ref="K126:V126" si="57">K31+K36</f>
        <v>0</v>
      </c>
      <c r="L126" s="85">
        <f t="shared" si="57"/>
        <v>0</v>
      </c>
      <c r="M126" s="85">
        <f t="shared" si="57"/>
        <v>0</v>
      </c>
      <c r="N126" s="85">
        <f t="shared" si="57"/>
        <v>0</v>
      </c>
      <c r="O126" s="85">
        <f t="shared" si="57"/>
        <v>0</v>
      </c>
      <c r="P126" s="85">
        <f t="shared" si="57"/>
        <v>0</v>
      </c>
      <c r="Q126" s="85">
        <f t="shared" si="57"/>
        <v>0</v>
      </c>
      <c r="R126" s="85">
        <f t="shared" si="57"/>
        <v>0</v>
      </c>
      <c r="S126" s="85">
        <f t="shared" si="57"/>
        <v>0</v>
      </c>
      <c r="T126" s="85">
        <f t="shared" si="57"/>
        <v>0</v>
      </c>
      <c r="U126" s="85">
        <f t="shared" si="57"/>
        <v>0</v>
      </c>
      <c r="V126" s="85">
        <f t="shared" si="57"/>
        <v>0</v>
      </c>
      <c r="W126" s="22">
        <v>0</v>
      </c>
      <c r="X126" s="22">
        <v>0</v>
      </c>
      <c r="Y126" s="22">
        <v>0</v>
      </c>
      <c r="Z126" s="22">
        <v>0</v>
      </c>
      <c r="AA126" s="8">
        <v>0</v>
      </c>
      <c r="AB126" s="8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</row>
    <row r="127" spans="1:48">
      <c r="A127" s="22" t="s">
        <v>358</v>
      </c>
      <c r="B127" s="85">
        <v>0</v>
      </c>
      <c r="C127" s="85">
        <v>0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f>G54</f>
        <v>9065.8333333333339</v>
      </c>
      <c r="L127" s="85">
        <f>G59</f>
        <v>12692.166666666666</v>
      </c>
      <c r="M127" s="85">
        <f>H54</f>
        <v>12824.75</v>
      </c>
      <c r="N127" s="85">
        <f>H59</f>
        <v>12824.75</v>
      </c>
      <c r="O127" s="85">
        <f>I54</f>
        <v>14351.25</v>
      </c>
      <c r="P127" s="85">
        <f>I59</f>
        <v>14351.25</v>
      </c>
      <c r="Q127" s="85">
        <f>J54</f>
        <v>16770</v>
      </c>
      <c r="R127" s="85">
        <f>J59</f>
        <v>16770</v>
      </c>
      <c r="S127" s="85">
        <f>K54</f>
        <v>18920</v>
      </c>
      <c r="T127" s="85">
        <f>K59</f>
        <v>18920</v>
      </c>
      <c r="U127" s="85">
        <f>L54</f>
        <v>23703.628515976179</v>
      </c>
      <c r="V127" s="85">
        <f>L59</f>
        <v>23703.628515976179</v>
      </c>
      <c r="W127" s="22">
        <v>0</v>
      </c>
      <c r="X127" s="22">
        <v>0</v>
      </c>
      <c r="Y127" s="22">
        <v>0</v>
      </c>
      <c r="Z127" s="22">
        <v>0</v>
      </c>
      <c r="AA127" s="8">
        <v>0</v>
      </c>
      <c r="AB127" s="8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</row>
    <row r="128" spans="1:48">
      <c r="A128" s="22" t="s">
        <v>359</v>
      </c>
      <c r="B128" s="85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f>M77</f>
        <v>16215.120178840541</v>
      </c>
      <c r="X128" s="85">
        <f>M82</f>
        <v>16215.120178840541</v>
      </c>
      <c r="Y128" s="85">
        <f>N77</f>
        <v>18025.353956455132</v>
      </c>
      <c r="Z128" s="85">
        <f>N82</f>
        <v>18025.353956455132</v>
      </c>
      <c r="AA128" s="309">
        <f>O77</f>
        <v>19857.431227552912</v>
      </c>
      <c r="AB128" s="309">
        <f>O82</f>
        <v>19857.431227552912</v>
      </c>
      <c r="AC128" s="85">
        <f>P77</f>
        <v>21175.849212312987</v>
      </c>
      <c r="AD128" s="85">
        <f>P82</f>
        <v>21175.849212312987</v>
      </c>
      <c r="AE128" s="85">
        <f>Q77</f>
        <v>22629.377568050826</v>
      </c>
      <c r="AF128" s="85">
        <f>Q82</f>
        <v>22629.377568050826</v>
      </c>
      <c r="AG128" s="85">
        <f>R77</f>
        <v>24662.038321089542</v>
      </c>
      <c r="AH128" s="85">
        <f>R82</f>
        <v>24662.038321089542</v>
      </c>
      <c r="AI128" s="85">
        <f>S77</f>
        <v>25143.443280479903</v>
      </c>
      <c r="AJ128" s="85">
        <f>S82</f>
        <v>25143.443280479903</v>
      </c>
      <c r="AK128" s="85">
        <f>T77</f>
        <v>24559.860592428802</v>
      </c>
      <c r="AL128" s="85">
        <f>T82</f>
        <v>24559.860592428802</v>
      </c>
      <c r="AM128" s="85">
        <f>U77</f>
        <v>21652.909949802073</v>
      </c>
      <c r="AN128" s="85">
        <f>U82</f>
        <v>21652.909949802073</v>
      </c>
      <c r="AO128" s="85">
        <f>V77</f>
        <v>18578.615712987288</v>
      </c>
      <c r="AP128" s="85">
        <f>V82</f>
        <v>18578.615712987288</v>
      </c>
    </row>
    <row r="130" spans="1:31">
      <c r="A130" s="22" t="s">
        <v>360</v>
      </c>
    </row>
    <row r="131" spans="1:31">
      <c r="A131" s="22" t="s">
        <v>70</v>
      </c>
      <c r="B131" s="290">
        <f>SUMPRODUCT(B126:AP126,B124:AP124)/SUM(B126:AP126)</f>
        <v>2.1137701854974145</v>
      </c>
    </row>
    <row r="132" spans="1:31">
      <c r="A132" s="22" t="s">
        <v>71</v>
      </c>
      <c r="B132" s="290">
        <f>SUMPRODUCT(B127:AP127,B124:AP124)/SUM(B127:AP127)</f>
        <v>7.2762776178110595</v>
      </c>
    </row>
    <row r="133" spans="1:31">
      <c r="A133" s="22" t="s">
        <v>72</v>
      </c>
      <c r="B133" s="290">
        <f>SUMPRODUCT(B128:AP128,B124:AP124)/SUM(B128:AP128)</f>
        <v>15.039434304588985</v>
      </c>
    </row>
    <row r="135" spans="1:31">
      <c r="A135" s="843"/>
      <c r="B135" s="844">
        <v>36525</v>
      </c>
      <c r="C135" s="845">
        <v>36891</v>
      </c>
    </row>
    <row r="136" spans="1:31">
      <c r="A136" s="840" t="s">
        <v>384</v>
      </c>
      <c r="B136" s="841">
        <f>-(B88+B65+B42)*Allocation!$I15*(MONTH(B18)-MONTH(Assumptions!C18))/(MONTH(B18)+1-MONTH(Assumptions!C17))</f>
        <v>0</v>
      </c>
      <c r="C136" s="842">
        <f>D136-B136</f>
        <v>-18584.607463091783</v>
      </c>
      <c r="D136" s="243">
        <f>C104</f>
        <v>-18584.607463091783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>
      <c r="A137" s="837"/>
      <c r="B137" s="838">
        <v>36571</v>
      </c>
      <c r="C137" s="839">
        <v>36753</v>
      </c>
      <c r="D137" s="243"/>
      <c r="E137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/>
      <c r="X137"/>
      <c r="Y137"/>
      <c r="Z137"/>
      <c r="AA137"/>
      <c r="AB137"/>
      <c r="AC137"/>
      <c r="AD137"/>
      <c r="AE137"/>
    </row>
    <row r="138" spans="1:31">
      <c r="A138" s="840" t="s">
        <v>390</v>
      </c>
      <c r="B138" s="841">
        <f>-Allocation!I15*(C32+C55+C78)-(B88+B65+B42)*Allocation!$I15*(MONTH(B18)-MONTH(Assumptions!C18))/(MONTH(B18)+1-MONTH(Assumptions!C17))</f>
        <v>-3320.0248154705105</v>
      </c>
      <c r="C138" s="842">
        <f>D136-B138</f>
        <v>-15264.582647621271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0.5" customHeight="1">
      <c r="A140" s="846" t="s">
        <v>184</v>
      </c>
      <c r="B140" s="847"/>
      <c r="C140" s="848">
        <f ca="1">C97</f>
        <v>89343.013167245706</v>
      </c>
      <c r="D140" s="848">
        <f>D97</f>
        <v>121999.06951687927</v>
      </c>
      <c r="E140" s="848">
        <f>E97</f>
        <v>121476.06494435224</v>
      </c>
      <c r="F140" s="848">
        <f>F97-F154</f>
        <v>49825.573752111159</v>
      </c>
      <c r="G140" s="846"/>
      <c r="H140" s="846"/>
      <c r="I140" s="846"/>
      <c r="J140" s="846"/>
      <c r="K140" s="846"/>
      <c r="L140" s="846"/>
      <c r="M140" s="846"/>
      <c r="N140" s="846"/>
      <c r="O140" s="846"/>
      <c r="P140" s="846"/>
      <c r="Q140" s="846"/>
      <c r="R140" s="846"/>
      <c r="S140" s="846"/>
      <c r="T140" s="846"/>
      <c r="U140" s="846"/>
      <c r="V140" s="846"/>
      <c r="AE140"/>
    </row>
    <row r="141" spans="1:31" hidden="1">
      <c r="A141" s="847"/>
      <c r="B141" s="849">
        <v>36373</v>
      </c>
      <c r="C141" s="850">
        <v>36556</v>
      </c>
      <c r="D141" s="850">
        <v>36738</v>
      </c>
      <c r="E141" s="850">
        <v>36922</v>
      </c>
      <c r="F141" s="850">
        <v>37103</v>
      </c>
      <c r="G141" s="850">
        <v>37287</v>
      </c>
      <c r="H141" s="850">
        <v>37468</v>
      </c>
      <c r="I141" s="850">
        <v>37652</v>
      </c>
      <c r="J141" s="850">
        <v>37833</v>
      </c>
      <c r="K141" s="850">
        <v>38017</v>
      </c>
      <c r="L141" s="850">
        <v>38199</v>
      </c>
      <c r="M141" s="850">
        <v>38383</v>
      </c>
      <c r="N141" s="850">
        <v>38564</v>
      </c>
      <c r="O141" s="850">
        <v>38748</v>
      </c>
      <c r="P141" s="850">
        <v>38929</v>
      </c>
      <c r="Q141" s="850">
        <v>39113</v>
      </c>
      <c r="R141" s="850">
        <v>39294</v>
      </c>
      <c r="S141" s="850">
        <v>39478</v>
      </c>
      <c r="T141" s="850">
        <v>39660</v>
      </c>
      <c r="U141" s="850">
        <v>39844</v>
      </c>
      <c r="V141" s="850">
        <v>40025</v>
      </c>
      <c r="W141" s="726">
        <v>40209</v>
      </c>
      <c r="X141" s="726">
        <v>40390</v>
      </c>
      <c r="Y141" s="726">
        <v>40574</v>
      </c>
      <c r="Z141" s="726">
        <v>40755</v>
      </c>
      <c r="AA141" s="726">
        <v>40939</v>
      </c>
      <c r="AB141" s="726">
        <v>41121</v>
      </c>
      <c r="AC141" s="726">
        <v>41305</v>
      </c>
      <c r="AD141" s="726">
        <v>41486</v>
      </c>
      <c r="AE141"/>
    </row>
    <row r="142" spans="1:31" hidden="1">
      <c r="A142" s="847"/>
      <c r="B142" s="847">
        <v>0</v>
      </c>
      <c r="C142" s="851">
        <f>(C141-$B$123)/365</f>
        <v>8.2191780821917804E-2</v>
      </c>
      <c r="D142" s="851">
        <f t="shared" ref="D142:AD142" si="58">(D141-$B$123)/365</f>
        <v>0.58082191780821912</v>
      </c>
      <c r="E142" s="851">
        <f t="shared" si="58"/>
        <v>1.0849315068493151</v>
      </c>
      <c r="F142" s="851">
        <f t="shared" si="58"/>
        <v>1.5808219178082192</v>
      </c>
      <c r="G142" s="851">
        <f t="shared" si="58"/>
        <v>2.0849315068493151</v>
      </c>
      <c r="H142" s="851">
        <f t="shared" si="58"/>
        <v>2.580821917808219</v>
      </c>
      <c r="I142" s="851">
        <f t="shared" si="58"/>
        <v>3.0849315068493151</v>
      </c>
      <c r="J142" s="851">
        <f t="shared" si="58"/>
        <v>3.580821917808219</v>
      </c>
      <c r="K142" s="851">
        <f t="shared" si="58"/>
        <v>4.0849315068493155</v>
      </c>
      <c r="L142" s="851">
        <f t="shared" si="58"/>
        <v>4.5835616438356164</v>
      </c>
      <c r="M142" s="851">
        <f t="shared" si="58"/>
        <v>5.087671232876712</v>
      </c>
      <c r="N142" s="851">
        <f t="shared" si="58"/>
        <v>5.5835616438356164</v>
      </c>
      <c r="O142" s="851">
        <f t="shared" si="58"/>
        <v>6.087671232876712</v>
      </c>
      <c r="P142" s="851">
        <f t="shared" si="58"/>
        <v>6.5835616438356164</v>
      </c>
      <c r="Q142" s="851">
        <f t="shared" si="58"/>
        <v>7.087671232876712</v>
      </c>
      <c r="R142" s="851">
        <f t="shared" si="58"/>
        <v>7.5835616438356164</v>
      </c>
      <c r="S142" s="851">
        <f t="shared" si="58"/>
        <v>8.087671232876712</v>
      </c>
      <c r="T142" s="851">
        <f t="shared" si="58"/>
        <v>8.5863013698630137</v>
      </c>
      <c r="U142" s="851">
        <f t="shared" si="58"/>
        <v>9.0904109589041102</v>
      </c>
      <c r="V142" s="851">
        <f t="shared" si="58"/>
        <v>9.5863013698630137</v>
      </c>
      <c r="W142" s="718">
        <f t="shared" si="58"/>
        <v>10.09041095890411</v>
      </c>
      <c r="X142" s="718">
        <f t="shared" si="58"/>
        <v>10.586301369863014</v>
      </c>
      <c r="Y142" s="718">
        <f t="shared" si="58"/>
        <v>11.09041095890411</v>
      </c>
      <c r="Z142" s="718">
        <f t="shared" si="58"/>
        <v>11.586301369863014</v>
      </c>
      <c r="AA142" s="718">
        <f t="shared" si="58"/>
        <v>12.09041095890411</v>
      </c>
      <c r="AB142" s="718">
        <f t="shared" si="58"/>
        <v>12.58904109589041</v>
      </c>
      <c r="AC142" s="718">
        <f t="shared" si="58"/>
        <v>13.093150684931507</v>
      </c>
      <c r="AD142" s="718">
        <f t="shared" si="58"/>
        <v>13.58904109589041</v>
      </c>
      <c r="AE142"/>
    </row>
    <row r="143" spans="1:31" hidden="1">
      <c r="A143" s="847"/>
      <c r="B143" s="847"/>
      <c r="C143" s="846"/>
      <c r="D143" s="846"/>
      <c r="E143" s="846"/>
      <c r="F143" s="846"/>
      <c r="G143" s="846"/>
      <c r="H143" s="846"/>
      <c r="I143" s="846"/>
      <c r="J143" s="846"/>
      <c r="K143" s="846"/>
      <c r="L143" s="846"/>
      <c r="M143" s="846"/>
      <c r="N143" s="846"/>
      <c r="O143" s="846"/>
      <c r="P143" s="846"/>
      <c r="Q143" s="846"/>
      <c r="R143" s="846"/>
      <c r="S143" s="846"/>
      <c r="T143" s="846"/>
      <c r="U143" s="846"/>
      <c r="V143" s="846"/>
      <c r="AE143"/>
    </row>
    <row r="144" spans="1:31" hidden="1">
      <c r="A144" s="847" t="s">
        <v>357</v>
      </c>
      <c r="B144" s="852">
        <f>B49+B54</f>
        <v>0</v>
      </c>
      <c r="C144" s="853">
        <f>C49+B59</f>
        <v>0</v>
      </c>
      <c r="D144" s="853">
        <f>C54</f>
        <v>0</v>
      </c>
      <c r="E144" s="853">
        <f>D49</f>
        <v>0</v>
      </c>
      <c r="F144" s="853">
        <f>D54</f>
        <v>0</v>
      </c>
      <c r="G144" s="853">
        <f>E49</f>
        <v>0</v>
      </c>
      <c r="H144" s="853">
        <f>E54</f>
        <v>0</v>
      </c>
      <c r="I144" s="853">
        <f>F49</f>
        <v>0</v>
      </c>
      <c r="J144" s="853">
        <f>F54</f>
        <v>0</v>
      </c>
      <c r="K144" s="853">
        <f t="shared" ref="K144:V144" si="59">K49+K54</f>
        <v>18920</v>
      </c>
      <c r="L144" s="853">
        <f t="shared" si="59"/>
        <v>23703.628515976179</v>
      </c>
      <c r="M144" s="853">
        <f t="shared" si="59"/>
        <v>0</v>
      </c>
      <c r="N144" s="853">
        <f t="shared" si="59"/>
        <v>0</v>
      </c>
      <c r="O144" s="853">
        <f t="shared" si="59"/>
        <v>0</v>
      </c>
      <c r="P144" s="853">
        <f t="shared" si="59"/>
        <v>0</v>
      </c>
      <c r="Q144" s="853">
        <f t="shared" si="59"/>
        <v>0</v>
      </c>
      <c r="R144" s="853">
        <f t="shared" si="59"/>
        <v>0</v>
      </c>
      <c r="S144" s="853">
        <f t="shared" si="59"/>
        <v>0</v>
      </c>
      <c r="T144" s="853">
        <f t="shared" si="59"/>
        <v>0</v>
      </c>
      <c r="U144" s="853">
        <f t="shared" si="59"/>
        <v>0</v>
      </c>
      <c r="V144" s="853">
        <f t="shared" si="59"/>
        <v>0</v>
      </c>
      <c r="W144" s="22">
        <v>0</v>
      </c>
      <c r="X144" s="22">
        <v>0</v>
      </c>
      <c r="Y144" s="22">
        <v>0</v>
      </c>
      <c r="Z144" s="22">
        <v>0</v>
      </c>
      <c r="AA144" s="8">
        <v>0</v>
      </c>
      <c r="AB144" s="8">
        <v>0</v>
      </c>
      <c r="AC144" s="22">
        <v>0</v>
      </c>
      <c r="AD144" s="22">
        <v>0</v>
      </c>
      <c r="AE144"/>
    </row>
    <row r="145" spans="1:31" hidden="1">
      <c r="A145" s="847" t="s">
        <v>358</v>
      </c>
      <c r="B145" s="852">
        <v>0</v>
      </c>
      <c r="C145" s="853">
        <v>0</v>
      </c>
      <c r="D145" s="853">
        <v>0</v>
      </c>
      <c r="E145" s="853">
        <v>0</v>
      </c>
      <c r="F145" s="853">
        <v>0</v>
      </c>
      <c r="G145" s="853">
        <v>0</v>
      </c>
      <c r="H145" s="853">
        <v>0</v>
      </c>
      <c r="I145" s="853">
        <v>0</v>
      </c>
      <c r="J145" s="853">
        <v>0</v>
      </c>
      <c r="K145" s="853">
        <f>G72</f>
        <v>0</v>
      </c>
      <c r="L145" s="853">
        <f>G77</f>
        <v>0</v>
      </c>
      <c r="M145" s="853">
        <f>H72</f>
        <v>0</v>
      </c>
      <c r="N145" s="853">
        <f>H77</f>
        <v>0</v>
      </c>
      <c r="O145" s="853">
        <f>I72</f>
        <v>0</v>
      </c>
      <c r="P145" s="853">
        <f>I77</f>
        <v>0</v>
      </c>
      <c r="Q145" s="853">
        <f>J72</f>
        <v>0</v>
      </c>
      <c r="R145" s="853">
        <f>J77</f>
        <v>0</v>
      </c>
      <c r="S145" s="853">
        <f>K72</f>
        <v>0</v>
      </c>
      <c r="T145" s="853">
        <f>K77</f>
        <v>0</v>
      </c>
      <c r="U145" s="853">
        <f>L72</f>
        <v>0</v>
      </c>
      <c r="V145" s="853">
        <f>L77</f>
        <v>0</v>
      </c>
      <c r="W145" s="22">
        <v>0</v>
      </c>
      <c r="X145" s="22">
        <v>0</v>
      </c>
      <c r="Y145" s="22">
        <v>0</v>
      </c>
      <c r="Z145" s="22">
        <v>0</v>
      </c>
      <c r="AA145" s="8">
        <v>0</v>
      </c>
      <c r="AB145" s="8">
        <v>0</v>
      </c>
      <c r="AC145" s="22">
        <v>0</v>
      </c>
      <c r="AD145" s="22">
        <v>0</v>
      </c>
      <c r="AE145"/>
    </row>
    <row r="146" spans="1:31" hidden="1">
      <c r="A146" s="847" t="s">
        <v>359</v>
      </c>
      <c r="B146" s="852">
        <v>0</v>
      </c>
      <c r="C146" s="853">
        <v>0</v>
      </c>
      <c r="D146" s="853">
        <v>0</v>
      </c>
      <c r="E146" s="853">
        <v>0</v>
      </c>
      <c r="F146" s="853">
        <v>0</v>
      </c>
      <c r="G146" s="853">
        <v>0</v>
      </c>
      <c r="H146" s="853">
        <v>0</v>
      </c>
      <c r="I146" s="853">
        <v>0</v>
      </c>
      <c r="J146" s="853">
        <v>0</v>
      </c>
      <c r="K146" s="853">
        <v>0</v>
      </c>
      <c r="L146" s="853">
        <v>0</v>
      </c>
      <c r="M146" s="853">
        <v>0</v>
      </c>
      <c r="N146" s="853">
        <v>0</v>
      </c>
      <c r="O146" s="853">
        <v>0</v>
      </c>
      <c r="P146" s="853">
        <v>0</v>
      </c>
      <c r="Q146" s="853">
        <v>0</v>
      </c>
      <c r="R146" s="853">
        <v>0</v>
      </c>
      <c r="S146" s="853">
        <v>0</v>
      </c>
      <c r="T146" s="853">
        <v>0</v>
      </c>
      <c r="U146" s="853">
        <v>0</v>
      </c>
      <c r="V146" s="853">
        <v>0</v>
      </c>
      <c r="W146" s="85">
        <f>M95</f>
        <v>0</v>
      </c>
      <c r="X146" s="85">
        <f>M100</f>
        <v>0</v>
      </c>
      <c r="Y146" s="85">
        <f>N95</f>
        <v>0</v>
      </c>
      <c r="Z146" s="85">
        <f>N100</f>
        <v>0</v>
      </c>
      <c r="AA146" s="309">
        <f>O95</f>
        <v>0</v>
      </c>
      <c r="AB146" s="309">
        <f>O100</f>
        <v>0</v>
      </c>
      <c r="AC146" s="85">
        <f>P95</f>
        <v>0</v>
      </c>
      <c r="AD146" s="85">
        <f>P100</f>
        <v>0</v>
      </c>
      <c r="AE146"/>
    </row>
    <row r="147" spans="1:31" hidden="1">
      <c r="A147" s="847"/>
      <c r="B147" s="847"/>
      <c r="C147" s="846"/>
      <c r="D147" s="846"/>
      <c r="E147" s="846"/>
      <c r="F147" s="846"/>
      <c r="G147" s="846"/>
      <c r="H147" s="846"/>
      <c r="I147" s="846"/>
      <c r="J147" s="846"/>
      <c r="K147" s="846"/>
      <c r="L147" s="846"/>
      <c r="M147" s="846"/>
      <c r="N147" s="846"/>
      <c r="O147" s="846"/>
      <c r="P147" s="846"/>
      <c r="Q147" s="846"/>
      <c r="R147" s="846"/>
      <c r="S147" s="846"/>
      <c r="T147" s="846"/>
      <c r="U147" s="846"/>
      <c r="V147" s="846"/>
      <c r="AE147"/>
    </row>
    <row r="148" spans="1:31" hidden="1">
      <c r="A148" s="847" t="s">
        <v>360</v>
      </c>
      <c r="B148" s="847"/>
      <c r="C148" s="846"/>
      <c r="D148" s="846"/>
      <c r="E148" s="846"/>
      <c r="F148" s="846"/>
      <c r="G148" s="846"/>
      <c r="H148" s="846"/>
      <c r="I148" s="846"/>
      <c r="J148" s="846"/>
      <c r="K148" s="846"/>
      <c r="L148" s="846"/>
      <c r="M148" s="846"/>
      <c r="N148" s="846"/>
      <c r="O148" s="846"/>
      <c r="P148" s="846"/>
      <c r="Q148" s="846"/>
      <c r="R148" s="846"/>
      <c r="S148" s="846"/>
      <c r="T148" s="846"/>
      <c r="U148" s="846"/>
      <c r="V148" s="846"/>
      <c r="AE148"/>
    </row>
    <row r="149" spans="1:31" hidden="1">
      <c r="A149" s="847" t="s">
        <v>70</v>
      </c>
      <c r="B149" s="854">
        <f>SUMPRODUCT(B144:AP144,B142:AP142)/SUM(B144:AP144)</f>
        <v>4.3622270808186574</v>
      </c>
      <c r="C149" s="846"/>
      <c r="D149" s="846"/>
      <c r="E149" s="846"/>
      <c r="F149" s="846"/>
      <c r="G149" s="846"/>
      <c r="H149" s="846"/>
      <c r="I149" s="846"/>
      <c r="J149" s="846"/>
      <c r="K149" s="846"/>
      <c r="L149" s="846"/>
      <c r="M149" s="846"/>
      <c r="N149" s="846"/>
      <c r="O149" s="846"/>
      <c r="P149" s="846"/>
      <c r="Q149" s="846"/>
      <c r="R149" s="846"/>
      <c r="S149" s="846"/>
      <c r="T149" s="846"/>
      <c r="U149" s="846"/>
      <c r="V149" s="846"/>
      <c r="AE149"/>
    </row>
    <row r="150" spans="1:31" hidden="1">
      <c r="A150" s="847" t="s">
        <v>71</v>
      </c>
      <c r="B150" s="854" t="e">
        <f>SUMPRODUCT(B145:AP145,B142:AP142)/SUM(B145:AP145)</f>
        <v>#DIV/0!</v>
      </c>
      <c r="C150" s="846"/>
      <c r="D150" s="846"/>
      <c r="E150" s="846"/>
      <c r="F150" s="846"/>
      <c r="G150" s="846"/>
      <c r="H150" s="846"/>
      <c r="I150" s="846"/>
      <c r="J150" s="846"/>
      <c r="K150" s="846"/>
      <c r="L150" s="846"/>
      <c r="M150" s="846"/>
      <c r="N150" s="846"/>
      <c r="O150" s="846"/>
      <c r="P150" s="846"/>
      <c r="Q150" s="846"/>
      <c r="R150" s="846"/>
      <c r="S150" s="846"/>
      <c r="T150" s="846"/>
      <c r="U150" s="846"/>
      <c r="V150" s="846"/>
      <c r="AE150"/>
    </row>
    <row r="151" spans="1:31" hidden="1">
      <c r="A151" s="847" t="s">
        <v>72</v>
      </c>
      <c r="B151" s="854" t="e">
        <f>SUMPRODUCT(B146:AP146,B142:AP142)/SUM(B146:AP146)</f>
        <v>#DIV/0!</v>
      </c>
      <c r="C151" s="846"/>
      <c r="D151" s="846"/>
      <c r="E151" s="846"/>
      <c r="F151" s="846"/>
      <c r="G151" s="846"/>
      <c r="H151" s="846"/>
      <c r="I151" s="846"/>
      <c r="J151" s="846"/>
      <c r="K151" s="846"/>
      <c r="L151" s="846"/>
      <c r="M151" s="846"/>
      <c r="N151" s="846"/>
      <c r="O151" s="846"/>
      <c r="P151" s="846"/>
      <c r="Q151" s="846"/>
      <c r="R151" s="846"/>
      <c r="S151" s="846"/>
      <c r="T151" s="846"/>
      <c r="U151" s="846"/>
      <c r="V151" s="846"/>
      <c r="AE151"/>
    </row>
    <row r="152" spans="1:31" hidden="1">
      <c r="A152" s="847"/>
      <c r="B152" s="847"/>
      <c r="C152" s="846"/>
      <c r="D152" s="846"/>
      <c r="E152" s="846"/>
      <c r="F152" s="846"/>
      <c r="G152" s="846"/>
      <c r="H152" s="846"/>
      <c r="I152" s="846"/>
      <c r="J152" s="846"/>
      <c r="K152" s="846"/>
      <c r="L152" s="846"/>
      <c r="M152" s="846"/>
      <c r="N152" s="846"/>
      <c r="O152" s="846"/>
      <c r="P152" s="846"/>
      <c r="Q152" s="846"/>
      <c r="R152" s="846"/>
      <c r="S152" s="846"/>
      <c r="T152" s="846"/>
      <c r="U152" s="846"/>
      <c r="V152" s="846"/>
      <c r="AE152"/>
    </row>
    <row r="153" spans="1:31" hidden="1">
      <c r="A153" s="847"/>
      <c r="B153" s="847"/>
      <c r="C153" s="846"/>
      <c r="D153" s="846"/>
      <c r="E153" s="846"/>
      <c r="F153" s="846"/>
      <c r="G153" s="846"/>
      <c r="H153" s="846"/>
      <c r="I153" s="846"/>
      <c r="J153" s="846"/>
      <c r="K153" s="846"/>
      <c r="L153" s="846"/>
      <c r="M153" s="846"/>
      <c r="N153" s="846"/>
      <c r="O153" s="846"/>
      <c r="P153" s="846"/>
      <c r="Q153" s="846"/>
      <c r="R153" s="846"/>
      <c r="S153" s="846"/>
      <c r="T153" s="846"/>
      <c r="U153" s="846"/>
      <c r="V153" s="846"/>
      <c r="AE153"/>
    </row>
    <row r="154" spans="1:31">
      <c r="A154" s="847"/>
      <c r="B154" s="855"/>
      <c r="C154" s="856"/>
      <c r="D154" s="856"/>
      <c r="E154" s="856"/>
      <c r="F154" s="848">
        <f>(IS!H13+IS!H14+IS!H15+7/12*IS!H18-7/12*IS!H35)</f>
        <v>109571.61221839346</v>
      </c>
      <c r="G154" s="848">
        <f>G97</f>
        <v>190097.33582811028</v>
      </c>
      <c r="H154" s="848">
        <f t="shared" ref="H154:V154" si="60">H97</f>
        <v>193579.98329342896</v>
      </c>
      <c r="I154" s="848">
        <f t="shared" si="60"/>
        <v>194775.80250539724</v>
      </c>
      <c r="J154" s="848">
        <f t="shared" si="60"/>
        <v>199190.63178751644</v>
      </c>
      <c r="K154" s="848">
        <f t="shared" si="60"/>
        <v>201164.74828323902</v>
      </c>
      <c r="L154" s="848">
        <f t="shared" si="60"/>
        <v>205842.93724912504</v>
      </c>
      <c r="M154" s="848">
        <f t="shared" si="60"/>
        <v>206636.22157055381</v>
      </c>
      <c r="N154" s="848">
        <f t="shared" si="60"/>
        <v>211404.56282333276</v>
      </c>
      <c r="O154" s="848">
        <f t="shared" si="60"/>
        <v>213496.51218873204</v>
      </c>
      <c r="P154" s="848">
        <f t="shared" si="60"/>
        <v>214824.9649175138</v>
      </c>
      <c r="Q154" s="848">
        <f t="shared" si="60"/>
        <v>216457.46328716745</v>
      </c>
      <c r="R154" s="848">
        <f t="shared" si="60"/>
        <v>218375.97777791723</v>
      </c>
      <c r="S154" s="848">
        <f t="shared" si="60"/>
        <v>220293.84628468403</v>
      </c>
      <c r="T154" s="848">
        <f t="shared" si="60"/>
        <v>222179.29806472198</v>
      </c>
      <c r="U154" s="848">
        <f t="shared" si="60"/>
        <v>223796.04112327134</v>
      </c>
      <c r="V154" s="848">
        <f t="shared" si="60"/>
        <v>223074.97390162485</v>
      </c>
      <c r="W154"/>
      <c r="X154"/>
      <c r="Y154"/>
      <c r="Z154"/>
      <c r="AA154"/>
      <c r="AB154"/>
      <c r="AC154"/>
      <c r="AD154"/>
      <c r="AE154"/>
    </row>
    <row r="155" spans="1:31">
      <c r="A155" s="857" t="s">
        <v>505</v>
      </c>
      <c r="B155" s="858"/>
      <c r="C155" s="858">
        <v>1.5968030590881686</v>
      </c>
      <c r="D155" s="858">
        <v>1.2883336000166394</v>
      </c>
      <c r="E155" s="858">
        <v>1.2895785504237212</v>
      </c>
      <c r="F155" s="858">
        <v>1.0038833602074084</v>
      </c>
      <c r="G155" s="858"/>
      <c r="H155" s="858"/>
      <c r="I155" s="858"/>
      <c r="J155" s="858"/>
      <c r="K155" s="858"/>
      <c r="L155" s="858"/>
      <c r="M155" s="858"/>
      <c r="N155" s="858"/>
      <c r="O155" s="858"/>
      <c r="P155" s="858"/>
      <c r="Q155" s="858"/>
      <c r="R155" s="858"/>
      <c r="S155" s="858"/>
      <c r="T155" s="858"/>
      <c r="U155" s="858"/>
      <c r="V155" s="858"/>
      <c r="W155"/>
      <c r="X155"/>
      <c r="Y155"/>
      <c r="Z155"/>
      <c r="AA155"/>
      <c r="AB155"/>
      <c r="AC155"/>
      <c r="AD155"/>
      <c r="AE155"/>
    </row>
    <row r="156" spans="1:31">
      <c r="A156" s="857"/>
      <c r="B156" s="858"/>
      <c r="C156" s="858"/>
      <c r="D156" s="858"/>
      <c r="E156" s="858"/>
      <c r="F156" s="858">
        <v>2.1433737238531241</v>
      </c>
      <c r="G156" s="858">
        <v>2.2571606858865514</v>
      </c>
      <c r="H156" s="858">
        <v>2.2504890995770466</v>
      </c>
      <c r="I156" s="858">
        <v>2.2935445264045131</v>
      </c>
      <c r="J156" s="858">
        <v>2.3309962957298449</v>
      </c>
      <c r="K156" s="858">
        <v>2.3519666692882502</v>
      </c>
      <c r="L156" s="858">
        <v>2.4386911694906761</v>
      </c>
      <c r="M156" s="858">
        <v>2.6280919474289486</v>
      </c>
      <c r="N156" s="890">
        <v>2.8102972271213718</v>
      </c>
      <c r="O156" s="858">
        <v>2.8423137583764442</v>
      </c>
      <c r="P156" s="858">
        <v>2.9177465199997066</v>
      </c>
      <c r="Q156" s="858">
        <v>3.0007532924781053</v>
      </c>
      <c r="R156" s="858">
        <v>3.0553443983632622</v>
      </c>
      <c r="S156" s="858">
        <v>3.2697115704602528</v>
      </c>
      <c r="T156" s="858">
        <v>3.6362766022922459</v>
      </c>
      <c r="U156" s="858">
        <v>4.4387683927697328</v>
      </c>
      <c r="V156" s="858">
        <v>5.5763561396499286</v>
      </c>
      <c r="W156"/>
      <c r="X156"/>
      <c r="Y156"/>
      <c r="Z156"/>
      <c r="AA156"/>
      <c r="AB156"/>
      <c r="AC156"/>
      <c r="AD156"/>
      <c r="AE156"/>
    </row>
    <row r="157" spans="1:31">
      <c r="A157" s="859" t="s">
        <v>193</v>
      </c>
      <c r="B157" s="860"/>
      <c r="C157" s="860">
        <f ca="1">7/12*C140/C155-SUM(C102:C104)</f>
        <v>50129.455382843094</v>
      </c>
      <c r="D157" s="860">
        <f>D140/D155</f>
        <v>94695.247811051115</v>
      </c>
      <c r="E157" s="860">
        <f>E140/E155</f>
        <v>94198.267259050204</v>
      </c>
      <c r="F157" s="860">
        <f>F140/F155</f>
        <v>49632.831588937675</v>
      </c>
      <c r="G157" s="861"/>
      <c r="H157" s="861"/>
      <c r="I157" s="861"/>
      <c r="J157" s="861"/>
      <c r="K157" s="861"/>
      <c r="L157" s="861"/>
      <c r="M157" s="861"/>
      <c r="N157" s="861"/>
      <c r="O157" s="861"/>
      <c r="P157" s="861"/>
      <c r="Q157" s="861"/>
      <c r="R157" s="861"/>
      <c r="S157" s="861"/>
      <c r="T157" s="861"/>
      <c r="U157" s="861"/>
      <c r="V157" s="861"/>
      <c r="W157"/>
      <c r="X157"/>
      <c r="Y157"/>
      <c r="Z157"/>
      <c r="AA157"/>
      <c r="AB157"/>
      <c r="AC157"/>
      <c r="AD157"/>
      <c r="AE157"/>
    </row>
    <row r="158" spans="1:31">
      <c r="A158" s="859"/>
      <c r="B158" s="860"/>
      <c r="C158" s="860"/>
      <c r="D158" s="860"/>
      <c r="E158" s="860"/>
      <c r="F158" s="860">
        <f>F154/F156</f>
        <v>51121.095214985442</v>
      </c>
      <c r="G158" s="860">
        <f t="shared" ref="G158:V158" si="61">G154/G156</f>
        <v>84219.673422783017</v>
      </c>
      <c r="H158" s="860">
        <f t="shared" si="61"/>
        <v>86016.849994878925</v>
      </c>
      <c r="I158" s="860">
        <f t="shared" si="61"/>
        <v>84923.488627769751</v>
      </c>
      <c r="J158" s="860">
        <f t="shared" si="61"/>
        <v>85453.002285938419</v>
      </c>
      <c r="K158" s="860">
        <f t="shared" si="61"/>
        <v>85530.441783052695</v>
      </c>
      <c r="L158" s="860">
        <f t="shared" si="61"/>
        <v>84407.136018012316</v>
      </c>
      <c r="M158" s="860">
        <f t="shared" si="61"/>
        <v>78625.948294048532</v>
      </c>
      <c r="N158" s="860">
        <f t="shared" si="61"/>
        <v>75224.98360071241</v>
      </c>
      <c r="O158" s="860">
        <f t="shared" si="61"/>
        <v>75113.63288431718</v>
      </c>
      <c r="P158" s="860">
        <f t="shared" si="61"/>
        <v>73627.014356797314</v>
      </c>
      <c r="Q158" s="860">
        <f t="shared" si="61"/>
        <v>72134.375001688619</v>
      </c>
      <c r="R158" s="860">
        <f t="shared" si="61"/>
        <v>71473.44106114535</v>
      </c>
      <c r="S158" s="860">
        <f t="shared" si="61"/>
        <v>67374.091425952574</v>
      </c>
      <c r="T158" s="860">
        <f t="shared" si="61"/>
        <v>61100.769376197619</v>
      </c>
      <c r="U158" s="860">
        <f t="shared" si="61"/>
        <v>50418.499304404024</v>
      </c>
      <c r="V158" s="860">
        <f t="shared" si="61"/>
        <v>40003.717179302861</v>
      </c>
      <c r="W158"/>
      <c r="X158"/>
      <c r="Y158"/>
      <c r="Z158"/>
      <c r="AA158"/>
      <c r="AB158"/>
      <c r="AC158"/>
      <c r="AD158"/>
      <c r="AE158"/>
    </row>
    <row r="159" spans="1:31" ht="13.8" thickBot="1">
      <c r="A159" s="1"/>
      <c r="B159" s="227"/>
      <c r="C159" s="227"/>
      <c r="D159" s="227"/>
      <c r="E159" s="227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/>
      <c r="X159"/>
      <c r="Y159"/>
      <c r="Z159"/>
      <c r="AA159"/>
      <c r="AB159"/>
      <c r="AC159"/>
      <c r="AD159"/>
      <c r="AE159"/>
    </row>
    <row r="160" spans="1:31">
      <c r="A160" s="1"/>
      <c r="B160" s="227"/>
      <c r="C160" s="863">
        <v>95000</v>
      </c>
      <c r="D160" s="864">
        <v>210000</v>
      </c>
      <c r="E160" s="865">
        <v>425000</v>
      </c>
      <c r="F160" s="227"/>
      <c r="G160" s="862"/>
      <c r="H160" s="862"/>
      <c r="I160" s="862"/>
      <c r="J160" s="862"/>
      <c r="K160" s="862"/>
      <c r="L160" s="862"/>
      <c r="M160" s="862"/>
      <c r="N160" s="862"/>
      <c r="O160" s="862"/>
      <c r="P160" s="862"/>
      <c r="Q160" s="862"/>
      <c r="R160" s="862"/>
      <c r="S160" s="862"/>
      <c r="T160" s="862"/>
      <c r="U160" s="862"/>
      <c r="V160" s="862"/>
      <c r="W160"/>
      <c r="X160"/>
      <c r="Y160"/>
      <c r="Z160"/>
      <c r="AA160"/>
      <c r="AB160"/>
      <c r="AC160"/>
      <c r="AD160"/>
      <c r="AE160"/>
    </row>
    <row r="161" spans="1:31">
      <c r="A161" s="1"/>
      <c r="B161" s="227"/>
      <c r="C161" s="866">
        <f ca="1">F169</f>
        <v>45812.865055642324</v>
      </c>
      <c r="D161" s="867">
        <f ca="1">L197</f>
        <v>0</v>
      </c>
      <c r="E161" s="868">
        <f ca="1">V220</f>
        <v>10251.335974429174</v>
      </c>
      <c r="F161" s="227"/>
      <c r="G161" s="862"/>
      <c r="H161" s="862"/>
      <c r="I161" s="862"/>
      <c r="J161" s="862"/>
      <c r="K161" s="862"/>
      <c r="L161" s="862"/>
      <c r="M161" s="862"/>
      <c r="N161" s="862"/>
      <c r="O161" s="862"/>
      <c r="P161" s="862"/>
      <c r="Q161" s="862"/>
      <c r="R161" s="862"/>
      <c r="S161" s="862"/>
      <c r="T161" s="862"/>
      <c r="U161" s="862"/>
      <c r="V161" s="862"/>
      <c r="W161"/>
      <c r="X161"/>
      <c r="Y161"/>
      <c r="Z161"/>
      <c r="AA161"/>
      <c r="AB161"/>
      <c r="AC161"/>
      <c r="AD161"/>
      <c r="AE161"/>
    </row>
    <row r="162" spans="1:31" ht="13.8" thickBot="1">
      <c r="A162" s="1"/>
      <c r="B162" s="227"/>
      <c r="C162" s="869">
        <f ca="1">SUM(C114:E114,F113)-SUM(C155:F155)</f>
        <v>-0.16498056610234624</v>
      </c>
      <c r="D162" s="870">
        <f>SUM(F115:V115)-SUM(F156:V156)</f>
        <v>-0.72538655093070048</v>
      </c>
      <c r="E162" s="871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/>
      <c r="X162"/>
      <c r="Y162"/>
      <c r="Z162"/>
      <c r="AA162"/>
      <c r="AB162"/>
      <c r="AC162"/>
      <c r="AD162"/>
      <c r="AE162"/>
    </row>
    <row r="163" spans="1:31" ht="13.8" thickBot="1">
      <c r="A163"/>
      <c r="B163"/>
      <c r="C163" s="872">
        <f ca="1">SUM(C250:F250)-SUM(C155:F155)</f>
        <v>0</v>
      </c>
      <c r="D163" s="873">
        <f ca="1">SUM(F251:V251)-SUM(F156:V156)</f>
        <v>-2.9497612078979429</v>
      </c>
      <c r="E163" s="874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>
      <c r="A164" s="82" t="str">
        <f>A28</f>
        <v>Tranche 1 @ 8.19%</v>
      </c>
      <c r="W164"/>
      <c r="X164"/>
      <c r="Y164"/>
      <c r="Z164"/>
      <c r="AB164"/>
      <c r="AC164"/>
      <c r="AD164"/>
      <c r="AE164"/>
    </row>
    <row r="165" spans="1:31">
      <c r="A165" s="84" t="s">
        <v>375</v>
      </c>
      <c r="B165" s="85"/>
      <c r="W165"/>
      <c r="X165"/>
      <c r="Y165"/>
      <c r="Z165"/>
      <c r="AB165"/>
      <c r="AC165"/>
      <c r="AD165"/>
      <c r="AE165"/>
    </row>
    <row r="166" spans="1:31">
      <c r="A166" s="85" t="s">
        <v>233</v>
      </c>
      <c r="B166" s="86">
        <f>C160</f>
        <v>95000</v>
      </c>
      <c r="C166" s="85">
        <f t="shared" ref="C166:V166" si="62">B179</f>
        <v>95000</v>
      </c>
      <c r="D166" s="85">
        <f t="shared" ca="1" si="62"/>
        <v>105356.92930507715</v>
      </c>
      <c r="E166" s="85">
        <f t="shared" ca="1" si="62"/>
        <v>83643.632565939159</v>
      </c>
      <c r="F166" s="85">
        <f t="shared" ca="1" si="62"/>
        <v>60584.390839694512</v>
      </c>
      <c r="G166" s="85">
        <f t="shared" ca="1" si="62"/>
        <v>45812.865055642324</v>
      </c>
      <c r="H166" s="85">
        <f t="shared" ca="1" si="62"/>
        <v>45812.865055642324</v>
      </c>
      <c r="I166" s="85">
        <f t="shared" ca="1" si="62"/>
        <v>45812.865055642324</v>
      </c>
      <c r="J166" s="85">
        <f t="shared" ca="1" si="62"/>
        <v>45812.865055642324</v>
      </c>
      <c r="K166" s="85">
        <f t="shared" ca="1" si="62"/>
        <v>45812.865055642324</v>
      </c>
      <c r="L166" s="85">
        <f t="shared" ca="1" si="62"/>
        <v>45812.865055642324</v>
      </c>
      <c r="M166" s="85">
        <f t="shared" ca="1" si="62"/>
        <v>45812.865055642324</v>
      </c>
      <c r="N166" s="85">
        <f t="shared" ca="1" si="62"/>
        <v>45812.865055642324</v>
      </c>
      <c r="O166" s="85">
        <f t="shared" ca="1" si="62"/>
        <v>45812.865055642324</v>
      </c>
      <c r="P166" s="85">
        <f t="shared" ca="1" si="62"/>
        <v>45812.865055642324</v>
      </c>
      <c r="Q166" s="85">
        <f t="shared" ca="1" si="62"/>
        <v>45812.865055642324</v>
      </c>
      <c r="R166" s="85">
        <f t="shared" ca="1" si="62"/>
        <v>45812.865055642324</v>
      </c>
      <c r="S166" s="85">
        <f t="shared" ca="1" si="62"/>
        <v>45812.865055642324</v>
      </c>
      <c r="T166" s="85">
        <f t="shared" ca="1" si="62"/>
        <v>45812.865055642309</v>
      </c>
      <c r="U166" s="85">
        <f t="shared" ca="1" si="62"/>
        <v>45812.865055641567</v>
      </c>
      <c r="V166" s="85">
        <f t="shared" ca="1" si="62"/>
        <v>45812.865055609538</v>
      </c>
      <c r="W166"/>
      <c r="X166"/>
      <c r="Y166"/>
      <c r="Z166"/>
      <c r="AA166" s="309"/>
      <c r="AB166"/>
      <c r="AC166"/>
      <c r="AD166"/>
      <c r="AE166"/>
    </row>
    <row r="167" spans="1:31">
      <c r="A167" s="85" t="s">
        <v>234</v>
      </c>
      <c r="B167" s="875">
        <v>0</v>
      </c>
      <c r="C167" s="875">
        <f ca="1">(C157-C168-C173-C191-C196-C214-C219-B178-B201-B224-B177)*1/12</f>
        <v>-863.07744208976237</v>
      </c>
      <c r="D167" s="875">
        <f ca="1">(D157-D168-D173-D191-D196-D214-D219-C178-C201-C224-C177)*5.5/12</f>
        <v>9951.9276721049155</v>
      </c>
      <c r="E167" s="875">
        <f ca="1">(E157-E168-E173-E191-E196-E214-E219-D178-D201-D224-D177)*6/12</f>
        <v>11529.620863122322</v>
      </c>
      <c r="F167" s="875">
        <f ca="1">(F157-F168-F191-F214-E178-E201-E224-E177)</f>
        <v>14771.525784052192</v>
      </c>
      <c r="G167" s="875">
        <v>0</v>
      </c>
      <c r="H167" s="875">
        <v>0</v>
      </c>
      <c r="I167" s="875">
        <v>0</v>
      </c>
      <c r="J167" s="875">
        <v>0</v>
      </c>
      <c r="K167" s="875">
        <v>0</v>
      </c>
      <c r="L167" s="875">
        <v>0</v>
      </c>
      <c r="M167" s="875">
        <v>0</v>
      </c>
      <c r="N167" s="875">
        <v>0</v>
      </c>
      <c r="O167" s="875">
        <v>0</v>
      </c>
      <c r="P167" s="875">
        <v>0</v>
      </c>
      <c r="Q167" s="875">
        <v>0</v>
      </c>
      <c r="R167" s="875">
        <v>0</v>
      </c>
      <c r="S167" s="875">
        <v>0</v>
      </c>
      <c r="T167" s="875">
        <v>0</v>
      </c>
      <c r="U167" s="875">
        <v>0</v>
      </c>
      <c r="V167" s="875">
        <v>0</v>
      </c>
      <c r="W167"/>
      <c r="X167"/>
      <c r="Y167"/>
      <c r="Z167"/>
      <c r="AA167" s="309"/>
      <c r="AB167"/>
      <c r="AC167"/>
      <c r="AD167"/>
      <c r="AE167"/>
    </row>
    <row r="168" spans="1:31">
      <c r="A168" s="85" t="s">
        <v>235</v>
      </c>
      <c r="B168" s="727">
        <v>0</v>
      </c>
      <c r="C168" s="85">
        <f>C166*$F$7*1/12</f>
        <v>648.375</v>
      </c>
      <c r="D168" s="85">
        <f t="shared" ref="D168:V168" ca="1" si="63">D166*$F$7*1/12</f>
        <v>719.06104250715146</v>
      </c>
      <c r="E168" s="85">
        <f t="shared" ca="1" si="63"/>
        <v>570.86779226253475</v>
      </c>
      <c r="F168" s="720">
        <f t="shared" ca="1" si="63"/>
        <v>413.48846748091506</v>
      </c>
      <c r="G168" s="85">
        <f t="shared" ca="1" si="63"/>
        <v>312.67280400475886</v>
      </c>
      <c r="H168" s="85">
        <f t="shared" ca="1" si="63"/>
        <v>312.67280400475886</v>
      </c>
      <c r="I168" s="85">
        <f t="shared" ca="1" si="63"/>
        <v>312.67280400475886</v>
      </c>
      <c r="J168" s="85">
        <f t="shared" ca="1" si="63"/>
        <v>312.67280400475886</v>
      </c>
      <c r="K168" s="85">
        <f t="shared" ca="1" si="63"/>
        <v>312.67280400475886</v>
      </c>
      <c r="L168" s="85">
        <f t="shared" ca="1" si="63"/>
        <v>312.67280400475886</v>
      </c>
      <c r="M168" s="85">
        <f t="shared" ca="1" si="63"/>
        <v>312.67280400475886</v>
      </c>
      <c r="N168" s="85">
        <f t="shared" ca="1" si="63"/>
        <v>312.67280400475886</v>
      </c>
      <c r="O168" s="85">
        <f t="shared" ca="1" si="63"/>
        <v>312.67280400475886</v>
      </c>
      <c r="P168" s="85">
        <f t="shared" ca="1" si="63"/>
        <v>312.67280400475886</v>
      </c>
      <c r="Q168" s="85">
        <f t="shared" ca="1" si="63"/>
        <v>312.67280400475886</v>
      </c>
      <c r="R168" s="85">
        <f t="shared" ca="1" si="63"/>
        <v>312.67280400475886</v>
      </c>
      <c r="S168" s="85">
        <f t="shared" ca="1" si="63"/>
        <v>312.67280400475886</v>
      </c>
      <c r="T168" s="85">
        <f t="shared" ca="1" si="63"/>
        <v>312.67280400475875</v>
      </c>
      <c r="U168" s="85">
        <f t="shared" ca="1" si="63"/>
        <v>312.67280400475369</v>
      </c>
      <c r="V168" s="85">
        <f t="shared" ca="1" si="63"/>
        <v>312.67280400453507</v>
      </c>
      <c r="W168"/>
      <c r="X168"/>
      <c r="Y168"/>
      <c r="Z168"/>
      <c r="AA168" s="309"/>
      <c r="AB168"/>
      <c r="AC168"/>
      <c r="AD168"/>
      <c r="AE168"/>
    </row>
    <row r="169" spans="1:31">
      <c r="A169" s="85" t="s">
        <v>236</v>
      </c>
      <c r="B169" s="727">
        <f>B166-B167</f>
        <v>95000</v>
      </c>
      <c r="C169" s="85">
        <f ca="1">C166-C167-B177</f>
        <v>95863.077442089765</v>
      </c>
      <c r="D169" s="85">
        <f t="shared" ref="D169:R169" ca="1" si="64">D166-D167</f>
        <v>95405.001632972242</v>
      </c>
      <c r="E169" s="85">
        <f t="shared" ca="1" si="64"/>
        <v>72114.011702816832</v>
      </c>
      <c r="F169" s="876">
        <f t="shared" ca="1" si="64"/>
        <v>45812.865055642324</v>
      </c>
      <c r="G169" s="85">
        <f t="shared" ca="1" si="64"/>
        <v>45812.865055642324</v>
      </c>
      <c r="H169" s="85">
        <f t="shared" ca="1" si="64"/>
        <v>45812.865055642324</v>
      </c>
      <c r="I169" s="85">
        <f t="shared" ca="1" si="64"/>
        <v>45812.865055642324</v>
      </c>
      <c r="J169" s="85">
        <f t="shared" ca="1" si="64"/>
        <v>45812.865055642324</v>
      </c>
      <c r="K169" s="85">
        <f t="shared" ca="1" si="64"/>
        <v>45812.865055642324</v>
      </c>
      <c r="L169" s="85">
        <f t="shared" ca="1" si="64"/>
        <v>45812.865055642324</v>
      </c>
      <c r="M169" s="85">
        <f t="shared" ca="1" si="64"/>
        <v>45812.865055642324</v>
      </c>
      <c r="N169" s="85">
        <f t="shared" ca="1" si="64"/>
        <v>45812.865055642324</v>
      </c>
      <c r="O169" s="85">
        <f t="shared" ca="1" si="64"/>
        <v>45812.865055642324</v>
      </c>
      <c r="P169" s="85">
        <f t="shared" ca="1" si="64"/>
        <v>45812.865055642324</v>
      </c>
      <c r="Q169" s="85">
        <f t="shared" ca="1" si="64"/>
        <v>45812.865055642324</v>
      </c>
      <c r="R169" s="85">
        <f t="shared" ca="1" si="64"/>
        <v>45812.865055642324</v>
      </c>
      <c r="S169" s="85">
        <f ca="1">S166-S167</f>
        <v>45812.865055642324</v>
      </c>
      <c r="T169" s="85">
        <f ca="1">T166-T167</f>
        <v>45812.865055642309</v>
      </c>
      <c r="U169" s="85">
        <f ca="1">U166-U167</f>
        <v>45812.865055641567</v>
      </c>
      <c r="V169" s="85">
        <f ca="1">V166-V167</f>
        <v>45812.865055609538</v>
      </c>
      <c r="W169"/>
      <c r="X169"/>
      <c r="Y169"/>
      <c r="Z169"/>
      <c r="AA169" s="309"/>
      <c r="AB169"/>
      <c r="AC169"/>
      <c r="AD169"/>
      <c r="AE169"/>
    </row>
    <row r="170" spans="1:31">
      <c r="A170" s="84" t="s">
        <v>376</v>
      </c>
      <c r="B170" s="727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/>
      <c r="X170"/>
      <c r="Y170"/>
      <c r="Z170"/>
      <c r="AA170" s="309"/>
      <c r="AB170"/>
      <c r="AC170"/>
      <c r="AD170"/>
      <c r="AE170"/>
    </row>
    <row r="171" spans="1:31">
      <c r="A171" s="85" t="s">
        <v>233</v>
      </c>
      <c r="B171" s="727">
        <f>B169</f>
        <v>95000</v>
      </c>
      <c r="C171" s="85">
        <f t="shared" ref="C171:V171" ca="1" si="65">C169</f>
        <v>95863.077442089765</v>
      </c>
      <c r="D171" s="85">
        <f t="shared" ca="1" si="65"/>
        <v>95405.001632972242</v>
      </c>
      <c r="E171" s="85">
        <f t="shared" ca="1" si="65"/>
        <v>72114.011702816832</v>
      </c>
      <c r="F171" s="85">
        <f t="shared" ca="1" si="65"/>
        <v>45812.865055642324</v>
      </c>
      <c r="G171" s="85">
        <f t="shared" ca="1" si="65"/>
        <v>45812.865055642324</v>
      </c>
      <c r="H171" s="85">
        <f t="shared" ca="1" si="65"/>
        <v>45812.865055642324</v>
      </c>
      <c r="I171" s="85">
        <f t="shared" ca="1" si="65"/>
        <v>45812.865055642324</v>
      </c>
      <c r="J171" s="85">
        <f t="shared" ca="1" si="65"/>
        <v>45812.865055642324</v>
      </c>
      <c r="K171" s="85">
        <f t="shared" ca="1" si="65"/>
        <v>45812.865055642324</v>
      </c>
      <c r="L171" s="85">
        <f t="shared" ca="1" si="65"/>
        <v>45812.865055642324</v>
      </c>
      <c r="M171" s="85">
        <f t="shared" ca="1" si="65"/>
        <v>45812.865055642324</v>
      </c>
      <c r="N171" s="85">
        <f t="shared" ca="1" si="65"/>
        <v>45812.865055642324</v>
      </c>
      <c r="O171" s="85">
        <f t="shared" ca="1" si="65"/>
        <v>45812.865055642324</v>
      </c>
      <c r="P171" s="85">
        <f t="shared" ca="1" si="65"/>
        <v>45812.865055642324</v>
      </c>
      <c r="Q171" s="85">
        <f t="shared" ca="1" si="65"/>
        <v>45812.865055642324</v>
      </c>
      <c r="R171" s="85">
        <f t="shared" ca="1" si="65"/>
        <v>45812.865055642324</v>
      </c>
      <c r="S171" s="85">
        <f t="shared" ca="1" si="65"/>
        <v>45812.865055642324</v>
      </c>
      <c r="T171" s="85">
        <f t="shared" ca="1" si="65"/>
        <v>45812.865055642309</v>
      </c>
      <c r="U171" s="85">
        <f t="shared" ca="1" si="65"/>
        <v>45812.865055641567</v>
      </c>
      <c r="V171" s="85">
        <f t="shared" ca="1" si="65"/>
        <v>45812.865055609538</v>
      </c>
      <c r="W171"/>
      <c r="X171"/>
      <c r="Y171"/>
      <c r="Z171"/>
      <c r="AA171" s="309"/>
      <c r="AB171"/>
      <c r="AC171"/>
      <c r="AD171"/>
      <c r="AE171"/>
    </row>
    <row r="172" spans="1:31">
      <c r="A172" s="85" t="s">
        <v>234</v>
      </c>
      <c r="B172" s="877">
        <v>0</v>
      </c>
      <c r="C172" s="878">
        <f ca="1">C157-C168-C173-B178-C191-C196-B201-C214-C219-B224-C167-B177</f>
        <v>-9493.851862987387</v>
      </c>
      <c r="D172" s="878">
        <f ca="1">D157-D168-D173-C178-D191-D196-C201-D214-D219-C224-D167-C177</f>
        <v>11761.369067033082</v>
      </c>
      <c r="E172" s="878">
        <f ca="1">E157-E168-E173-D178-E191-E196-D201-E214-E219-D224-E167-D177</f>
        <v>11529.620863122322</v>
      </c>
      <c r="F172" s="875">
        <v>0</v>
      </c>
      <c r="G172" s="875">
        <v>0</v>
      </c>
      <c r="H172" s="875">
        <v>0</v>
      </c>
      <c r="I172" s="875">
        <v>0</v>
      </c>
      <c r="J172" s="875">
        <v>0</v>
      </c>
      <c r="K172" s="875">
        <v>0</v>
      </c>
      <c r="L172" s="875">
        <v>0</v>
      </c>
      <c r="M172" s="875">
        <v>0</v>
      </c>
      <c r="N172" s="875">
        <v>0</v>
      </c>
      <c r="O172" s="875">
        <v>0</v>
      </c>
      <c r="P172" s="875">
        <v>0</v>
      </c>
      <c r="Q172" s="875">
        <v>0</v>
      </c>
      <c r="R172" s="875">
        <v>0</v>
      </c>
      <c r="S172" s="875">
        <v>0</v>
      </c>
      <c r="T172" s="875">
        <v>0</v>
      </c>
      <c r="U172" s="875">
        <v>0</v>
      </c>
      <c r="V172" s="875">
        <v>0</v>
      </c>
      <c r="W172"/>
      <c r="X172"/>
      <c r="Y172"/>
      <c r="Z172"/>
      <c r="AA172" s="309"/>
      <c r="AB172"/>
      <c r="AC172"/>
      <c r="AD172"/>
      <c r="AE172"/>
    </row>
    <row r="173" spans="1:31">
      <c r="A173" s="85" t="s">
        <v>235</v>
      </c>
      <c r="B173" s="727">
        <v>0</v>
      </c>
      <c r="C173" s="85">
        <f t="shared" ref="C173:V173" ca="1" si="66">C171*$F$7*0.5</f>
        <v>3925.5930212535759</v>
      </c>
      <c r="D173" s="85">
        <f t="shared" ca="1" si="66"/>
        <v>3906.8348168702132</v>
      </c>
      <c r="E173" s="85">
        <f t="shared" ca="1" si="66"/>
        <v>2953.0687792303493</v>
      </c>
      <c r="F173" s="85">
        <f t="shared" ca="1" si="66"/>
        <v>1876.0368240285532</v>
      </c>
      <c r="G173" s="85">
        <f t="shared" ca="1" si="66"/>
        <v>1876.0368240285532</v>
      </c>
      <c r="H173" s="85">
        <f t="shared" ca="1" si="66"/>
        <v>1876.0368240285532</v>
      </c>
      <c r="I173" s="85">
        <f t="shared" ca="1" si="66"/>
        <v>1876.0368240285532</v>
      </c>
      <c r="J173" s="85">
        <f t="shared" ca="1" si="66"/>
        <v>1876.0368240285532</v>
      </c>
      <c r="K173" s="85">
        <f t="shared" ca="1" si="66"/>
        <v>1876.0368240285532</v>
      </c>
      <c r="L173" s="85">
        <f t="shared" ca="1" si="66"/>
        <v>1876.0368240285532</v>
      </c>
      <c r="M173" s="85">
        <f t="shared" ca="1" si="66"/>
        <v>1876.0368240285532</v>
      </c>
      <c r="N173" s="85">
        <f t="shared" ca="1" si="66"/>
        <v>1876.0368240285532</v>
      </c>
      <c r="O173" s="85">
        <f t="shared" ca="1" si="66"/>
        <v>1876.0368240285532</v>
      </c>
      <c r="P173" s="85">
        <f t="shared" ca="1" si="66"/>
        <v>1876.0368240285532</v>
      </c>
      <c r="Q173" s="85">
        <f t="shared" ca="1" si="66"/>
        <v>1876.0368240285532</v>
      </c>
      <c r="R173" s="85">
        <f t="shared" ca="1" si="66"/>
        <v>1876.0368240285532</v>
      </c>
      <c r="S173" s="85">
        <f t="shared" ca="1" si="66"/>
        <v>1876.0368240285532</v>
      </c>
      <c r="T173" s="85">
        <f t="shared" ca="1" si="66"/>
        <v>1876.0368240285525</v>
      </c>
      <c r="U173" s="85">
        <f t="shared" ca="1" si="66"/>
        <v>1876.0368240285222</v>
      </c>
      <c r="V173" s="85">
        <f t="shared" ca="1" si="66"/>
        <v>1876.0368240272105</v>
      </c>
      <c r="W173"/>
      <c r="X173"/>
      <c r="Y173"/>
      <c r="Z173"/>
      <c r="AA173" s="309"/>
      <c r="AB173"/>
      <c r="AC173"/>
      <c r="AD173"/>
      <c r="AE173"/>
    </row>
    <row r="174" spans="1:31">
      <c r="A174" s="85" t="s">
        <v>236</v>
      </c>
      <c r="B174" s="727">
        <f>B171-B172</f>
        <v>95000</v>
      </c>
      <c r="C174" s="85">
        <f t="shared" ref="C174:R174" ca="1" si="67">C171-C172</f>
        <v>105356.92930507715</v>
      </c>
      <c r="D174" s="85">
        <f t="shared" ca="1" si="67"/>
        <v>83643.632565939159</v>
      </c>
      <c r="E174" s="85">
        <f t="shared" ca="1" si="67"/>
        <v>60584.390839694512</v>
      </c>
      <c r="F174" s="85">
        <f t="shared" ca="1" si="67"/>
        <v>45812.865055642324</v>
      </c>
      <c r="G174" s="85">
        <f t="shared" ca="1" si="67"/>
        <v>45812.865055642324</v>
      </c>
      <c r="H174" s="85">
        <f t="shared" ca="1" si="67"/>
        <v>45812.865055642324</v>
      </c>
      <c r="I174" s="85">
        <f t="shared" ca="1" si="67"/>
        <v>45812.865055642324</v>
      </c>
      <c r="J174" s="85">
        <f t="shared" ca="1" si="67"/>
        <v>45812.865055642324</v>
      </c>
      <c r="K174" s="85">
        <f t="shared" ca="1" si="67"/>
        <v>45812.865055642324</v>
      </c>
      <c r="L174" s="85">
        <f t="shared" ca="1" si="67"/>
        <v>45812.865055642324</v>
      </c>
      <c r="M174" s="85">
        <f t="shared" ca="1" si="67"/>
        <v>45812.865055642324</v>
      </c>
      <c r="N174" s="85">
        <f t="shared" ca="1" si="67"/>
        <v>45812.865055642324</v>
      </c>
      <c r="O174" s="85">
        <f t="shared" ca="1" si="67"/>
        <v>45812.865055642324</v>
      </c>
      <c r="P174" s="85">
        <f t="shared" ca="1" si="67"/>
        <v>45812.865055642324</v>
      </c>
      <c r="Q174" s="85">
        <f t="shared" ca="1" si="67"/>
        <v>45812.865055642324</v>
      </c>
      <c r="R174" s="85">
        <f t="shared" ca="1" si="67"/>
        <v>45812.865055642324</v>
      </c>
      <c r="S174" s="85">
        <f ca="1">S171-S172</f>
        <v>45812.865055642324</v>
      </c>
      <c r="T174" s="85">
        <f ca="1">T171-T172</f>
        <v>45812.865055642309</v>
      </c>
      <c r="U174" s="85">
        <f ca="1">U171-U172</f>
        <v>45812.865055641567</v>
      </c>
      <c r="V174" s="85">
        <f ca="1">V171-V172</f>
        <v>45812.865055609538</v>
      </c>
      <c r="W174"/>
      <c r="X174"/>
      <c r="Y174"/>
      <c r="Z174"/>
      <c r="AA174" s="309"/>
      <c r="AB174"/>
      <c r="AC174"/>
      <c r="AD174"/>
      <c r="AE174"/>
    </row>
    <row r="175" spans="1:31">
      <c r="A175" s="87" t="s">
        <v>377</v>
      </c>
      <c r="B175" s="727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/>
      <c r="X175"/>
      <c r="Y175"/>
      <c r="Z175"/>
      <c r="AA175" s="309"/>
      <c r="AB175"/>
      <c r="AC175"/>
      <c r="AD175"/>
      <c r="AE175"/>
    </row>
    <row r="176" spans="1:31">
      <c r="A176" s="85" t="s">
        <v>233</v>
      </c>
      <c r="B176" s="727">
        <f>B174</f>
        <v>95000</v>
      </c>
      <c r="C176" s="85">
        <f t="shared" ref="C176:V176" ca="1" si="68">C174</f>
        <v>105356.92930507715</v>
      </c>
      <c r="D176" s="85">
        <f t="shared" ca="1" si="68"/>
        <v>83643.632565939159</v>
      </c>
      <c r="E176" s="85">
        <f t="shared" ca="1" si="68"/>
        <v>60584.390839694512</v>
      </c>
      <c r="F176" s="85">
        <f t="shared" ca="1" si="68"/>
        <v>45812.865055642324</v>
      </c>
      <c r="G176" s="85">
        <f t="shared" ca="1" si="68"/>
        <v>45812.865055642324</v>
      </c>
      <c r="H176" s="85">
        <f t="shared" ca="1" si="68"/>
        <v>45812.865055642324</v>
      </c>
      <c r="I176" s="85">
        <f t="shared" ca="1" si="68"/>
        <v>45812.865055642324</v>
      </c>
      <c r="J176" s="85">
        <f t="shared" ca="1" si="68"/>
        <v>45812.865055642324</v>
      </c>
      <c r="K176" s="85">
        <f t="shared" ca="1" si="68"/>
        <v>45812.865055642324</v>
      </c>
      <c r="L176" s="85">
        <f t="shared" ca="1" si="68"/>
        <v>45812.865055642324</v>
      </c>
      <c r="M176" s="85">
        <f t="shared" ca="1" si="68"/>
        <v>45812.865055642324</v>
      </c>
      <c r="N176" s="85">
        <f t="shared" ca="1" si="68"/>
        <v>45812.865055642324</v>
      </c>
      <c r="O176" s="85">
        <f t="shared" ca="1" si="68"/>
        <v>45812.865055642324</v>
      </c>
      <c r="P176" s="85">
        <f t="shared" ca="1" si="68"/>
        <v>45812.865055642324</v>
      </c>
      <c r="Q176" s="85">
        <f t="shared" ca="1" si="68"/>
        <v>45812.865055642324</v>
      </c>
      <c r="R176" s="85">
        <f t="shared" ca="1" si="68"/>
        <v>45812.865055642324</v>
      </c>
      <c r="S176" s="85">
        <f t="shared" ca="1" si="68"/>
        <v>45812.865055642324</v>
      </c>
      <c r="T176" s="85">
        <f t="shared" ca="1" si="68"/>
        <v>45812.865055642309</v>
      </c>
      <c r="U176" s="85">
        <f t="shared" ca="1" si="68"/>
        <v>45812.865055641567</v>
      </c>
      <c r="V176" s="85">
        <f t="shared" ca="1" si="68"/>
        <v>45812.865055609538</v>
      </c>
      <c r="W176"/>
      <c r="X176"/>
      <c r="Y176"/>
      <c r="Z176"/>
      <c r="AA176" s="309"/>
      <c r="AB176"/>
      <c r="AC176"/>
      <c r="AD176"/>
      <c r="AE176"/>
    </row>
    <row r="177" spans="1:31">
      <c r="A177" s="85" t="s">
        <v>371</v>
      </c>
      <c r="B177" s="879">
        <f>B111</f>
        <v>0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0</v>
      </c>
      <c r="T177" s="85">
        <v>0</v>
      </c>
      <c r="U177" s="85">
        <v>0</v>
      </c>
      <c r="V177" s="85">
        <v>0</v>
      </c>
      <c r="W177"/>
      <c r="X177"/>
      <c r="Y177"/>
      <c r="Z177"/>
      <c r="AA177" s="309"/>
      <c r="AB177"/>
      <c r="AC177"/>
      <c r="AD177"/>
      <c r="AE177"/>
    </row>
    <row r="178" spans="1:31">
      <c r="A178" s="85" t="s">
        <v>369</v>
      </c>
      <c r="B178" s="727">
        <f>B176*$F$7*3/12</f>
        <v>1945.125</v>
      </c>
      <c r="C178" s="85">
        <f ca="1">C176*$F$7*5/12</f>
        <v>3595.3052125357572</v>
      </c>
      <c r="D178" s="85">
        <f t="shared" ref="D178:V178" ca="1" si="69">D176*$F$7*5/12</f>
        <v>2854.3389613126733</v>
      </c>
      <c r="E178" s="85">
        <f t="shared" ca="1" si="69"/>
        <v>2067.4423374045755</v>
      </c>
      <c r="F178" s="85">
        <f t="shared" ca="1" si="69"/>
        <v>1563.3640200237942</v>
      </c>
      <c r="G178" s="85">
        <f t="shared" ca="1" si="69"/>
        <v>1563.3640200237942</v>
      </c>
      <c r="H178" s="85">
        <f t="shared" ca="1" si="69"/>
        <v>1563.3640200237942</v>
      </c>
      <c r="I178" s="85">
        <f t="shared" ca="1" si="69"/>
        <v>1563.3640200237942</v>
      </c>
      <c r="J178" s="85">
        <f t="shared" ca="1" si="69"/>
        <v>1563.3640200237942</v>
      </c>
      <c r="K178" s="85">
        <f t="shared" ca="1" si="69"/>
        <v>1563.3640200237942</v>
      </c>
      <c r="L178" s="85">
        <f t="shared" ca="1" si="69"/>
        <v>1563.3640200237942</v>
      </c>
      <c r="M178" s="85">
        <f t="shared" ca="1" si="69"/>
        <v>1563.3640200237942</v>
      </c>
      <c r="N178" s="85">
        <f t="shared" ca="1" si="69"/>
        <v>1563.3640200237942</v>
      </c>
      <c r="O178" s="85">
        <f t="shared" ca="1" si="69"/>
        <v>1563.3640200237942</v>
      </c>
      <c r="P178" s="85">
        <f t="shared" ca="1" si="69"/>
        <v>1563.3640200237942</v>
      </c>
      <c r="Q178" s="85">
        <f t="shared" ca="1" si="69"/>
        <v>1563.3640200237942</v>
      </c>
      <c r="R178" s="85">
        <f t="shared" ca="1" si="69"/>
        <v>1563.3640200237942</v>
      </c>
      <c r="S178" s="85">
        <f t="shared" ca="1" si="69"/>
        <v>1563.3640200237942</v>
      </c>
      <c r="T178" s="85">
        <f t="shared" ca="1" si="69"/>
        <v>1563.364020023794</v>
      </c>
      <c r="U178" s="85">
        <f t="shared" ca="1" si="69"/>
        <v>1563.3640200237685</v>
      </c>
      <c r="V178" s="85">
        <f t="shared" ca="1" si="69"/>
        <v>1563.3640200226755</v>
      </c>
      <c r="W178"/>
      <c r="X178"/>
      <c r="Y178"/>
      <c r="Z178"/>
      <c r="AA178" s="309"/>
      <c r="AB178"/>
      <c r="AC178"/>
      <c r="AD178"/>
      <c r="AE178"/>
    </row>
    <row r="179" spans="1:31">
      <c r="A179" s="85" t="s">
        <v>236</v>
      </c>
      <c r="B179" s="727">
        <f>B176</f>
        <v>95000</v>
      </c>
      <c r="C179" s="85">
        <f t="shared" ref="C179:R179" ca="1" si="70">C176-C177</f>
        <v>105356.92930507715</v>
      </c>
      <c r="D179" s="85">
        <f t="shared" ca="1" si="70"/>
        <v>83643.632565939159</v>
      </c>
      <c r="E179" s="85">
        <f t="shared" ca="1" si="70"/>
        <v>60584.390839694512</v>
      </c>
      <c r="F179" s="85">
        <f t="shared" ca="1" si="70"/>
        <v>45812.865055642324</v>
      </c>
      <c r="G179" s="85">
        <f t="shared" ca="1" si="70"/>
        <v>45812.865055642324</v>
      </c>
      <c r="H179" s="85">
        <f t="shared" ca="1" si="70"/>
        <v>45812.865055642324</v>
      </c>
      <c r="I179" s="85">
        <f t="shared" ca="1" si="70"/>
        <v>45812.865055642324</v>
      </c>
      <c r="J179" s="85">
        <f t="shared" ca="1" si="70"/>
        <v>45812.865055642324</v>
      </c>
      <c r="K179" s="85">
        <f t="shared" ca="1" si="70"/>
        <v>45812.865055642324</v>
      </c>
      <c r="L179" s="85">
        <f t="shared" ca="1" si="70"/>
        <v>45812.865055642324</v>
      </c>
      <c r="M179" s="85">
        <f t="shared" ca="1" si="70"/>
        <v>45812.865055642324</v>
      </c>
      <c r="N179" s="85">
        <f t="shared" ca="1" si="70"/>
        <v>45812.865055642324</v>
      </c>
      <c r="O179" s="85">
        <f t="shared" ca="1" si="70"/>
        <v>45812.865055642324</v>
      </c>
      <c r="P179" s="85">
        <f t="shared" ca="1" si="70"/>
        <v>45812.865055642324</v>
      </c>
      <c r="Q179" s="85">
        <f t="shared" ca="1" si="70"/>
        <v>45812.865055642324</v>
      </c>
      <c r="R179" s="85">
        <f t="shared" ca="1" si="70"/>
        <v>45812.865055642324</v>
      </c>
      <c r="S179" s="85">
        <f ca="1">S176-S177</f>
        <v>45812.865055642324</v>
      </c>
      <c r="T179" s="85">
        <f ca="1">T176-T177</f>
        <v>45812.865055642309</v>
      </c>
      <c r="U179" s="85">
        <f ca="1">U176-U177</f>
        <v>45812.865055641567</v>
      </c>
      <c r="V179" s="85">
        <f ca="1">V176-V177</f>
        <v>45812.865055609538</v>
      </c>
      <c r="W179"/>
      <c r="X179"/>
      <c r="Y179"/>
      <c r="Z179"/>
      <c r="AA179" s="309"/>
      <c r="AB179"/>
      <c r="AC179"/>
      <c r="AD179"/>
      <c r="AE179"/>
    </row>
    <row r="180" spans="1:31">
      <c r="A180" s="85"/>
      <c r="B180" s="727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/>
      <c r="X180"/>
      <c r="Y180"/>
      <c r="Z180"/>
      <c r="AA180" s="309"/>
      <c r="AB180"/>
      <c r="AC180"/>
      <c r="AD180"/>
      <c r="AE180"/>
    </row>
    <row r="181" spans="1:31">
      <c r="A181" s="89" t="s">
        <v>355</v>
      </c>
      <c r="B181" s="727">
        <v>0</v>
      </c>
      <c r="C181" s="85">
        <f t="shared" ref="C181:V181" ca="1" si="71">C168+C173+B178</f>
        <v>6519.0930212535759</v>
      </c>
      <c r="D181" s="85">
        <f t="shared" ca="1" si="71"/>
        <v>8221.2010719131213</v>
      </c>
      <c r="E181" s="85">
        <f t="shared" ca="1" si="71"/>
        <v>6378.2755328055573</v>
      </c>
      <c r="F181" s="85">
        <f t="shared" ca="1" si="71"/>
        <v>4356.9676289140443</v>
      </c>
      <c r="G181" s="85">
        <f t="shared" ca="1" si="71"/>
        <v>3752.0736480571063</v>
      </c>
      <c r="H181" s="85">
        <f t="shared" ca="1" si="71"/>
        <v>3752.0736480571063</v>
      </c>
      <c r="I181" s="85">
        <f t="shared" ca="1" si="71"/>
        <v>3752.0736480571063</v>
      </c>
      <c r="J181" s="85">
        <f t="shared" ca="1" si="71"/>
        <v>3752.0736480571063</v>
      </c>
      <c r="K181" s="85">
        <f t="shared" ca="1" si="71"/>
        <v>3752.0736480571063</v>
      </c>
      <c r="L181" s="85">
        <f t="shared" ca="1" si="71"/>
        <v>3752.0736480571063</v>
      </c>
      <c r="M181" s="85">
        <f t="shared" ca="1" si="71"/>
        <v>3752.0736480571063</v>
      </c>
      <c r="N181" s="85">
        <f t="shared" ca="1" si="71"/>
        <v>3752.0736480571063</v>
      </c>
      <c r="O181" s="85">
        <f t="shared" ca="1" si="71"/>
        <v>3752.0736480571063</v>
      </c>
      <c r="P181" s="85">
        <f t="shared" ca="1" si="71"/>
        <v>3752.0736480571063</v>
      </c>
      <c r="Q181" s="85">
        <f t="shared" ca="1" si="71"/>
        <v>3752.0736480571063</v>
      </c>
      <c r="R181" s="85">
        <f t="shared" ca="1" si="71"/>
        <v>3752.0736480571063</v>
      </c>
      <c r="S181" s="85">
        <f t="shared" ca="1" si="71"/>
        <v>3752.0736480571063</v>
      </c>
      <c r="T181" s="85">
        <f t="shared" ca="1" si="71"/>
        <v>3752.0736480571054</v>
      </c>
      <c r="U181" s="85">
        <f t="shared" ca="1" si="71"/>
        <v>3752.0736480570695</v>
      </c>
      <c r="V181" s="85">
        <f t="shared" ca="1" si="71"/>
        <v>3752.0736480555142</v>
      </c>
      <c r="W181"/>
      <c r="X181"/>
      <c r="Y181"/>
      <c r="Z181"/>
      <c r="AA181" s="309"/>
      <c r="AB181"/>
      <c r="AC181"/>
      <c r="AD181"/>
      <c r="AE181"/>
    </row>
    <row r="182" spans="1:31">
      <c r="A182" s="21" t="s">
        <v>356</v>
      </c>
      <c r="B182" s="727">
        <f>B168+B173+B178</f>
        <v>1945.125</v>
      </c>
      <c r="C182" s="85">
        <f ca="1">C168+C173+C178</f>
        <v>8169.2732337893331</v>
      </c>
      <c r="D182" s="85">
        <f t="shared" ref="D182:V182" ca="1" si="72">D168+D173+D178</f>
        <v>7480.2348206900388</v>
      </c>
      <c r="E182" s="85">
        <f t="shared" ca="1" si="72"/>
        <v>5591.378908897459</v>
      </c>
      <c r="F182" s="85">
        <f t="shared" ca="1" si="72"/>
        <v>3852.8893115332626</v>
      </c>
      <c r="G182" s="85">
        <f t="shared" ca="1" si="72"/>
        <v>3752.0736480571063</v>
      </c>
      <c r="H182" s="85">
        <f t="shared" ca="1" si="72"/>
        <v>3752.0736480571063</v>
      </c>
      <c r="I182" s="85">
        <f t="shared" ca="1" si="72"/>
        <v>3752.0736480571063</v>
      </c>
      <c r="J182" s="85">
        <f t="shared" ca="1" si="72"/>
        <v>3752.0736480571063</v>
      </c>
      <c r="K182" s="85">
        <f t="shared" ca="1" si="72"/>
        <v>3752.0736480571063</v>
      </c>
      <c r="L182" s="85">
        <f t="shared" ca="1" si="72"/>
        <v>3752.0736480571063</v>
      </c>
      <c r="M182" s="85">
        <f t="shared" ca="1" si="72"/>
        <v>3752.0736480571063</v>
      </c>
      <c r="N182" s="85">
        <f t="shared" ca="1" si="72"/>
        <v>3752.0736480571063</v>
      </c>
      <c r="O182" s="85">
        <f t="shared" ca="1" si="72"/>
        <v>3752.0736480571063</v>
      </c>
      <c r="P182" s="85">
        <f t="shared" ca="1" si="72"/>
        <v>3752.0736480571063</v>
      </c>
      <c r="Q182" s="85">
        <f t="shared" ca="1" si="72"/>
        <v>3752.0736480571063</v>
      </c>
      <c r="R182" s="85">
        <f t="shared" ca="1" si="72"/>
        <v>3752.0736480571063</v>
      </c>
      <c r="S182" s="85">
        <f t="shared" ca="1" si="72"/>
        <v>3752.0736480571063</v>
      </c>
      <c r="T182" s="85">
        <f t="shared" ca="1" si="72"/>
        <v>3752.0736480571049</v>
      </c>
      <c r="U182" s="85">
        <f t="shared" ca="1" si="72"/>
        <v>3752.073648057044</v>
      </c>
      <c r="V182" s="85">
        <f t="shared" ca="1" si="72"/>
        <v>3752.073648054421</v>
      </c>
      <c r="W182"/>
      <c r="X182"/>
      <c r="Y182"/>
      <c r="Z182"/>
      <c r="AA182" s="22"/>
      <c r="AB182"/>
      <c r="AC182"/>
      <c r="AD182"/>
      <c r="AE182"/>
    </row>
    <row r="183" spans="1:31">
      <c r="A183" s="89" t="s">
        <v>373</v>
      </c>
      <c r="B183" s="727">
        <f>B167+B172</f>
        <v>0</v>
      </c>
      <c r="C183" s="727">
        <f t="shared" ref="C183:V183" ca="1" si="73">C167+C172+B177</f>
        <v>-10356.929305077148</v>
      </c>
      <c r="D183" s="727">
        <f t="shared" ca="1" si="73"/>
        <v>21713.296739137997</v>
      </c>
      <c r="E183" s="727">
        <f t="shared" ca="1" si="73"/>
        <v>23059.241726244643</v>
      </c>
      <c r="F183" s="727">
        <f t="shared" ca="1" si="73"/>
        <v>14771.525784052192</v>
      </c>
      <c r="G183" s="727">
        <f t="shared" si="73"/>
        <v>0</v>
      </c>
      <c r="H183" s="727">
        <f t="shared" si="73"/>
        <v>0</v>
      </c>
      <c r="I183" s="727">
        <f t="shared" si="73"/>
        <v>0</v>
      </c>
      <c r="J183" s="727">
        <f t="shared" si="73"/>
        <v>0</v>
      </c>
      <c r="K183" s="727">
        <f t="shared" si="73"/>
        <v>0</v>
      </c>
      <c r="L183" s="727">
        <f t="shared" si="73"/>
        <v>0</v>
      </c>
      <c r="M183" s="727">
        <f t="shared" si="73"/>
        <v>0</v>
      </c>
      <c r="N183" s="727">
        <f t="shared" si="73"/>
        <v>0</v>
      </c>
      <c r="O183" s="727">
        <f t="shared" si="73"/>
        <v>0</v>
      </c>
      <c r="P183" s="727">
        <f t="shared" si="73"/>
        <v>0</v>
      </c>
      <c r="Q183" s="727">
        <f t="shared" si="73"/>
        <v>0</v>
      </c>
      <c r="R183" s="727">
        <f t="shared" si="73"/>
        <v>0</v>
      </c>
      <c r="S183" s="727">
        <f t="shared" si="73"/>
        <v>0</v>
      </c>
      <c r="T183" s="727">
        <f t="shared" si="73"/>
        <v>0</v>
      </c>
      <c r="U183" s="727">
        <f t="shared" si="73"/>
        <v>0</v>
      </c>
      <c r="V183" s="727">
        <f t="shared" si="73"/>
        <v>0</v>
      </c>
      <c r="W183"/>
      <c r="X183"/>
      <c r="Y183"/>
      <c r="Z183"/>
      <c r="AA183" s="22"/>
      <c r="AB183"/>
      <c r="AC183"/>
      <c r="AD183"/>
      <c r="AE183"/>
    </row>
    <row r="184" spans="1:31">
      <c r="A184" s="89" t="s">
        <v>370</v>
      </c>
      <c r="B184" s="727">
        <f>B177</f>
        <v>0</v>
      </c>
      <c r="C184" s="727">
        <f t="shared" ref="C184:V184" si="74">C177</f>
        <v>0</v>
      </c>
      <c r="D184" s="727">
        <f t="shared" si="74"/>
        <v>0</v>
      </c>
      <c r="E184" s="727">
        <f t="shared" si="74"/>
        <v>0</v>
      </c>
      <c r="F184" s="727">
        <f t="shared" si="74"/>
        <v>0</v>
      </c>
      <c r="G184" s="727">
        <f t="shared" si="74"/>
        <v>0</v>
      </c>
      <c r="H184" s="727">
        <f t="shared" si="74"/>
        <v>0</v>
      </c>
      <c r="I184" s="727">
        <f t="shared" si="74"/>
        <v>0</v>
      </c>
      <c r="J184" s="727">
        <f t="shared" si="74"/>
        <v>0</v>
      </c>
      <c r="K184" s="727">
        <f t="shared" si="74"/>
        <v>0</v>
      </c>
      <c r="L184" s="727">
        <f t="shared" si="74"/>
        <v>0</v>
      </c>
      <c r="M184" s="727">
        <f t="shared" si="74"/>
        <v>0</v>
      </c>
      <c r="N184" s="727">
        <f t="shared" si="74"/>
        <v>0</v>
      </c>
      <c r="O184" s="727">
        <f t="shared" si="74"/>
        <v>0</v>
      </c>
      <c r="P184" s="727">
        <f t="shared" si="74"/>
        <v>0</v>
      </c>
      <c r="Q184" s="727">
        <f t="shared" si="74"/>
        <v>0</v>
      </c>
      <c r="R184" s="727">
        <f t="shared" si="74"/>
        <v>0</v>
      </c>
      <c r="S184" s="727">
        <f t="shared" si="74"/>
        <v>0</v>
      </c>
      <c r="T184" s="727">
        <f t="shared" si="74"/>
        <v>0</v>
      </c>
      <c r="U184" s="727">
        <f t="shared" si="74"/>
        <v>0</v>
      </c>
      <c r="V184" s="727">
        <f t="shared" si="74"/>
        <v>0</v>
      </c>
      <c r="W184"/>
      <c r="X184"/>
      <c r="Y184"/>
      <c r="Z184"/>
      <c r="AA184" s="22"/>
      <c r="AB184"/>
      <c r="AC184"/>
      <c r="AD184"/>
      <c r="AE184"/>
    </row>
    <row r="185" spans="1:31">
      <c r="B185" s="23"/>
      <c r="W185"/>
      <c r="X185"/>
      <c r="Y185"/>
      <c r="Z185"/>
      <c r="AA185" s="22"/>
      <c r="AB185"/>
      <c r="AC185"/>
      <c r="AD185"/>
      <c r="AE185"/>
    </row>
    <row r="186" spans="1:31">
      <c r="B186" s="23"/>
      <c r="W186"/>
      <c r="X186"/>
      <c r="Y186"/>
      <c r="Z186"/>
      <c r="AA186" s="22"/>
      <c r="AB186"/>
      <c r="AC186"/>
      <c r="AD186"/>
      <c r="AE186"/>
    </row>
    <row r="187" spans="1:31">
      <c r="A187" s="82" t="str">
        <f>A51</f>
        <v>Tranche 2 @ 9.72%</v>
      </c>
      <c r="B187" s="23"/>
      <c r="C187" s="83"/>
      <c r="AA187" s="22"/>
      <c r="AB187"/>
      <c r="AC187"/>
      <c r="AD187"/>
      <c r="AE187"/>
    </row>
    <row r="188" spans="1:31">
      <c r="A188" s="84" t="s">
        <v>375</v>
      </c>
      <c r="B188" s="727"/>
      <c r="AA188" s="22"/>
      <c r="AB188"/>
      <c r="AC188"/>
      <c r="AD188"/>
      <c r="AE188"/>
    </row>
    <row r="189" spans="1:31">
      <c r="A189" s="85" t="s">
        <v>233</v>
      </c>
      <c r="B189" s="728">
        <f>D160</f>
        <v>210000</v>
      </c>
      <c r="C189" s="85">
        <f t="shared" ref="C189:V189" si="75">B202</f>
        <v>210000</v>
      </c>
      <c r="D189" s="85">
        <f t="shared" si="75"/>
        <v>210000</v>
      </c>
      <c r="E189" s="85">
        <f t="shared" si="75"/>
        <v>210000</v>
      </c>
      <c r="F189" s="85">
        <f t="shared" si="75"/>
        <v>210000</v>
      </c>
      <c r="G189" s="85">
        <f t="shared" si="75"/>
        <v>191259.27978501457</v>
      </c>
      <c r="H189" s="85">
        <f t="shared" ca="1" si="75"/>
        <v>169538.92109383864</v>
      </c>
      <c r="I189" s="85">
        <f t="shared" ca="1" si="75"/>
        <v>143722.66931095679</v>
      </c>
      <c r="J189" s="85">
        <f t="shared" ca="1" si="75"/>
        <v>116455.17400425929</v>
      </c>
      <c r="K189" s="85">
        <f t="shared" ca="1" si="75"/>
        <v>85928.568108262145</v>
      </c>
      <c r="L189" s="85">
        <f t="shared" ca="1" si="75"/>
        <v>52281.509624169063</v>
      </c>
      <c r="M189" s="85">
        <f t="shared" ca="1" si="75"/>
        <v>0</v>
      </c>
      <c r="N189" s="85">
        <f t="shared" ca="1" si="75"/>
        <v>0</v>
      </c>
      <c r="O189" s="85">
        <f t="shared" ca="1" si="75"/>
        <v>0</v>
      </c>
      <c r="P189" s="85">
        <f t="shared" ca="1" si="75"/>
        <v>0</v>
      </c>
      <c r="Q189" s="85">
        <f t="shared" ca="1" si="75"/>
        <v>0</v>
      </c>
      <c r="R189" s="85">
        <f t="shared" ca="1" si="75"/>
        <v>0</v>
      </c>
      <c r="S189" s="85">
        <f t="shared" ca="1" si="75"/>
        <v>0</v>
      </c>
      <c r="T189" s="85">
        <f t="shared" ca="1" si="75"/>
        <v>0</v>
      </c>
      <c r="U189" s="85">
        <f t="shared" ca="1" si="75"/>
        <v>0</v>
      </c>
      <c r="V189" s="85">
        <f t="shared" ca="1" si="75"/>
        <v>0</v>
      </c>
      <c r="W189" s="85"/>
      <c r="X189" s="85"/>
      <c r="Y189" s="85"/>
      <c r="Z189" s="85"/>
      <c r="AA189" s="309"/>
      <c r="AB189"/>
      <c r="AC189"/>
      <c r="AD189"/>
      <c r="AE189"/>
    </row>
    <row r="190" spans="1:31">
      <c r="A190" s="85" t="s">
        <v>234</v>
      </c>
      <c r="B190" s="309">
        <v>0</v>
      </c>
      <c r="C190" s="720">
        <v>0</v>
      </c>
      <c r="D190" s="720">
        <v>0</v>
      </c>
      <c r="E190" s="720">
        <v>0</v>
      </c>
      <c r="F190" s="720">
        <v>0</v>
      </c>
      <c r="G190" s="875">
        <f ca="1">5/12*(G158-G191-F201-G214-F224-G196-G219)</f>
        <v>9050.1494546566337</v>
      </c>
      <c r="H190" s="875">
        <f ca="1">6/12*(H158-H191-G201-H214-G224-H196-H219)</f>
        <v>12908.125891440919</v>
      </c>
      <c r="I190" s="875">
        <f ca="1">6/12*(I158-I191-H201-I214-H224-I196-I219)</f>
        <v>13633.747653348746</v>
      </c>
      <c r="J190" s="875">
        <f ca="1">6/12*(J158-J191-I201-J214-I224-J196-J219)</f>
        <v>15263.302947998578</v>
      </c>
      <c r="K190" s="875">
        <f ca="1">6/12*(K158-K191-J201-K214-J224-K196-K219)</f>
        <v>16823.529242046541</v>
      </c>
      <c r="L190" s="880">
        <f ca="1">L189/2</f>
        <v>26140.754812084531</v>
      </c>
      <c r="M190" s="720">
        <v>0</v>
      </c>
      <c r="N190" s="720">
        <v>0</v>
      </c>
      <c r="O190" s="720">
        <v>0</v>
      </c>
      <c r="P190" s="720">
        <v>0</v>
      </c>
      <c r="Q190" s="720">
        <v>0</v>
      </c>
      <c r="R190" s="720">
        <v>0</v>
      </c>
      <c r="S190" s="720">
        <v>0</v>
      </c>
      <c r="T190" s="720">
        <v>0</v>
      </c>
      <c r="U190" s="720">
        <v>0</v>
      </c>
      <c r="V190" s="720">
        <v>0</v>
      </c>
      <c r="W190" s="85"/>
      <c r="X190" s="85"/>
      <c r="Y190" s="85"/>
      <c r="Z190" s="85"/>
      <c r="AA190" s="309"/>
      <c r="AB190"/>
      <c r="AC190"/>
      <c r="AD190"/>
      <c r="AE190"/>
    </row>
    <row r="191" spans="1:31">
      <c r="A191" s="85" t="s">
        <v>235</v>
      </c>
      <c r="B191" s="727">
        <v>0</v>
      </c>
      <c r="C191" s="85">
        <f t="shared" ref="C191:L191" si="76">C189*$L$7*1/12</f>
        <v>1701</v>
      </c>
      <c r="D191" s="85">
        <f t="shared" si="76"/>
        <v>1701</v>
      </c>
      <c r="E191" s="85">
        <f t="shared" si="76"/>
        <v>1701</v>
      </c>
      <c r="F191" s="85">
        <f t="shared" si="76"/>
        <v>1701</v>
      </c>
      <c r="G191" s="85">
        <f t="shared" si="76"/>
        <v>1549.2001662586181</v>
      </c>
      <c r="H191" s="85">
        <f t="shared" ca="1" si="76"/>
        <v>1373.2652608600931</v>
      </c>
      <c r="I191" s="85">
        <f t="shared" ca="1" si="76"/>
        <v>1164.1536214187502</v>
      </c>
      <c r="J191" s="85">
        <f t="shared" ca="1" si="76"/>
        <v>943.28690943450022</v>
      </c>
      <c r="K191" s="85">
        <f t="shared" ca="1" si="76"/>
        <v>696.02140167692335</v>
      </c>
      <c r="L191" s="85">
        <f t="shared" ca="1" si="76"/>
        <v>423.48022795576941</v>
      </c>
      <c r="M191" s="85">
        <v>0</v>
      </c>
      <c r="N191" s="85">
        <f t="shared" ref="N191:V191" ca="1" si="77">N189*$L$7*1/12</f>
        <v>0</v>
      </c>
      <c r="O191" s="85">
        <f t="shared" ca="1" si="77"/>
        <v>0</v>
      </c>
      <c r="P191" s="85">
        <f t="shared" ca="1" si="77"/>
        <v>0</v>
      </c>
      <c r="Q191" s="85">
        <f t="shared" ca="1" si="77"/>
        <v>0</v>
      </c>
      <c r="R191" s="85">
        <f t="shared" ca="1" si="77"/>
        <v>0</v>
      </c>
      <c r="S191" s="85">
        <f t="shared" ca="1" si="77"/>
        <v>0</v>
      </c>
      <c r="T191" s="85">
        <f t="shared" ca="1" si="77"/>
        <v>0</v>
      </c>
      <c r="U191" s="85">
        <f t="shared" ca="1" si="77"/>
        <v>0</v>
      </c>
      <c r="V191" s="85">
        <f t="shared" ca="1" si="77"/>
        <v>0</v>
      </c>
      <c r="W191" s="85"/>
      <c r="X191" s="85"/>
      <c r="Y191" s="85"/>
      <c r="Z191" s="85"/>
      <c r="AA191" s="309"/>
      <c r="AB191"/>
      <c r="AC191"/>
      <c r="AD191"/>
      <c r="AE191"/>
    </row>
    <row r="192" spans="1:31">
      <c r="A192" s="85" t="s">
        <v>236</v>
      </c>
      <c r="B192" s="727">
        <f>B189-B190</f>
        <v>210000</v>
      </c>
      <c r="C192" s="85">
        <f t="shared" ref="C192:R192" si="78">C189-C190</f>
        <v>210000</v>
      </c>
      <c r="D192" s="85">
        <f t="shared" si="78"/>
        <v>210000</v>
      </c>
      <c r="E192" s="85">
        <f t="shared" si="78"/>
        <v>210000</v>
      </c>
      <c r="F192" s="85">
        <f t="shared" si="78"/>
        <v>210000</v>
      </c>
      <c r="G192" s="85">
        <f t="shared" ca="1" si="78"/>
        <v>182209.13033035793</v>
      </c>
      <c r="H192" s="85">
        <f t="shared" ca="1" si="78"/>
        <v>156630.79520239771</v>
      </c>
      <c r="I192" s="85">
        <f t="shared" ca="1" si="78"/>
        <v>130088.92165760804</v>
      </c>
      <c r="J192" s="85">
        <f t="shared" ca="1" si="78"/>
        <v>101191.87105626072</v>
      </c>
      <c r="K192" s="85">
        <f t="shared" ca="1" si="78"/>
        <v>69105.038866215604</v>
      </c>
      <c r="L192" s="85">
        <f t="shared" ca="1" si="78"/>
        <v>26140.754812084531</v>
      </c>
      <c r="M192" s="85">
        <f t="shared" ca="1" si="78"/>
        <v>0</v>
      </c>
      <c r="N192" s="85">
        <f t="shared" ca="1" si="78"/>
        <v>0</v>
      </c>
      <c r="O192" s="85">
        <f t="shared" ca="1" si="78"/>
        <v>0</v>
      </c>
      <c r="P192" s="85">
        <f t="shared" ca="1" si="78"/>
        <v>0</v>
      </c>
      <c r="Q192" s="85">
        <f t="shared" ca="1" si="78"/>
        <v>0</v>
      </c>
      <c r="R192" s="85">
        <f t="shared" ca="1" si="78"/>
        <v>0</v>
      </c>
      <c r="S192" s="85">
        <f ca="1">S189-S190</f>
        <v>0</v>
      </c>
      <c r="T192" s="85">
        <f ca="1">T189-T190</f>
        <v>0</v>
      </c>
      <c r="U192" s="85">
        <f ca="1">U189-U190</f>
        <v>0</v>
      </c>
      <c r="V192" s="85">
        <f ca="1">V189-V190</f>
        <v>0</v>
      </c>
      <c r="W192" s="85"/>
      <c r="X192" s="85"/>
      <c r="Y192" s="85"/>
      <c r="Z192" s="85"/>
      <c r="AA192" s="309"/>
      <c r="AB192"/>
      <c r="AC192"/>
      <c r="AD192"/>
      <c r="AE192"/>
    </row>
    <row r="193" spans="1:31">
      <c r="A193" s="84" t="s">
        <v>376</v>
      </c>
      <c r="B193" s="727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309"/>
      <c r="AB193"/>
      <c r="AC193"/>
      <c r="AD193"/>
      <c r="AE193"/>
    </row>
    <row r="194" spans="1:31">
      <c r="A194" s="85" t="s">
        <v>233</v>
      </c>
      <c r="B194" s="727">
        <f>B192</f>
        <v>210000</v>
      </c>
      <c r="C194" s="85">
        <f t="shared" ref="C194:V194" si="79">C192</f>
        <v>210000</v>
      </c>
      <c r="D194" s="85">
        <f t="shared" si="79"/>
        <v>210000</v>
      </c>
      <c r="E194" s="85">
        <f t="shared" si="79"/>
        <v>210000</v>
      </c>
      <c r="F194" s="85">
        <f t="shared" si="79"/>
        <v>210000</v>
      </c>
      <c r="G194" s="85">
        <f t="shared" ca="1" si="79"/>
        <v>182209.13033035793</v>
      </c>
      <c r="H194" s="85">
        <f t="shared" ca="1" si="79"/>
        <v>156630.79520239771</v>
      </c>
      <c r="I194" s="85">
        <f t="shared" ca="1" si="79"/>
        <v>130088.92165760804</v>
      </c>
      <c r="J194" s="85">
        <f t="shared" ca="1" si="79"/>
        <v>101191.87105626072</v>
      </c>
      <c r="K194" s="85">
        <f t="shared" ca="1" si="79"/>
        <v>69105.038866215604</v>
      </c>
      <c r="L194" s="85">
        <f t="shared" ca="1" si="79"/>
        <v>26140.754812084531</v>
      </c>
      <c r="M194" s="85">
        <f t="shared" ca="1" si="79"/>
        <v>0</v>
      </c>
      <c r="N194" s="85">
        <f t="shared" ca="1" si="79"/>
        <v>0</v>
      </c>
      <c r="O194" s="85">
        <f t="shared" ca="1" si="79"/>
        <v>0</v>
      </c>
      <c r="P194" s="85">
        <f t="shared" ca="1" si="79"/>
        <v>0</v>
      </c>
      <c r="Q194" s="85">
        <f t="shared" ca="1" si="79"/>
        <v>0</v>
      </c>
      <c r="R194" s="85">
        <f t="shared" ca="1" si="79"/>
        <v>0</v>
      </c>
      <c r="S194" s="85">
        <f t="shared" ca="1" si="79"/>
        <v>0</v>
      </c>
      <c r="T194" s="85">
        <f t="shared" ca="1" si="79"/>
        <v>0</v>
      </c>
      <c r="U194" s="85">
        <f t="shared" ca="1" si="79"/>
        <v>0</v>
      </c>
      <c r="V194" s="85">
        <f t="shared" ca="1" si="79"/>
        <v>0</v>
      </c>
      <c r="W194" s="85"/>
      <c r="X194" s="85"/>
      <c r="Y194" s="85"/>
      <c r="Z194" s="85"/>
      <c r="AA194" s="309"/>
      <c r="AB194"/>
      <c r="AC194"/>
      <c r="AD194"/>
      <c r="AE194"/>
    </row>
    <row r="195" spans="1:31">
      <c r="A195" s="85" t="s">
        <v>234</v>
      </c>
      <c r="B195" s="309">
        <v>0</v>
      </c>
      <c r="C195" s="720">
        <v>0</v>
      </c>
      <c r="D195" s="720">
        <v>0</v>
      </c>
      <c r="E195" s="720">
        <v>0</v>
      </c>
      <c r="F195" s="875">
        <f>F158-F196-F219</f>
        <v>18740.720214985442</v>
      </c>
      <c r="G195" s="875">
        <f ca="1">G158-G191-F201-G214-F224-G196-G219-G190</f>
        <v>12670.209236519286</v>
      </c>
      <c r="H195" s="875">
        <f ca="1">H158-H191-G201-H214-G224-H196-H219-H190</f>
        <v>12908.125891440919</v>
      </c>
      <c r="I195" s="875">
        <f ca="1">I158-I191-H201-I214-H224-I196-I219-I190</f>
        <v>13633.747653348746</v>
      </c>
      <c r="J195" s="875">
        <f ca="1">J158-J191-I201-J214-I224-J196-J219-J190</f>
        <v>15263.302947998578</v>
      </c>
      <c r="K195" s="875">
        <f ca="1">K158-K191-J201-K214-J224-K196-K219-K190</f>
        <v>16823.529242046541</v>
      </c>
      <c r="L195" s="880">
        <f ca="1">L190</f>
        <v>26140.754812084531</v>
      </c>
      <c r="M195" s="720">
        <v>0</v>
      </c>
      <c r="N195" s="720">
        <v>0</v>
      </c>
      <c r="O195" s="720">
        <v>0</v>
      </c>
      <c r="P195" s="720">
        <v>0</v>
      </c>
      <c r="Q195" s="720">
        <v>0</v>
      </c>
      <c r="R195" s="720">
        <v>0</v>
      </c>
      <c r="S195" s="720">
        <v>0</v>
      </c>
      <c r="T195" s="720">
        <v>0</v>
      </c>
      <c r="U195" s="720">
        <v>0</v>
      </c>
      <c r="V195" s="720">
        <v>0</v>
      </c>
      <c r="W195" s="85"/>
      <c r="X195" s="85"/>
      <c r="Y195" s="85"/>
      <c r="Z195" s="85"/>
      <c r="AA195" s="309"/>
      <c r="AB195"/>
      <c r="AC195"/>
      <c r="AD195"/>
      <c r="AE195"/>
    </row>
    <row r="196" spans="1:31">
      <c r="A196" s="85" t="s">
        <v>235</v>
      </c>
      <c r="B196" s="727">
        <v>0</v>
      </c>
      <c r="C196" s="85">
        <f t="shared" ref="C196:L196" si="80">C194*$L$7*0.5</f>
        <v>10206</v>
      </c>
      <c r="D196" s="85">
        <f t="shared" si="80"/>
        <v>10206</v>
      </c>
      <c r="E196" s="85">
        <f t="shared" si="80"/>
        <v>10206</v>
      </c>
      <c r="F196" s="85">
        <f t="shared" si="80"/>
        <v>10206</v>
      </c>
      <c r="G196" s="85">
        <f t="shared" ca="1" si="80"/>
        <v>8855.363734055396</v>
      </c>
      <c r="H196" s="85">
        <f t="shared" ca="1" si="80"/>
        <v>7612.2566468365294</v>
      </c>
      <c r="I196" s="85">
        <f t="shared" ca="1" si="80"/>
        <v>6322.3215925597515</v>
      </c>
      <c r="J196" s="85">
        <f t="shared" ca="1" si="80"/>
        <v>4917.9249333342714</v>
      </c>
      <c r="K196" s="85">
        <f t="shared" ca="1" si="80"/>
        <v>3358.5048888980787</v>
      </c>
      <c r="L196" s="85">
        <f t="shared" ca="1" si="80"/>
        <v>1270.4406838673083</v>
      </c>
      <c r="M196" s="85">
        <v>0</v>
      </c>
      <c r="N196" s="85">
        <f t="shared" ref="N196:V196" ca="1" si="81">N194*$L$7*0.5</f>
        <v>0</v>
      </c>
      <c r="O196" s="85">
        <f t="shared" ca="1" si="81"/>
        <v>0</v>
      </c>
      <c r="P196" s="85">
        <f t="shared" ca="1" si="81"/>
        <v>0</v>
      </c>
      <c r="Q196" s="85">
        <f t="shared" ca="1" si="81"/>
        <v>0</v>
      </c>
      <c r="R196" s="85">
        <f t="shared" ca="1" si="81"/>
        <v>0</v>
      </c>
      <c r="S196" s="85">
        <f t="shared" ca="1" si="81"/>
        <v>0</v>
      </c>
      <c r="T196" s="85">
        <f t="shared" ca="1" si="81"/>
        <v>0</v>
      </c>
      <c r="U196" s="85">
        <f t="shared" ca="1" si="81"/>
        <v>0</v>
      </c>
      <c r="V196" s="85">
        <f t="shared" ca="1" si="81"/>
        <v>0</v>
      </c>
      <c r="W196" s="85"/>
      <c r="X196" s="85"/>
      <c r="Y196" s="85"/>
      <c r="Z196" s="85"/>
      <c r="AA196" s="309"/>
      <c r="AB196"/>
      <c r="AC196"/>
      <c r="AD196"/>
      <c r="AE196"/>
    </row>
    <row r="197" spans="1:31">
      <c r="A197" s="85" t="s">
        <v>236</v>
      </c>
      <c r="B197" s="727">
        <f>B194-B195</f>
        <v>210000</v>
      </c>
      <c r="C197" s="85">
        <f t="shared" ref="C197:R197" si="82">C194-C195</f>
        <v>210000</v>
      </c>
      <c r="D197" s="85">
        <f t="shared" si="82"/>
        <v>210000</v>
      </c>
      <c r="E197" s="85">
        <f t="shared" si="82"/>
        <v>210000</v>
      </c>
      <c r="F197" s="85">
        <f t="shared" si="82"/>
        <v>191259.27978501457</v>
      </c>
      <c r="G197" s="85">
        <f t="shared" ca="1" si="82"/>
        <v>169538.92109383864</v>
      </c>
      <c r="H197" s="85">
        <f t="shared" ca="1" si="82"/>
        <v>143722.66931095679</v>
      </c>
      <c r="I197" s="85">
        <f t="shared" ca="1" si="82"/>
        <v>116455.17400425929</v>
      </c>
      <c r="J197" s="85">
        <f t="shared" ca="1" si="82"/>
        <v>85928.568108262145</v>
      </c>
      <c r="K197" s="85">
        <f t="shared" ca="1" si="82"/>
        <v>52281.509624169063</v>
      </c>
      <c r="L197" s="876">
        <f t="shared" ca="1" si="82"/>
        <v>0</v>
      </c>
      <c r="M197" s="85">
        <f t="shared" ca="1" si="82"/>
        <v>0</v>
      </c>
      <c r="N197" s="85">
        <f t="shared" ca="1" si="82"/>
        <v>0</v>
      </c>
      <c r="O197" s="85">
        <f t="shared" ca="1" si="82"/>
        <v>0</v>
      </c>
      <c r="P197" s="85">
        <f t="shared" ca="1" si="82"/>
        <v>0</v>
      </c>
      <c r="Q197" s="85">
        <f t="shared" ca="1" si="82"/>
        <v>0</v>
      </c>
      <c r="R197" s="85">
        <f t="shared" ca="1" si="82"/>
        <v>0</v>
      </c>
      <c r="S197" s="85">
        <f ca="1">S194-S195</f>
        <v>0</v>
      </c>
      <c r="T197" s="85">
        <f ca="1">T194-T195</f>
        <v>0</v>
      </c>
      <c r="U197" s="85">
        <f ca="1">U194-U195</f>
        <v>0</v>
      </c>
      <c r="V197" s="85">
        <f ca="1">V194-V195</f>
        <v>0</v>
      </c>
      <c r="W197" s="85"/>
      <c r="X197" s="85"/>
      <c r="Y197" s="85"/>
      <c r="Z197" s="85"/>
      <c r="AA197" s="309"/>
      <c r="AB197"/>
      <c r="AC197"/>
      <c r="AD197"/>
      <c r="AE197"/>
    </row>
    <row r="198" spans="1:31">
      <c r="A198" s="87" t="s">
        <v>377</v>
      </c>
      <c r="B198" s="727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309"/>
      <c r="AB198"/>
      <c r="AC198"/>
      <c r="AD198"/>
      <c r="AE198"/>
    </row>
    <row r="199" spans="1:31">
      <c r="A199" s="85" t="s">
        <v>233</v>
      </c>
      <c r="B199" s="727">
        <f>B197</f>
        <v>210000</v>
      </c>
      <c r="C199" s="85">
        <f t="shared" ref="C199:V199" si="83">C197</f>
        <v>210000</v>
      </c>
      <c r="D199" s="85">
        <f t="shared" si="83"/>
        <v>210000</v>
      </c>
      <c r="E199" s="85">
        <f t="shared" si="83"/>
        <v>210000</v>
      </c>
      <c r="F199" s="85">
        <f t="shared" si="83"/>
        <v>191259.27978501457</v>
      </c>
      <c r="G199" s="85">
        <f t="shared" ca="1" si="83"/>
        <v>169538.92109383864</v>
      </c>
      <c r="H199" s="85">
        <f t="shared" ca="1" si="83"/>
        <v>143722.66931095679</v>
      </c>
      <c r="I199" s="85">
        <f t="shared" ca="1" si="83"/>
        <v>116455.17400425929</v>
      </c>
      <c r="J199" s="85">
        <f t="shared" ca="1" si="83"/>
        <v>85928.568108262145</v>
      </c>
      <c r="K199" s="85">
        <f t="shared" ca="1" si="83"/>
        <v>52281.509624169063</v>
      </c>
      <c r="L199" s="85">
        <f t="shared" ca="1" si="83"/>
        <v>0</v>
      </c>
      <c r="M199" s="85">
        <f t="shared" ca="1" si="83"/>
        <v>0</v>
      </c>
      <c r="N199" s="85">
        <f t="shared" ca="1" si="83"/>
        <v>0</v>
      </c>
      <c r="O199" s="85">
        <f t="shared" ca="1" si="83"/>
        <v>0</v>
      </c>
      <c r="P199" s="85">
        <f t="shared" ca="1" si="83"/>
        <v>0</v>
      </c>
      <c r="Q199" s="85">
        <f t="shared" ca="1" si="83"/>
        <v>0</v>
      </c>
      <c r="R199" s="85">
        <f t="shared" ca="1" si="83"/>
        <v>0</v>
      </c>
      <c r="S199" s="85">
        <f t="shared" ca="1" si="83"/>
        <v>0</v>
      </c>
      <c r="T199" s="85">
        <f t="shared" ca="1" si="83"/>
        <v>0</v>
      </c>
      <c r="U199" s="85">
        <f t="shared" ca="1" si="83"/>
        <v>0</v>
      </c>
      <c r="V199" s="85">
        <f t="shared" ca="1" si="83"/>
        <v>0</v>
      </c>
      <c r="W199" s="85"/>
      <c r="X199" s="85"/>
      <c r="Y199" s="85"/>
      <c r="Z199" s="85"/>
      <c r="AA199" s="309"/>
      <c r="AB199"/>
      <c r="AC199"/>
      <c r="AD199"/>
      <c r="AE199"/>
    </row>
    <row r="200" spans="1:31">
      <c r="A200" s="85" t="s">
        <v>370</v>
      </c>
      <c r="B200" s="727">
        <f>B189*5/12*C156</f>
        <v>0</v>
      </c>
      <c r="C200" s="85">
        <v>0</v>
      </c>
      <c r="D200" s="85">
        <v>0</v>
      </c>
      <c r="E200" s="85">
        <v>0</v>
      </c>
      <c r="F200" s="85">
        <v>0</v>
      </c>
      <c r="G200" s="85">
        <v>0</v>
      </c>
      <c r="H200" s="85">
        <v>0</v>
      </c>
      <c r="I200" s="85">
        <v>0</v>
      </c>
      <c r="J200" s="85">
        <v>0</v>
      </c>
      <c r="K200" s="85">
        <v>0</v>
      </c>
      <c r="L200" s="85">
        <v>0</v>
      </c>
      <c r="M200" s="85">
        <v>0</v>
      </c>
      <c r="N200" s="85">
        <v>0</v>
      </c>
      <c r="O200" s="85">
        <v>0</v>
      </c>
      <c r="P200" s="85">
        <v>0</v>
      </c>
      <c r="Q200" s="85">
        <v>0</v>
      </c>
      <c r="R200" s="85">
        <v>0</v>
      </c>
      <c r="S200" s="85">
        <v>0</v>
      </c>
      <c r="T200" s="85">
        <v>0</v>
      </c>
      <c r="U200" s="85">
        <v>0</v>
      </c>
      <c r="V200" s="85">
        <v>0</v>
      </c>
      <c r="W200" s="85"/>
      <c r="X200" s="85"/>
      <c r="Y200" s="85"/>
      <c r="Z200" s="85"/>
      <c r="AA200" s="309"/>
      <c r="AB200"/>
      <c r="AC200"/>
      <c r="AD200"/>
      <c r="AE200"/>
    </row>
    <row r="201" spans="1:31">
      <c r="A201" s="85" t="s">
        <v>369</v>
      </c>
      <c r="B201" s="727">
        <f>B199*$L$7*3/12</f>
        <v>5103</v>
      </c>
      <c r="C201" s="85">
        <f t="shared" ref="C201:L201" si="84">C199*$L$7*5/12</f>
        <v>8505</v>
      </c>
      <c r="D201" s="85">
        <f t="shared" si="84"/>
        <v>8505</v>
      </c>
      <c r="E201" s="85">
        <f t="shared" si="84"/>
        <v>8505</v>
      </c>
      <c r="F201" s="85">
        <f t="shared" si="84"/>
        <v>7746.0008312930904</v>
      </c>
      <c r="G201" s="85">
        <f t="shared" ca="1" si="84"/>
        <v>6866.3263043004663</v>
      </c>
      <c r="H201" s="85">
        <f t="shared" ca="1" si="84"/>
        <v>5820.7681070937506</v>
      </c>
      <c r="I201" s="85">
        <f t="shared" ca="1" si="84"/>
        <v>4716.4345471725019</v>
      </c>
      <c r="J201" s="85">
        <f t="shared" ca="1" si="84"/>
        <v>3480.1070083846171</v>
      </c>
      <c r="K201" s="85">
        <f t="shared" ca="1" si="84"/>
        <v>2117.4011397788472</v>
      </c>
      <c r="L201" s="85">
        <f t="shared" ca="1" si="84"/>
        <v>0</v>
      </c>
      <c r="M201" s="85">
        <f ca="1">L199*$L$7*5/12</f>
        <v>0</v>
      </c>
      <c r="N201" s="85">
        <f t="shared" ref="N201:V201" ca="1" si="85">N199*$L$7*5/12</f>
        <v>0</v>
      </c>
      <c r="O201" s="85">
        <f t="shared" ca="1" si="85"/>
        <v>0</v>
      </c>
      <c r="P201" s="85">
        <f t="shared" ca="1" si="85"/>
        <v>0</v>
      </c>
      <c r="Q201" s="85">
        <f t="shared" ca="1" si="85"/>
        <v>0</v>
      </c>
      <c r="R201" s="85">
        <f t="shared" ca="1" si="85"/>
        <v>0</v>
      </c>
      <c r="S201" s="85">
        <f t="shared" ca="1" si="85"/>
        <v>0</v>
      </c>
      <c r="T201" s="85">
        <f t="shared" ca="1" si="85"/>
        <v>0</v>
      </c>
      <c r="U201" s="85">
        <f t="shared" ca="1" si="85"/>
        <v>0</v>
      </c>
      <c r="V201" s="85">
        <f t="shared" ca="1" si="85"/>
        <v>0</v>
      </c>
      <c r="W201" s="85"/>
      <c r="X201" s="85"/>
      <c r="Y201" s="85"/>
      <c r="Z201" s="85"/>
      <c r="AA201" s="309"/>
      <c r="AB201"/>
      <c r="AC201"/>
      <c r="AD201"/>
      <c r="AE201"/>
    </row>
    <row r="202" spans="1:31">
      <c r="A202" s="85" t="s">
        <v>236</v>
      </c>
      <c r="B202" s="727">
        <f>B199-B200</f>
        <v>210000</v>
      </c>
      <c r="C202" s="85">
        <f t="shared" ref="C202:R202" si="86">C199-C200</f>
        <v>210000</v>
      </c>
      <c r="D202" s="85">
        <f t="shared" si="86"/>
        <v>210000</v>
      </c>
      <c r="E202" s="85">
        <f t="shared" si="86"/>
        <v>210000</v>
      </c>
      <c r="F202" s="85">
        <f t="shared" si="86"/>
        <v>191259.27978501457</v>
      </c>
      <c r="G202" s="85">
        <f t="shared" ca="1" si="86"/>
        <v>169538.92109383864</v>
      </c>
      <c r="H202" s="85">
        <f t="shared" ca="1" si="86"/>
        <v>143722.66931095679</v>
      </c>
      <c r="I202" s="85">
        <f t="shared" ca="1" si="86"/>
        <v>116455.17400425929</v>
      </c>
      <c r="J202" s="85">
        <f t="shared" ca="1" si="86"/>
        <v>85928.568108262145</v>
      </c>
      <c r="K202" s="85">
        <f t="shared" ca="1" si="86"/>
        <v>52281.509624169063</v>
      </c>
      <c r="L202" s="85">
        <f t="shared" ca="1" si="86"/>
        <v>0</v>
      </c>
      <c r="M202" s="85">
        <f t="shared" ca="1" si="86"/>
        <v>0</v>
      </c>
      <c r="N202" s="85">
        <f t="shared" ca="1" si="86"/>
        <v>0</v>
      </c>
      <c r="O202" s="85">
        <f t="shared" ca="1" si="86"/>
        <v>0</v>
      </c>
      <c r="P202" s="85">
        <f t="shared" ca="1" si="86"/>
        <v>0</v>
      </c>
      <c r="Q202" s="85">
        <f t="shared" ca="1" si="86"/>
        <v>0</v>
      </c>
      <c r="R202" s="85">
        <f t="shared" ca="1" si="86"/>
        <v>0</v>
      </c>
      <c r="S202" s="85">
        <f ca="1">S199-S200</f>
        <v>0</v>
      </c>
      <c r="T202" s="85">
        <f ca="1">T199-T200</f>
        <v>0</v>
      </c>
      <c r="U202" s="85">
        <f ca="1">U199-U200</f>
        <v>0</v>
      </c>
      <c r="V202" s="85">
        <f ca="1">V199-V200</f>
        <v>0</v>
      </c>
      <c r="W202" s="85"/>
      <c r="X202" s="85"/>
      <c r="Y202" s="85"/>
      <c r="Z202" s="85"/>
      <c r="AA202" s="309"/>
      <c r="AB202"/>
      <c r="AC202"/>
      <c r="AD202"/>
      <c r="AE202"/>
    </row>
    <row r="203" spans="1:31">
      <c r="A203" s="85"/>
      <c r="B203" s="727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309"/>
      <c r="AB203"/>
      <c r="AC203"/>
      <c r="AD203"/>
      <c r="AE203"/>
    </row>
    <row r="204" spans="1:31">
      <c r="A204" s="89" t="s">
        <v>355</v>
      </c>
      <c r="B204" s="727">
        <v>0</v>
      </c>
      <c r="C204" s="85">
        <f t="shared" ref="C204:V204" si="87">C191+C196+B201</f>
        <v>17010</v>
      </c>
      <c r="D204" s="85">
        <f t="shared" si="87"/>
        <v>20412</v>
      </c>
      <c r="E204" s="85">
        <f t="shared" si="87"/>
        <v>20412</v>
      </c>
      <c r="F204" s="85">
        <f t="shared" si="87"/>
        <v>20412</v>
      </c>
      <c r="G204" s="85">
        <f t="shared" ca="1" si="87"/>
        <v>18150.564731607104</v>
      </c>
      <c r="H204" s="85">
        <f t="shared" ca="1" si="87"/>
        <v>15851.848211997089</v>
      </c>
      <c r="I204" s="85">
        <f t="shared" ca="1" si="87"/>
        <v>13307.243321072252</v>
      </c>
      <c r="J204" s="85">
        <f t="shared" ca="1" si="87"/>
        <v>10577.646389941274</v>
      </c>
      <c r="K204" s="85">
        <f t="shared" ca="1" si="87"/>
        <v>7534.6332989596194</v>
      </c>
      <c r="L204" s="85">
        <f t="shared" ca="1" si="87"/>
        <v>3811.3220516019246</v>
      </c>
      <c r="M204" s="85">
        <f t="shared" ca="1" si="87"/>
        <v>0</v>
      </c>
      <c r="N204" s="85">
        <f t="shared" ca="1" si="87"/>
        <v>0</v>
      </c>
      <c r="O204" s="85">
        <f t="shared" ca="1" si="87"/>
        <v>0</v>
      </c>
      <c r="P204" s="85">
        <f t="shared" ca="1" si="87"/>
        <v>0</v>
      </c>
      <c r="Q204" s="85">
        <f t="shared" ca="1" si="87"/>
        <v>0</v>
      </c>
      <c r="R204" s="85">
        <f t="shared" ca="1" si="87"/>
        <v>0</v>
      </c>
      <c r="S204" s="85">
        <f t="shared" ca="1" si="87"/>
        <v>0</v>
      </c>
      <c r="T204" s="85">
        <f t="shared" ca="1" si="87"/>
        <v>0</v>
      </c>
      <c r="U204" s="85">
        <f t="shared" ca="1" si="87"/>
        <v>0</v>
      </c>
      <c r="V204" s="85">
        <f t="shared" ca="1" si="87"/>
        <v>0</v>
      </c>
      <c r="W204" s="85"/>
      <c r="X204" s="85"/>
      <c r="Y204" s="85"/>
      <c r="Z204" s="85"/>
      <c r="AA204" s="309"/>
      <c r="AB204"/>
      <c r="AC204"/>
      <c r="AD204"/>
      <c r="AE204"/>
    </row>
    <row r="205" spans="1:31">
      <c r="A205" s="21" t="s">
        <v>356</v>
      </c>
      <c r="B205" s="727">
        <f>B191+B196+B201</f>
        <v>5103</v>
      </c>
      <c r="C205" s="85">
        <f>C191+C196+C201</f>
        <v>20412</v>
      </c>
      <c r="D205" s="85">
        <f t="shared" ref="D205:V205" si="88">D191+D196+D201</f>
        <v>20412</v>
      </c>
      <c r="E205" s="85">
        <f t="shared" si="88"/>
        <v>20412</v>
      </c>
      <c r="F205" s="85">
        <f t="shared" si="88"/>
        <v>19653.000831293091</v>
      </c>
      <c r="G205" s="85">
        <f t="shared" ca="1" si="88"/>
        <v>17270.890204614479</v>
      </c>
      <c r="H205" s="85">
        <f t="shared" ca="1" si="88"/>
        <v>14806.290014790373</v>
      </c>
      <c r="I205" s="85">
        <f t="shared" ca="1" si="88"/>
        <v>12202.909761151004</v>
      </c>
      <c r="J205" s="85">
        <f t="shared" ca="1" si="88"/>
        <v>9341.3188511533881</v>
      </c>
      <c r="K205" s="85">
        <f t="shared" ca="1" si="88"/>
        <v>6171.9274303538496</v>
      </c>
      <c r="L205" s="85">
        <f t="shared" ca="1" si="88"/>
        <v>1693.9209118230776</v>
      </c>
      <c r="M205" s="85">
        <f t="shared" ca="1" si="88"/>
        <v>0</v>
      </c>
      <c r="N205" s="85">
        <f t="shared" ca="1" si="88"/>
        <v>0</v>
      </c>
      <c r="O205" s="85">
        <f t="shared" ca="1" si="88"/>
        <v>0</v>
      </c>
      <c r="P205" s="85">
        <f t="shared" ca="1" si="88"/>
        <v>0</v>
      </c>
      <c r="Q205" s="85">
        <f t="shared" ca="1" si="88"/>
        <v>0</v>
      </c>
      <c r="R205" s="85">
        <f t="shared" ca="1" si="88"/>
        <v>0</v>
      </c>
      <c r="S205" s="85">
        <f t="shared" ca="1" si="88"/>
        <v>0</v>
      </c>
      <c r="T205" s="85">
        <f t="shared" ca="1" si="88"/>
        <v>0</v>
      </c>
      <c r="U205" s="85">
        <f t="shared" ca="1" si="88"/>
        <v>0</v>
      </c>
      <c r="V205" s="85">
        <f t="shared" ca="1" si="88"/>
        <v>0</v>
      </c>
      <c r="AA205" s="22"/>
      <c r="AB205"/>
      <c r="AC205"/>
      <c r="AD205"/>
      <c r="AE205"/>
    </row>
    <row r="206" spans="1:31">
      <c r="A206" s="89" t="s">
        <v>373</v>
      </c>
      <c r="B206" s="727">
        <f>B190+B195</f>
        <v>0</v>
      </c>
      <c r="C206" s="727">
        <f t="shared" ref="C206:V206" si="89">C190+C195+B200</f>
        <v>0</v>
      </c>
      <c r="D206" s="727">
        <f t="shared" si="89"/>
        <v>0</v>
      </c>
      <c r="E206" s="727">
        <f t="shared" si="89"/>
        <v>0</v>
      </c>
      <c r="F206" s="727">
        <f t="shared" si="89"/>
        <v>18740.720214985442</v>
      </c>
      <c r="G206" s="727">
        <f t="shared" ca="1" si="89"/>
        <v>21720.358691175919</v>
      </c>
      <c r="H206" s="727">
        <f t="shared" ca="1" si="89"/>
        <v>25816.251782881838</v>
      </c>
      <c r="I206" s="727">
        <f t="shared" ca="1" si="89"/>
        <v>27267.495306697492</v>
      </c>
      <c r="J206" s="727">
        <f t="shared" ca="1" si="89"/>
        <v>30526.605895997156</v>
      </c>
      <c r="K206" s="727">
        <f t="shared" ca="1" si="89"/>
        <v>33647.058484093082</v>
      </c>
      <c r="L206" s="727">
        <f t="shared" ca="1" si="89"/>
        <v>52281.509624169063</v>
      </c>
      <c r="M206" s="727">
        <f t="shared" si="89"/>
        <v>0</v>
      </c>
      <c r="N206" s="727">
        <f t="shared" si="89"/>
        <v>0</v>
      </c>
      <c r="O206" s="727">
        <f t="shared" si="89"/>
        <v>0</v>
      </c>
      <c r="P206" s="727">
        <f t="shared" si="89"/>
        <v>0</v>
      </c>
      <c r="Q206" s="727">
        <f t="shared" si="89"/>
        <v>0</v>
      </c>
      <c r="R206" s="727">
        <f t="shared" si="89"/>
        <v>0</v>
      </c>
      <c r="S206" s="727">
        <f t="shared" si="89"/>
        <v>0</v>
      </c>
      <c r="T206" s="727">
        <f t="shared" si="89"/>
        <v>0</v>
      </c>
      <c r="U206" s="727">
        <f t="shared" si="89"/>
        <v>0</v>
      </c>
      <c r="V206" s="727">
        <f t="shared" si="89"/>
        <v>0</v>
      </c>
      <c r="AA206" s="22"/>
      <c r="AB206"/>
      <c r="AC206"/>
      <c r="AD206"/>
      <c r="AE206"/>
    </row>
    <row r="207" spans="1:31">
      <c r="A207" s="21" t="s">
        <v>371</v>
      </c>
      <c r="B207" s="727">
        <f>B200</f>
        <v>0</v>
      </c>
      <c r="C207" s="727">
        <f t="shared" ref="C207:V207" si="90">C200</f>
        <v>0</v>
      </c>
      <c r="D207" s="727">
        <f t="shared" si="90"/>
        <v>0</v>
      </c>
      <c r="E207" s="727">
        <f t="shared" si="90"/>
        <v>0</v>
      </c>
      <c r="F207" s="727">
        <f t="shared" si="90"/>
        <v>0</v>
      </c>
      <c r="G207" s="727">
        <f t="shared" si="90"/>
        <v>0</v>
      </c>
      <c r="H207" s="727">
        <f t="shared" si="90"/>
        <v>0</v>
      </c>
      <c r="I207" s="727">
        <f t="shared" si="90"/>
        <v>0</v>
      </c>
      <c r="J207" s="727">
        <f t="shared" si="90"/>
        <v>0</v>
      </c>
      <c r="K207" s="727">
        <f t="shared" si="90"/>
        <v>0</v>
      </c>
      <c r="L207" s="727">
        <f t="shared" si="90"/>
        <v>0</v>
      </c>
      <c r="M207" s="727">
        <f t="shared" si="90"/>
        <v>0</v>
      </c>
      <c r="N207" s="727">
        <f t="shared" si="90"/>
        <v>0</v>
      </c>
      <c r="O207" s="727">
        <f t="shared" si="90"/>
        <v>0</v>
      </c>
      <c r="P207" s="727">
        <f t="shared" si="90"/>
        <v>0</v>
      </c>
      <c r="Q207" s="727">
        <f t="shared" si="90"/>
        <v>0</v>
      </c>
      <c r="R207" s="727">
        <f t="shared" si="90"/>
        <v>0</v>
      </c>
      <c r="S207" s="727">
        <f t="shared" si="90"/>
        <v>0</v>
      </c>
      <c r="T207" s="727">
        <f t="shared" si="90"/>
        <v>0</v>
      </c>
      <c r="U207" s="727">
        <f t="shared" si="90"/>
        <v>0</v>
      </c>
      <c r="V207" s="727">
        <f t="shared" si="90"/>
        <v>0</v>
      </c>
      <c r="AA207" s="22"/>
      <c r="AB207"/>
      <c r="AC207"/>
      <c r="AD207"/>
      <c r="AE207"/>
    </row>
    <row r="208" spans="1:31">
      <c r="B208" s="312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309"/>
      <c r="AB208"/>
      <c r="AC208"/>
      <c r="AD208"/>
      <c r="AE208"/>
    </row>
    <row r="209" spans="1:31">
      <c r="B209" s="727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309"/>
      <c r="AB209"/>
      <c r="AC209"/>
      <c r="AD209"/>
      <c r="AE209"/>
    </row>
    <row r="210" spans="1:31">
      <c r="A210" s="82" t="str">
        <f>A74</f>
        <v>Tranche 3 @ 10.435%</v>
      </c>
      <c r="B210" s="23"/>
      <c r="C210" s="83"/>
      <c r="AA210" s="22"/>
      <c r="AB210"/>
      <c r="AC210"/>
      <c r="AD210"/>
      <c r="AE210"/>
    </row>
    <row r="211" spans="1:31">
      <c r="A211" s="84" t="s">
        <v>375</v>
      </c>
      <c r="B211" s="727"/>
      <c r="AA211" s="22"/>
      <c r="AB211"/>
      <c r="AC211"/>
      <c r="AD211"/>
      <c r="AE211"/>
    </row>
    <row r="212" spans="1:31">
      <c r="A212" s="85" t="s">
        <v>233</v>
      </c>
      <c r="B212" s="728">
        <f>E160</f>
        <v>425000</v>
      </c>
      <c r="C212" s="85">
        <f t="shared" ref="C212:V212" si="91">B225</f>
        <v>425000</v>
      </c>
      <c r="D212" s="85">
        <f t="shared" si="91"/>
        <v>425000</v>
      </c>
      <c r="E212" s="85">
        <f t="shared" si="91"/>
        <v>425000</v>
      </c>
      <c r="F212" s="85">
        <f t="shared" si="91"/>
        <v>425000</v>
      </c>
      <c r="G212" s="85">
        <f t="shared" si="91"/>
        <v>425000</v>
      </c>
      <c r="H212" s="85">
        <f t="shared" si="91"/>
        <v>425000</v>
      </c>
      <c r="I212" s="85">
        <f t="shared" si="91"/>
        <v>425000</v>
      </c>
      <c r="J212" s="85">
        <f t="shared" si="91"/>
        <v>425000</v>
      </c>
      <c r="K212" s="85">
        <f t="shared" si="91"/>
        <v>425000</v>
      </c>
      <c r="L212" s="85">
        <f t="shared" si="91"/>
        <v>425000</v>
      </c>
      <c r="M212" s="85">
        <f t="shared" si="91"/>
        <v>425000</v>
      </c>
      <c r="N212" s="85">
        <f t="shared" ca="1" si="91"/>
        <v>393599.36685545999</v>
      </c>
      <c r="O212" s="85">
        <f t="shared" ca="1" si="91"/>
        <v>358531.64807236078</v>
      </c>
      <c r="P212" s="85">
        <f t="shared" ca="1" si="91"/>
        <v>319820.92672114458</v>
      </c>
      <c r="Q212" s="85">
        <f t="shared" ca="1" si="91"/>
        <v>278488.97887834976</v>
      </c>
      <c r="R212" s="85">
        <f t="shared" ca="1" si="91"/>
        <v>234261.13494397904</v>
      </c>
      <c r="S212" s="85">
        <f t="shared" ca="1" si="91"/>
        <v>185973.12998486706</v>
      </c>
      <c r="T212" s="85">
        <f t="shared" ca="1" si="91"/>
        <v>136720.4555279403</v>
      </c>
      <c r="U212" s="85">
        <f t="shared" ca="1" si="91"/>
        <v>88631.956980219591</v>
      </c>
      <c r="V212" s="85">
        <f t="shared" ca="1" si="91"/>
        <v>46359.417513359789</v>
      </c>
      <c r="W212" s="85"/>
      <c r="X212" s="85"/>
      <c r="Y212" s="85"/>
      <c r="Z212" s="85"/>
      <c r="AA212" s="309"/>
      <c r="AB212"/>
      <c r="AC212"/>
      <c r="AD212"/>
      <c r="AE212"/>
    </row>
    <row r="213" spans="1:31">
      <c r="A213" s="85" t="s">
        <v>234</v>
      </c>
      <c r="B213" s="309">
        <v>0</v>
      </c>
      <c r="C213" s="720">
        <v>0</v>
      </c>
      <c r="D213" s="720">
        <v>0</v>
      </c>
      <c r="E213" s="720">
        <v>0</v>
      </c>
      <c r="F213" s="720">
        <v>0</v>
      </c>
      <c r="G213" s="720">
        <v>0</v>
      </c>
      <c r="H213" s="720">
        <v>0</v>
      </c>
      <c r="I213" s="720">
        <v>0</v>
      </c>
      <c r="J213" s="720">
        <v>0</v>
      </c>
      <c r="K213" s="720">
        <v>0</v>
      </c>
      <c r="L213" s="720">
        <v>0</v>
      </c>
      <c r="M213" s="878">
        <f t="shared" ref="M213:V213" ca="1" si="92">6/12*(M158-M214-L224-M219)</f>
        <v>15700.316572270025</v>
      </c>
      <c r="N213" s="878">
        <f t="shared" ca="1" si="92"/>
        <v>17533.859391549624</v>
      </c>
      <c r="O213" s="878">
        <f t="shared" ca="1" si="92"/>
        <v>19355.360675608092</v>
      </c>
      <c r="P213" s="878">
        <f t="shared" ca="1" si="92"/>
        <v>20665.973921397395</v>
      </c>
      <c r="Q213" s="878">
        <f t="shared" ca="1" si="92"/>
        <v>22113.921967185357</v>
      </c>
      <c r="R213" s="878">
        <f t="shared" ca="1" si="92"/>
        <v>24144.002479555984</v>
      </c>
      <c r="S213" s="878">
        <f t="shared" ca="1" si="92"/>
        <v>24626.337228463384</v>
      </c>
      <c r="T213" s="878">
        <f t="shared" ca="1" si="92"/>
        <v>24044.249273860358</v>
      </c>
      <c r="U213" s="878">
        <f t="shared" ca="1" si="92"/>
        <v>21136.269733429905</v>
      </c>
      <c r="V213" s="878">
        <f t="shared" ca="1" si="92"/>
        <v>18054.040769465308</v>
      </c>
      <c r="W213" s="720"/>
      <c r="X213" s="720"/>
      <c r="Y213" s="720"/>
      <c r="Z213" s="720"/>
      <c r="AA213" s="309"/>
      <c r="AB213"/>
      <c r="AC213"/>
      <c r="AD213"/>
      <c r="AE213"/>
    </row>
    <row r="214" spans="1:31">
      <c r="A214" s="85" t="s">
        <v>235</v>
      </c>
      <c r="B214" s="727">
        <v>0</v>
      </c>
      <c r="C214" s="85">
        <f t="shared" ref="C214:V214" si="93">C212*$R$7*1/12</f>
        <v>3695.7291666666665</v>
      </c>
      <c r="D214" s="85">
        <f t="shared" si="93"/>
        <v>3695.7291666666665</v>
      </c>
      <c r="E214" s="85">
        <f t="shared" si="93"/>
        <v>3695.7291666666665</v>
      </c>
      <c r="F214" s="85">
        <f t="shared" si="93"/>
        <v>3695.7291666666665</v>
      </c>
      <c r="G214" s="85">
        <f t="shared" si="93"/>
        <v>3695.7291666666665</v>
      </c>
      <c r="H214" s="85">
        <f t="shared" si="93"/>
        <v>3695.7291666666665</v>
      </c>
      <c r="I214" s="85">
        <f t="shared" si="93"/>
        <v>3695.7291666666665</v>
      </c>
      <c r="J214" s="85">
        <f t="shared" si="93"/>
        <v>3695.7291666666665</v>
      </c>
      <c r="K214" s="85">
        <f t="shared" si="93"/>
        <v>3695.7291666666665</v>
      </c>
      <c r="L214" s="85">
        <f t="shared" si="93"/>
        <v>3695.7291666666665</v>
      </c>
      <c r="M214" s="720">
        <f t="shared" si="93"/>
        <v>3695.7291666666665</v>
      </c>
      <c r="N214" s="720">
        <f t="shared" ca="1" si="93"/>
        <v>3422.674494280604</v>
      </c>
      <c r="O214" s="720">
        <f t="shared" ca="1" si="93"/>
        <v>3117.731456362571</v>
      </c>
      <c r="P214" s="720">
        <f t="shared" ca="1" si="93"/>
        <v>2781.1094752792865</v>
      </c>
      <c r="Q214" s="720">
        <f t="shared" ca="1" si="93"/>
        <v>2421.6937454963168</v>
      </c>
      <c r="R214" s="720">
        <f t="shared" ca="1" si="93"/>
        <v>2037.0957859503508</v>
      </c>
      <c r="S214" s="720">
        <f t="shared" ca="1" si="93"/>
        <v>1617.1913428267399</v>
      </c>
      <c r="T214" s="881">
        <f t="shared" ca="1" si="93"/>
        <v>1188.8982945283808</v>
      </c>
      <c r="U214" s="720">
        <f t="shared" ca="1" si="93"/>
        <v>770.72872590715951</v>
      </c>
      <c r="V214" s="720">
        <f t="shared" ca="1" si="93"/>
        <v>403.13376812659118</v>
      </c>
      <c r="W214" s="720"/>
      <c r="X214" s="720"/>
      <c r="Y214" s="720"/>
      <c r="Z214" s="720"/>
      <c r="AA214" s="309"/>
      <c r="AB214"/>
      <c r="AC214"/>
      <c r="AD214"/>
      <c r="AE214"/>
    </row>
    <row r="215" spans="1:31">
      <c r="A215" s="85" t="s">
        <v>236</v>
      </c>
      <c r="B215" s="727">
        <f>B212-B213</f>
        <v>425000</v>
      </c>
      <c r="C215" s="85">
        <f t="shared" ref="C215:R215" si="94">C212-C213</f>
        <v>425000</v>
      </c>
      <c r="D215" s="85">
        <f t="shared" si="94"/>
        <v>425000</v>
      </c>
      <c r="E215" s="85">
        <f t="shared" si="94"/>
        <v>425000</v>
      </c>
      <c r="F215" s="85">
        <f t="shared" si="94"/>
        <v>425000</v>
      </c>
      <c r="G215" s="85">
        <f t="shared" si="94"/>
        <v>425000</v>
      </c>
      <c r="H215" s="85">
        <f t="shared" si="94"/>
        <v>425000</v>
      </c>
      <c r="I215" s="85">
        <f t="shared" si="94"/>
        <v>425000</v>
      </c>
      <c r="J215" s="85">
        <f t="shared" si="94"/>
        <v>425000</v>
      </c>
      <c r="K215" s="85">
        <f t="shared" si="94"/>
        <v>425000</v>
      </c>
      <c r="L215" s="85">
        <f t="shared" si="94"/>
        <v>425000</v>
      </c>
      <c r="M215" s="720">
        <f t="shared" ca="1" si="94"/>
        <v>409299.68342772999</v>
      </c>
      <c r="N215" s="720">
        <f t="shared" ca="1" si="94"/>
        <v>376065.50746391038</v>
      </c>
      <c r="O215" s="720">
        <f t="shared" ca="1" si="94"/>
        <v>339176.28739675268</v>
      </c>
      <c r="P215" s="720">
        <f t="shared" ca="1" si="94"/>
        <v>299154.95279974717</v>
      </c>
      <c r="Q215" s="720">
        <f t="shared" ca="1" si="94"/>
        <v>256375.0569111644</v>
      </c>
      <c r="R215" s="720">
        <f t="shared" ca="1" si="94"/>
        <v>210117.13246442305</v>
      </c>
      <c r="S215" s="720">
        <f ca="1">S212-S213</f>
        <v>161346.79275640368</v>
      </c>
      <c r="T215" s="720">
        <f ca="1">T212-T213</f>
        <v>112676.20625407994</v>
      </c>
      <c r="U215" s="720">
        <f ca="1">U212-U213</f>
        <v>67495.68724678969</v>
      </c>
      <c r="V215" s="720">
        <f ca="1">V212-V213</f>
        <v>28305.376743894481</v>
      </c>
      <c r="W215" s="720"/>
      <c r="X215" s="720"/>
      <c r="Y215" s="720"/>
      <c r="Z215" s="720"/>
      <c r="AA215" s="309"/>
      <c r="AB215"/>
      <c r="AC215"/>
      <c r="AD215"/>
      <c r="AE215"/>
    </row>
    <row r="216" spans="1:31">
      <c r="A216" s="84" t="s">
        <v>376</v>
      </c>
      <c r="B216" s="727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720"/>
      <c r="N216" s="720"/>
      <c r="O216" s="720"/>
      <c r="P216" s="720"/>
      <c r="Q216" s="720"/>
      <c r="R216" s="720"/>
      <c r="S216" s="720"/>
      <c r="T216" s="720"/>
      <c r="U216" s="720"/>
      <c r="V216" s="720"/>
      <c r="W216" s="720"/>
      <c r="X216" s="720"/>
      <c r="Y216" s="720"/>
      <c r="Z216" s="720"/>
      <c r="AA216" s="309"/>
      <c r="AB216"/>
      <c r="AC216"/>
      <c r="AD216"/>
      <c r="AE216"/>
    </row>
    <row r="217" spans="1:31">
      <c r="A217" s="85" t="s">
        <v>233</v>
      </c>
      <c r="B217" s="727">
        <f>B215</f>
        <v>425000</v>
      </c>
      <c r="C217" s="85">
        <f t="shared" ref="C217:V217" si="95">C215</f>
        <v>425000</v>
      </c>
      <c r="D217" s="85">
        <f t="shared" si="95"/>
        <v>425000</v>
      </c>
      <c r="E217" s="85">
        <f t="shared" si="95"/>
        <v>425000</v>
      </c>
      <c r="F217" s="85">
        <f t="shared" si="95"/>
        <v>425000</v>
      </c>
      <c r="G217" s="85">
        <f t="shared" si="95"/>
        <v>425000</v>
      </c>
      <c r="H217" s="85">
        <f t="shared" si="95"/>
        <v>425000</v>
      </c>
      <c r="I217" s="85">
        <f t="shared" si="95"/>
        <v>425000</v>
      </c>
      <c r="J217" s="85">
        <f t="shared" si="95"/>
        <v>425000</v>
      </c>
      <c r="K217" s="85">
        <f t="shared" si="95"/>
        <v>425000</v>
      </c>
      <c r="L217" s="85">
        <f t="shared" si="95"/>
        <v>425000</v>
      </c>
      <c r="M217" s="720">
        <f t="shared" ca="1" si="95"/>
        <v>409299.68342772999</v>
      </c>
      <c r="N217" s="720">
        <f t="shared" ca="1" si="95"/>
        <v>376065.50746391038</v>
      </c>
      <c r="O217" s="720">
        <f t="shared" ca="1" si="95"/>
        <v>339176.28739675268</v>
      </c>
      <c r="P217" s="720">
        <f t="shared" ca="1" si="95"/>
        <v>299154.95279974717</v>
      </c>
      <c r="Q217" s="720">
        <f t="shared" ca="1" si="95"/>
        <v>256375.0569111644</v>
      </c>
      <c r="R217" s="720">
        <f t="shared" ca="1" si="95"/>
        <v>210117.13246442305</v>
      </c>
      <c r="S217" s="720">
        <f t="shared" ca="1" si="95"/>
        <v>161346.79275640368</v>
      </c>
      <c r="T217" s="720">
        <f t="shared" ca="1" si="95"/>
        <v>112676.20625407994</v>
      </c>
      <c r="U217" s="720">
        <f t="shared" ca="1" si="95"/>
        <v>67495.68724678969</v>
      </c>
      <c r="V217" s="720">
        <f t="shared" ca="1" si="95"/>
        <v>28305.376743894481</v>
      </c>
      <c r="W217" s="720"/>
      <c r="X217" s="720"/>
      <c r="Y217" s="720"/>
      <c r="Z217" s="720"/>
      <c r="AA217" s="309"/>
      <c r="AB217"/>
      <c r="AC217"/>
      <c r="AD217"/>
      <c r="AE217"/>
    </row>
    <row r="218" spans="1:31">
      <c r="A218" s="85" t="s">
        <v>234</v>
      </c>
      <c r="B218" s="309">
        <v>0</v>
      </c>
      <c r="C218" s="720">
        <v>0</v>
      </c>
      <c r="D218" s="720">
        <v>0</v>
      </c>
      <c r="E218" s="720">
        <v>0</v>
      </c>
      <c r="F218" s="720">
        <v>0</v>
      </c>
      <c r="G218" s="720">
        <v>0</v>
      </c>
      <c r="H218" s="720">
        <v>0</v>
      </c>
      <c r="I218" s="720">
        <v>0</v>
      </c>
      <c r="J218" s="720">
        <v>0</v>
      </c>
      <c r="K218" s="720">
        <v>0</v>
      </c>
      <c r="L218" s="878">
        <v>0</v>
      </c>
      <c r="M218" s="875">
        <f ca="1">M158-M214-M219-L224-M213</f>
        <v>15700.316572270025</v>
      </c>
      <c r="N218" s="875">
        <f t="shared" ref="N218:V218" ca="1" si="96">N158-N214-N219-M224-N213</f>
        <v>17533.859391549624</v>
      </c>
      <c r="O218" s="875">
        <f t="shared" ca="1" si="96"/>
        <v>19355.360675608092</v>
      </c>
      <c r="P218" s="875">
        <f t="shared" ca="1" si="96"/>
        <v>20665.973921397388</v>
      </c>
      <c r="Q218" s="875">
        <f t="shared" ca="1" si="96"/>
        <v>22113.921967185357</v>
      </c>
      <c r="R218" s="875">
        <f t="shared" ca="1" si="96"/>
        <v>24144.002479555984</v>
      </c>
      <c r="S218" s="875">
        <f t="shared" ca="1" si="96"/>
        <v>24626.337228463392</v>
      </c>
      <c r="T218" s="875">
        <f t="shared" ca="1" si="96"/>
        <v>24044.249273860351</v>
      </c>
      <c r="U218" s="875">
        <f t="shared" ca="1" si="96"/>
        <v>21136.269733429905</v>
      </c>
      <c r="V218" s="875">
        <f t="shared" ca="1" si="96"/>
        <v>18054.040769465308</v>
      </c>
      <c r="W218" s="720"/>
      <c r="X218" s="720"/>
      <c r="Y218" s="720"/>
      <c r="Z218" s="720"/>
      <c r="AA218" s="309"/>
      <c r="AB218"/>
      <c r="AC218"/>
      <c r="AD218"/>
      <c r="AE218"/>
    </row>
    <row r="219" spans="1:31">
      <c r="A219" s="85" t="s">
        <v>235</v>
      </c>
      <c r="B219" s="727">
        <v>0</v>
      </c>
      <c r="C219" s="85">
        <f t="shared" ref="C219:V219" si="97">C217*$R$7*0.5</f>
        <v>22174.375</v>
      </c>
      <c r="D219" s="85">
        <f t="shared" si="97"/>
        <v>22174.375</v>
      </c>
      <c r="E219" s="85">
        <f t="shared" si="97"/>
        <v>22174.375</v>
      </c>
      <c r="F219" s="85">
        <f t="shared" si="97"/>
        <v>22174.375</v>
      </c>
      <c r="G219" s="85">
        <f t="shared" si="97"/>
        <v>22174.375</v>
      </c>
      <c r="H219" s="85">
        <f t="shared" si="97"/>
        <v>22174.375</v>
      </c>
      <c r="I219" s="85">
        <f t="shared" si="97"/>
        <v>22174.375</v>
      </c>
      <c r="J219" s="85">
        <f t="shared" si="97"/>
        <v>22174.375</v>
      </c>
      <c r="K219" s="85">
        <f t="shared" si="97"/>
        <v>22174.375</v>
      </c>
      <c r="L219" s="85">
        <f>L217*$R$7*5/12</f>
        <v>18478.645833333332</v>
      </c>
      <c r="M219" s="85">
        <f t="shared" ca="1" si="97"/>
        <v>21355.210982841811</v>
      </c>
      <c r="N219" s="85">
        <f t="shared" ca="1" si="97"/>
        <v>19621.217851929523</v>
      </c>
      <c r="O219" s="85">
        <f t="shared" ca="1" si="97"/>
        <v>17696.522794925571</v>
      </c>
      <c r="P219" s="85">
        <f t="shared" ca="1" si="97"/>
        <v>15608.409662326809</v>
      </c>
      <c r="Q219" s="85">
        <f t="shared" ca="1" si="97"/>
        <v>13376.368594340003</v>
      </c>
      <c r="R219" s="85">
        <f t="shared" ca="1" si="97"/>
        <v>10962.861386331273</v>
      </c>
      <c r="S219" s="85">
        <f t="shared" ca="1" si="97"/>
        <v>8418.2689120653613</v>
      </c>
      <c r="T219" s="85">
        <f t="shared" ca="1" si="97"/>
        <v>5878.8810613066207</v>
      </c>
      <c r="U219" s="85">
        <f t="shared" ca="1" si="97"/>
        <v>3521.5874821012521</v>
      </c>
      <c r="V219" s="85">
        <f t="shared" ca="1" si="97"/>
        <v>1476.8330316126946</v>
      </c>
      <c r="W219" s="85"/>
      <c r="X219" s="85"/>
      <c r="Y219" s="85"/>
      <c r="Z219" s="85"/>
      <c r="AA219" s="309"/>
      <c r="AB219"/>
      <c r="AC219"/>
      <c r="AD219"/>
      <c r="AE219"/>
    </row>
    <row r="220" spans="1:31">
      <c r="A220" s="85" t="s">
        <v>236</v>
      </c>
      <c r="B220" s="727">
        <f>B217-B218</f>
        <v>425000</v>
      </c>
      <c r="C220" s="85">
        <f t="shared" ref="C220:R220" si="98">C217-C218</f>
        <v>425000</v>
      </c>
      <c r="D220" s="85">
        <f t="shared" si="98"/>
        <v>425000</v>
      </c>
      <c r="E220" s="85">
        <f t="shared" si="98"/>
        <v>425000</v>
      </c>
      <c r="F220" s="85">
        <f t="shared" si="98"/>
        <v>425000</v>
      </c>
      <c r="G220" s="85">
        <f t="shared" si="98"/>
        <v>425000</v>
      </c>
      <c r="H220" s="85">
        <f t="shared" si="98"/>
        <v>425000</v>
      </c>
      <c r="I220" s="85">
        <f t="shared" si="98"/>
        <v>425000</v>
      </c>
      <c r="J220" s="85">
        <f t="shared" si="98"/>
        <v>425000</v>
      </c>
      <c r="K220" s="85">
        <f t="shared" si="98"/>
        <v>425000</v>
      </c>
      <c r="L220" s="85">
        <f t="shared" si="98"/>
        <v>425000</v>
      </c>
      <c r="M220" s="85">
        <f t="shared" ca="1" si="98"/>
        <v>393599.36685545999</v>
      </c>
      <c r="N220" s="85">
        <f t="shared" ca="1" si="98"/>
        <v>358531.64807236078</v>
      </c>
      <c r="O220" s="85">
        <f t="shared" ca="1" si="98"/>
        <v>319820.92672114458</v>
      </c>
      <c r="P220" s="85">
        <f t="shared" ca="1" si="98"/>
        <v>278488.97887834976</v>
      </c>
      <c r="Q220" s="85">
        <f t="shared" ca="1" si="98"/>
        <v>234261.13494397904</v>
      </c>
      <c r="R220" s="85">
        <f t="shared" ca="1" si="98"/>
        <v>185973.12998486706</v>
      </c>
      <c r="S220" s="85">
        <f ca="1">S217-S218</f>
        <v>136720.4555279403</v>
      </c>
      <c r="T220" s="85">
        <f ca="1">T217-T218</f>
        <v>88631.956980219591</v>
      </c>
      <c r="U220" s="85">
        <f ca="1">U217-U218</f>
        <v>46359.417513359789</v>
      </c>
      <c r="V220" s="876">
        <f ca="1">V217-V218</f>
        <v>10251.335974429174</v>
      </c>
      <c r="W220" s="85"/>
      <c r="X220" s="85"/>
      <c r="Y220" s="85"/>
      <c r="Z220" s="85"/>
      <c r="AA220" s="309"/>
      <c r="AB220"/>
      <c r="AC220"/>
      <c r="AD220"/>
      <c r="AE220"/>
    </row>
    <row r="221" spans="1:31">
      <c r="A221" s="87" t="s">
        <v>377</v>
      </c>
      <c r="B221" s="727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309"/>
      <c r="AB221"/>
      <c r="AC221"/>
      <c r="AD221"/>
      <c r="AE221"/>
    </row>
    <row r="222" spans="1:31">
      <c r="A222" s="85" t="s">
        <v>233</v>
      </c>
      <c r="B222" s="727">
        <f>B220</f>
        <v>425000</v>
      </c>
      <c r="C222" s="85">
        <f t="shared" ref="C222:V222" si="99">C220</f>
        <v>425000</v>
      </c>
      <c r="D222" s="85">
        <f t="shared" si="99"/>
        <v>425000</v>
      </c>
      <c r="E222" s="85">
        <f t="shared" si="99"/>
        <v>425000</v>
      </c>
      <c r="F222" s="85">
        <f t="shared" si="99"/>
        <v>425000</v>
      </c>
      <c r="G222" s="85">
        <f t="shared" si="99"/>
        <v>425000</v>
      </c>
      <c r="H222" s="85">
        <f t="shared" si="99"/>
        <v>425000</v>
      </c>
      <c r="I222" s="85">
        <f t="shared" si="99"/>
        <v>425000</v>
      </c>
      <c r="J222" s="85">
        <f t="shared" si="99"/>
        <v>425000</v>
      </c>
      <c r="K222" s="85">
        <f t="shared" si="99"/>
        <v>425000</v>
      </c>
      <c r="L222" s="85">
        <f t="shared" si="99"/>
        <v>425000</v>
      </c>
      <c r="M222" s="85">
        <f t="shared" ca="1" si="99"/>
        <v>393599.36685545999</v>
      </c>
      <c r="N222" s="85">
        <f t="shared" ca="1" si="99"/>
        <v>358531.64807236078</v>
      </c>
      <c r="O222" s="85">
        <f t="shared" ca="1" si="99"/>
        <v>319820.92672114458</v>
      </c>
      <c r="P222" s="85">
        <f t="shared" ca="1" si="99"/>
        <v>278488.97887834976</v>
      </c>
      <c r="Q222" s="85">
        <f t="shared" ca="1" si="99"/>
        <v>234261.13494397904</v>
      </c>
      <c r="R222" s="85">
        <f t="shared" ca="1" si="99"/>
        <v>185973.12998486706</v>
      </c>
      <c r="S222" s="85">
        <f t="shared" ca="1" si="99"/>
        <v>136720.4555279403</v>
      </c>
      <c r="T222" s="85">
        <f t="shared" ca="1" si="99"/>
        <v>88631.956980219591</v>
      </c>
      <c r="U222" s="85">
        <f t="shared" ca="1" si="99"/>
        <v>46359.417513359789</v>
      </c>
      <c r="V222" s="85">
        <f t="shared" ca="1" si="99"/>
        <v>10251.335974429174</v>
      </c>
      <c r="W222" s="85"/>
      <c r="X222" s="85"/>
      <c r="Y222" s="85"/>
      <c r="Z222" s="85"/>
      <c r="AA222" s="309"/>
      <c r="AB222"/>
      <c r="AC222"/>
      <c r="AD222"/>
      <c r="AE222"/>
    </row>
    <row r="223" spans="1:31">
      <c r="A223" s="85" t="s">
        <v>370</v>
      </c>
      <c r="B223" s="727">
        <f>B212*5/12*C158</f>
        <v>0</v>
      </c>
      <c r="C223" s="85">
        <v>0</v>
      </c>
      <c r="D223" s="85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85">
        <v>0</v>
      </c>
      <c r="M223" s="85">
        <v>0</v>
      </c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85">
        <v>0</v>
      </c>
      <c r="T223" s="85">
        <v>0</v>
      </c>
      <c r="U223" s="85">
        <v>0</v>
      </c>
      <c r="V223" s="85">
        <v>0</v>
      </c>
      <c r="W223" s="85"/>
      <c r="X223" s="85"/>
      <c r="Y223" s="85"/>
      <c r="Z223" s="85"/>
      <c r="AA223" s="309"/>
      <c r="AB223"/>
      <c r="AC223"/>
      <c r="AD223"/>
      <c r="AE223"/>
    </row>
    <row r="224" spans="1:31">
      <c r="A224" s="85" t="s">
        <v>369</v>
      </c>
      <c r="B224" s="727">
        <f>B222*$R$7*3/12</f>
        <v>11087.1875</v>
      </c>
      <c r="C224" s="85">
        <f t="shared" ref="C224:V224" si="100">C222*$R$7*5/12</f>
        <v>18478.645833333332</v>
      </c>
      <c r="D224" s="85">
        <f t="shared" si="100"/>
        <v>18478.645833333332</v>
      </c>
      <c r="E224" s="85">
        <f t="shared" si="100"/>
        <v>18478.645833333332</v>
      </c>
      <c r="F224" s="85">
        <f t="shared" si="100"/>
        <v>18478.645833333332</v>
      </c>
      <c r="G224" s="85">
        <f t="shared" si="100"/>
        <v>18478.645833333332</v>
      </c>
      <c r="H224" s="85">
        <f t="shared" si="100"/>
        <v>18478.645833333332</v>
      </c>
      <c r="I224" s="85">
        <f t="shared" si="100"/>
        <v>18478.645833333332</v>
      </c>
      <c r="J224" s="85">
        <f t="shared" si="100"/>
        <v>18478.645833333332</v>
      </c>
      <c r="K224" s="85">
        <f t="shared" si="100"/>
        <v>18478.645833333332</v>
      </c>
      <c r="L224" s="85">
        <f>L222*$R$7*6/12</f>
        <v>22174.375</v>
      </c>
      <c r="M224" s="85">
        <f t="shared" ca="1" si="100"/>
        <v>17113.372471403021</v>
      </c>
      <c r="N224" s="85">
        <f t="shared" ca="1" si="100"/>
        <v>15588.657281812853</v>
      </c>
      <c r="O224" s="85">
        <f t="shared" ca="1" si="100"/>
        <v>13905.547376396431</v>
      </c>
      <c r="P224" s="85">
        <f t="shared" ca="1" si="100"/>
        <v>12108.468727481582</v>
      </c>
      <c r="Q224" s="85">
        <f t="shared" ca="1" si="100"/>
        <v>10185.478929751755</v>
      </c>
      <c r="R224" s="85">
        <f t="shared" ca="1" si="100"/>
        <v>8085.9567141336993</v>
      </c>
      <c r="S224" s="85">
        <f t="shared" ca="1" si="100"/>
        <v>5944.4914726419047</v>
      </c>
      <c r="T224" s="720">
        <f t="shared" ca="1" si="100"/>
        <v>3853.6436295357976</v>
      </c>
      <c r="U224" s="85">
        <f t="shared" ca="1" si="100"/>
        <v>2015.6688406329558</v>
      </c>
      <c r="V224" s="85">
        <f t="shared" ca="1" si="100"/>
        <v>445.71954538820177</v>
      </c>
      <c r="W224" s="85"/>
      <c r="X224" s="85"/>
      <c r="Y224" s="85"/>
      <c r="Z224" s="85"/>
      <c r="AA224" s="309"/>
      <c r="AB224"/>
      <c r="AC224"/>
      <c r="AD224"/>
      <c r="AE224"/>
    </row>
    <row r="225" spans="1:31">
      <c r="A225" s="85" t="s">
        <v>236</v>
      </c>
      <c r="B225" s="85">
        <f>B222-B223</f>
        <v>425000</v>
      </c>
      <c r="C225" s="85">
        <f t="shared" ref="C225:R225" si="101">C222-C223</f>
        <v>425000</v>
      </c>
      <c r="D225" s="85">
        <f t="shared" si="101"/>
        <v>425000</v>
      </c>
      <c r="E225" s="85">
        <f t="shared" si="101"/>
        <v>425000</v>
      </c>
      <c r="F225" s="85">
        <f t="shared" si="101"/>
        <v>425000</v>
      </c>
      <c r="G225" s="85">
        <f t="shared" si="101"/>
        <v>425000</v>
      </c>
      <c r="H225" s="85">
        <f t="shared" si="101"/>
        <v>425000</v>
      </c>
      <c r="I225" s="85">
        <f t="shared" si="101"/>
        <v>425000</v>
      </c>
      <c r="J225" s="85">
        <f t="shared" si="101"/>
        <v>425000</v>
      </c>
      <c r="K225" s="85">
        <f t="shared" si="101"/>
        <v>425000</v>
      </c>
      <c r="L225" s="85">
        <f t="shared" si="101"/>
        <v>425000</v>
      </c>
      <c r="M225" s="85">
        <f t="shared" ca="1" si="101"/>
        <v>393599.36685545999</v>
      </c>
      <c r="N225" s="85">
        <f t="shared" ca="1" si="101"/>
        <v>358531.64807236078</v>
      </c>
      <c r="O225" s="85">
        <f t="shared" ca="1" si="101"/>
        <v>319820.92672114458</v>
      </c>
      <c r="P225" s="85">
        <f t="shared" ca="1" si="101"/>
        <v>278488.97887834976</v>
      </c>
      <c r="Q225" s="85">
        <f t="shared" ca="1" si="101"/>
        <v>234261.13494397904</v>
      </c>
      <c r="R225" s="85">
        <f t="shared" ca="1" si="101"/>
        <v>185973.12998486706</v>
      </c>
      <c r="S225" s="85">
        <f ca="1">S222-S223</f>
        <v>136720.4555279403</v>
      </c>
      <c r="T225" s="85">
        <f ca="1">T222-T223</f>
        <v>88631.956980219591</v>
      </c>
      <c r="U225" s="85">
        <f ca="1">U222-U223</f>
        <v>46359.417513359789</v>
      </c>
      <c r="V225" s="85">
        <f ca="1">V222-V223</f>
        <v>10251.335974429174</v>
      </c>
      <c r="W225" s="85"/>
      <c r="X225" s="85"/>
      <c r="Y225" s="85"/>
      <c r="Z225" s="85"/>
      <c r="AA225" s="309"/>
      <c r="AB225"/>
      <c r="AC225"/>
      <c r="AD225"/>
      <c r="AE225"/>
    </row>
    <row r="226" spans="1:3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309"/>
      <c r="AB226"/>
      <c r="AC226"/>
      <c r="AD226"/>
      <c r="AE226"/>
    </row>
    <row r="227" spans="1:31">
      <c r="A227" s="89" t="s">
        <v>355</v>
      </c>
      <c r="B227" s="85">
        <v>0</v>
      </c>
      <c r="C227" s="85">
        <f t="shared" ref="C227:V227" si="102">C214+C219+B224</f>
        <v>36957.291666666672</v>
      </c>
      <c r="D227" s="85">
        <f t="shared" si="102"/>
        <v>44348.75</v>
      </c>
      <c r="E227" s="85">
        <f t="shared" si="102"/>
        <v>44348.75</v>
      </c>
      <c r="F227" s="85">
        <f t="shared" si="102"/>
        <v>44348.75</v>
      </c>
      <c r="G227" s="85">
        <f t="shared" si="102"/>
        <v>44348.75</v>
      </c>
      <c r="H227" s="85">
        <f t="shared" si="102"/>
        <v>44348.75</v>
      </c>
      <c r="I227" s="85">
        <f t="shared" si="102"/>
        <v>44348.75</v>
      </c>
      <c r="J227" s="85">
        <f t="shared" si="102"/>
        <v>44348.75</v>
      </c>
      <c r="K227" s="85">
        <f t="shared" si="102"/>
        <v>44348.75</v>
      </c>
      <c r="L227" s="85">
        <f t="shared" si="102"/>
        <v>40653.020833333328</v>
      </c>
      <c r="M227" s="85">
        <f t="shared" ca="1" si="102"/>
        <v>47225.315149508475</v>
      </c>
      <c r="N227" s="85">
        <f t="shared" ca="1" si="102"/>
        <v>40157.264817613148</v>
      </c>
      <c r="O227" s="85">
        <f t="shared" ca="1" si="102"/>
        <v>36402.911533100996</v>
      </c>
      <c r="P227" s="85">
        <f t="shared" ca="1" si="102"/>
        <v>32295.066514002523</v>
      </c>
      <c r="Q227" s="85">
        <f t="shared" ca="1" si="102"/>
        <v>27906.531067317905</v>
      </c>
      <c r="R227" s="85">
        <f t="shared" ca="1" si="102"/>
        <v>23185.436102033378</v>
      </c>
      <c r="S227" s="85">
        <f t="shared" ca="1" si="102"/>
        <v>18121.416969025799</v>
      </c>
      <c r="T227" s="85">
        <f t="shared" ca="1" si="102"/>
        <v>13012.270828476907</v>
      </c>
      <c r="U227" s="85">
        <f t="shared" ca="1" si="102"/>
        <v>8145.9598375442092</v>
      </c>
      <c r="V227" s="85">
        <f t="shared" ca="1" si="102"/>
        <v>3895.6356403722416</v>
      </c>
      <c r="W227" s="85"/>
      <c r="X227" s="85"/>
      <c r="Y227" s="85"/>
      <c r="Z227" s="85"/>
      <c r="AA227" s="309"/>
      <c r="AB227"/>
      <c r="AC227"/>
      <c r="AD227"/>
      <c r="AE227"/>
    </row>
    <row r="228" spans="1:31">
      <c r="A228" s="21" t="s">
        <v>356</v>
      </c>
      <c r="B228" s="85">
        <f>B214+B219+B224</f>
        <v>11087.1875</v>
      </c>
      <c r="C228" s="85">
        <f>C214+C219+C224</f>
        <v>44348.75</v>
      </c>
      <c r="D228" s="85">
        <f t="shared" ref="D228:V228" si="103">D214+D219+D224</f>
        <v>44348.75</v>
      </c>
      <c r="E228" s="85">
        <f t="shared" si="103"/>
        <v>44348.75</v>
      </c>
      <c r="F228" s="85">
        <f t="shared" si="103"/>
        <v>44348.75</v>
      </c>
      <c r="G228" s="85">
        <f t="shared" si="103"/>
        <v>44348.75</v>
      </c>
      <c r="H228" s="85">
        <f t="shared" si="103"/>
        <v>44348.75</v>
      </c>
      <c r="I228" s="85">
        <f t="shared" si="103"/>
        <v>44348.75</v>
      </c>
      <c r="J228" s="85">
        <f t="shared" si="103"/>
        <v>44348.75</v>
      </c>
      <c r="K228" s="85">
        <f t="shared" si="103"/>
        <v>44348.75</v>
      </c>
      <c r="L228" s="85">
        <f t="shared" si="103"/>
        <v>44348.75</v>
      </c>
      <c r="M228" s="85">
        <f t="shared" ca="1" si="103"/>
        <v>42164.3126209115</v>
      </c>
      <c r="N228" s="85">
        <f t="shared" ca="1" si="103"/>
        <v>38632.549628022978</v>
      </c>
      <c r="O228" s="85">
        <f t="shared" ca="1" si="103"/>
        <v>34719.801627684574</v>
      </c>
      <c r="P228" s="85">
        <f t="shared" ca="1" si="103"/>
        <v>30497.987865087678</v>
      </c>
      <c r="Q228" s="85">
        <f t="shared" ca="1" si="103"/>
        <v>25983.541269588073</v>
      </c>
      <c r="R228" s="85">
        <f t="shared" ca="1" si="103"/>
        <v>21085.913886415321</v>
      </c>
      <c r="S228" s="85">
        <f t="shared" ca="1" si="103"/>
        <v>15979.951727534006</v>
      </c>
      <c r="T228" s="85">
        <f t="shared" ca="1" si="103"/>
        <v>10921.422985370798</v>
      </c>
      <c r="U228" s="85">
        <f t="shared" ca="1" si="103"/>
        <v>6307.985048641367</v>
      </c>
      <c r="V228" s="85">
        <f t="shared" ca="1" si="103"/>
        <v>2325.6863451274876</v>
      </c>
      <c r="AA228" s="22"/>
      <c r="AB228"/>
      <c r="AC228"/>
      <c r="AD228"/>
      <c r="AE228"/>
    </row>
    <row r="229" spans="1:31">
      <c r="A229" s="89" t="s">
        <v>373</v>
      </c>
      <c r="B229" s="727">
        <f>B213+B218</f>
        <v>0</v>
      </c>
      <c r="C229" s="727">
        <f t="shared" ref="C229:V229" si="104">C213+C218+B223</f>
        <v>0</v>
      </c>
      <c r="D229" s="727">
        <f t="shared" si="104"/>
        <v>0</v>
      </c>
      <c r="E229" s="727">
        <f t="shared" si="104"/>
        <v>0</v>
      </c>
      <c r="F229" s="727">
        <f t="shared" si="104"/>
        <v>0</v>
      </c>
      <c r="G229" s="727">
        <f t="shared" si="104"/>
        <v>0</v>
      </c>
      <c r="H229" s="727">
        <f t="shared" si="104"/>
        <v>0</v>
      </c>
      <c r="I229" s="727">
        <f t="shared" si="104"/>
        <v>0</v>
      </c>
      <c r="J229" s="727">
        <f t="shared" si="104"/>
        <v>0</v>
      </c>
      <c r="K229" s="727">
        <f t="shared" si="104"/>
        <v>0</v>
      </c>
      <c r="L229" s="727">
        <f t="shared" si="104"/>
        <v>0</v>
      </c>
      <c r="M229" s="727">
        <f t="shared" ca="1" si="104"/>
        <v>31400.63314454005</v>
      </c>
      <c r="N229" s="727">
        <f t="shared" ca="1" si="104"/>
        <v>35067.718783099248</v>
      </c>
      <c r="O229" s="727">
        <f t="shared" ca="1" si="104"/>
        <v>38710.721351216183</v>
      </c>
      <c r="P229" s="727">
        <f t="shared" ca="1" si="104"/>
        <v>41331.947842794783</v>
      </c>
      <c r="Q229" s="727">
        <f t="shared" ca="1" si="104"/>
        <v>44227.843934370714</v>
      </c>
      <c r="R229" s="727">
        <f t="shared" ca="1" si="104"/>
        <v>48288.004959111968</v>
      </c>
      <c r="S229" s="727">
        <f t="shared" ca="1" si="104"/>
        <v>49252.674456926776</v>
      </c>
      <c r="T229" s="727">
        <f t="shared" ca="1" si="104"/>
        <v>48088.498547720708</v>
      </c>
      <c r="U229" s="727">
        <f t="shared" ca="1" si="104"/>
        <v>42272.539466859809</v>
      </c>
      <c r="V229" s="727">
        <f t="shared" ca="1" si="104"/>
        <v>36108.081538930615</v>
      </c>
      <c r="AA229" s="22"/>
      <c r="AB229"/>
      <c r="AC229"/>
      <c r="AD229"/>
      <c r="AE229"/>
    </row>
    <row r="230" spans="1:31">
      <c r="A230" s="21" t="s">
        <v>371</v>
      </c>
      <c r="B230" s="85">
        <f>B223</f>
        <v>0</v>
      </c>
      <c r="C230" s="85">
        <f t="shared" ref="C230:V230" si="105">C223</f>
        <v>0</v>
      </c>
      <c r="D230" s="85">
        <f t="shared" si="105"/>
        <v>0</v>
      </c>
      <c r="E230" s="85">
        <f t="shared" si="105"/>
        <v>0</v>
      </c>
      <c r="F230" s="85">
        <f t="shared" si="105"/>
        <v>0</v>
      </c>
      <c r="G230" s="85">
        <f t="shared" si="105"/>
        <v>0</v>
      </c>
      <c r="H230" s="85">
        <f t="shared" si="105"/>
        <v>0</v>
      </c>
      <c r="I230" s="85">
        <f t="shared" si="105"/>
        <v>0</v>
      </c>
      <c r="J230" s="85">
        <f t="shared" si="105"/>
        <v>0</v>
      </c>
      <c r="K230" s="85">
        <f t="shared" si="105"/>
        <v>0</v>
      </c>
      <c r="L230" s="85">
        <f t="shared" si="105"/>
        <v>0</v>
      </c>
      <c r="M230" s="85">
        <f t="shared" si="105"/>
        <v>0</v>
      </c>
      <c r="N230" s="85">
        <f t="shared" si="105"/>
        <v>0</v>
      </c>
      <c r="O230" s="85">
        <f t="shared" si="105"/>
        <v>0</v>
      </c>
      <c r="P230" s="85">
        <f t="shared" si="105"/>
        <v>0</v>
      </c>
      <c r="Q230" s="85">
        <f t="shared" si="105"/>
        <v>0</v>
      </c>
      <c r="R230" s="85">
        <f t="shared" si="105"/>
        <v>0</v>
      </c>
      <c r="S230" s="85">
        <f t="shared" si="105"/>
        <v>0</v>
      </c>
      <c r="T230" s="85">
        <f t="shared" si="105"/>
        <v>0</v>
      </c>
      <c r="U230" s="85">
        <f t="shared" si="105"/>
        <v>0</v>
      </c>
      <c r="V230" s="85">
        <f t="shared" si="105"/>
        <v>0</v>
      </c>
      <c r="AA230" s="22"/>
      <c r="AB230"/>
      <c r="AC230"/>
      <c r="AD230"/>
      <c r="AE230"/>
    </row>
    <row r="231" spans="1: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>
      <c r="A233" s="103" t="s">
        <v>184</v>
      </c>
      <c r="B233" s="104">
        <v>0</v>
      </c>
      <c r="C233" s="104">
        <f ca="1">C140+C154</f>
        <v>89343.013167245706</v>
      </c>
      <c r="D233" s="104">
        <f t="shared" ref="D233:V233" si="106">D140+D154</f>
        <v>121999.06951687927</v>
      </c>
      <c r="E233" s="104">
        <f t="shared" si="106"/>
        <v>121476.06494435224</v>
      </c>
      <c r="F233" s="104">
        <f t="shared" si="106"/>
        <v>159397.18597050462</v>
      </c>
      <c r="G233" s="104">
        <f t="shared" si="106"/>
        <v>190097.33582811028</v>
      </c>
      <c r="H233" s="104">
        <f t="shared" si="106"/>
        <v>193579.98329342896</v>
      </c>
      <c r="I233" s="104">
        <f t="shared" si="106"/>
        <v>194775.80250539724</v>
      </c>
      <c r="J233" s="104">
        <f t="shared" si="106"/>
        <v>199190.63178751644</v>
      </c>
      <c r="K233" s="104">
        <f t="shared" si="106"/>
        <v>201164.74828323902</v>
      </c>
      <c r="L233" s="104">
        <f t="shared" si="106"/>
        <v>205842.93724912504</v>
      </c>
      <c r="M233" s="104">
        <f t="shared" si="106"/>
        <v>206636.22157055381</v>
      </c>
      <c r="N233" s="104">
        <f t="shared" si="106"/>
        <v>211404.56282333276</v>
      </c>
      <c r="O233" s="104">
        <f t="shared" si="106"/>
        <v>213496.51218873204</v>
      </c>
      <c r="P233" s="104">
        <f t="shared" si="106"/>
        <v>214824.9649175138</v>
      </c>
      <c r="Q233" s="104">
        <f t="shared" si="106"/>
        <v>216457.46328716745</v>
      </c>
      <c r="R233" s="104">
        <f t="shared" si="106"/>
        <v>218375.97777791723</v>
      </c>
      <c r="S233" s="104">
        <f t="shared" si="106"/>
        <v>220293.84628468403</v>
      </c>
      <c r="T233" s="104">
        <f t="shared" si="106"/>
        <v>222179.29806472198</v>
      </c>
      <c r="U233" s="104">
        <f t="shared" si="106"/>
        <v>223796.04112327134</v>
      </c>
      <c r="V233" s="104">
        <f t="shared" si="106"/>
        <v>223074.97390162485</v>
      </c>
      <c r="W233"/>
      <c r="X233"/>
      <c r="Y233"/>
      <c r="Z233"/>
      <c r="AA233"/>
      <c r="AB233"/>
      <c r="AC233"/>
      <c r="AD233"/>
      <c r="AE233"/>
    </row>
    <row r="234" spans="1:31">
      <c r="A234" s="79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/>
      <c r="X234"/>
      <c r="Y234"/>
      <c r="Z234"/>
      <c r="AA234"/>
      <c r="AB234"/>
      <c r="AC234"/>
      <c r="AD234"/>
      <c r="AE234"/>
    </row>
    <row r="235" spans="1:31">
      <c r="A235" s="88" t="s">
        <v>366</v>
      </c>
      <c r="B235" s="88">
        <f>B181+B167+B172</f>
        <v>0</v>
      </c>
      <c r="C235" s="88">
        <f ca="1">C181+C183</f>
        <v>-3837.8362838235726</v>
      </c>
      <c r="D235" s="88">
        <f t="shared" ref="D235:V235" ca="1" si="107">D181+D183</f>
        <v>29934.497811051118</v>
      </c>
      <c r="E235" s="88">
        <f t="shared" ca="1" si="107"/>
        <v>29437.517259050201</v>
      </c>
      <c r="F235" s="88">
        <f t="shared" ca="1" si="107"/>
        <v>19128.493412966236</v>
      </c>
      <c r="G235" s="88">
        <f t="shared" ca="1" si="107"/>
        <v>3752.0736480571063</v>
      </c>
      <c r="H235" s="88">
        <f t="shared" ca="1" si="107"/>
        <v>3752.0736480571063</v>
      </c>
      <c r="I235" s="88">
        <f t="shared" ca="1" si="107"/>
        <v>3752.0736480571063</v>
      </c>
      <c r="J235" s="88">
        <f t="shared" ca="1" si="107"/>
        <v>3752.0736480571063</v>
      </c>
      <c r="K235" s="88">
        <f t="shared" ca="1" si="107"/>
        <v>3752.0736480571063</v>
      </c>
      <c r="L235" s="88">
        <f t="shared" ca="1" si="107"/>
        <v>3752.0736480571063</v>
      </c>
      <c r="M235" s="88">
        <f t="shared" ca="1" si="107"/>
        <v>3752.0736480571063</v>
      </c>
      <c r="N235" s="88">
        <f t="shared" ca="1" si="107"/>
        <v>3752.0736480571063</v>
      </c>
      <c r="O235" s="88">
        <f t="shared" ca="1" si="107"/>
        <v>3752.0736480571063</v>
      </c>
      <c r="P235" s="88">
        <f t="shared" ca="1" si="107"/>
        <v>3752.0736480571063</v>
      </c>
      <c r="Q235" s="88">
        <f t="shared" ca="1" si="107"/>
        <v>3752.0736480571063</v>
      </c>
      <c r="R235" s="88">
        <f t="shared" ca="1" si="107"/>
        <v>3752.0736480571063</v>
      </c>
      <c r="S235" s="88">
        <f t="shared" ca="1" si="107"/>
        <v>3752.0736480571063</v>
      </c>
      <c r="T235" s="88">
        <f t="shared" ca="1" si="107"/>
        <v>3752.0736480571054</v>
      </c>
      <c r="U235" s="88">
        <f t="shared" ca="1" si="107"/>
        <v>3752.0736480570695</v>
      </c>
      <c r="V235" s="88">
        <f t="shared" ca="1" si="107"/>
        <v>3752.0736480555142</v>
      </c>
      <c r="W235"/>
      <c r="X235"/>
      <c r="Y235"/>
      <c r="Z235"/>
      <c r="AA235"/>
      <c r="AB235"/>
      <c r="AC235"/>
      <c r="AD235"/>
      <c r="AE235"/>
    </row>
    <row r="236" spans="1:31">
      <c r="A236" s="88" t="s">
        <v>367</v>
      </c>
      <c r="B236" s="88">
        <f>B204+B190+B195</f>
        <v>0</v>
      </c>
      <c r="C236" s="88">
        <f>C204+C206</f>
        <v>17010</v>
      </c>
      <c r="D236" s="88">
        <f t="shared" ref="D236:V236" si="108">D204+D206</f>
        <v>20412</v>
      </c>
      <c r="E236" s="88">
        <f t="shared" si="108"/>
        <v>20412</v>
      </c>
      <c r="F236" s="88">
        <f t="shared" si="108"/>
        <v>39152.720214985442</v>
      </c>
      <c r="G236" s="88">
        <f t="shared" ca="1" si="108"/>
        <v>39870.923422783024</v>
      </c>
      <c r="H236" s="88">
        <f t="shared" ca="1" si="108"/>
        <v>41668.099994878925</v>
      </c>
      <c r="I236" s="88">
        <f t="shared" ca="1" si="108"/>
        <v>40574.738627769744</v>
      </c>
      <c r="J236" s="88">
        <f t="shared" ca="1" si="108"/>
        <v>41104.252285938433</v>
      </c>
      <c r="K236" s="88">
        <f t="shared" ca="1" si="108"/>
        <v>41181.691783052702</v>
      </c>
      <c r="L236" s="88">
        <f t="shared" ca="1" si="108"/>
        <v>56092.831675770984</v>
      </c>
      <c r="M236" s="88">
        <f t="shared" ca="1" si="108"/>
        <v>0</v>
      </c>
      <c r="N236" s="88">
        <f t="shared" ca="1" si="108"/>
        <v>0</v>
      </c>
      <c r="O236" s="88">
        <f t="shared" ca="1" si="108"/>
        <v>0</v>
      </c>
      <c r="P236" s="88">
        <f t="shared" ca="1" si="108"/>
        <v>0</v>
      </c>
      <c r="Q236" s="88">
        <f t="shared" ca="1" si="108"/>
        <v>0</v>
      </c>
      <c r="R236" s="88">
        <f t="shared" ca="1" si="108"/>
        <v>0</v>
      </c>
      <c r="S236" s="88">
        <f t="shared" ca="1" si="108"/>
        <v>0</v>
      </c>
      <c r="T236" s="88">
        <f t="shared" ca="1" si="108"/>
        <v>0</v>
      </c>
      <c r="U236" s="88">
        <f t="shared" ca="1" si="108"/>
        <v>0</v>
      </c>
      <c r="V236" s="88">
        <f t="shared" ca="1" si="108"/>
        <v>0</v>
      </c>
      <c r="W236"/>
      <c r="X236"/>
      <c r="Y236"/>
      <c r="Z236"/>
      <c r="AA236"/>
      <c r="AB236"/>
      <c r="AC236"/>
      <c r="AD236"/>
      <c r="AE236"/>
    </row>
    <row r="237" spans="1:31">
      <c r="A237" s="88" t="s">
        <v>368</v>
      </c>
      <c r="B237" s="88">
        <f>B227+B213+B218</f>
        <v>0</v>
      </c>
      <c r="C237" s="88">
        <f>C227+C229</f>
        <v>36957.291666666672</v>
      </c>
      <c r="D237" s="88">
        <f t="shared" ref="D237:V237" si="109">D227+D229</f>
        <v>44348.75</v>
      </c>
      <c r="E237" s="88">
        <f t="shared" si="109"/>
        <v>44348.75</v>
      </c>
      <c r="F237" s="88">
        <f t="shared" si="109"/>
        <v>44348.75</v>
      </c>
      <c r="G237" s="88">
        <f t="shared" si="109"/>
        <v>44348.75</v>
      </c>
      <c r="H237" s="88">
        <f t="shared" si="109"/>
        <v>44348.75</v>
      </c>
      <c r="I237" s="88">
        <f t="shared" si="109"/>
        <v>44348.75</v>
      </c>
      <c r="J237" s="88">
        <f t="shared" si="109"/>
        <v>44348.75</v>
      </c>
      <c r="K237" s="88">
        <f t="shared" si="109"/>
        <v>44348.75</v>
      </c>
      <c r="L237" s="88">
        <f t="shared" si="109"/>
        <v>40653.020833333328</v>
      </c>
      <c r="M237" s="88">
        <f t="shared" ca="1" si="109"/>
        <v>78625.948294048518</v>
      </c>
      <c r="N237" s="88">
        <f t="shared" ca="1" si="109"/>
        <v>75224.983600712396</v>
      </c>
      <c r="O237" s="88">
        <f t="shared" ca="1" si="109"/>
        <v>75113.63288431718</v>
      </c>
      <c r="P237" s="88">
        <f t="shared" ca="1" si="109"/>
        <v>73627.014356797299</v>
      </c>
      <c r="Q237" s="88">
        <f t="shared" ca="1" si="109"/>
        <v>72134.375001688619</v>
      </c>
      <c r="R237" s="88">
        <f t="shared" ca="1" si="109"/>
        <v>71473.44106114535</v>
      </c>
      <c r="S237" s="88">
        <f t="shared" ca="1" si="109"/>
        <v>67374.091425952574</v>
      </c>
      <c r="T237" s="88">
        <f t="shared" ca="1" si="109"/>
        <v>61100.769376197612</v>
      </c>
      <c r="U237" s="88">
        <f t="shared" ca="1" si="109"/>
        <v>50418.499304404017</v>
      </c>
      <c r="V237" s="88">
        <f t="shared" ca="1" si="109"/>
        <v>40003.717179302854</v>
      </c>
      <c r="W237"/>
      <c r="X237"/>
      <c r="Y237"/>
      <c r="Z237"/>
      <c r="AA237"/>
      <c r="AB237"/>
      <c r="AC237"/>
      <c r="AD237"/>
      <c r="AE237"/>
    </row>
    <row r="238" spans="1:31">
      <c r="A238" s="79" t="s">
        <v>506</v>
      </c>
      <c r="B238" s="88">
        <v>0</v>
      </c>
      <c r="C238" s="731">
        <f>C102</f>
        <v>0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8">
        <v>0</v>
      </c>
      <c r="L238" s="88">
        <v>0</v>
      </c>
      <c r="M238" s="88">
        <v>0</v>
      </c>
      <c r="N238" s="88">
        <v>0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>
        <v>0</v>
      </c>
      <c r="V238" s="88">
        <v>0</v>
      </c>
      <c r="W238"/>
      <c r="X238"/>
      <c r="Y238"/>
      <c r="Z238"/>
      <c r="AA238"/>
      <c r="AB238"/>
      <c r="AC238"/>
      <c r="AD238"/>
      <c r="AE238"/>
    </row>
    <row r="239" spans="1:31">
      <c r="A239" s="79" t="s">
        <v>507</v>
      </c>
      <c r="B239" s="88"/>
      <c r="C239" s="731">
        <f ca="1">C103</f>
        <v>1093.3396039210511</v>
      </c>
      <c r="D239" s="731">
        <f>-[1]CF!G145</f>
        <v>0</v>
      </c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/>
      <c r="X239"/>
      <c r="Y239"/>
      <c r="Z239"/>
      <c r="AA239"/>
      <c r="AB239"/>
      <c r="AC239"/>
      <c r="AD239"/>
      <c r="AE239"/>
    </row>
    <row r="240" spans="1:31">
      <c r="A240" s="79" t="s">
        <v>508</v>
      </c>
      <c r="B240" s="882">
        <v>0</v>
      </c>
      <c r="C240" s="731">
        <f>C104</f>
        <v>-18584.607463091783</v>
      </c>
      <c r="D240" s="882">
        <v>0</v>
      </c>
      <c r="E240" s="882">
        <v>0</v>
      </c>
      <c r="F240" s="882">
        <v>0</v>
      </c>
      <c r="G240" s="882">
        <v>0</v>
      </c>
      <c r="H240" s="882">
        <v>0</v>
      </c>
      <c r="I240" s="882">
        <v>0</v>
      </c>
      <c r="J240" s="882">
        <v>0</v>
      </c>
      <c r="K240" s="882">
        <v>0</v>
      </c>
      <c r="L240" s="882">
        <v>0</v>
      </c>
      <c r="M240" s="882">
        <v>0</v>
      </c>
      <c r="N240" s="882">
        <v>0</v>
      </c>
      <c r="O240" s="882">
        <v>0</v>
      </c>
      <c r="P240" s="882">
        <v>0</v>
      </c>
      <c r="Q240" s="882">
        <v>0</v>
      </c>
      <c r="R240" s="882">
        <v>0</v>
      </c>
      <c r="S240" s="882">
        <v>0</v>
      </c>
      <c r="T240" s="882">
        <v>0</v>
      </c>
      <c r="U240" s="882">
        <v>0</v>
      </c>
      <c r="V240" s="882">
        <v>0</v>
      </c>
      <c r="W240"/>
      <c r="X240"/>
      <c r="Y240"/>
      <c r="Z240"/>
      <c r="AA240"/>
      <c r="AB240"/>
      <c r="AC240"/>
      <c r="AD240"/>
      <c r="AE240"/>
    </row>
    <row r="241" spans="1:31">
      <c r="A241" s="88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/>
      <c r="X241"/>
      <c r="Y241"/>
      <c r="Z241"/>
      <c r="AA241"/>
      <c r="AB241"/>
      <c r="AC241"/>
      <c r="AD241"/>
      <c r="AE241"/>
    </row>
    <row r="242" spans="1:31">
      <c r="A242" s="89" t="s">
        <v>237</v>
      </c>
      <c r="B242" s="89">
        <v>0</v>
      </c>
      <c r="C242" s="89">
        <f t="shared" ref="C242:V242" ca="1" si="110">SUM(C235:C240)</f>
        <v>32638.187523672361</v>
      </c>
      <c r="D242" s="89">
        <f t="shared" ca="1" si="110"/>
        <v>94695.247811051115</v>
      </c>
      <c r="E242" s="89">
        <f t="shared" ca="1" si="110"/>
        <v>94198.267259050204</v>
      </c>
      <c r="F242" s="89">
        <f t="shared" ca="1" si="110"/>
        <v>102629.96362795169</v>
      </c>
      <c r="G242" s="89">
        <f t="shared" ca="1" si="110"/>
        <v>87971.747070840123</v>
      </c>
      <c r="H242" s="89">
        <f t="shared" ca="1" si="110"/>
        <v>89768.923642936032</v>
      </c>
      <c r="I242" s="89">
        <f t="shared" ca="1" si="110"/>
        <v>88675.562275826844</v>
      </c>
      <c r="J242" s="89">
        <f t="shared" ca="1" si="110"/>
        <v>89205.07593399554</v>
      </c>
      <c r="K242" s="89">
        <f t="shared" ca="1" si="110"/>
        <v>89282.515431109816</v>
      </c>
      <c r="L242" s="89">
        <f t="shared" ca="1" si="110"/>
        <v>100497.92615716142</v>
      </c>
      <c r="M242" s="89">
        <f t="shared" ca="1" si="110"/>
        <v>82378.021942105624</v>
      </c>
      <c r="N242" s="89">
        <f t="shared" ca="1" si="110"/>
        <v>78977.057248769503</v>
      </c>
      <c r="O242" s="89">
        <f t="shared" ca="1" si="110"/>
        <v>78865.706532374286</v>
      </c>
      <c r="P242" s="89">
        <f t="shared" ca="1" si="110"/>
        <v>77379.088004854406</v>
      </c>
      <c r="Q242" s="89">
        <f t="shared" ca="1" si="110"/>
        <v>75886.448649745726</v>
      </c>
      <c r="R242" s="89">
        <f t="shared" ca="1" si="110"/>
        <v>75225.514709202456</v>
      </c>
      <c r="S242" s="89">
        <f t="shared" ca="1" si="110"/>
        <v>71126.165074009681</v>
      </c>
      <c r="T242" s="89">
        <f t="shared" ca="1" si="110"/>
        <v>64852.843024254718</v>
      </c>
      <c r="U242" s="89">
        <f t="shared" ca="1" si="110"/>
        <v>54170.572952461087</v>
      </c>
      <c r="V242" s="89">
        <f t="shared" ca="1" si="110"/>
        <v>43755.790827358367</v>
      </c>
      <c r="W242"/>
      <c r="X242"/>
      <c r="Y242"/>
      <c r="Z242"/>
      <c r="AA242"/>
      <c r="AB242"/>
      <c r="AC242"/>
      <c r="AD242"/>
      <c r="AE242"/>
    </row>
    <row r="243" spans="1:31">
      <c r="A243" s="89"/>
      <c r="B243" s="89"/>
      <c r="C243" s="884">
        <f ca="1">C242-C106</f>
        <v>53.191071648732759</v>
      </c>
      <c r="D243" s="884">
        <f t="shared" ref="D243:V243" ca="1" si="111">D242-D106</f>
        <v>41.347085981848068</v>
      </c>
      <c r="E243" s="884">
        <f t="shared" ca="1" si="111"/>
        <v>35.91262426871981</v>
      </c>
      <c r="F243" s="884">
        <f t="shared" ca="1" si="111"/>
        <v>-9750.239896796993</v>
      </c>
      <c r="G243" s="884">
        <f t="shared" ca="1" si="111"/>
        <v>3361.5831873343559</v>
      </c>
      <c r="H243" s="884">
        <f t="shared" ca="1" si="111"/>
        <v>3564.8207094302634</v>
      </c>
      <c r="I243" s="884">
        <f t="shared" ca="1" si="111"/>
        <v>1985.7786423210782</v>
      </c>
      <c r="J243" s="884">
        <f t="shared" ca="1" si="111"/>
        <v>585.22655048976594</v>
      </c>
      <c r="K243" s="884">
        <f t="shared" ca="1" si="111"/>
        <v>-272.75595239594986</v>
      </c>
      <c r="L243" s="884">
        <f t="shared" ca="1" si="111"/>
        <v>8981.6592542464059</v>
      </c>
      <c r="M243" s="884">
        <f t="shared" ca="1" si="111"/>
        <v>2749.3263130888663</v>
      </c>
      <c r="N243" s="884">
        <f t="shared" ca="1" si="111"/>
        <v>2902.1677598613023</v>
      </c>
      <c r="O243" s="884">
        <f t="shared" ca="1" si="111"/>
        <v>2984.142503602241</v>
      </c>
      <c r="P243" s="884">
        <f t="shared" ca="1" si="111"/>
        <v>3073.7223621073645</v>
      </c>
      <c r="Q243" s="884">
        <f t="shared" ca="1" si="111"/>
        <v>3169.2638680933596</v>
      </c>
      <c r="R243" s="884">
        <f t="shared" ca="1" si="111"/>
        <v>3271.8135947146511</v>
      </c>
      <c r="S243" s="884">
        <f t="shared" ca="1" si="111"/>
        <v>3381.7387421087333</v>
      </c>
      <c r="T243" s="884">
        <f t="shared" ca="1" si="111"/>
        <v>3492.5702543430671</v>
      </c>
      <c r="U243" s="884">
        <f t="shared" ca="1" si="111"/>
        <v>3598.1742236637292</v>
      </c>
      <c r="V243" s="884">
        <f t="shared" ca="1" si="111"/>
        <v>3690.5415769084648</v>
      </c>
      <c r="W243"/>
      <c r="X243"/>
      <c r="Y243"/>
      <c r="Z243"/>
      <c r="AA243"/>
      <c r="AB243"/>
      <c r="AC243"/>
      <c r="AD243"/>
      <c r="AE243"/>
    </row>
    <row r="244" spans="1:31">
      <c r="A244" s="89" t="s">
        <v>364</v>
      </c>
      <c r="B244" s="89">
        <f t="shared" ref="B244:V245" si="112">B181+B204+B227</f>
        <v>0</v>
      </c>
      <c r="C244" s="89">
        <f t="shared" ca="1" si="112"/>
        <v>60486.384687920247</v>
      </c>
      <c r="D244" s="89">
        <f t="shared" ca="1" si="112"/>
        <v>72981.951071913121</v>
      </c>
      <c r="E244" s="89">
        <f t="shared" ca="1" si="112"/>
        <v>71139.025532805565</v>
      </c>
      <c r="F244" s="89">
        <f t="shared" ca="1" si="112"/>
        <v>69117.717628914048</v>
      </c>
      <c r="G244" s="89">
        <f t="shared" ca="1" si="112"/>
        <v>66251.388379664219</v>
      </c>
      <c r="H244" s="89">
        <f t="shared" ca="1" si="112"/>
        <v>63952.671860054194</v>
      </c>
      <c r="I244" s="89">
        <f t="shared" ca="1" si="112"/>
        <v>61408.066969129359</v>
      </c>
      <c r="J244" s="89">
        <f t="shared" ca="1" si="112"/>
        <v>58678.470037998384</v>
      </c>
      <c r="K244" s="89">
        <f t="shared" ca="1" si="112"/>
        <v>55635.456947016726</v>
      </c>
      <c r="L244" s="89">
        <f t="shared" ca="1" si="112"/>
        <v>48216.416532992356</v>
      </c>
      <c r="M244" s="89">
        <f t="shared" ca="1" si="112"/>
        <v>50977.388797565582</v>
      </c>
      <c r="N244" s="89">
        <f t="shared" ca="1" si="112"/>
        <v>43909.338465670255</v>
      </c>
      <c r="O244" s="89">
        <f t="shared" ca="1" si="112"/>
        <v>40154.985181158103</v>
      </c>
      <c r="P244" s="89">
        <f t="shared" ca="1" si="112"/>
        <v>36047.14016205963</v>
      </c>
      <c r="Q244" s="89">
        <f t="shared" ca="1" si="112"/>
        <v>31658.604715375011</v>
      </c>
      <c r="R244" s="89">
        <f t="shared" ca="1" si="112"/>
        <v>26937.509750090485</v>
      </c>
      <c r="S244" s="89">
        <f t="shared" ca="1" si="112"/>
        <v>21873.490617082905</v>
      </c>
      <c r="T244" s="89">
        <f t="shared" ca="1" si="112"/>
        <v>16764.344476534014</v>
      </c>
      <c r="U244" s="89">
        <f t="shared" ca="1" si="112"/>
        <v>11898.033485601278</v>
      </c>
      <c r="V244" s="89">
        <f t="shared" ca="1" si="112"/>
        <v>7647.7092884277554</v>
      </c>
      <c r="W244"/>
      <c r="X244"/>
      <c r="Y244"/>
      <c r="Z244"/>
      <c r="AA244"/>
      <c r="AB244"/>
      <c r="AC244"/>
      <c r="AD244"/>
      <c r="AE244"/>
    </row>
    <row r="245" spans="1:31">
      <c r="A245" s="89" t="s">
        <v>365</v>
      </c>
      <c r="B245" s="89">
        <f t="shared" si="112"/>
        <v>18135.3125</v>
      </c>
      <c r="C245" s="89">
        <f t="shared" ca="1" si="112"/>
        <v>72930.023233789339</v>
      </c>
      <c r="D245" s="89">
        <f t="shared" ca="1" si="112"/>
        <v>72240.984820690035</v>
      </c>
      <c r="E245" s="89">
        <f t="shared" ca="1" si="112"/>
        <v>70352.128908897459</v>
      </c>
      <c r="F245" s="89">
        <f t="shared" ca="1" si="112"/>
        <v>67854.640142826349</v>
      </c>
      <c r="G245" s="89">
        <f t="shared" ca="1" si="112"/>
        <v>65371.713852671586</v>
      </c>
      <c r="H245" s="89">
        <f t="shared" ca="1" si="112"/>
        <v>62907.113662847478</v>
      </c>
      <c r="I245" s="89">
        <f t="shared" ca="1" si="112"/>
        <v>60303.733409208115</v>
      </c>
      <c r="J245" s="89">
        <f t="shared" ca="1" si="112"/>
        <v>57442.142499210495</v>
      </c>
      <c r="K245" s="89">
        <f t="shared" ca="1" si="112"/>
        <v>54272.751078410955</v>
      </c>
      <c r="L245" s="89">
        <f t="shared" ca="1" si="112"/>
        <v>49794.744559880186</v>
      </c>
      <c r="M245" s="89">
        <f t="shared" ca="1" si="112"/>
        <v>45916.386268968607</v>
      </c>
      <c r="N245" s="89">
        <f t="shared" ca="1" si="112"/>
        <v>42384.623276080085</v>
      </c>
      <c r="O245" s="89">
        <f t="shared" ca="1" si="112"/>
        <v>38471.875275741681</v>
      </c>
      <c r="P245" s="89">
        <f t="shared" ca="1" si="112"/>
        <v>34250.061513144785</v>
      </c>
      <c r="Q245" s="89">
        <f t="shared" ca="1" si="112"/>
        <v>29735.61491764518</v>
      </c>
      <c r="R245" s="89">
        <f t="shared" ca="1" si="112"/>
        <v>24837.987534472428</v>
      </c>
      <c r="S245" s="89">
        <f t="shared" ca="1" si="112"/>
        <v>19732.025375591111</v>
      </c>
      <c r="T245" s="89">
        <f t="shared" ca="1" si="112"/>
        <v>14673.496633427903</v>
      </c>
      <c r="U245" s="89">
        <f t="shared" ca="1" si="112"/>
        <v>10060.058696698412</v>
      </c>
      <c r="V245" s="89">
        <f t="shared" ca="1" si="112"/>
        <v>6077.7599931819086</v>
      </c>
      <c r="W245"/>
      <c r="X245"/>
      <c r="Y245"/>
      <c r="Z245"/>
      <c r="AA245"/>
      <c r="AB245"/>
      <c r="AC245"/>
      <c r="AD245"/>
      <c r="AE245"/>
    </row>
    <row r="246" spans="1:31">
      <c r="A246" s="89" t="s">
        <v>373</v>
      </c>
      <c r="B246" s="89">
        <f>B229+B206+B183</f>
        <v>0</v>
      </c>
      <c r="C246" s="89">
        <f t="shared" ref="C246:V246" ca="1" si="113">C229+C206+C183</f>
        <v>-10356.929305077148</v>
      </c>
      <c r="D246" s="89">
        <f t="shared" ca="1" si="113"/>
        <v>21713.296739137997</v>
      </c>
      <c r="E246" s="89">
        <f t="shared" ca="1" si="113"/>
        <v>23059.241726244643</v>
      </c>
      <c r="F246" s="89">
        <f t="shared" ca="1" si="113"/>
        <v>33512.245999037637</v>
      </c>
      <c r="G246" s="89">
        <f t="shared" ca="1" si="113"/>
        <v>21720.358691175919</v>
      </c>
      <c r="H246" s="89">
        <f t="shared" ca="1" si="113"/>
        <v>25816.251782881838</v>
      </c>
      <c r="I246" s="89">
        <f t="shared" ca="1" si="113"/>
        <v>27267.495306697492</v>
      </c>
      <c r="J246" s="89">
        <f t="shared" ca="1" si="113"/>
        <v>30526.605895997156</v>
      </c>
      <c r="K246" s="89">
        <f t="shared" ca="1" si="113"/>
        <v>33647.058484093082</v>
      </c>
      <c r="L246" s="89">
        <f t="shared" ca="1" si="113"/>
        <v>52281.509624169063</v>
      </c>
      <c r="M246" s="89">
        <f t="shared" ca="1" si="113"/>
        <v>31400.63314454005</v>
      </c>
      <c r="N246" s="89">
        <f t="shared" ca="1" si="113"/>
        <v>35067.718783099248</v>
      </c>
      <c r="O246" s="89">
        <f t="shared" ca="1" si="113"/>
        <v>38710.721351216183</v>
      </c>
      <c r="P246" s="89">
        <f t="shared" ca="1" si="113"/>
        <v>41331.947842794783</v>
      </c>
      <c r="Q246" s="89">
        <f t="shared" ca="1" si="113"/>
        <v>44227.843934370714</v>
      </c>
      <c r="R246" s="89">
        <f t="shared" ca="1" si="113"/>
        <v>48288.004959111968</v>
      </c>
      <c r="S246" s="89">
        <f t="shared" ca="1" si="113"/>
        <v>49252.674456926776</v>
      </c>
      <c r="T246" s="89">
        <f t="shared" ca="1" si="113"/>
        <v>48088.498547720708</v>
      </c>
      <c r="U246" s="89">
        <f t="shared" ca="1" si="113"/>
        <v>42272.539466859809</v>
      </c>
      <c r="V246" s="89">
        <f t="shared" ca="1" si="113"/>
        <v>36108.081538930615</v>
      </c>
      <c r="W246"/>
      <c r="X246"/>
      <c r="Y246"/>
      <c r="Z246"/>
      <c r="AA246"/>
      <c r="AB246"/>
      <c r="AC246"/>
      <c r="AD246"/>
      <c r="AE246"/>
    </row>
    <row r="247" spans="1:31">
      <c r="A247" s="21" t="s">
        <v>372</v>
      </c>
      <c r="B247" s="89">
        <f>B184+B207+B230</f>
        <v>0</v>
      </c>
      <c r="C247" s="89">
        <f t="shared" ref="C247:V247" si="114">C184+C207+C230</f>
        <v>0</v>
      </c>
      <c r="D247" s="89">
        <f t="shared" si="114"/>
        <v>0</v>
      </c>
      <c r="E247" s="89">
        <f t="shared" si="114"/>
        <v>0</v>
      </c>
      <c r="F247" s="89">
        <f t="shared" si="114"/>
        <v>0</v>
      </c>
      <c r="G247" s="89">
        <f t="shared" si="114"/>
        <v>0</v>
      </c>
      <c r="H247" s="89">
        <f t="shared" si="114"/>
        <v>0</v>
      </c>
      <c r="I247" s="89">
        <f t="shared" si="114"/>
        <v>0</v>
      </c>
      <c r="J247" s="89">
        <f t="shared" si="114"/>
        <v>0</v>
      </c>
      <c r="K247" s="89">
        <f t="shared" si="114"/>
        <v>0</v>
      </c>
      <c r="L247" s="89">
        <f t="shared" si="114"/>
        <v>0</v>
      </c>
      <c r="M247" s="89">
        <f t="shared" si="114"/>
        <v>0</v>
      </c>
      <c r="N247" s="89">
        <f t="shared" si="114"/>
        <v>0</v>
      </c>
      <c r="O247" s="89">
        <f t="shared" si="114"/>
        <v>0</v>
      </c>
      <c r="P247" s="89">
        <f t="shared" si="114"/>
        <v>0</v>
      </c>
      <c r="Q247" s="89">
        <f t="shared" si="114"/>
        <v>0</v>
      </c>
      <c r="R247" s="89">
        <f t="shared" si="114"/>
        <v>0</v>
      </c>
      <c r="S247" s="89">
        <f t="shared" si="114"/>
        <v>0</v>
      </c>
      <c r="T247" s="89">
        <f t="shared" si="114"/>
        <v>0</v>
      </c>
      <c r="U247" s="89">
        <f t="shared" si="114"/>
        <v>0</v>
      </c>
      <c r="V247" s="89">
        <f t="shared" si="114"/>
        <v>0</v>
      </c>
      <c r="W247"/>
      <c r="X247"/>
      <c r="Y247"/>
      <c r="Z247"/>
      <c r="AA247"/>
      <c r="AB247"/>
      <c r="AC247"/>
      <c r="AD247"/>
      <c r="AE247"/>
    </row>
    <row r="248" spans="1:31">
      <c r="A248" s="21" t="s">
        <v>374</v>
      </c>
      <c r="B248" s="89">
        <f ca="1">MAX(B242:V242)*[1]Assumptions!$B$32*5/12</f>
        <v>855.24969689959732</v>
      </c>
      <c r="C248" s="89">
        <v>0</v>
      </c>
      <c r="D248" s="89">
        <v>0</v>
      </c>
      <c r="E248" s="89">
        <v>0</v>
      </c>
      <c r="F248" s="89">
        <v>0</v>
      </c>
      <c r="G248" s="89">
        <v>0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/>
      <c r="X248"/>
      <c r="Y248"/>
      <c r="Z248"/>
      <c r="AA248"/>
      <c r="AB248"/>
      <c r="AC248"/>
      <c r="AD248"/>
    </row>
    <row r="249" spans="1:3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/>
      <c r="X249"/>
      <c r="Y249"/>
      <c r="Z249"/>
      <c r="AA249"/>
      <c r="AB249"/>
      <c r="AC249"/>
      <c r="AD249"/>
    </row>
    <row r="250" spans="1:31">
      <c r="A250" s="94" t="s">
        <v>238</v>
      </c>
      <c r="B250" s="721" t="str">
        <f>IF(AND(B237&lt;0.001,B236&lt;0.0001),"NA",B233/(B242))</f>
        <v>NA</v>
      </c>
      <c r="C250" s="721">
        <f ca="1">7/12*C233/C242</f>
        <v>1.5968030590881688</v>
      </c>
      <c r="D250" s="721">
        <f ca="1">D233/D242</f>
        <v>1.2883336000166394</v>
      </c>
      <c r="E250" s="721">
        <f ca="1">E233/E242</f>
        <v>1.2895785504237212</v>
      </c>
      <c r="F250" s="721">
        <f ca="1">(SUM(IS!H8:H10)-5/12*IS!H35+5/12*IS!H18)/SUM(F167,F168,E177,E178,F190,F191,E200,E201,F213,F214,E223,E224)</f>
        <v>1.0038833602074082</v>
      </c>
      <c r="G250" s="721" t="s">
        <v>239</v>
      </c>
      <c r="H250" s="721" t="s">
        <v>239</v>
      </c>
      <c r="I250" s="721" t="s">
        <v>239</v>
      </c>
      <c r="J250" s="721" t="s">
        <v>239</v>
      </c>
      <c r="K250" s="721" t="s">
        <v>239</v>
      </c>
      <c r="L250" s="721" t="s">
        <v>239</v>
      </c>
      <c r="M250" s="721" t="s">
        <v>239</v>
      </c>
      <c r="N250" s="721" t="s">
        <v>239</v>
      </c>
      <c r="O250" s="721" t="s">
        <v>239</v>
      </c>
      <c r="P250" s="721" t="s">
        <v>239</v>
      </c>
      <c r="Q250" s="721" t="s">
        <v>239</v>
      </c>
      <c r="R250" s="721" t="s">
        <v>239</v>
      </c>
      <c r="S250" s="721" t="s">
        <v>239</v>
      </c>
      <c r="T250" s="721" t="s">
        <v>239</v>
      </c>
      <c r="U250" s="721" t="s">
        <v>239</v>
      </c>
      <c r="V250" s="722" t="s">
        <v>239</v>
      </c>
      <c r="W250"/>
      <c r="X250"/>
      <c r="Y250"/>
      <c r="Z250"/>
      <c r="AA250"/>
      <c r="AB250"/>
      <c r="AC250"/>
      <c r="AD250"/>
    </row>
    <row r="251" spans="1:31">
      <c r="A251" s="100" t="s">
        <v>240</v>
      </c>
      <c r="B251" s="577" t="s">
        <v>239</v>
      </c>
      <c r="C251" s="577" t="s">
        <v>239</v>
      </c>
      <c r="D251" s="577" t="s">
        <v>239</v>
      </c>
      <c r="E251" s="577" t="s">
        <v>239</v>
      </c>
      <c r="F251" s="577">
        <f ca="1">(IS!H13+IS!H14+IS!H15+7/12*IS!H18-7/12*IS!H35)/SUM(F172,F173,F195,F196,F218,F219)</f>
        <v>2.0675007873583047</v>
      </c>
      <c r="G251" s="577">
        <f ca="1">G233/G242</f>
        <v>2.1608907650206435</v>
      </c>
      <c r="H251" s="577">
        <f t="shared" ref="H251:V251" ca="1" si="115">H233/H242</f>
        <v>2.1564253578823198</v>
      </c>
      <c r="I251" s="577">
        <f t="shared" ca="1" si="115"/>
        <v>2.1964992102282226</v>
      </c>
      <c r="J251" s="577">
        <f t="shared" ca="1" si="115"/>
        <v>2.2329517653782527</v>
      </c>
      <c r="K251" s="577">
        <f t="shared" ca="1" si="115"/>
        <v>2.2531259039006049</v>
      </c>
      <c r="L251" s="577">
        <f t="shared" ca="1" si="115"/>
        <v>2.0482306960963772</v>
      </c>
      <c r="M251" s="577">
        <f t="shared" ca="1" si="115"/>
        <v>2.5083901834372218</v>
      </c>
      <c r="N251" s="889">
        <f t="shared" ca="1" si="115"/>
        <v>2.6767845015727847</v>
      </c>
      <c r="O251" s="577">
        <f t="shared" ca="1" si="115"/>
        <v>2.7070893240662461</v>
      </c>
      <c r="P251" s="577">
        <f t="shared" ca="1" si="115"/>
        <v>2.7762664365343346</v>
      </c>
      <c r="Q251" s="577">
        <f t="shared" ca="1" si="115"/>
        <v>2.8523862578709926</v>
      </c>
      <c r="R251" s="577">
        <f t="shared" ca="1" si="115"/>
        <v>2.9029509285790631</v>
      </c>
      <c r="S251" s="577">
        <f t="shared" ca="1" si="115"/>
        <v>3.0972265418142433</v>
      </c>
      <c r="T251" s="577">
        <f t="shared" ca="1" si="115"/>
        <v>3.4258991233680804</v>
      </c>
      <c r="U251" s="577">
        <f t="shared" ca="1" si="115"/>
        <v>4.1313212861837343</v>
      </c>
      <c r="V251" s="730">
        <f t="shared" ca="1" si="115"/>
        <v>5.0981817419729261</v>
      </c>
      <c r="W251"/>
      <c r="X251"/>
      <c r="Y251"/>
      <c r="Z251"/>
      <c r="AA251"/>
      <c r="AB251"/>
      <c r="AC251"/>
      <c r="AD251"/>
    </row>
    <row r="252" spans="1:31" ht="13.8">
      <c r="A252" s="92"/>
      <c r="B252" s="93"/>
      <c r="C252" s="93"/>
      <c r="D252" s="93"/>
      <c r="E252" s="93"/>
      <c r="F252" s="291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/>
      <c r="X252"/>
      <c r="Y252"/>
      <c r="Z252"/>
      <c r="AA252"/>
      <c r="AB252"/>
      <c r="AC252"/>
      <c r="AD252"/>
    </row>
    <row r="253" spans="1:31" ht="13.8">
      <c r="A253" s="92"/>
      <c r="B253" s="93"/>
      <c r="C253" s="93"/>
      <c r="D253" s="93"/>
      <c r="E253" s="93"/>
      <c r="F253" s="291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/>
      <c r="X253"/>
      <c r="Y253"/>
      <c r="Z253"/>
      <c r="AA253"/>
      <c r="AB253"/>
      <c r="AC253"/>
      <c r="AD253"/>
    </row>
    <row r="254" spans="1:31">
      <c r="A254" s="90"/>
      <c r="B254" s="94" t="s">
        <v>509</v>
      </c>
      <c r="C254" s="233"/>
      <c r="D254" s="233"/>
      <c r="E254" s="95">
        <f ca="1">AVERAGE(C250:E250)</f>
        <v>1.3915717365095099</v>
      </c>
      <c r="F254" s="90"/>
      <c r="G254" s="94" t="s">
        <v>510</v>
      </c>
      <c r="H254" s="233"/>
      <c r="I254" s="233"/>
      <c r="J254" s="95">
        <f ca="1">AVERAGE(F251:V251)</f>
        <v>2.7818894594861385</v>
      </c>
      <c r="K254" s="90"/>
      <c r="L254" s="90"/>
      <c r="M254" s="96"/>
      <c r="N254" s="90"/>
      <c r="O254" s="90"/>
      <c r="P254" s="97"/>
      <c r="Q254" s="97"/>
      <c r="R254" s="97"/>
      <c r="S254" s="90"/>
      <c r="T254" s="90"/>
      <c r="U254" s="90"/>
      <c r="V254" s="90"/>
      <c r="W254"/>
      <c r="X254"/>
      <c r="Y254"/>
      <c r="Z254"/>
      <c r="AA254"/>
      <c r="AB254"/>
      <c r="AC254"/>
      <c r="AD254"/>
    </row>
    <row r="255" spans="1:31">
      <c r="A255" s="90"/>
      <c r="B255" s="100" t="s">
        <v>511</v>
      </c>
      <c r="C255" s="91"/>
      <c r="D255" s="91"/>
      <c r="E255" s="121">
        <f ca="1">MIN(C250:E250)</f>
        <v>1.2883336000166394</v>
      </c>
      <c r="F255" s="92"/>
      <c r="G255" s="100" t="s">
        <v>512</v>
      </c>
      <c r="H255" s="91"/>
      <c r="I255" s="91"/>
      <c r="J255" s="121">
        <f ca="1">MIN(F251:V251)</f>
        <v>2.0482306960963772</v>
      </c>
      <c r="K255" s="92"/>
      <c r="L255" s="92"/>
      <c r="M255" s="92"/>
      <c r="N255" s="92"/>
      <c r="O255" s="92"/>
      <c r="P255" s="97"/>
      <c r="Q255" s="97"/>
      <c r="R255" s="97"/>
      <c r="S255" s="90"/>
      <c r="T255" s="90"/>
      <c r="U255" s="90"/>
      <c r="V255" s="90"/>
      <c r="W255"/>
      <c r="X255"/>
      <c r="Y255"/>
      <c r="Z255"/>
      <c r="AA255"/>
      <c r="AB255"/>
      <c r="AC255"/>
      <c r="AD255"/>
    </row>
    <row r="256" spans="1: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 s="883">
        <f ca="1">C250-C155</f>
        <v>0</v>
      </c>
      <c r="D258" s="883">
        <f t="shared" ref="D258:S259" ca="1" si="116">D250-D155</f>
        <v>0</v>
      </c>
      <c r="E258" s="883">
        <f t="shared" ca="1" si="116"/>
        <v>0</v>
      </c>
      <c r="F258" s="883">
        <f t="shared" ca="1" si="116"/>
        <v>0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 s="883">
        <f t="shared" ca="1" si="116"/>
        <v>-7.587293649481941E-2</v>
      </c>
      <c r="G259" s="883">
        <f t="shared" ca="1" si="116"/>
        <v>-9.626992086590791E-2</v>
      </c>
      <c r="H259" s="883">
        <f t="shared" ca="1" si="116"/>
        <v>-9.4063741694726755E-2</v>
      </c>
      <c r="I259" s="883">
        <f t="shared" ca="1" si="116"/>
        <v>-9.704531617629053E-2</v>
      </c>
      <c r="J259" s="883">
        <f t="shared" ca="1" si="116"/>
        <v>-9.8044530351592218E-2</v>
      </c>
      <c r="K259" s="883">
        <f t="shared" ca="1" si="116"/>
        <v>-9.8840765387645302E-2</v>
      </c>
      <c r="L259" s="883">
        <f t="shared" ca="1" si="116"/>
        <v>-0.3904604733942989</v>
      </c>
      <c r="M259" s="883">
        <f t="shared" ca="1" si="116"/>
        <v>-0.11970176399172683</v>
      </c>
      <c r="N259" s="883">
        <f t="shared" ca="1" si="116"/>
        <v>-0.13351272554858706</v>
      </c>
      <c r="O259" s="883">
        <f t="shared" ca="1" si="116"/>
        <v>-0.13522443431019804</v>
      </c>
      <c r="P259" s="883">
        <f t="shared" ca="1" si="116"/>
        <v>-0.141480083465372</v>
      </c>
      <c r="Q259" s="883">
        <f t="shared" ca="1" si="116"/>
        <v>-0.14836703460711265</v>
      </c>
      <c r="R259" s="883">
        <f t="shared" ca="1" si="116"/>
        <v>-0.1523934697841991</v>
      </c>
      <c r="S259" s="883">
        <f t="shared" ca="1" si="116"/>
        <v>-0.17248502864600956</v>
      </c>
      <c r="T259" s="883">
        <f ca="1">T251-T156</f>
        <v>-0.21037747892416547</v>
      </c>
      <c r="U259" s="883">
        <f ca="1">U251-U156</f>
        <v>-0.3074471065859985</v>
      </c>
      <c r="V259" s="883">
        <f ca="1">V251-V156</f>
        <v>-0.47817439767700254</v>
      </c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</sheetData>
  <pageMargins left="0.18" right="0.17" top="0.37" bottom="0.4" header="0.17" footer="0.21"/>
  <pageSetup scale="39" fitToWidth="2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opLeftCell="A4" zoomScale="75" workbookViewId="0">
      <selection activeCell="I6" sqref="I6"/>
    </sheetView>
  </sheetViews>
  <sheetFormatPr defaultColWidth="9.109375" defaultRowHeight="13.2"/>
  <cols>
    <col min="1" max="1" width="60.44140625" style="22" customWidth="1"/>
    <col min="2" max="2" width="9.6640625" style="22" customWidth="1"/>
    <col min="3" max="6" width="9" style="41" customWidth="1"/>
    <col min="7" max="7" width="14.88671875" style="22" customWidth="1"/>
    <col min="8" max="8" width="14.109375" style="22" customWidth="1"/>
    <col min="9" max="9" width="11.109375" style="22" customWidth="1"/>
    <col min="10" max="12" width="11.5546875" style="22" customWidth="1"/>
    <col min="13" max="13" width="11.33203125" style="22" customWidth="1"/>
    <col min="14" max="14" width="11.5546875" style="22" customWidth="1"/>
    <col min="15" max="15" width="11.33203125" style="22" customWidth="1"/>
    <col min="16" max="17" width="11.5546875" style="22" customWidth="1"/>
    <col min="18" max="18" width="11.109375" style="22" customWidth="1"/>
    <col min="19" max="19" width="10.5546875" style="22" customWidth="1"/>
    <col min="20" max="22" width="11.109375" style="22" customWidth="1"/>
    <col min="23" max="23" width="10.88671875" style="22" customWidth="1"/>
    <col min="24" max="24" width="11.109375" style="22" customWidth="1"/>
    <col min="25" max="25" width="10.88671875" style="22" customWidth="1"/>
    <col min="26" max="27" width="11.109375" style="22" customWidth="1"/>
    <col min="28" max="28" width="11.5546875" style="22" customWidth="1"/>
    <col min="29" max="29" width="11.109375" style="22" customWidth="1"/>
    <col min="30" max="31" width="9.109375" style="8"/>
    <col min="32" max="32" width="12.109375" style="22" hidden="1" customWidth="1"/>
    <col min="33" max="33" width="11.6640625" style="22" hidden="1" customWidth="1"/>
    <col min="34" max="16384" width="9.109375" style="22"/>
  </cols>
  <sheetData>
    <row r="2" spans="1:33" ht="17.399999999999999">
      <c r="A2" s="126" t="s">
        <v>241</v>
      </c>
    </row>
    <row r="3" spans="1:33">
      <c r="G3" s="775">
        <v>0</v>
      </c>
      <c r="H3" s="775">
        <v>1</v>
      </c>
      <c r="I3" s="775">
        <v>2</v>
      </c>
      <c r="J3" s="775">
        <v>3</v>
      </c>
      <c r="K3" s="775">
        <v>4</v>
      </c>
      <c r="L3" s="775">
        <v>5</v>
      </c>
      <c r="M3" s="775">
        <v>6</v>
      </c>
      <c r="N3" s="775">
        <v>7</v>
      </c>
      <c r="O3" s="775">
        <v>8</v>
      </c>
      <c r="P3" s="775">
        <v>9</v>
      </c>
      <c r="Q3" s="775">
        <v>10</v>
      </c>
      <c r="R3" s="775">
        <v>11</v>
      </c>
      <c r="S3" s="775">
        <v>12</v>
      </c>
      <c r="T3" s="775">
        <v>13</v>
      </c>
      <c r="U3" s="775">
        <v>14</v>
      </c>
      <c r="V3" s="775">
        <v>15</v>
      </c>
      <c r="W3" s="775">
        <v>0</v>
      </c>
      <c r="X3" s="775">
        <v>0</v>
      </c>
      <c r="Y3" s="775">
        <v>0</v>
      </c>
      <c r="Z3" s="775">
        <v>0</v>
      </c>
      <c r="AA3" s="775">
        <v>0</v>
      </c>
      <c r="AB3" s="775">
        <v>0</v>
      </c>
      <c r="AC3" s="775">
        <v>0</v>
      </c>
      <c r="AD3" s="775">
        <v>0</v>
      </c>
      <c r="AE3" s="775">
        <v>0</v>
      </c>
    </row>
    <row r="4" spans="1:33" s="42" customFormat="1" ht="13.8" thickBot="1">
      <c r="A4" s="422" t="s">
        <v>164</v>
      </c>
      <c r="B4" s="557"/>
      <c r="C4" s="557"/>
      <c r="D4" s="557"/>
      <c r="E4" s="557"/>
      <c r="F4" s="557"/>
      <c r="G4" s="9">
        <v>1999</v>
      </c>
      <c r="H4" s="9">
        <v>2000</v>
      </c>
      <c r="I4" s="9">
        <v>2001</v>
      </c>
      <c r="J4" s="9">
        <v>2002</v>
      </c>
      <c r="K4" s="9">
        <v>2003</v>
      </c>
      <c r="L4" s="9">
        <v>2004</v>
      </c>
      <c r="M4" s="9">
        <v>2005</v>
      </c>
      <c r="N4" s="9">
        <v>2006</v>
      </c>
      <c r="O4" s="9">
        <v>2007</v>
      </c>
      <c r="P4" s="9">
        <v>2008</v>
      </c>
      <c r="Q4" s="9">
        <v>2009</v>
      </c>
      <c r="R4" s="9">
        <v>2010</v>
      </c>
      <c r="S4" s="9">
        <v>2011</v>
      </c>
      <c r="T4" s="9">
        <v>2012</v>
      </c>
      <c r="U4" s="9">
        <v>2013</v>
      </c>
      <c r="V4" s="9">
        <v>2014</v>
      </c>
      <c r="W4" s="9">
        <v>2015</v>
      </c>
      <c r="X4" s="9">
        <v>2016</v>
      </c>
      <c r="Y4" s="9">
        <v>2017</v>
      </c>
      <c r="Z4" s="9">
        <v>2018</v>
      </c>
      <c r="AA4" s="9">
        <v>2019</v>
      </c>
      <c r="AB4" s="9">
        <v>2020</v>
      </c>
      <c r="AC4" s="9">
        <v>2021</v>
      </c>
      <c r="AD4" s="9">
        <v>2022</v>
      </c>
      <c r="AE4" s="9">
        <v>2023</v>
      </c>
    </row>
    <row r="5" spans="1:33" s="42" customFormat="1">
      <c r="A5" s="43" t="s">
        <v>242</v>
      </c>
      <c r="B5" s="43"/>
      <c r="C5" s="41"/>
      <c r="D5" s="41"/>
      <c r="E5" s="41"/>
      <c r="F5" s="41"/>
      <c r="G5" s="23">
        <f>Assumptions!L53</f>
        <v>0</v>
      </c>
      <c r="H5" s="23">
        <v>12</v>
      </c>
      <c r="I5" s="23">
        <v>12</v>
      </c>
      <c r="J5" s="23">
        <v>12</v>
      </c>
      <c r="K5" s="23">
        <v>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314"/>
      <c r="AE5" s="314"/>
    </row>
    <row r="6" spans="1:33" s="42" customFormat="1">
      <c r="A6" s="43" t="s">
        <v>243</v>
      </c>
      <c r="B6" s="43"/>
      <c r="C6" s="41"/>
      <c r="D6" s="41"/>
      <c r="E6" s="41"/>
      <c r="F6" s="41"/>
      <c r="G6" s="23"/>
      <c r="H6" s="23"/>
      <c r="I6" s="23"/>
      <c r="J6" s="23"/>
      <c r="K6" s="23">
        <v>7</v>
      </c>
      <c r="L6" s="23">
        <v>12</v>
      </c>
      <c r="M6" s="23">
        <v>12</v>
      </c>
      <c r="N6" s="23">
        <v>12</v>
      </c>
      <c r="O6" s="23">
        <v>12</v>
      </c>
      <c r="P6" s="23">
        <v>12</v>
      </c>
      <c r="Q6" s="23">
        <v>12</v>
      </c>
      <c r="R6" s="23">
        <v>12</v>
      </c>
      <c r="S6" s="23">
        <v>12</v>
      </c>
      <c r="T6" s="23">
        <v>12</v>
      </c>
      <c r="U6" s="23">
        <v>12</v>
      </c>
      <c r="V6" s="23">
        <v>12</v>
      </c>
      <c r="W6" s="23">
        <v>12</v>
      </c>
      <c r="X6" s="23">
        <v>12</v>
      </c>
      <c r="Y6" s="23">
        <v>12</v>
      </c>
      <c r="Z6" s="23">
        <v>12</v>
      </c>
      <c r="AA6" s="23">
        <v>12</v>
      </c>
      <c r="AB6" s="46">
        <v>12</v>
      </c>
      <c r="AC6" s="46">
        <v>12</v>
      </c>
      <c r="AD6" s="314"/>
      <c r="AE6" s="314"/>
    </row>
    <row r="7" spans="1:33" s="42" customFormat="1">
      <c r="A7" s="43" t="s">
        <v>244</v>
      </c>
      <c r="B7" s="43"/>
      <c r="C7" s="41"/>
      <c r="D7" s="41"/>
      <c r="E7" s="41"/>
      <c r="F7" s="41"/>
      <c r="G7" s="23">
        <v>0</v>
      </c>
      <c r="H7" s="23">
        <f>Assumptions!Q53</f>
        <v>6</v>
      </c>
      <c r="I7" s="23">
        <v>12</v>
      </c>
      <c r="J7" s="23">
        <v>12</v>
      </c>
      <c r="K7" s="23">
        <v>5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314"/>
      <c r="AE7" s="314"/>
    </row>
    <row r="8" spans="1:33" s="42" customFormat="1">
      <c r="A8" s="43" t="s">
        <v>245</v>
      </c>
      <c r="B8" s="43"/>
      <c r="C8" s="41"/>
      <c r="D8" s="41"/>
      <c r="E8" s="41"/>
      <c r="F8" s="41"/>
      <c r="G8" s="44"/>
      <c r="H8" s="44"/>
      <c r="I8" s="44"/>
      <c r="J8" s="44"/>
      <c r="K8" s="23">
        <v>7</v>
      </c>
      <c r="L8" s="23">
        <v>12</v>
      </c>
      <c r="M8" s="23">
        <v>12</v>
      </c>
      <c r="N8" s="23">
        <v>12</v>
      </c>
      <c r="O8" s="23">
        <v>12</v>
      </c>
      <c r="P8" s="23">
        <v>12</v>
      </c>
      <c r="Q8" s="23">
        <v>12</v>
      </c>
      <c r="R8" s="23">
        <v>12</v>
      </c>
      <c r="S8" s="23">
        <v>12</v>
      </c>
      <c r="T8" s="23">
        <v>12</v>
      </c>
      <c r="U8" s="23">
        <v>12</v>
      </c>
      <c r="V8" s="23">
        <v>12</v>
      </c>
      <c r="W8" s="23">
        <v>12</v>
      </c>
      <c r="X8" s="23">
        <v>12</v>
      </c>
      <c r="Y8" s="23">
        <v>12</v>
      </c>
      <c r="Z8" s="23">
        <v>12</v>
      </c>
      <c r="AA8" s="23">
        <v>12</v>
      </c>
      <c r="AB8" s="46">
        <v>12</v>
      </c>
      <c r="AC8" s="46">
        <v>12</v>
      </c>
      <c r="AD8" s="314"/>
      <c r="AE8" s="314"/>
    </row>
    <row r="11" spans="1:33" ht="15.6">
      <c r="A11" s="47" t="s">
        <v>40</v>
      </c>
      <c r="AF11" s="810" t="s">
        <v>246</v>
      </c>
      <c r="AG11" s="423"/>
    </row>
    <row r="12" spans="1:33" ht="15.6">
      <c r="A12" s="47"/>
      <c r="AF12" s="811" t="s">
        <v>247</v>
      </c>
      <c r="AG12" s="424"/>
    </row>
    <row r="13" spans="1:33" s="20" customFormat="1">
      <c r="A13" s="48" t="s">
        <v>248</v>
      </c>
      <c r="B13" s="22"/>
      <c r="C13" s="49"/>
      <c r="D13" s="49"/>
      <c r="E13" s="49"/>
      <c r="F13" s="4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67"/>
      <c r="AE13" s="267"/>
      <c r="AF13" s="811" t="s">
        <v>99</v>
      </c>
      <c r="AG13" s="569" t="s">
        <v>249</v>
      </c>
    </row>
    <row r="14" spans="1:33" s="20" customFormat="1">
      <c r="A14" s="22"/>
      <c r="B14" s="50" t="s">
        <v>250</v>
      </c>
      <c r="C14" s="41"/>
      <c r="D14" s="41"/>
      <c r="E14" s="41"/>
      <c r="F14" s="41"/>
      <c r="G14" s="55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22"/>
      <c r="W14" s="22"/>
      <c r="X14" s="22"/>
      <c r="Y14" s="22"/>
      <c r="Z14" s="22"/>
      <c r="AA14" s="22"/>
      <c r="AB14" s="22"/>
      <c r="AC14" s="22"/>
      <c r="AD14" s="267"/>
      <c r="AE14" s="267"/>
      <c r="AF14" s="811">
        <v>0</v>
      </c>
      <c r="AG14" s="812">
        <v>0</v>
      </c>
    </row>
    <row r="15" spans="1:33" s="20" customFormat="1">
      <c r="A15" s="36" t="s">
        <v>251</v>
      </c>
      <c r="B15" s="53">
        <f>Assumptions!$D$41</f>
        <v>15</v>
      </c>
      <c r="C15" s="54"/>
      <c r="D15" s="54"/>
      <c r="E15" s="54"/>
      <c r="F15" s="54"/>
      <c r="G15" s="55">
        <f>VLOOKUP(G3+IF($G$5&gt;0,1,0),$AF$14:$AG$30,2)</f>
        <v>0</v>
      </c>
      <c r="H15" s="55">
        <f>VLOOKUP(H3+IF($G$5&gt;0,1,0),$AF$14:$AG$30,2)</f>
        <v>0.05</v>
      </c>
      <c r="I15" s="55">
        <f t="shared" ref="I15:V15" si="0">VLOOKUP(I3+IF($G$5&gt;0,1,0),$AF$14:$AG$30,2)</f>
        <v>9.5000000000000001E-2</v>
      </c>
      <c r="J15" s="55">
        <f t="shared" si="0"/>
        <v>8.5500000000000007E-2</v>
      </c>
      <c r="K15" s="55">
        <f t="shared" si="0"/>
        <v>7.6999999999999999E-2</v>
      </c>
      <c r="L15" s="55">
        <f t="shared" si="0"/>
        <v>6.93E-2</v>
      </c>
      <c r="M15" s="55">
        <f t="shared" si="0"/>
        <v>6.2300000000000001E-2</v>
      </c>
      <c r="N15" s="55">
        <f t="shared" si="0"/>
        <v>5.8999999999999997E-2</v>
      </c>
      <c r="O15" s="55">
        <f t="shared" si="0"/>
        <v>5.91E-2</v>
      </c>
      <c r="P15" s="55">
        <f t="shared" si="0"/>
        <v>5.8999999999999997E-2</v>
      </c>
      <c r="Q15" s="55">
        <f t="shared" si="0"/>
        <v>5.91E-2</v>
      </c>
      <c r="R15" s="55">
        <f t="shared" si="0"/>
        <v>5.8999999999999997E-2</v>
      </c>
      <c r="S15" s="55">
        <f t="shared" si="0"/>
        <v>5.91E-2</v>
      </c>
      <c r="T15" s="55">
        <f t="shared" si="0"/>
        <v>5.8999999999999997E-2</v>
      </c>
      <c r="U15" s="55">
        <f t="shared" si="0"/>
        <v>5.91E-2</v>
      </c>
      <c r="V15" s="55">
        <f t="shared" si="0"/>
        <v>5.8999999999999997E-2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267"/>
      <c r="AE15" s="267"/>
      <c r="AF15" s="811">
        <v>1</v>
      </c>
      <c r="AG15" s="812">
        <v>0.05</v>
      </c>
    </row>
    <row r="16" spans="1:33" s="242" customFormat="1">
      <c r="A16" s="37" t="s">
        <v>252</v>
      </c>
      <c r="B16" s="239">
        <f>Assumptions!$D$42</f>
        <v>20</v>
      </c>
      <c r="C16" s="240"/>
      <c r="D16" s="240"/>
      <c r="E16" s="240"/>
      <c r="F16" s="240"/>
      <c r="G16" s="241">
        <f>1/20*G5/12*0</f>
        <v>0</v>
      </c>
      <c r="H16" s="241">
        <f t="shared" ref="H16:AA16" si="1">1/20</f>
        <v>0.05</v>
      </c>
      <c r="I16" s="241">
        <f t="shared" si="1"/>
        <v>0.05</v>
      </c>
      <c r="J16" s="241">
        <f t="shared" si="1"/>
        <v>0.05</v>
      </c>
      <c r="K16" s="241">
        <f t="shared" si="1"/>
        <v>0.05</v>
      </c>
      <c r="L16" s="241">
        <f t="shared" si="1"/>
        <v>0.05</v>
      </c>
      <c r="M16" s="241">
        <f t="shared" si="1"/>
        <v>0.05</v>
      </c>
      <c r="N16" s="241">
        <f t="shared" si="1"/>
        <v>0.05</v>
      </c>
      <c r="O16" s="241">
        <f t="shared" si="1"/>
        <v>0.05</v>
      </c>
      <c r="P16" s="241">
        <f t="shared" si="1"/>
        <v>0.05</v>
      </c>
      <c r="Q16" s="241">
        <f t="shared" si="1"/>
        <v>0.05</v>
      </c>
      <c r="R16" s="241">
        <f t="shared" si="1"/>
        <v>0.05</v>
      </c>
      <c r="S16" s="241">
        <f t="shared" si="1"/>
        <v>0.05</v>
      </c>
      <c r="T16" s="241">
        <f t="shared" si="1"/>
        <v>0.05</v>
      </c>
      <c r="U16" s="241">
        <f t="shared" si="1"/>
        <v>0.05</v>
      </c>
      <c r="V16" s="241">
        <f t="shared" si="1"/>
        <v>0.05</v>
      </c>
      <c r="W16" s="241">
        <f t="shared" si="1"/>
        <v>0.05</v>
      </c>
      <c r="X16" s="241">
        <f t="shared" si="1"/>
        <v>0.05</v>
      </c>
      <c r="Y16" s="241">
        <f t="shared" si="1"/>
        <v>0.05</v>
      </c>
      <c r="Z16" s="241">
        <f t="shared" si="1"/>
        <v>0.05</v>
      </c>
      <c r="AA16" s="241">
        <f t="shared" si="1"/>
        <v>0.05</v>
      </c>
      <c r="AB16" s="241">
        <v>0</v>
      </c>
      <c r="AC16" s="241"/>
      <c r="AD16" s="267"/>
      <c r="AE16" s="267"/>
      <c r="AF16" s="811">
        <v>2</v>
      </c>
      <c r="AG16" s="812">
        <v>9.5000000000000001E-2</v>
      </c>
    </row>
    <row r="17" spans="1:33" s="20" customFormat="1">
      <c r="A17" s="22"/>
      <c r="B17" s="56"/>
      <c r="C17" s="41"/>
      <c r="D17" s="41"/>
      <c r="E17" s="41"/>
      <c r="F17" s="41"/>
      <c r="G17" s="5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67"/>
      <c r="AE17" s="267"/>
      <c r="AF17" s="811">
        <v>3</v>
      </c>
      <c r="AG17" s="812">
        <v>8.5500000000000007E-2</v>
      </c>
    </row>
    <row r="18" spans="1:33" s="20" customFormat="1">
      <c r="A18" s="36" t="s">
        <v>253</v>
      </c>
      <c r="B18" s="248">
        <f>Assumptions!G8*(1-Allocation!C22)</f>
        <v>493680.962</v>
      </c>
      <c r="C18" s="249"/>
      <c r="D18" s="249"/>
      <c r="E18" s="603"/>
      <c r="F18" s="249"/>
      <c r="G18" s="250">
        <f>$B$18*G15</f>
        <v>0</v>
      </c>
      <c r="H18" s="250">
        <f t="shared" ref="H18:AB18" si="2">$B$18*H15</f>
        <v>24684.0481</v>
      </c>
      <c r="I18" s="250">
        <f t="shared" si="2"/>
        <v>46899.69139</v>
      </c>
      <c r="J18" s="250">
        <f t="shared" si="2"/>
        <v>42209.722251000007</v>
      </c>
      <c r="K18" s="250">
        <f t="shared" si="2"/>
        <v>38013.434073999997</v>
      </c>
      <c r="L18" s="250">
        <f t="shared" si="2"/>
        <v>34212.090666600001</v>
      </c>
      <c r="M18" s="250">
        <f t="shared" si="2"/>
        <v>30756.3239326</v>
      </c>
      <c r="N18" s="250">
        <f t="shared" si="2"/>
        <v>29127.176757999998</v>
      </c>
      <c r="O18" s="250">
        <f t="shared" si="2"/>
        <v>29176.544854200001</v>
      </c>
      <c r="P18" s="250">
        <f t="shared" si="2"/>
        <v>29127.176757999998</v>
      </c>
      <c r="Q18" s="250">
        <f t="shared" si="2"/>
        <v>29176.544854200001</v>
      </c>
      <c r="R18" s="250">
        <f t="shared" si="2"/>
        <v>29127.176757999998</v>
      </c>
      <c r="S18" s="250">
        <f t="shared" si="2"/>
        <v>29176.544854200001</v>
      </c>
      <c r="T18" s="250">
        <f t="shared" si="2"/>
        <v>29127.176757999998</v>
      </c>
      <c r="U18" s="250">
        <f t="shared" si="2"/>
        <v>29176.544854200001</v>
      </c>
      <c r="V18" s="250">
        <f t="shared" si="2"/>
        <v>29127.176757999998</v>
      </c>
      <c r="W18" s="250">
        <f t="shared" si="2"/>
        <v>0</v>
      </c>
      <c r="X18" s="250">
        <f t="shared" si="2"/>
        <v>0</v>
      </c>
      <c r="Y18" s="250">
        <f t="shared" si="2"/>
        <v>0</v>
      </c>
      <c r="Z18" s="250">
        <f t="shared" si="2"/>
        <v>0</v>
      </c>
      <c r="AA18" s="250">
        <f t="shared" si="2"/>
        <v>0</v>
      </c>
      <c r="AB18" s="250">
        <f t="shared" si="2"/>
        <v>0</v>
      </c>
      <c r="AC18" s="250">
        <f>$B$18*AC15</f>
        <v>0</v>
      </c>
      <c r="AD18" s="267"/>
      <c r="AE18" s="267"/>
      <c r="AF18" s="811">
        <v>4</v>
      </c>
      <c r="AG18" s="812">
        <v>7.6999999999999999E-2</v>
      </c>
    </row>
    <row r="19" spans="1:33" s="20" customFormat="1" ht="15">
      <c r="A19" s="37" t="s">
        <v>252</v>
      </c>
      <c r="B19" s="251">
        <f>Assumptions!G11*Allocation!G10</f>
        <v>7800</v>
      </c>
      <c r="C19" s="249"/>
      <c r="D19" s="249"/>
      <c r="E19" s="249"/>
      <c r="F19" s="249"/>
      <c r="G19" s="252">
        <f>$B$19*G16</f>
        <v>0</v>
      </c>
      <c r="H19" s="252">
        <f t="shared" ref="H19:AB19" si="3">$B$19*H16</f>
        <v>390</v>
      </c>
      <c r="I19" s="252">
        <f t="shared" si="3"/>
        <v>390</v>
      </c>
      <c r="J19" s="252">
        <f t="shared" si="3"/>
        <v>390</v>
      </c>
      <c r="K19" s="252">
        <f t="shared" si="3"/>
        <v>390</v>
      </c>
      <c r="L19" s="252">
        <f t="shared" si="3"/>
        <v>390</v>
      </c>
      <c r="M19" s="252">
        <f t="shared" si="3"/>
        <v>390</v>
      </c>
      <c r="N19" s="252">
        <f t="shared" si="3"/>
        <v>390</v>
      </c>
      <c r="O19" s="252">
        <f t="shared" si="3"/>
        <v>390</v>
      </c>
      <c r="P19" s="252">
        <f t="shared" si="3"/>
        <v>390</v>
      </c>
      <c r="Q19" s="252">
        <f t="shared" si="3"/>
        <v>390</v>
      </c>
      <c r="R19" s="252">
        <f t="shared" si="3"/>
        <v>390</v>
      </c>
      <c r="S19" s="252">
        <f t="shared" si="3"/>
        <v>390</v>
      </c>
      <c r="T19" s="252">
        <f t="shared" si="3"/>
        <v>390</v>
      </c>
      <c r="U19" s="252">
        <f t="shared" si="3"/>
        <v>390</v>
      </c>
      <c r="V19" s="252">
        <f t="shared" si="3"/>
        <v>390</v>
      </c>
      <c r="W19" s="252">
        <f t="shared" si="3"/>
        <v>390</v>
      </c>
      <c r="X19" s="252">
        <f t="shared" si="3"/>
        <v>390</v>
      </c>
      <c r="Y19" s="252">
        <f t="shared" si="3"/>
        <v>390</v>
      </c>
      <c r="Z19" s="252">
        <f t="shared" si="3"/>
        <v>390</v>
      </c>
      <c r="AA19" s="252">
        <f t="shared" si="3"/>
        <v>390</v>
      </c>
      <c r="AB19" s="252">
        <f t="shared" si="3"/>
        <v>0</v>
      </c>
      <c r="AC19" s="252">
        <f>$B$19*AC16</f>
        <v>0</v>
      </c>
      <c r="AD19" s="267"/>
      <c r="AE19" s="267"/>
      <c r="AF19" s="811">
        <v>5</v>
      </c>
      <c r="AG19" s="812">
        <v>6.93E-2</v>
      </c>
    </row>
    <row r="20" spans="1:33" s="20" customFormat="1">
      <c r="A20" s="37" t="s">
        <v>254</v>
      </c>
      <c r="B20" s="250">
        <f>SUM(B18:B19)</f>
        <v>501480.962</v>
      </c>
      <c r="C20" s="605"/>
      <c r="D20" s="249"/>
      <c r="E20" s="249"/>
      <c r="F20" s="249"/>
      <c r="G20" s="250">
        <f t="shared" ref="G20:AC20" si="4">SUM(G18:G19)</f>
        <v>0</v>
      </c>
      <c r="H20" s="250">
        <f t="shared" si="4"/>
        <v>25074.0481</v>
      </c>
      <c r="I20" s="250">
        <f t="shared" si="4"/>
        <v>47289.69139</v>
      </c>
      <c r="J20" s="250">
        <f t="shared" si="4"/>
        <v>42599.722251000007</v>
      </c>
      <c r="K20" s="250">
        <f t="shared" si="4"/>
        <v>38403.434073999997</v>
      </c>
      <c r="L20" s="250">
        <f t="shared" si="4"/>
        <v>34602.090666600001</v>
      </c>
      <c r="M20" s="250">
        <f t="shared" si="4"/>
        <v>31146.3239326</v>
      </c>
      <c r="N20" s="250">
        <f t="shared" si="4"/>
        <v>29517.176757999998</v>
      </c>
      <c r="O20" s="250">
        <f t="shared" si="4"/>
        <v>29566.544854200001</v>
      </c>
      <c r="P20" s="250">
        <f t="shared" si="4"/>
        <v>29517.176757999998</v>
      </c>
      <c r="Q20" s="250">
        <f t="shared" si="4"/>
        <v>29566.544854200001</v>
      </c>
      <c r="R20" s="250">
        <f t="shared" si="4"/>
        <v>29517.176757999998</v>
      </c>
      <c r="S20" s="250">
        <f t="shared" si="4"/>
        <v>29566.544854200001</v>
      </c>
      <c r="T20" s="250">
        <f t="shared" si="4"/>
        <v>29517.176757999998</v>
      </c>
      <c r="U20" s="250">
        <f t="shared" si="4"/>
        <v>29566.544854200001</v>
      </c>
      <c r="V20" s="250">
        <f t="shared" si="4"/>
        <v>29517.176757999998</v>
      </c>
      <c r="W20" s="250">
        <f t="shared" si="4"/>
        <v>390</v>
      </c>
      <c r="X20" s="250">
        <f t="shared" si="4"/>
        <v>390</v>
      </c>
      <c r="Y20" s="250">
        <f t="shared" si="4"/>
        <v>390</v>
      </c>
      <c r="Z20" s="250">
        <f t="shared" si="4"/>
        <v>390</v>
      </c>
      <c r="AA20" s="250">
        <f t="shared" si="4"/>
        <v>390</v>
      </c>
      <c r="AB20" s="250">
        <f t="shared" si="4"/>
        <v>0</v>
      </c>
      <c r="AC20" s="250">
        <f t="shared" si="4"/>
        <v>0</v>
      </c>
      <c r="AD20" s="267"/>
      <c r="AE20" s="267"/>
      <c r="AF20" s="811">
        <v>6</v>
      </c>
      <c r="AG20" s="812">
        <v>6.2300000000000001E-2</v>
      </c>
    </row>
    <row r="21" spans="1:33" s="20" customFormat="1">
      <c r="B21" s="250"/>
      <c r="C21" s="249"/>
      <c r="D21" s="249"/>
      <c r="E21" s="249"/>
      <c r="F21" s="249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67"/>
      <c r="AE21" s="267"/>
      <c r="AF21" s="811">
        <v>7</v>
      </c>
      <c r="AG21" s="812">
        <v>5.8999999999999997E-2</v>
      </c>
    </row>
    <row r="22" spans="1:33" s="20" customFormat="1">
      <c r="A22" s="22" t="s">
        <v>255</v>
      </c>
      <c r="B22" s="250"/>
      <c r="C22" s="249"/>
      <c r="D22" s="249"/>
      <c r="E22" s="249"/>
      <c r="F22" s="249"/>
      <c r="G22" s="250">
        <f>B20-G20</f>
        <v>501480.962</v>
      </c>
      <c r="H22" s="250">
        <f>G22-H20</f>
        <v>476406.91389999999</v>
      </c>
      <c r="I22" s="250">
        <f t="shared" ref="I22:AA22" si="5">H22-I20</f>
        <v>429117.22250999999</v>
      </c>
      <c r="J22" s="250">
        <f t="shared" si="5"/>
        <v>386517.50025899999</v>
      </c>
      <c r="K22" s="250">
        <f t="shared" si="5"/>
        <v>348114.066185</v>
      </c>
      <c r="L22" s="250">
        <f t="shared" si="5"/>
        <v>313511.97551840002</v>
      </c>
      <c r="M22" s="250">
        <f t="shared" si="5"/>
        <v>282365.65158580005</v>
      </c>
      <c r="N22" s="250">
        <f t="shared" si="5"/>
        <v>252848.47482780006</v>
      </c>
      <c r="O22" s="250">
        <f t="shared" si="5"/>
        <v>223281.92997360005</v>
      </c>
      <c r="P22" s="250">
        <f t="shared" si="5"/>
        <v>193764.75321560007</v>
      </c>
      <c r="Q22" s="250">
        <f t="shared" si="5"/>
        <v>164198.20836140006</v>
      </c>
      <c r="R22" s="250">
        <f t="shared" si="5"/>
        <v>134681.03160340007</v>
      </c>
      <c r="S22" s="250">
        <f t="shared" si="5"/>
        <v>105114.48674920006</v>
      </c>
      <c r="T22" s="250">
        <f t="shared" si="5"/>
        <v>75597.309991200062</v>
      </c>
      <c r="U22" s="250">
        <f t="shared" si="5"/>
        <v>46030.76513700006</v>
      </c>
      <c r="V22" s="250">
        <f t="shared" si="5"/>
        <v>16513.588379000063</v>
      </c>
      <c r="W22" s="250">
        <f t="shared" si="5"/>
        <v>16123.588379000063</v>
      </c>
      <c r="X22" s="250">
        <f t="shared" si="5"/>
        <v>15733.588379000063</v>
      </c>
      <c r="Y22" s="250">
        <f t="shared" si="5"/>
        <v>15343.588379000063</v>
      </c>
      <c r="Z22" s="250">
        <f t="shared" si="5"/>
        <v>14953.588379000063</v>
      </c>
      <c r="AA22" s="250">
        <f t="shared" si="5"/>
        <v>14563.588379000063</v>
      </c>
      <c r="AB22" s="250">
        <f>AA22-AB20</f>
        <v>14563.588379000063</v>
      </c>
      <c r="AC22" s="250">
        <f>AB22-AC20</f>
        <v>14563.588379000063</v>
      </c>
      <c r="AD22" s="267"/>
      <c r="AE22" s="267"/>
      <c r="AF22" s="811">
        <v>8</v>
      </c>
      <c r="AG22" s="812">
        <v>5.91E-2</v>
      </c>
    </row>
    <row r="23" spans="1:33" s="20" customFormat="1">
      <c r="A23" s="26"/>
      <c r="B23" s="29"/>
      <c r="C23" s="57"/>
      <c r="D23" s="57"/>
      <c r="E23" s="57"/>
      <c r="F23" s="5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7"/>
      <c r="AE23" s="267"/>
      <c r="AF23" s="811">
        <v>9</v>
      </c>
      <c r="AG23" s="812">
        <v>5.8999999999999997E-2</v>
      </c>
    </row>
    <row r="24" spans="1:33" s="20" customFormat="1">
      <c r="A24" s="48" t="s">
        <v>256</v>
      </c>
      <c r="B24" s="58"/>
      <c r="C24" s="41"/>
      <c r="D24" s="41"/>
      <c r="E24" s="41"/>
      <c r="F24" s="4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267"/>
      <c r="AE24" s="267"/>
      <c r="AF24" s="811">
        <v>10</v>
      </c>
      <c r="AG24" s="812">
        <v>5.91E-2</v>
      </c>
    </row>
    <row r="25" spans="1:33" s="20" customFormat="1">
      <c r="A25" s="48"/>
      <c r="B25" s="50" t="s">
        <v>250</v>
      </c>
      <c r="C25" s="41"/>
      <c r="D25" s="41"/>
      <c r="E25" s="41"/>
      <c r="F25" s="4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267"/>
      <c r="AE25" s="267"/>
      <c r="AF25" s="811">
        <v>11</v>
      </c>
      <c r="AG25" s="812">
        <v>5.8999999999999997E-2</v>
      </c>
    </row>
    <row r="26" spans="1:33" s="20" customFormat="1">
      <c r="A26" s="36" t="s">
        <v>251</v>
      </c>
      <c r="B26" s="53">
        <f>Assumptions!$D$41</f>
        <v>15</v>
      </c>
      <c r="C26" s="54"/>
      <c r="D26" s="54"/>
      <c r="E26" s="54"/>
      <c r="F26" s="54"/>
      <c r="G26" s="55">
        <f>G15</f>
        <v>0</v>
      </c>
      <c r="H26" s="55">
        <f t="shared" ref="H26:AB26" si="6">H15</f>
        <v>0.05</v>
      </c>
      <c r="I26" s="55">
        <f t="shared" si="6"/>
        <v>9.5000000000000001E-2</v>
      </c>
      <c r="J26" s="55">
        <f t="shared" si="6"/>
        <v>8.5500000000000007E-2</v>
      </c>
      <c r="K26" s="55">
        <f t="shared" si="6"/>
        <v>7.6999999999999999E-2</v>
      </c>
      <c r="L26" s="55">
        <f t="shared" si="6"/>
        <v>6.93E-2</v>
      </c>
      <c r="M26" s="55">
        <f t="shared" si="6"/>
        <v>6.2300000000000001E-2</v>
      </c>
      <c r="N26" s="55">
        <f t="shared" si="6"/>
        <v>5.8999999999999997E-2</v>
      </c>
      <c r="O26" s="55">
        <f t="shared" si="6"/>
        <v>5.91E-2</v>
      </c>
      <c r="P26" s="55">
        <f t="shared" si="6"/>
        <v>5.8999999999999997E-2</v>
      </c>
      <c r="Q26" s="55">
        <f t="shared" si="6"/>
        <v>5.91E-2</v>
      </c>
      <c r="R26" s="55">
        <f t="shared" si="6"/>
        <v>5.8999999999999997E-2</v>
      </c>
      <c r="S26" s="55">
        <f t="shared" si="6"/>
        <v>5.91E-2</v>
      </c>
      <c r="T26" s="55">
        <f t="shared" si="6"/>
        <v>5.8999999999999997E-2</v>
      </c>
      <c r="U26" s="55">
        <f t="shared" si="6"/>
        <v>5.91E-2</v>
      </c>
      <c r="V26" s="55">
        <f t="shared" si="6"/>
        <v>5.8999999999999997E-2</v>
      </c>
      <c r="W26" s="55">
        <f t="shared" si="6"/>
        <v>0</v>
      </c>
      <c r="X26" s="55">
        <f t="shared" si="6"/>
        <v>0</v>
      </c>
      <c r="Y26" s="55">
        <f t="shared" si="6"/>
        <v>0</v>
      </c>
      <c r="Z26" s="55">
        <f t="shared" si="6"/>
        <v>0</v>
      </c>
      <c r="AA26" s="55">
        <f t="shared" si="6"/>
        <v>0</v>
      </c>
      <c r="AB26" s="55">
        <f t="shared" si="6"/>
        <v>0</v>
      </c>
      <c r="AC26" s="55">
        <f>AC15</f>
        <v>0</v>
      </c>
      <c r="AD26" s="267"/>
      <c r="AE26" s="267"/>
      <c r="AF26" s="811">
        <v>12</v>
      </c>
      <c r="AG26" s="812">
        <v>5.91E-2</v>
      </c>
    </row>
    <row r="27" spans="1:33" s="20" customFormat="1">
      <c r="A27" s="37" t="s">
        <v>252</v>
      </c>
      <c r="B27" s="239">
        <f>Assumptions!$D$42</f>
        <v>20</v>
      </c>
      <c r="C27" s="54"/>
      <c r="D27" s="54"/>
      <c r="E27" s="54"/>
      <c r="F27" s="54"/>
      <c r="G27" s="55">
        <f>G16</f>
        <v>0</v>
      </c>
      <c r="H27" s="55">
        <f t="shared" ref="H27:AB27" si="7">H16</f>
        <v>0.05</v>
      </c>
      <c r="I27" s="55">
        <f t="shared" si="7"/>
        <v>0.05</v>
      </c>
      <c r="J27" s="55">
        <f t="shared" si="7"/>
        <v>0.05</v>
      </c>
      <c r="K27" s="55">
        <f t="shared" si="7"/>
        <v>0.05</v>
      </c>
      <c r="L27" s="55">
        <f t="shared" si="7"/>
        <v>0.05</v>
      </c>
      <c r="M27" s="55">
        <f t="shared" si="7"/>
        <v>0.05</v>
      </c>
      <c r="N27" s="55">
        <f t="shared" si="7"/>
        <v>0.05</v>
      </c>
      <c r="O27" s="55">
        <f t="shared" si="7"/>
        <v>0.05</v>
      </c>
      <c r="P27" s="55">
        <f t="shared" si="7"/>
        <v>0.05</v>
      </c>
      <c r="Q27" s="55">
        <f t="shared" si="7"/>
        <v>0.05</v>
      </c>
      <c r="R27" s="55">
        <f t="shared" si="7"/>
        <v>0.05</v>
      </c>
      <c r="S27" s="55">
        <f t="shared" si="7"/>
        <v>0.05</v>
      </c>
      <c r="T27" s="55">
        <f t="shared" si="7"/>
        <v>0.05</v>
      </c>
      <c r="U27" s="55">
        <f t="shared" si="7"/>
        <v>0.05</v>
      </c>
      <c r="V27" s="55">
        <f t="shared" si="7"/>
        <v>0.05</v>
      </c>
      <c r="W27" s="55">
        <f t="shared" si="7"/>
        <v>0.05</v>
      </c>
      <c r="X27" s="55">
        <f t="shared" si="7"/>
        <v>0.05</v>
      </c>
      <c r="Y27" s="55">
        <f t="shared" si="7"/>
        <v>0.05</v>
      </c>
      <c r="Z27" s="55">
        <f t="shared" si="7"/>
        <v>0.05</v>
      </c>
      <c r="AA27" s="55">
        <f t="shared" si="7"/>
        <v>0.05</v>
      </c>
      <c r="AB27" s="55">
        <f t="shared" si="7"/>
        <v>0</v>
      </c>
      <c r="AC27" s="55">
        <f>AC16</f>
        <v>0</v>
      </c>
      <c r="AD27" s="267"/>
      <c r="AE27" s="267"/>
      <c r="AF27" s="811">
        <v>13</v>
      </c>
      <c r="AG27" s="812">
        <v>5.8999999999999997E-2</v>
      </c>
    </row>
    <row r="28" spans="1:33" s="20" customFormat="1">
      <c r="A28" s="26"/>
      <c r="B28" s="53"/>
      <c r="C28" s="41"/>
      <c r="D28" s="41"/>
      <c r="E28" s="41"/>
      <c r="F28" s="41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267"/>
      <c r="AE28" s="267"/>
      <c r="AF28" s="811">
        <v>14</v>
      </c>
      <c r="AG28" s="812">
        <v>5.91E-2</v>
      </c>
    </row>
    <row r="29" spans="1:33" s="20" customFormat="1">
      <c r="A29" s="22"/>
      <c r="B29" s="50"/>
      <c r="C29" s="41"/>
      <c r="D29" s="41"/>
      <c r="E29" s="41"/>
      <c r="F29" s="4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67"/>
      <c r="AE29" s="267"/>
      <c r="AF29" s="811">
        <v>15</v>
      </c>
      <c r="AG29" s="812">
        <v>5.8999999999999997E-2</v>
      </c>
    </row>
    <row r="30" spans="1:33" s="33" customFormat="1">
      <c r="A30" s="36" t="s">
        <v>253</v>
      </c>
      <c r="B30" s="248">
        <f>B18</f>
        <v>493680.962</v>
      </c>
      <c r="C30" s="249"/>
      <c r="D30" s="249"/>
      <c r="E30" s="249"/>
      <c r="F30" s="249"/>
      <c r="G30" s="250">
        <f>$B$30*G26</f>
        <v>0</v>
      </c>
      <c r="H30" s="250">
        <f t="shared" ref="H30:AB30" si="8">$B$30*H26</f>
        <v>24684.0481</v>
      </c>
      <c r="I30" s="250">
        <f t="shared" si="8"/>
        <v>46899.69139</v>
      </c>
      <c r="J30" s="250">
        <f t="shared" si="8"/>
        <v>42209.722251000007</v>
      </c>
      <c r="K30" s="250">
        <f t="shared" si="8"/>
        <v>38013.434073999997</v>
      </c>
      <c r="L30" s="250">
        <f t="shared" si="8"/>
        <v>34212.090666600001</v>
      </c>
      <c r="M30" s="250">
        <f t="shared" si="8"/>
        <v>30756.3239326</v>
      </c>
      <c r="N30" s="250">
        <f t="shared" si="8"/>
        <v>29127.176757999998</v>
      </c>
      <c r="O30" s="250">
        <f t="shared" si="8"/>
        <v>29176.544854200001</v>
      </c>
      <c r="P30" s="250">
        <f t="shared" si="8"/>
        <v>29127.176757999998</v>
      </c>
      <c r="Q30" s="250">
        <f t="shared" si="8"/>
        <v>29176.544854200001</v>
      </c>
      <c r="R30" s="250">
        <f t="shared" si="8"/>
        <v>29127.176757999998</v>
      </c>
      <c r="S30" s="250">
        <f t="shared" si="8"/>
        <v>29176.544854200001</v>
      </c>
      <c r="T30" s="250">
        <f t="shared" si="8"/>
        <v>29127.176757999998</v>
      </c>
      <c r="U30" s="250">
        <f t="shared" si="8"/>
        <v>29176.544854200001</v>
      </c>
      <c r="V30" s="250">
        <f t="shared" si="8"/>
        <v>29127.176757999998</v>
      </c>
      <c r="W30" s="250">
        <f t="shared" si="8"/>
        <v>0</v>
      </c>
      <c r="X30" s="250">
        <f t="shared" si="8"/>
        <v>0</v>
      </c>
      <c r="Y30" s="250">
        <f t="shared" si="8"/>
        <v>0</v>
      </c>
      <c r="Z30" s="250">
        <f t="shared" si="8"/>
        <v>0</v>
      </c>
      <c r="AA30" s="250">
        <f t="shared" si="8"/>
        <v>0</v>
      </c>
      <c r="AB30" s="250">
        <f t="shared" si="8"/>
        <v>0</v>
      </c>
      <c r="AC30" s="250">
        <f>$B$30*AC26</f>
        <v>0</v>
      </c>
      <c r="AD30" s="315"/>
      <c r="AE30" s="315"/>
      <c r="AF30" s="811">
        <v>16</v>
      </c>
      <c r="AG30" s="813">
        <v>2.9499999999999998E-2</v>
      </c>
    </row>
    <row r="31" spans="1:33" s="20" customFormat="1" ht="15">
      <c r="A31" s="37" t="s">
        <v>252</v>
      </c>
      <c r="B31" s="251">
        <f>B19</f>
        <v>7800</v>
      </c>
      <c r="C31" s="249"/>
      <c r="D31" s="249"/>
      <c r="E31" s="249"/>
      <c r="F31" s="249"/>
      <c r="G31" s="252">
        <f t="shared" ref="G31:AC31" si="9">$B31*G27</f>
        <v>0</v>
      </c>
      <c r="H31" s="252">
        <f t="shared" si="9"/>
        <v>390</v>
      </c>
      <c r="I31" s="252">
        <f t="shared" si="9"/>
        <v>390</v>
      </c>
      <c r="J31" s="252">
        <f t="shared" si="9"/>
        <v>390</v>
      </c>
      <c r="K31" s="252">
        <f t="shared" si="9"/>
        <v>390</v>
      </c>
      <c r="L31" s="252">
        <f t="shared" si="9"/>
        <v>390</v>
      </c>
      <c r="M31" s="252">
        <f t="shared" si="9"/>
        <v>390</v>
      </c>
      <c r="N31" s="252">
        <f t="shared" si="9"/>
        <v>390</v>
      </c>
      <c r="O31" s="252">
        <f t="shared" si="9"/>
        <v>390</v>
      </c>
      <c r="P31" s="252">
        <f t="shared" si="9"/>
        <v>390</v>
      </c>
      <c r="Q31" s="252">
        <f t="shared" si="9"/>
        <v>390</v>
      </c>
      <c r="R31" s="252">
        <f t="shared" si="9"/>
        <v>390</v>
      </c>
      <c r="S31" s="252">
        <f t="shared" si="9"/>
        <v>390</v>
      </c>
      <c r="T31" s="252">
        <f t="shared" si="9"/>
        <v>390</v>
      </c>
      <c r="U31" s="252">
        <f t="shared" si="9"/>
        <v>390</v>
      </c>
      <c r="V31" s="252">
        <f t="shared" si="9"/>
        <v>390</v>
      </c>
      <c r="W31" s="252">
        <f t="shared" si="9"/>
        <v>390</v>
      </c>
      <c r="X31" s="252">
        <f t="shared" si="9"/>
        <v>390</v>
      </c>
      <c r="Y31" s="252">
        <f t="shared" si="9"/>
        <v>390</v>
      </c>
      <c r="Z31" s="252">
        <f t="shared" si="9"/>
        <v>390</v>
      </c>
      <c r="AA31" s="252">
        <f t="shared" si="9"/>
        <v>390</v>
      </c>
      <c r="AB31" s="252">
        <f t="shared" si="9"/>
        <v>0</v>
      </c>
      <c r="AC31" s="252">
        <f t="shared" si="9"/>
        <v>0</v>
      </c>
      <c r="AD31" s="267"/>
      <c r="AE31" s="267"/>
      <c r="AF31" s="814"/>
      <c r="AG31" s="815">
        <f>SUM(AG15:AG30)</f>
        <v>1.0000000000000004</v>
      </c>
    </row>
    <row r="32" spans="1:33" s="20" customFormat="1">
      <c r="A32" s="26" t="s">
        <v>254</v>
      </c>
      <c r="B32" s="250">
        <f>SUM(B30:B31)</f>
        <v>501480.962</v>
      </c>
      <c r="C32" s="249"/>
      <c r="D32" s="249"/>
      <c r="E32" s="249"/>
      <c r="F32" s="249"/>
      <c r="G32" s="250">
        <f t="shared" ref="G32:AC32" si="10">SUM(G30:G31)</f>
        <v>0</v>
      </c>
      <c r="H32" s="250">
        <f t="shared" si="10"/>
        <v>25074.0481</v>
      </c>
      <c r="I32" s="250">
        <f t="shared" si="10"/>
        <v>47289.69139</v>
      </c>
      <c r="J32" s="250">
        <f t="shared" si="10"/>
        <v>42599.722251000007</v>
      </c>
      <c r="K32" s="250">
        <f t="shared" si="10"/>
        <v>38403.434073999997</v>
      </c>
      <c r="L32" s="250">
        <f t="shared" si="10"/>
        <v>34602.090666600001</v>
      </c>
      <c r="M32" s="250">
        <f t="shared" si="10"/>
        <v>31146.3239326</v>
      </c>
      <c r="N32" s="250">
        <f t="shared" si="10"/>
        <v>29517.176757999998</v>
      </c>
      <c r="O32" s="250">
        <f t="shared" si="10"/>
        <v>29566.544854200001</v>
      </c>
      <c r="P32" s="250">
        <f t="shared" si="10"/>
        <v>29517.176757999998</v>
      </c>
      <c r="Q32" s="250">
        <f t="shared" si="10"/>
        <v>29566.544854200001</v>
      </c>
      <c r="R32" s="250">
        <f t="shared" si="10"/>
        <v>29517.176757999998</v>
      </c>
      <c r="S32" s="250">
        <f t="shared" si="10"/>
        <v>29566.544854200001</v>
      </c>
      <c r="T32" s="250">
        <f t="shared" si="10"/>
        <v>29517.176757999998</v>
      </c>
      <c r="U32" s="250">
        <f t="shared" si="10"/>
        <v>29566.544854200001</v>
      </c>
      <c r="V32" s="250">
        <f t="shared" si="10"/>
        <v>29517.176757999998</v>
      </c>
      <c r="W32" s="250">
        <f t="shared" si="10"/>
        <v>390</v>
      </c>
      <c r="X32" s="250">
        <f t="shared" si="10"/>
        <v>390</v>
      </c>
      <c r="Y32" s="250">
        <f t="shared" si="10"/>
        <v>390</v>
      </c>
      <c r="Z32" s="250">
        <f t="shared" si="10"/>
        <v>390</v>
      </c>
      <c r="AA32" s="250">
        <f t="shared" si="10"/>
        <v>390</v>
      </c>
      <c r="AB32" s="250">
        <f t="shared" si="10"/>
        <v>0</v>
      </c>
      <c r="AC32" s="250">
        <f t="shared" si="10"/>
        <v>0</v>
      </c>
      <c r="AD32" s="267"/>
      <c r="AE32" s="267"/>
    </row>
    <row r="33" spans="1:33" s="20" customFormat="1">
      <c r="A33" s="26"/>
      <c r="B33" s="22"/>
      <c r="C33" s="41"/>
      <c r="D33" s="41"/>
      <c r="E33" s="41"/>
      <c r="F33" s="4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7"/>
      <c r="AE33" s="267"/>
    </row>
    <row r="34" spans="1:33" s="20" customFormat="1">
      <c r="A34" s="22" t="s">
        <v>255</v>
      </c>
      <c r="B34" s="22"/>
      <c r="C34" s="41"/>
      <c r="D34" s="570"/>
      <c r="E34" s="41"/>
      <c r="F34" s="41"/>
      <c r="G34" s="31">
        <f>B32-G32</f>
        <v>501480.962</v>
      </c>
      <c r="H34" s="31">
        <f>G34-H32</f>
        <v>476406.91389999999</v>
      </c>
      <c r="I34" s="31">
        <f t="shared" ref="I34:AC34" si="11">H34-I32</f>
        <v>429117.22250999999</v>
      </c>
      <c r="J34" s="31">
        <f t="shared" si="11"/>
        <v>386517.50025899999</v>
      </c>
      <c r="K34" s="31">
        <f t="shared" si="11"/>
        <v>348114.066185</v>
      </c>
      <c r="L34" s="31">
        <f t="shared" si="11"/>
        <v>313511.97551840002</v>
      </c>
      <c r="M34" s="31">
        <f t="shared" si="11"/>
        <v>282365.65158580005</v>
      </c>
      <c r="N34" s="31">
        <f t="shared" si="11"/>
        <v>252848.47482780006</v>
      </c>
      <c r="O34" s="31">
        <f t="shared" si="11"/>
        <v>223281.92997360005</v>
      </c>
      <c r="P34" s="31">
        <f t="shared" si="11"/>
        <v>193764.75321560007</v>
      </c>
      <c r="Q34" s="31">
        <f t="shared" si="11"/>
        <v>164198.20836140006</v>
      </c>
      <c r="R34" s="31">
        <f t="shared" si="11"/>
        <v>134681.03160340007</v>
      </c>
      <c r="S34" s="31">
        <f t="shared" si="11"/>
        <v>105114.48674920006</v>
      </c>
      <c r="T34" s="31">
        <f t="shared" si="11"/>
        <v>75597.309991200062</v>
      </c>
      <c r="U34" s="31">
        <f t="shared" si="11"/>
        <v>46030.76513700006</v>
      </c>
      <c r="V34" s="31">
        <f t="shared" si="11"/>
        <v>16513.588379000063</v>
      </c>
      <c r="W34" s="31">
        <f t="shared" si="11"/>
        <v>16123.588379000063</v>
      </c>
      <c r="X34" s="31">
        <f t="shared" si="11"/>
        <v>15733.588379000063</v>
      </c>
      <c r="Y34" s="31">
        <f t="shared" si="11"/>
        <v>15343.588379000063</v>
      </c>
      <c r="Z34" s="31">
        <f t="shared" si="11"/>
        <v>14953.588379000063</v>
      </c>
      <c r="AA34" s="31">
        <f>Z34-AA32</f>
        <v>14563.588379000063</v>
      </c>
      <c r="AB34" s="31">
        <f>AA34-AB32</f>
        <v>14563.588379000063</v>
      </c>
      <c r="AC34" s="31">
        <f t="shared" si="11"/>
        <v>14563.588379000063</v>
      </c>
      <c r="AD34" s="267"/>
      <c r="AE34" s="267"/>
    </row>
    <row r="35" spans="1:33" s="20" customFormat="1">
      <c r="A35" s="22"/>
      <c r="B35" s="22"/>
      <c r="C35" s="41"/>
      <c r="D35" s="41"/>
      <c r="E35" s="41"/>
      <c r="F35" s="41"/>
      <c r="G35" s="6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7"/>
      <c r="AE35" s="267"/>
    </row>
    <row r="36" spans="1:33" s="20" customFormat="1">
      <c r="A36" s="22"/>
      <c r="D36" s="61"/>
      <c r="E36" s="61"/>
      <c r="F36" s="61"/>
      <c r="G36" s="24">
        <v>0</v>
      </c>
      <c r="H36" s="24">
        <v>1</v>
      </c>
      <c r="I36" s="24">
        <v>2</v>
      </c>
      <c r="J36" s="24">
        <v>3</v>
      </c>
      <c r="K36" s="24">
        <v>4</v>
      </c>
      <c r="L36" s="24">
        <v>5</v>
      </c>
      <c r="M36" s="24">
        <v>6</v>
      </c>
      <c r="N36" s="24">
        <v>7</v>
      </c>
      <c r="O36" s="24">
        <v>8</v>
      </c>
      <c r="P36" s="24">
        <v>9</v>
      </c>
      <c r="Q36" s="24">
        <v>10</v>
      </c>
      <c r="R36" s="24">
        <v>11</v>
      </c>
      <c r="S36" s="24">
        <v>12</v>
      </c>
      <c r="T36" s="24">
        <v>13</v>
      </c>
      <c r="U36" s="24">
        <v>14</v>
      </c>
      <c r="V36" s="24">
        <v>15</v>
      </c>
      <c r="W36" s="24">
        <v>16</v>
      </c>
      <c r="X36" s="24">
        <v>17</v>
      </c>
      <c r="Y36" s="24">
        <v>18</v>
      </c>
      <c r="Z36" s="24">
        <v>19</v>
      </c>
      <c r="AA36" s="24">
        <v>20</v>
      </c>
      <c r="AB36" s="24">
        <v>21</v>
      </c>
      <c r="AC36" s="24">
        <v>22</v>
      </c>
      <c r="AD36" s="267"/>
      <c r="AE36" s="267"/>
    </row>
    <row r="37" spans="1:33" s="20" customFormat="1">
      <c r="A37" s="48" t="s">
        <v>257</v>
      </c>
      <c r="D37" s="478"/>
      <c r="E37" s="478"/>
      <c r="F37" s="478"/>
      <c r="G37" s="55">
        <f>IF(G36&lt;=$B$39,(1-$C$39)/$B$39,IF(G36=$B$39+1,(1/$B39)*(1-$C$39)-$G$37,0))*Assumptions!$L$53/12</f>
        <v>0</v>
      </c>
      <c r="H37" s="55">
        <f t="shared" ref="H37:AC37" si="12">IF(H36&lt;=$B$39,(1-$C$39)/$B$39,IF(H36=$B$39+1,(1/$B39)*(1-$C$39)-$G$37,0))</f>
        <v>3.0000000000000002E-2</v>
      </c>
      <c r="I37" s="55">
        <f t="shared" si="12"/>
        <v>3.0000000000000002E-2</v>
      </c>
      <c r="J37" s="55">
        <f t="shared" si="12"/>
        <v>3.0000000000000002E-2</v>
      </c>
      <c r="K37" s="55">
        <f t="shared" si="12"/>
        <v>3.0000000000000002E-2</v>
      </c>
      <c r="L37" s="55">
        <f t="shared" si="12"/>
        <v>3.0000000000000002E-2</v>
      </c>
      <c r="M37" s="55">
        <f t="shared" si="12"/>
        <v>3.0000000000000002E-2</v>
      </c>
      <c r="N37" s="55">
        <f t="shared" si="12"/>
        <v>3.0000000000000002E-2</v>
      </c>
      <c r="O37" s="55">
        <f t="shared" si="12"/>
        <v>3.0000000000000002E-2</v>
      </c>
      <c r="P37" s="55">
        <f t="shared" si="12"/>
        <v>3.0000000000000002E-2</v>
      </c>
      <c r="Q37" s="55">
        <f t="shared" si="12"/>
        <v>3.0000000000000002E-2</v>
      </c>
      <c r="R37" s="55">
        <f t="shared" si="12"/>
        <v>3.0000000000000002E-2</v>
      </c>
      <c r="S37" s="55">
        <f t="shared" si="12"/>
        <v>3.0000000000000002E-2</v>
      </c>
      <c r="T37" s="55">
        <f t="shared" si="12"/>
        <v>3.0000000000000002E-2</v>
      </c>
      <c r="U37" s="55">
        <f t="shared" si="12"/>
        <v>3.0000000000000002E-2</v>
      </c>
      <c r="V37" s="55">
        <f t="shared" si="12"/>
        <v>3.0000000000000002E-2</v>
      </c>
      <c r="W37" s="55">
        <f t="shared" si="12"/>
        <v>3.0000000000000002E-2</v>
      </c>
      <c r="X37" s="55">
        <f t="shared" si="12"/>
        <v>3.0000000000000002E-2</v>
      </c>
      <c r="Y37" s="55">
        <f t="shared" si="12"/>
        <v>3.0000000000000002E-2</v>
      </c>
      <c r="Z37" s="55">
        <f t="shared" si="12"/>
        <v>3.0000000000000002E-2</v>
      </c>
      <c r="AA37" s="55">
        <f t="shared" si="12"/>
        <v>3.0000000000000002E-2</v>
      </c>
      <c r="AB37" s="55">
        <f t="shared" si="12"/>
        <v>3.0000000000000002E-2</v>
      </c>
      <c r="AC37" s="55">
        <f t="shared" si="12"/>
        <v>3.0000000000000002E-2</v>
      </c>
      <c r="AD37" s="267"/>
      <c r="AE37" s="267"/>
    </row>
    <row r="38" spans="1:33" s="20" customFormat="1">
      <c r="A38" s="48"/>
      <c r="B38" s="50" t="s">
        <v>250</v>
      </c>
      <c r="C38" s="61" t="s">
        <v>258</v>
      </c>
      <c r="D38" s="41"/>
      <c r="E38" s="41"/>
      <c r="F38" s="41"/>
      <c r="G38" s="55">
        <f>G16</f>
        <v>0</v>
      </c>
      <c r="H38" s="55">
        <f t="shared" ref="H38:AB38" si="13">H16</f>
        <v>0.05</v>
      </c>
      <c r="I38" s="55">
        <f t="shared" si="13"/>
        <v>0.05</v>
      </c>
      <c r="J38" s="55">
        <f t="shared" si="13"/>
        <v>0.05</v>
      </c>
      <c r="K38" s="55">
        <f t="shared" si="13"/>
        <v>0.05</v>
      </c>
      <c r="L38" s="55">
        <f t="shared" si="13"/>
        <v>0.05</v>
      </c>
      <c r="M38" s="55">
        <f t="shared" si="13"/>
        <v>0.05</v>
      </c>
      <c r="N38" s="55">
        <f t="shared" si="13"/>
        <v>0.05</v>
      </c>
      <c r="O38" s="55">
        <f t="shared" si="13"/>
        <v>0.05</v>
      </c>
      <c r="P38" s="55">
        <f t="shared" si="13"/>
        <v>0.05</v>
      </c>
      <c r="Q38" s="55">
        <f t="shared" si="13"/>
        <v>0.05</v>
      </c>
      <c r="R38" s="55">
        <f t="shared" si="13"/>
        <v>0.05</v>
      </c>
      <c r="S38" s="55">
        <f t="shared" si="13"/>
        <v>0.05</v>
      </c>
      <c r="T38" s="55">
        <f t="shared" si="13"/>
        <v>0.05</v>
      </c>
      <c r="U38" s="55">
        <f t="shared" si="13"/>
        <v>0.05</v>
      </c>
      <c r="V38" s="55">
        <f t="shared" si="13"/>
        <v>0.05</v>
      </c>
      <c r="W38" s="55">
        <f t="shared" si="13"/>
        <v>0.05</v>
      </c>
      <c r="X38" s="55">
        <f t="shared" si="13"/>
        <v>0.05</v>
      </c>
      <c r="Y38" s="55">
        <f t="shared" si="13"/>
        <v>0.05</v>
      </c>
      <c r="Z38" s="55">
        <f t="shared" si="13"/>
        <v>0.05</v>
      </c>
      <c r="AA38" s="55">
        <f t="shared" si="13"/>
        <v>0.05</v>
      </c>
      <c r="AB38" s="55">
        <f t="shared" si="13"/>
        <v>0</v>
      </c>
      <c r="AC38" s="55">
        <f>AC16</f>
        <v>0</v>
      </c>
      <c r="AD38" s="267"/>
      <c r="AE38" s="267"/>
    </row>
    <row r="39" spans="1:33" s="20" customFormat="1">
      <c r="A39" s="36" t="s">
        <v>259</v>
      </c>
      <c r="B39" s="53">
        <f>Assumptions!$D$45</f>
        <v>30</v>
      </c>
      <c r="C39" s="62">
        <f>Assumptions!F45</f>
        <v>0.1</v>
      </c>
      <c r="D39" s="41"/>
      <c r="E39" s="41"/>
      <c r="F39" s="4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67"/>
      <c r="AE39" s="267"/>
    </row>
    <row r="40" spans="1:33" s="20" customFormat="1">
      <c r="A40" s="37" t="s">
        <v>252</v>
      </c>
      <c r="B40" s="56">
        <f>Assumptions!$D$46</f>
        <v>20</v>
      </c>
      <c r="C40" s="41"/>
      <c r="D40" s="249"/>
      <c r="E40" s="249"/>
      <c r="F40" s="249"/>
      <c r="G40" s="250">
        <f t="shared" ref="G40:AC40" si="14">G37*$B$42</f>
        <v>0</v>
      </c>
      <c r="H40" s="250">
        <f t="shared" si="14"/>
        <v>14810.428860000002</v>
      </c>
      <c r="I40" s="250">
        <f t="shared" si="14"/>
        <v>14810.428860000002</v>
      </c>
      <c r="J40" s="250">
        <f t="shared" si="14"/>
        <v>14810.428860000002</v>
      </c>
      <c r="K40" s="250">
        <f t="shared" si="14"/>
        <v>14810.428860000002</v>
      </c>
      <c r="L40" s="250">
        <f t="shared" si="14"/>
        <v>14810.428860000002</v>
      </c>
      <c r="M40" s="250">
        <f t="shared" si="14"/>
        <v>14810.428860000002</v>
      </c>
      <c r="N40" s="250">
        <f t="shared" si="14"/>
        <v>14810.428860000002</v>
      </c>
      <c r="O40" s="250">
        <f t="shared" si="14"/>
        <v>14810.428860000002</v>
      </c>
      <c r="P40" s="250">
        <f t="shared" si="14"/>
        <v>14810.428860000002</v>
      </c>
      <c r="Q40" s="250">
        <f t="shared" si="14"/>
        <v>14810.428860000002</v>
      </c>
      <c r="R40" s="250">
        <f t="shared" si="14"/>
        <v>14810.428860000002</v>
      </c>
      <c r="S40" s="250">
        <f t="shared" si="14"/>
        <v>14810.428860000002</v>
      </c>
      <c r="T40" s="250">
        <f t="shared" si="14"/>
        <v>14810.428860000002</v>
      </c>
      <c r="U40" s="250">
        <f t="shared" si="14"/>
        <v>14810.428860000002</v>
      </c>
      <c r="V40" s="250">
        <f t="shared" si="14"/>
        <v>14810.428860000002</v>
      </c>
      <c r="W40" s="250">
        <f t="shared" si="14"/>
        <v>14810.428860000002</v>
      </c>
      <c r="X40" s="250">
        <f t="shared" si="14"/>
        <v>14810.428860000002</v>
      </c>
      <c r="Y40" s="250">
        <f t="shared" si="14"/>
        <v>14810.428860000002</v>
      </c>
      <c r="Z40" s="250">
        <f t="shared" si="14"/>
        <v>14810.428860000002</v>
      </c>
      <c r="AA40" s="250">
        <f t="shared" si="14"/>
        <v>14810.428860000002</v>
      </c>
      <c r="AB40" s="250">
        <f t="shared" si="14"/>
        <v>14810.428860000002</v>
      </c>
      <c r="AC40" s="250">
        <f t="shared" si="14"/>
        <v>14810.428860000002</v>
      </c>
      <c r="AD40" s="267"/>
      <c r="AE40" s="267"/>
    </row>
    <row r="41" spans="1:33" s="20" customFormat="1" ht="15">
      <c r="A41" s="22"/>
      <c r="B41" s="50"/>
      <c r="C41" s="41"/>
      <c r="D41" s="249"/>
      <c r="E41" s="249"/>
      <c r="F41" s="249"/>
      <c r="G41" s="252">
        <f t="shared" ref="G41:AC41" si="15">G38*$B$43</f>
        <v>0</v>
      </c>
      <c r="H41" s="252">
        <f t="shared" si="15"/>
        <v>390</v>
      </c>
      <c r="I41" s="252">
        <f t="shared" si="15"/>
        <v>390</v>
      </c>
      <c r="J41" s="252">
        <f t="shared" si="15"/>
        <v>390</v>
      </c>
      <c r="K41" s="252">
        <f t="shared" si="15"/>
        <v>390</v>
      </c>
      <c r="L41" s="252">
        <f t="shared" si="15"/>
        <v>390</v>
      </c>
      <c r="M41" s="252">
        <f t="shared" si="15"/>
        <v>390</v>
      </c>
      <c r="N41" s="252">
        <f t="shared" si="15"/>
        <v>390</v>
      </c>
      <c r="O41" s="252">
        <f t="shared" si="15"/>
        <v>390</v>
      </c>
      <c r="P41" s="252">
        <f t="shared" si="15"/>
        <v>390</v>
      </c>
      <c r="Q41" s="252">
        <f t="shared" si="15"/>
        <v>390</v>
      </c>
      <c r="R41" s="252">
        <f t="shared" si="15"/>
        <v>390</v>
      </c>
      <c r="S41" s="252">
        <f t="shared" si="15"/>
        <v>390</v>
      </c>
      <c r="T41" s="252">
        <f t="shared" si="15"/>
        <v>390</v>
      </c>
      <c r="U41" s="252">
        <f t="shared" si="15"/>
        <v>390</v>
      </c>
      <c r="V41" s="252">
        <f t="shared" si="15"/>
        <v>390</v>
      </c>
      <c r="W41" s="252">
        <f t="shared" si="15"/>
        <v>390</v>
      </c>
      <c r="X41" s="252">
        <f t="shared" si="15"/>
        <v>390</v>
      </c>
      <c r="Y41" s="252">
        <f t="shared" si="15"/>
        <v>390</v>
      </c>
      <c r="Z41" s="252">
        <f t="shared" si="15"/>
        <v>390</v>
      </c>
      <c r="AA41" s="252">
        <f t="shared" si="15"/>
        <v>390</v>
      </c>
      <c r="AB41" s="252">
        <f t="shared" si="15"/>
        <v>0</v>
      </c>
      <c r="AC41" s="252">
        <f t="shared" si="15"/>
        <v>0</v>
      </c>
      <c r="AD41" s="267"/>
      <c r="AE41" s="267"/>
    </row>
    <row r="42" spans="1:33" s="20" customFormat="1">
      <c r="A42" s="26" t="s">
        <v>254</v>
      </c>
      <c r="B42" s="248">
        <f>B18</f>
        <v>493680.962</v>
      </c>
      <c r="C42" s="249"/>
      <c r="D42" s="249"/>
      <c r="E42" s="249"/>
      <c r="F42" s="249"/>
      <c r="G42" s="250">
        <f t="shared" ref="G42:AC42" si="16">SUM(G40:G41)</f>
        <v>0</v>
      </c>
      <c r="H42" s="250">
        <f t="shared" si="16"/>
        <v>15200.428860000002</v>
      </c>
      <c r="I42" s="250">
        <f t="shared" si="16"/>
        <v>15200.428860000002</v>
      </c>
      <c r="J42" s="250">
        <f t="shared" si="16"/>
        <v>15200.428860000002</v>
      </c>
      <c r="K42" s="250">
        <f t="shared" si="16"/>
        <v>15200.428860000002</v>
      </c>
      <c r="L42" s="250">
        <f t="shared" si="16"/>
        <v>15200.428860000002</v>
      </c>
      <c r="M42" s="250">
        <f t="shared" si="16"/>
        <v>15200.428860000002</v>
      </c>
      <c r="N42" s="250">
        <f t="shared" si="16"/>
        <v>15200.428860000002</v>
      </c>
      <c r="O42" s="250">
        <f t="shared" si="16"/>
        <v>15200.428860000002</v>
      </c>
      <c r="P42" s="250">
        <f t="shared" si="16"/>
        <v>15200.428860000002</v>
      </c>
      <c r="Q42" s="250">
        <f t="shared" si="16"/>
        <v>15200.428860000002</v>
      </c>
      <c r="R42" s="250">
        <f t="shared" si="16"/>
        <v>15200.428860000002</v>
      </c>
      <c r="S42" s="250">
        <f t="shared" si="16"/>
        <v>15200.428860000002</v>
      </c>
      <c r="T42" s="250">
        <f t="shared" si="16"/>
        <v>15200.428860000002</v>
      </c>
      <c r="U42" s="250">
        <f t="shared" si="16"/>
        <v>15200.428860000002</v>
      </c>
      <c r="V42" s="250">
        <f t="shared" si="16"/>
        <v>15200.428860000002</v>
      </c>
      <c r="W42" s="250">
        <f t="shared" si="16"/>
        <v>15200.428860000002</v>
      </c>
      <c r="X42" s="250">
        <f t="shared" si="16"/>
        <v>15200.428860000002</v>
      </c>
      <c r="Y42" s="250">
        <f t="shared" si="16"/>
        <v>15200.428860000002</v>
      </c>
      <c r="Z42" s="250">
        <f t="shared" si="16"/>
        <v>15200.428860000002</v>
      </c>
      <c r="AA42" s="250">
        <f t="shared" si="16"/>
        <v>15200.428860000002</v>
      </c>
      <c r="AB42" s="250">
        <f t="shared" si="16"/>
        <v>14810.428860000002</v>
      </c>
      <c r="AC42" s="250">
        <f t="shared" si="16"/>
        <v>14810.428860000002</v>
      </c>
      <c r="AD42" s="267"/>
      <c r="AE42" s="267"/>
    </row>
    <row r="43" spans="1:33" s="20" customFormat="1" ht="15">
      <c r="A43" s="37"/>
      <c r="B43" s="251">
        <f>B19</f>
        <v>7800</v>
      </c>
      <c r="C43" s="249"/>
      <c r="D43" s="59"/>
      <c r="E43" s="59"/>
      <c r="F43" s="5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67"/>
      <c r="AE43" s="267"/>
    </row>
    <row r="44" spans="1:33" s="20" customFormat="1">
      <c r="A44" s="26" t="s">
        <v>260</v>
      </c>
      <c r="B44" s="250">
        <f>SUM(B42:B43)</f>
        <v>501480.962</v>
      </c>
      <c r="C44" s="249"/>
      <c r="D44" s="59"/>
      <c r="E44" s="59"/>
      <c r="F44" s="59"/>
      <c r="G44" s="250">
        <f>B44-G42</f>
        <v>501480.962</v>
      </c>
      <c r="H44" s="250">
        <f>G44-H42</f>
        <v>486280.53314000001</v>
      </c>
      <c r="I44" s="250">
        <f t="shared" ref="I44:AB44" si="17">H44-I42</f>
        <v>471080.10428000003</v>
      </c>
      <c r="J44" s="250">
        <f t="shared" si="17"/>
        <v>455879.67542000004</v>
      </c>
      <c r="K44" s="250">
        <f t="shared" si="17"/>
        <v>440679.24656000006</v>
      </c>
      <c r="L44" s="250">
        <f t="shared" si="17"/>
        <v>425478.81770000007</v>
      </c>
      <c r="M44" s="250">
        <f t="shared" si="17"/>
        <v>410278.38884000009</v>
      </c>
      <c r="N44" s="250">
        <f t="shared" si="17"/>
        <v>395077.9599800001</v>
      </c>
      <c r="O44" s="250">
        <f t="shared" si="17"/>
        <v>379877.53112000012</v>
      </c>
      <c r="P44" s="250">
        <f t="shared" si="17"/>
        <v>364677.10226000013</v>
      </c>
      <c r="Q44" s="250">
        <f t="shared" si="17"/>
        <v>349476.67340000015</v>
      </c>
      <c r="R44" s="250">
        <f t="shared" si="17"/>
        <v>334276.24454000016</v>
      </c>
      <c r="S44" s="250">
        <f t="shared" si="17"/>
        <v>319075.81568000017</v>
      </c>
      <c r="T44" s="250">
        <f t="shared" si="17"/>
        <v>303875.38682000019</v>
      </c>
      <c r="U44" s="250">
        <f t="shared" si="17"/>
        <v>288674.9579600002</v>
      </c>
      <c r="V44" s="250">
        <f t="shared" si="17"/>
        <v>273474.52910000022</v>
      </c>
      <c r="W44" s="250">
        <f t="shared" si="17"/>
        <v>258274.1002400002</v>
      </c>
      <c r="X44" s="250">
        <f t="shared" si="17"/>
        <v>243073.67138000019</v>
      </c>
      <c r="Y44" s="250">
        <f t="shared" si="17"/>
        <v>227873.24252000017</v>
      </c>
      <c r="Z44" s="250">
        <f t="shared" si="17"/>
        <v>212672.81366000016</v>
      </c>
      <c r="AA44" s="250">
        <f t="shared" si="17"/>
        <v>197472.38480000015</v>
      </c>
      <c r="AB44" s="250">
        <f t="shared" si="17"/>
        <v>182661.95594000013</v>
      </c>
      <c r="AC44" s="250">
        <f>AB44-AC42</f>
        <v>167851.52708000012</v>
      </c>
      <c r="AD44" s="267"/>
      <c r="AE44" s="267"/>
    </row>
    <row r="45" spans="1:33">
      <c r="A45" s="26"/>
      <c r="AC45" s="23"/>
      <c r="AF45" s="20"/>
      <c r="AG45" s="20"/>
    </row>
    <row r="46" spans="1:33" s="42" customFormat="1">
      <c r="B46" s="43"/>
      <c r="C46" s="41"/>
      <c r="D46" s="41"/>
      <c r="E46" s="41"/>
      <c r="F46" s="41"/>
      <c r="G46" s="44"/>
      <c r="H46" s="44"/>
      <c r="I46" s="44"/>
      <c r="J46" s="4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46"/>
      <c r="AC46" s="46"/>
      <c r="AD46" s="314"/>
      <c r="AE46" s="314"/>
      <c r="AF46" s="22"/>
      <c r="AG46" s="22"/>
    </row>
    <row r="47" spans="1:33">
      <c r="AC47" s="23"/>
      <c r="AF47" s="42"/>
      <c r="AG47" s="42"/>
    </row>
    <row r="48" spans="1:33">
      <c r="A48" s="43"/>
      <c r="B48" s="328"/>
      <c r="G48" s="44"/>
      <c r="H48" s="44"/>
      <c r="I48" s="44"/>
      <c r="J48" s="4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46"/>
      <c r="AC48" s="46"/>
    </row>
    <row r="49" spans="1:33" s="20" customFormat="1" ht="15.6">
      <c r="A49" s="47" t="s">
        <v>41</v>
      </c>
      <c r="B49" s="22"/>
      <c r="C49" s="49"/>
      <c r="D49" s="49"/>
      <c r="E49" s="49"/>
      <c r="F49" s="4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7"/>
      <c r="AE49" s="267"/>
      <c r="AF49" s="22"/>
      <c r="AG49" s="22"/>
    </row>
    <row r="50" spans="1:33" s="20" customFormat="1">
      <c r="A50" s="43"/>
      <c r="B50" s="50" t="s">
        <v>250</v>
      </c>
      <c r="C50" s="41"/>
      <c r="D50" s="41"/>
      <c r="E50" s="41"/>
      <c r="F50" s="41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22"/>
      <c r="W50" s="22"/>
      <c r="X50" s="22"/>
      <c r="Y50" s="22"/>
      <c r="Z50" s="22"/>
      <c r="AA50" s="22"/>
      <c r="AB50" s="22"/>
      <c r="AC50" s="23"/>
      <c r="AD50" s="267"/>
      <c r="AE50" s="267"/>
    </row>
    <row r="51" spans="1:33" s="20" customFormat="1">
      <c r="A51" s="48" t="s">
        <v>248</v>
      </c>
      <c r="B51" s="53">
        <f>Assumptions!$D$41</f>
        <v>15</v>
      </c>
      <c r="C51" s="63"/>
      <c r="D51" s="63"/>
      <c r="E51" s="63"/>
      <c r="F51" s="63"/>
      <c r="G51" s="55">
        <v>0</v>
      </c>
      <c r="H51" s="55">
        <f>VLOOKUP(G3+IF($H$7&gt;0,1,0),$AF$14:$AG$30,2)</f>
        <v>0.05</v>
      </c>
      <c r="I51" s="55">
        <f t="shared" ref="I51:W51" si="18">VLOOKUP(H3+IF($H$7&gt;0,1,0),$AF$14:$AG$30,2)</f>
        <v>9.5000000000000001E-2</v>
      </c>
      <c r="J51" s="55">
        <f t="shared" si="18"/>
        <v>8.5500000000000007E-2</v>
      </c>
      <c r="K51" s="55">
        <f t="shared" si="18"/>
        <v>7.6999999999999999E-2</v>
      </c>
      <c r="L51" s="55">
        <f t="shared" si="18"/>
        <v>6.93E-2</v>
      </c>
      <c r="M51" s="55">
        <f t="shared" si="18"/>
        <v>6.2300000000000001E-2</v>
      </c>
      <c r="N51" s="55">
        <f t="shared" si="18"/>
        <v>5.8999999999999997E-2</v>
      </c>
      <c r="O51" s="55">
        <f t="shared" si="18"/>
        <v>5.91E-2</v>
      </c>
      <c r="P51" s="55">
        <f t="shared" si="18"/>
        <v>5.8999999999999997E-2</v>
      </c>
      <c r="Q51" s="55">
        <f t="shared" si="18"/>
        <v>5.91E-2</v>
      </c>
      <c r="R51" s="55">
        <f t="shared" si="18"/>
        <v>5.8999999999999997E-2</v>
      </c>
      <c r="S51" s="55">
        <f t="shared" si="18"/>
        <v>5.91E-2</v>
      </c>
      <c r="T51" s="55">
        <f t="shared" si="18"/>
        <v>5.8999999999999997E-2</v>
      </c>
      <c r="U51" s="55">
        <f t="shared" si="18"/>
        <v>5.91E-2</v>
      </c>
      <c r="V51" s="55">
        <f t="shared" si="18"/>
        <v>5.8999999999999997E-2</v>
      </c>
      <c r="W51" s="55">
        <f t="shared" si="18"/>
        <v>2.9499999999999998E-2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267"/>
      <c r="AE51" s="267"/>
    </row>
    <row r="52" spans="1:33" s="20" customFormat="1">
      <c r="A52" s="22"/>
      <c r="B52" s="239">
        <f>Assumptions!$D$42</f>
        <v>20</v>
      </c>
      <c r="C52" s="240"/>
      <c r="D52" s="240"/>
      <c r="E52" s="240"/>
      <c r="F52" s="240"/>
      <c r="G52" s="241">
        <v>0</v>
      </c>
      <c r="H52" s="241">
        <f t="shared" ref="H52:AA52" si="19">1/20</f>
        <v>0.05</v>
      </c>
      <c r="I52" s="241">
        <f t="shared" si="19"/>
        <v>0.05</v>
      </c>
      <c r="J52" s="241">
        <f t="shared" si="19"/>
        <v>0.05</v>
      </c>
      <c r="K52" s="241">
        <f t="shared" si="19"/>
        <v>0.05</v>
      </c>
      <c r="L52" s="241">
        <f t="shared" si="19"/>
        <v>0.05</v>
      </c>
      <c r="M52" s="241">
        <f t="shared" si="19"/>
        <v>0.05</v>
      </c>
      <c r="N52" s="241">
        <f t="shared" si="19"/>
        <v>0.05</v>
      </c>
      <c r="O52" s="241">
        <f t="shared" si="19"/>
        <v>0.05</v>
      </c>
      <c r="P52" s="241">
        <f t="shared" si="19"/>
        <v>0.05</v>
      </c>
      <c r="Q52" s="241">
        <f t="shared" si="19"/>
        <v>0.05</v>
      </c>
      <c r="R52" s="241">
        <f t="shared" si="19"/>
        <v>0.05</v>
      </c>
      <c r="S52" s="241">
        <f t="shared" si="19"/>
        <v>0.05</v>
      </c>
      <c r="T52" s="241">
        <f t="shared" si="19"/>
        <v>0.05</v>
      </c>
      <c r="U52" s="241">
        <f t="shared" si="19"/>
        <v>0.05</v>
      </c>
      <c r="V52" s="241">
        <f t="shared" si="19"/>
        <v>0.05</v>
      </c>
      <c r="W52" s="241">
        <f t="shared" si="19"/>
        <v>0.05</v>
      </c>
      <c r="X52" s="241">
        <f t="shared" si="19"/>
        <v>0.05</v>
      </c>
      <c r="Y52" s="241">
        <f t="shared" si="19"/>
        <v>0.05</v>
      </c>
      <c r="Z52" s="241">
        <f t="shared" si="19"/>
        <v>0.05</v>
      </c>
      <c r="AA52" s="241">
        <f t="shared" si="19"/>
        <v>0.05</v>
      </c>
      <c r="AB52" s="241">
        <v>0</v>
      </c>
      <c r="AC52" s="241">
        <v>0</v>
      </c>
      <c r="AD52" s="267"/>
      <c r="AE52" s="267"/>
    </row>
    <row r="53" spans="1:33" s="20" customFormat="1">
      <c r="B53" s="56"/>
      <c r="C53" s="41"/>
      <c r="D53" s="41"/>
      <c r="E53" s="41"/>
      <c r="F53" s="41"/>
      <c r="G53" s="5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67"/>
      <c r="AE53" s="267"/>
    </row>
    <row r="54" spans="1:33" s="20" customFormat="1">
      <c r="A54" s="36" t="s">
        <v>251</v>
      </c>
      <c r="B54" s="248">
        <f>Assumptions!G9*(1-Allocation!C24)+Assumptions!G12</f>
        <v>738629.74002804724</v>
      </c>
      <c r="C54" s="249"/>
      <c r="D54" s="249"/>
      <c r="E54" s="604"/>
      <c r="F54" s="249"/>
      <c r="G54" s="250">
        <f t="shared" ref="G54:AC54" si="20">$B$54*G51</f>
        <v>0</v>
      </c>
      <c r="H54" s="250">
        <f t="shared" si="20"/>
        <v>36931.487001402362</v>
      </c>
      <c r="I54" s="250">
        <f t="shared" si="20"/>
        <v>70169.825302664482</v>
      </c>
      <c r="J54" s="250">
        <f t="shared" si="20"/>
        <v>63152.842772398042</v>
      </c>
      <c r="K54" s="250">
        <f t="shared" si="20"/>
        <v>56874.489982159634</v>
      </c>
      <c r="L54" s="250">
        <f t="shared" si="20"/>
        <v>51187.040983943676</v>
      </c>
      <c r="M54" s="250">
        <f t="shared" si="20"/>
        <v>46016.632803747343</v>
      </c>
      <c r="N54" s="250">
        <f t="shared" si="20"/>
        <v>43579.154661654786</v>
      </c>
      <c r="O54" s="250">
        <f t="shared" si="20"/>
        <v>43653.01763565759</v>
      </c>
      <c r="P54" s="250">
        <f t="shared" si="20"/>
        <v>43579.154661654786</v>
      </c>
      <c r="Q54" s="250">
        <f t="shared" si="20"/>
        <v>43653.01763565759</v>
      </c>
      <c r="R54" s="250">
        <f t="shared" si="20"/>
        <v>43579.154661654786</v>
      </c>
      <c r="S54" s="250">
        <f t="shared" si="20"/>
        <v>43653.01763565759</v>
      </c>
      <c r="T54" s="250">
        <f t="shared" si="20"/>
        <v>43579.154661654786</v>
      </c>
      <c r="U54" s="250">
        <f t="shared" si="20"/>
        <v>43653.01763565759</v>
      </c>
      <c r="V54" s="250">
        <f t="shared" si="20"/>
        <v>43579.154661654786</v>
      </c>
      <c r="W54" s="250">
        <f t="shared" si="20"/>
        <v>21789.577330827393</v>
      </c>
      <c r="X54" s="250">
        <f t="shared" si="20"/>
        <v>0</v>
      </c>
      <c r="Y54" s="250">
        <f t="shared" si="20"/>
        <v>0</v>
      </c>
      <c r="Z54" s="250">
        <f t="shared" si="20"/>
        <v>0</v>
      </c>
      <c r="AA54" s="250">
        <f t="shared" si="20"/>
        <v>0</v>
      </c>
      <c r="AB54" s="250">
        <f t="shared" si="20"/>
        <v>0</v>
      </c>
      <c r="AC54" s="250">
        <f t="shared" si="20"/>
        <v>0</v>
      </c>
      <c r="AD54" s="267"/>
      <c r="AE54" s="267"/>
    </row>
    <row r="55" spans="1:33" s="20" customFormat="1" ht="15">
      <c r="A55" s="37" t="s">
        <v>252</v>
      </c>
      <c r="B55" s="251">
        <f>Assumptions!G11*Allocation!G15</f>
        <v>11700</v>
      </c>
      <c r="C55" s="249"/>
      <c r="D55" s="605"/>
      <c r="E55" s="249"/>
      <c r="F55" s="249"/>
      <c r="G55" s="252">
        <f t="shared" ref="G55:AC55" si="21">$B$55*G52</f>
        <v>0</v>
      </c>
      <c r="H55" s="252">
        <f t="shared" si="21"/>
        <v>585</v>
      </c>
      <c r="I55" s="252">
        <f t="shared" si="21"/>
        <v>585</v>
      </c>
      <c r="J55" s="252">
        <f t="shared" si="21"/>
        <v>585</v>
      </c>
      <c r="K55" s="252">
        <f t="shared" si="21"/>
        <v>585</v>
      </c>
      <c r="L55" s="252">
        <f t="shared" si="21"/>
        <v>585</v>
      </c>
      <c r="M55" s="252">
        <f t="shared" si="21"/>
        <v>585</v>
      </c>
      <c r="N55" s="252">
        <f t="shared" si="21"/>
        <v>585</v>
      </c>
      <c r="O55" s="252">
        <f t="shared" si="21"/>
        <v>585</v>
      </c>
      <c r="P55" s="252">
        <f t="shared" si="21"/>
        <v>585</v>
      </c>
      <c r="Q55" s="252">
        <f t="shared" si="21"/>
        <v>585</v>
      </c>
      <c r="R55" s="252">
        <f t="shared" si="21"/>
        <v>585</v>
      </c>
      <c r="S55" s="252">
        <f t="shared" si="21"/>
        <v>585</v>
      </c>
      <c r="T55" s="252">
        <f t="shared" si="21"/>
        <v>585</v>
      </c>
      <c r="U55" s="252">
        <f t="shared" si="21"/>
        <v>585</v>
      </c>
      <c r="V55" s="252">
        <f t="shared" si="21"/>
        <v>585</v>
      </c>
      <c r="W55" s="252">
        <f t="shared" si="21"/>
        <v>585</v>
      </c>
      <c r="X55" s="252">
        <f t="shared" si="21"/>
        <v>585</v>
      </c>
      <c r="Y55" s="252">
        <f t="shared" si="21"/>
        <v>585</v>
      </c>
      <c r="Z55" s="252">
        <f t="shared" si="21"/>
        <v>585</v>
      </c>
      <c r="AA55" s="252">
        <f t="shared" si="21"/>
        <v>585</v>
      </c>
      <c r="AB55" s="252">
        <f t="shared" si="21"/>
        <v>0</v>
      </c>
      <c r="AC55" s="252">
        <f t="shared" si="21"/>
        <v>0</v>
      </c>
      <c r="AD55" s="267"/>
      <c r="AE55" s="267"/>
    </row>
    <row r="56" spans="1:33" s="20" customFormat="1">
      <c r="A56" s="26" t="s">
        <v>254</v>
      </c>
      <c r="B56" s="250">
        <f>SUM(B54:B55)</f>
        <v>750329.74002804724</v>
      </c>
      <c r="C56" s="249"/>
      <c r="D56" s="249"/>
      <c r="E56" s="249"/>
      <c r="F56" s="249"/>
      <c r="G56" s="250">
        <f t="shared" ref="G56:AC56" si="22">SUM(G54:G55)</f>
        <v>0</v>
      </c>
      <c r="H56" s="250">
        <f t="shared" si="22"/>
        <v>37516.487001402362</v>
      </c>
      <c r="I56" s="250">
        <f t="shared" si="22"/>
        <v>70754.825302664482</v>
      </c>
      <c r="J56" s="250">
        <f t="shared" si="22"/>
        <v>63737.842772398042</v>
      </c>
      <c r="K56" s="250">
        <f t="shared" si="22"/>
        <v>57459.489982159634</v>
      </c>
      <c r="L56" s="250">
        <f t="shared" si="22"/>
        <v>51772.040983943676</v>
      </c>
      <c r="M56" s="250">
        <f t="shared" si="22"/>
        <v>46601.632803747343</v>
      </c>
      <c r="N56" s="250">
        <f t="shared" si="22"/>
        <v>44164.154661654786</v>
      </c>
      <c r="O56" s="250">
        <f t="shared" si="22"/>
        <v>44238.01763565759</v>
      </c>
      <c r="P56" s="250">
        <f t="shared" si="22"/>
        <v>44164.154661654786</v>
      </c>
      <c r="Q56" s="250">
        <f t="shared" si="22"/>
        <v>44238.01763565759</v>
      </c>
      <c r="R56" s="250">
        <f t="shared" si="22"/>
        <v>44164.154661654786</v>
      </c>
      <c r="S56" s="250">
        <f t="shared" si="22"/>
        <v>44238.01763565759</v>
      </c>
      <c r="T56" s="250">
        <f t="shared" si="22"/>
        <v>44164.154661654786</v>
      </c>
      <c r="U56" s="250">
        <f t="shared" si="22"/>
        <v>44238.01763565759</v>
      </c>
      <c r="V56" s="250">
        <f t="shared" si="22"/>
        <v>44164.154661654786</v>
      </c>
      <c r="W56" s="250">
        <f t="shared" si="22"/>
        <v>22374.577330827393</v>
      </c>
      <c r="X56" s="250">
        <f t="shared" si="22"/>
        <v>585</v>
      </c>
      <c r="Y56" s="250">
        <f t="shared" si="22"/>
        <v>585</v>
      </c>
      <c r="Z56" s="250">
        <f t="shared" si="22"/>
        <v>585</v>
      </c>
      <c r="AA56" s="250">
        <f t="shared" si="22"/>
        <v>585</v>
      </c>
      <c r="AB56" s="250">
        <f t="shared" si="22"/>
        <v>0</v>
      </c>
      <c r="AC56" s="250">
        <f t="shared" si="22"/>
        <v>0</v>
      </c>
      <c r="AD56" s="267"/>
      <c r="AE56" s="267"/>
    </row>
    <row r="57" spans="1:33" s="20" customFormat="1">
      <c r="A57" s="37"/>
      <c r="B57" s="29"/>
      <c r="C57" s="57"/>
      <c r="D57" s="57"/>
      <c r="E57" s="57"/>
      <c r="F57" s="57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67"/>
      <c r="AE57" s="267"/>
    </row>
    <row r="58" spans="1:33" s="20" customFormat="1">
      <c r="A58" s="26" t="s">
        <v>261</v>
      </c>
      <c r="B58" s="58"/>
      <c r="C58" s="41"/>
      <c r="D58" s="41"/>
      <c r="E58" s="41"/>
      <c r="F58" s="41"/>
      <c r="G58" s="31">
        <f>B56-G56</f>
        <v>750329.74002804724</v>
      </c>
      <c r="H58" s="31">
        <f>G58-H56</f>
        <v>712813.25302664493</v>
      </c>
      <c r="I58" s="31">
        <f t="shared" ref="I58:AC58" si="23">H58-I56</f>
        <v>642058.42772398051</v>
      </c>
      <c r="J58" s="31">
        <f t="shared" si="23"/>
        <v>578320.58495158248</v>
      </c>
      <c r="K58" s="31">
        <f t="shared" si="23"/>
        <v>520861.09496942285</v>
      </c>
      <c r="L58" s="31">
        <f t="shared" si="23"/>
        <v>469089.05398547917</v>
      </c>
      <c r="M58" s="31">
        <f t="shared" si="23"/>
        <v>422487.42118173186</v>
      </c>
      <c r="N58" s="31">
        <f t="shared" si="23"/>
        <v>378323.26652007707</v>
      </c>
      <c r="O58" s="31">
        <f t="shared" si="23"/>
        <v>334085.2488844195</v>
      </c>
      <c r="P58" s="31">
        <f t="shared" si="23"/>
        <v>289921.09422276472</v>
      </c>
      <c r="Q58" s="31">
        <f t="shared" si="23"/>
        <v>245683.07658710712</v>
      </c>
      <c r="R58" s="31">
        <f t="shared" si="23"/>
        <v>201518.92192545233</v>
      </c>
      <c r="S58" s="31">
        <f t="shared" si="23"/>
        <v>157280.90428979474</v>
      </c>
      <c r="T58" s="31">
        <f t="shared" si="23"/>
        <v>113116.74962813995</v>
      </c>
      <c r="U58" s="31">
        <f t="shared" si="23"/>
        <v>68878.731992482353</v>
      </c>
      <c r="V58" s="31">
        <f t="shared" si="23"/>
        <v>24714.577330827567</v>
      </c>
      <c r="W58" s="31">
        <f t="shared" si="23"/>
        <v>2340.0000000001746</v>
      </c>
      <c r="X58" s="31">
        <f t="shared" si="23"/>
        <v>1755.0000000001746</v>
      </c>
      <c r="Y58" s="31">
        <f t="shared" si="23"/>
        <v>1170.0000000001746</v>
      </c>
      <c r="Z58" s="31">
        <f t="shared" si="23"/>
        <v>585.00000000017462</v>
      </c>
      <c r="AA58" s="31">
        <f t="shared" si="23"/>
        <v>1.7462298274040222E-10</v>
      </c>
      <c r="AB58" s="31">
        <f t="shared" si="23"/>
        <v>1.7462298274040222E-10</v>
      </c>
      <c r="AC58" s="31">
        <f t="shared" si="23"/>
        <v>1.7462298274040222E-10</v>
      </c>
      <c r="AD58" s="267"/>
      <c r="AE58" s="267"/>
    </row>
    <row r="59" spans="1:33" s="20" customFormat="1">
      <c r="A59" s="26"/>
      <c r="B59" s="58"/>
      <c r="C59" s="41"/>
      <c r="D59" s="41"/>
      <c r="E59" s="41"/>
      <c r="F59" s="4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267"/>
      <c r="AE59" s="267"/>
    </row>
    <row r="60" spans="1:33" s="20" customFormat="1">
      <c r="A60" s="26"/>
      <c r="B60" s="50" t="s">
        <v>250</v>
      </c>
      <c r="C60" s="41"/>
      <c r="D60" s="41"/>
      <c r="E60" s="41"/>
      <c r="F60" s="4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267"/>
      <c r="AE60" s="267"/>
    </row>
    <row r="61" spans="1:33" s="20" customFormat="1">
      <c r="A61" s="48" t="s">
        <v>256</v>
      </c>
      <c r="B61" s="53">
        <f>Assumptions!$D$41</f>
        <v>15</v>
      </c>
      <c r="C61" s="64"/>
      <c r="D61" s="64"/>
      <c r="E61" s="64"/>
      <c r="F61" s="64"/>
      <c r="G61" s="55">
        <f>G51</f>
        <v>0</v>
      </c>
      <c r="H61" s="55">
        <f t="shared" ref="H61:AB61" si="24">H51</f>
        <v>0.05</v>
      </c>
      <c r="I61" s="55">
        <f t="shared" si="24"/>
        <v>9.5000000000000001E-2</v>
      </c>
      <c r="J61" s="55">
        <f t="shared" si="24"/>
        <v>8.5500000000000007E-2</v>
      </c>
      <c r="K61" s="55">
        <f t="shared" si="24"/>
        <v>7.6999999999999999E-2</v>
      </c>
      <c r="L61" s="55">
        <f t="shared" si="24"/>
        <v>6.93E-2</v>
      </c>
      <c r="M61" s="55">
        <f t="shared" si="24"/>
        <v>6.2300000000000001E-2</v>
      </c>
      <c r="N61" s="55">
        <f t="shared" si="24"/>
        <v>5.8999999999999997E-2</v>
      </c>
      <c r="O61" s="55">
        <f t="shared" si="24"/>
        <v>5.91E-2</v>
      </c>
      <c r="P61" s="55">
        <f t="shared" si="24"/>
        <v>5.8999999999999997E-2</v>
      </c>
      <c r="Q61" s="55">
        <f t="shared" si="24"/>
        <v>5.91E-2</v>
      </c>
      <c r="R61" s="55">
        <f t="shared" si="24"/>
        <v>5.8999999999999997E-2</v>
      </c>
      <c r="S61" s="55">
        <f t="shared" si="24"/>
        <v>5.91E-2</v>
      </c>
      <c r="T61" s="55">
        <f t="shared" si="24"/>
        <v>5.8999999999999997E-2</v>
      </c>
      <c r="U61" s="55">
        <f t="shared" si="24"/>
        <v>5.91E-2</v>
      </c>
      <c r="V61" s="55">
        <f t="shared" si="24"/>
        <v>5.8999999999999997E-2</v>
      </c>
      <c r="W61" s="55">
        <f t="shared" si="24"/>
        <v>2.9499999999999998E-2</v>
      </c>
      <c r="X61" s="55">
        <f t="shared" si="24"/>
        <v>0</v>
      </c>
      <c r="Y61" s="55">
        <f t="shared" si="24"/>
        <v>0</v>
      </c>
      <c r="Z61" s="55">
        <f t="shared" si="24"/>
        <v>0</v>
      </c>
      <c r="AA61" s="55">
        <f t="shared" si="24"/>
        <v>0</v>
      </c>
      <c r="AB61" s="55">
        <f t="shared" si="24"/>
        <v>0</v>
      </c>
      <c r="AC61" s="55">
        <f>AC51</f>
        <v>0</v>
      </c>
      <c r="AD61" s="267"/>
      <c r="AE61" s="267"/>
    </row>
    <row r="62" spans="1:33" s="20" customFormat="1">
      <c r="A62" s="48"/>
      <c r="B62" s="239">
        <f>Assumptions!$D$42</f>
        <v>20</v>
      </c>
      <c r="C62" s="41"/>
      <c r="D62" s="41"/>
      <c r="E62" s="41"/>
      <c r="F62" s="41"/>
      <c r="G62" s="55">
        <f>G52</f>
        <v>0</v>
      </c>
      <c r="H62" s="55">
        <f t="shared" ref="H62:AB62" si="25">H52</f>
        <v>0.05</v>
      </c>
      <c r="I62" s="55">
        <f t="shared" si="25"/>
        <v>0.05</v>
      </c>
      <c r="J62" s="55">
        <f t="shared" si="25"/>
        <v>0.05</v>
      </c>
      <c r="K62" s="55">
        <f t="shared" si="25"/>
        <v>0.05</v>
      </c>
      <c r="L62" s="55">
        <f t="shared" si="25"/>
        <v>0.05</v>
      </c>
      <c r="M62" s="55">
        <f t="shared" si="25"/>
        <v>0.05</v>
      </c>
      <c r="N62" s="55">
        <f t="shared" si="25"/>
        <v>0.05</v>
      </c>
      <c r="O62" s="55">
        <f t="shared" si="25"/>
        <v>0.05</v>
      </c>
      <c r="P62" s="55">
        <f t="shared" si="25"/>
        <v>0.05</v>
      </c>
      <c r="Q62" s="55">
        <f t="shared" si="25"/>
        <v>0.05</v>
      </c>
      <c r="R62" s="55">
        <f t="shared" si="25"/>
        <v>0.05</v>
      </c>
      <c r="S62" s="55">
        <f t="shared" si="25"/>
        <v>0.05</v>
      </c>
      <c r="T62" s="55">
        <f t="shared" si="25"/>
        <v>0.05</v>
      </c>
      <c r="U62" s="55">
        <f t="shared" si="25"/>
        <v>0.05</v>
      </c>
      <c r="V62" s="55">
        <f t="shared" si="25"/>
        <v>0.05</v>
      </c>
      <c r="W62" s="55">
        <f t="shared" si="25"/>
        <v>0.05</v>
      </c>
      <c r="X62" s="55">
        <f t="shared" si="25"/>
        <v>0.05</v>
      </c>
      <c r="Y62" s="55">
        <f t="shared" si="25"/>
        <v>0.05</v>
      </c>
      <c r="Z62" s="55">
        <f t="shared" si="25"/>
        <v>0.05</v>
      </c>
      <c r="AA62" s="55">
        <f t="shared" si="25"/>
        <v>0.05</v>
      </c>
      <c r="AB62" s="55">
        <f t="shared" si="25"/>
        <v>0</v>
      </c>
      <c r="AC62" s="55">
        <f>AC52</f>
        <v>0</v>
      </c>
      <c r="AD62" s="267"/>
      <c r="AE62" s="267"/>
    </row>
    <row r="63" spans="1:33" s="20" customFormat="1">
      <c r="B63" s="53"/>
      <c r="C63" s="41"/>
      <c r="D63" s="41"/>
      <c r="E63" s="41"/>
      <c r="F63" s="41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267"/>
      <c r="AE63" s="267"/>
    </row>
    <row r="64" spans="1:33" s="20" customFormat="1">
      <c r="B64" s="50"/>
      <c r="C64" s="41"/>
      <c r="D64" s="41"/>
      <c r="E64" s="41"/>
      <c r="F64" s="4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67"/>
      <c r="AE64" s="267"/>
    </row>
    <row r="65" spans="1:33" s="33" customFormat="1">
      <c r="A65" s="36" t="s">
        <v>251</v>
      </c>
      <c r="B65" s="248">
        <f>B54</f>
        <v>738629.74002804724</v>
      </c>
      <c r="C65" s="249"/>
      <c r="D65" s="249"/>
      <c r="E65" s="249"/>
      <c r="F65" s="249"/>
      <c r="G65" s="250">
        <f t="shared" ref="G65:AC65" si="26">$B$65*G61</f>
        <v>0</v>
      </c>
      <c r="H65" s="250">
        <f t="shared" si="26"/>
        <v>36931.487001402362</v>
      </c>
      <c r="I65" s="250">
        <f t="shared" si="26"/>
        <v>70169.825302664482</v>
      </c>
      <c r="J65" s="250">
        <f t="shared" si="26"/>
        <v>63152.842772398042</v>
      </c>
      <c r="K65" s="250">
        <f t="shared" si="26"/>
        <v>56874.489982159634</v>
      </c>
      <c r="L65" s="250">
        <f t="shared" si="26"/>
        <v>51187.040983943676</v>
      </c>
      <c r="M65" s="250">
        <f t="shared" si="26"/>
        <v>46016.632803747343</v>
      </c>
      <c r="N65" s="250">
        <f t="shared" si="26"/>
        <v>43579.154661654786</v>
      </c>
      <c r="O65" s="250">
        <f t="shared" si="26"/>
        <v>43653.01763565759</v>
      </c>
      <c r="P65" s="250">
        <f t="shared" si="26"/>
        <v>43579.154661654786</v>
      </c>
      <c r="Q65" s="250">
        <f t="shared" si="26"/>
        <v>43653.01763565759</v>
      </c>
      <c r="R65" s="250">
        <f t="shared" si="26"/>
        <v>43579.154661654786</v>
      </c>
      <c r="S65" s="250">
        <f t="shared" si="26"/>
        <v>43653.01763565759</v>
      </c>
      <c r="T65" s="250">
        <f t="shared" si="26"/>
        <v>43579.154661654786</v>
      </c>
      <c r="U65" s="250">
        <f t="shared" si="26"/>
        <v>43653.01763565759</v>
      </c>
      <c r="V65" s="250">
        <f t="shared" si="26"/>
        <v>43579.154661654786</v>
      </c>
      <c r="W65" s="250">
        <f t="shared" si="26"/>
        <v>21789.577330827393</v>
      </c>
      <c r="X65" s="250">
        <f t="shared" si="26"/>
        <v>0</v>
      </c>
      <c r="Y65" s="250">
        <f t="shared" si="26"/>
        <v>0</v>
      </c>
      <c r="Z65" s="250">
        <f t="shared" si="26"/>
        <v>0</v>
      </c>
      <c r="AA65" s="250">
        <f t="shared" si="26"/>
        <v>0</v>
      </c>
      <c r="AB65" s="250">
        <f t="shared" si="26"/>
        <v>0</v>
      </c>
      <c r="AC65" s="250">
        <f t="shared" si="26"/>
        <v>0</v>
      </c>
      <c r="AD65" s="315"/>
      <c r="AE65" s="315"/>
      <c r="AF65" s="20"/>
      <c r="AG65" s="20"/>
    </row>
    <row r="66" spans="1:33" s="20" customFormat="1" ht="15">
      <c r="A66" s="37" t="s">
        <v>252</v>
      </c>
      <c r="B66" s="251">
        <f>B55</f>
        <v>11700</v>
      </c>
      <c r="C66" s="249"/>
      <c r="D66" s="249"/>
      <c r="E66" s="249"/>
      <c r="F66" s="249"/>
      <c r="G66" s="252">
        <f t="shared" ref="G66:AC66" si="27">$B66*G62</f>
        <v>0</v>
      </c>
      <c r="H66" s="252">
        <f t="shared" si="27"/>
        <v>585</v>
      </c>
      <c r="I66" s="252">
        <f t="shared" si="27"/>
        <v>585</v>
      </c>
      <c r="J66" s="252">
        <f t="shared" si="27"/>
        <v>585</v>
      </c>
      <c r="K66" s="252">
        <f t="shared" si="27"/>
        <v>585</v>
      </c>
      <c r="L66" s="252">
        <f t="shared" si="27"/>
        <v>585</v>
      </c>
      <c r="M66" s="252">
        <f t="shared" si="27"/>
        <v>585</v>
      </c>
      <c r="N66" s="252">
        <f t="shared" si="27"/>
        <v>585</v>
      </c>
      <c r="O66" s="252">
        <f t="shared" si="27"/>
        <v>585</v>
      </c>
      <c r="P66" s="252">
        <f t="shared" si="27"/>
        <v>585</v>
      </c>
      <c r="Q66" s="252">
        <f t="shared" si="27"/>
        <v>585</v>
      </c>
      <c r="R66" s="252">
        <f t="shared" si="27"/>
        <v>585</v>
      </c>
      <c r="S66" s="252">
        <f t="shared" si="27"/>
        <v>585</v>
      </c>
      <c r="T66" s="252">
        <f t="shared" si="27"/>
        <v>585</v>
      </c>
      <c r="U66" s="252">
        <f t="shared" si="27"/>
        <v>585</v>
      </c>
      <c r="V66" s="252">
        <f t="shared" si="27"/>
        <v>585</v>
      </c>
      <c r="W66" s="252">
        <f t="shared" si="27"/>
        <v>585</v>
      </c>
      <c r="X66" s="252">
        <f t="shared" si="27"/>
        <v>585</v>
      </c>
      <c r="Y66" s="252">
        <f t="shared" si="27"/>
        <v>585</v>
      </c>
      <c r="Z66" s="252">
        <f t="shared" si="27"/>
        <v>585</v>
      </c>
      <c r="AA66" s="252">
        <f t="shared" si="27"/>
        <v>585</v>
      </c>
      <c r="AB66" s="252">
        <f t="shared" si="27"/>
        <v>0</v>
      </c>
      <c r="AC66" s="252">
        <f t="shared" si="27"/>
        <v>0</v>
      </c>
      <c r="AD66" s="267"/>
      <c r="AE66" s="267"/>
      <c r="AF66" s="33"/>
      <c r="AG66" s="33"/>
    </row>
    <row r="67" spans="1:33" s="20" customFormat="1">
      <c r="A67" s="26" t="s">
        <v>254</v>
      </c>
      <c r="B67" s="250">
        <f>SUM(B65:B66)</f>
        <v>750329.74002804724</v>
      </c>
      <c r="C67" s="249"/>
      <c r="D67" s="249"/>
      <c r="E67" s="249"/>
      <c r="F67" s="249"/>
      <c r="G67" s="250">
        <f t="shared" ref="G67:AC67" si="28">SUM(G65:G66)</f>
        <v>0</v>
      </c>
      <c r="H67" s="250">
        <f t="shared" si="28"/>
        <v>37516.487001402362</v>
      </c>
      <c r="I67" s="250">
        <f t="shared" si="28"/>
        <v>70754.825302664482</v>
      </c>
      <c r="J67" s="250">
        <f t="shared" si="28"/>
        <v>63737.842772398042</v>
      </c>
      <c r="K67" s="250">
        <f t="shared" si="28"/>
        <v>57459.489982159634</v>
      </c>
      <c r="L67" s="250">
        <f t="shared" si="28"/>
        <v>51772.040983943676</v>
      </c>
      <c r="M67" s="250">
        <f t="shared" si="28"/>
        <v>46601.632803747343</v>
      </c>
      <c r="N67" s="250">
        <f t="shared" si="28"/>
        <v>44164.154661654786</v>
      </c>
      <c r="O67" s="250">
        <f t="shared" si="28"/>
        <v>44238.01763565759</v>
      </c>
      <c r="P67" s="250">
        <f t="shared" si="28"/>
        <v>44164.154661654786</v>
      </c>
      <c r="Q67" s="250">
        <f t="shared" si="28"/>
        <v>44238.01763565759</v>
      </c>
      <c r="R67" s="250">
        <f t="shared" si="28"/>
        <v>44164.154661654786</v>
      </c>
      <c r="S67" s="250">
        <f t="shared" si="28"/>
        <v>44238.01763565759</v>
      </c>
      <c r="T67" s="250">
        <f t="shared" si="28"/>
        <v>44164.154661654786</v>
      </c>
      <c r="U67" s="250">
        <f t="shared" si="28"/>
        <v>44238.01763565759</v>
      </c>
      <c r="V67" s="250">
        <f t="shared" si="28"/>
        <v>44164.154661654786</v>
      </c>
      <c r="W67" s="250">
        <f t="shared" si="28"/>
        <v>22374.577330827393</v>
      </c>
      <c r="X67" s="250">
        <f t="shared" si="28"/>
        <v>585</v>
      </c>
      <c r="Y67" s="250">
        <f t="shared" si="28"/>
        <v>585</v>
      </c>
      <c r="Z67" s="250">
        <f t="shared" si="28"/>
        <v>585</v>
      </c>
      <c r="AA67" s="250">
        <f t="shared" si="28"/>
        <v>585</v>
      </c>
      <c r="AB67" s="250">
        <f t="shared" si="28"/>
        <v>0</v>
      </c>
      <c r="AC67" s="250">
        <f t="shared" si="28"/>
        <v>0</v>
      </c>
      <c r="AD67" s="267"/>
      <c r="AE67" s="267"/>
    </row>
    <row r="68" spans="1:33" s="20" customFormat="1">
      <c r="A68" s="37"/>
      <c r="B68" s="22"/>
      <c r="C68" s="41"/>
      <c r="D68" s="41"/>
      <c r="E68" s="41"/>
      <c r="F68" s="4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67"/>
      <c r="AE68" s="267"/>
    </row>
    <row r="69" spans="1:33" s="20" customFormat="1">
      <c r="A69" s="26" t="s">
        <v>261</v>
      </c>
      <c r="B69" s="22"/>
      <c r="C69" s="41"/>
      <c r="D69" s="41"/>
      <c r="E69" s="41"/>
      <c r="F69" s="41"/>
      <c r="G69" s="31">
        <f>B67-G67</f>
        <v>750329.74002804724</v>
      </c>
      <c r="H69" s="31">
        <f>G69-H67</f>
        <v>712813.25302664493</v>
      </c>
      <c r="I69" s="31">
        <f t="shared" ref="I69:AC69" si="29">H69-I67</f>
        <v>642058.42772398051</v>
      </c>
      <c r="J69" s="31">
        <f t="shared" si="29"/>
        <v>578320.58495158248</v>
      </c>
      <c r="K69" s="31">
        <f t="shared" si="29"/>
        <v>520861.09496942285</v>
      </c>
      <c r="L69" s="31">
        <f t="shared" si="29"/>
        <v>469089.05398547917</v>
      </c>
      <c r="M69" s="31">
        <f t="shared" si="29"/>
        <v>422487.42118173186</v>
      </c>
      <c r="N69" s="31">
        <f t="shared" si="29"/>
        <v>378323.26652007707</v>
      </c>
      <c r="O69" s="31">
        <f t="shared" si="29"/>
        <v>334085.2488844195</v>
      </c>
      <c r="P69" s="31">
        <f t="shared" si="29"/>
        <v>289921.09422276472</v>
      </c>
      <c r="Q69" s="31">
        <f t="shared" si="29"/>
        <v>245683.07658710712</v>
      </c>
      <c r="R69" s="31">
        <f t="shared" si="29"/>
        <v>201518.92192545233</v>
      </c>
      <c r="S69" s="31">
        <f t="shared" si="29"/>
        <v>157280.90428979474</v>
      </c>
      <c r="T69" s="31">
        <f t="shared" si="29"/>
        <v>113116.74962813995</v>
      </c>
      <c r="U69" s="31">
        <f t="shared" si="29"/>
        <v>68878.731992482353</v>
      </c>
      <c r="V69" s="31">
        <f t="shared" si="29"/>
        <v>24714.577330827567</v>
      </c>
      <c r="W69" s="31">
        <f t="shared" si="29"/>
        <v>2340.0000000001746</v>
      </c>
      <c r="X69" s="31">
        <f t="shared" si="29"/>
        <v>1755.0000000001746</v>
      </c>
      <c r="Y69" s="31">
        <f t="shared" si="29"/>
        <v>1170.0000000001746</v>
      </c>
      <c r="Z69" s="31">
        <f t="shared" si="29"/>
        <v>585.00000000017462</v>
      </c>
      <c r="AA69" s="31">
        <f t="shared" si="29"/>
        <v>1.7462298274040222E-10</v>
      </c>
      <c r="AB69" s="31">
        <f t="shared" si="29"/>
        <v>1.7462298274040222E-10</v>
      </c>
      <c r="AC69" s="31">
        <f t="shared" si="29"/>
        <v>1.7462298274040222E-10</v>
      </c>
      <c r="AD69" s="267"/>
      <c r="AE69" s="267"/>
    </row>
    <row r="70" spans="1:33" s="20" customFormat="1">
      <c r="A70" s="26"/>
      <c r="B70" s="22"/>
      <c r="C70" s="41"/>
      <c r="D70" s="41"/>
      <c r="E70" s="41"/>
      <c r="F70" s="41"/>
      <c r="G70" s="60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67"/>
      <c r="AE70" s="267"/>
    </row>
    <row r="71" spans="1:33" s="20" customFormat="1">
      <c r="A71" s="22"/>
      <c r="B71" s="50" t="s">
        <v>250</v>
      </c>
      <c r="C71" s="61" t="s">
        <v>258</v>
      </c>
      <c r="D71" s="61"/>
      <c r="E71" s="61"/>
      <c r="F71" s="61"/>
      <c r="G71" s="595">
        <v>0</v>
      </c>
      <c r="H71" s="595">
        <v>1</v>
      </c>
      <c r="I71" s="595">
        <v>2</v>
      </c>
      <c r="J71" s="595">
        <v>3</v>
      </c>
      <c r="K71" s="595">
        <v>4</v>
      </c>
      <c r="L71" s="595">
        <v>5</v>
      </c>
      <c r="M71" s="595">
        <v>6</v>
      </c>
      <c r="N71" s="595">
        <v>7</v>
      </c>
      <c r="O71" s="595">
        <v>8</v>
      </c>
      <c r="P71" s="595">
        <v>9</v>
      </c>
      <c r="Q71" s="595">
        <v>10</v>
      </c>
      <c r="R71" s="595">
        <v>11</v>
      </c>
      <c r="S71" s="595">
        <v>12</v>
      </c>
      <c r="T71" s="595">
        <v>13</v>
      </c>
      <c r="U71" s="595">
        <v>14</v>
      </c>
      <c r="V71" s="595">
        <v>15</v>
      </c>
      <c r="W71" s="595">
        <v>16</v>
      </c>
      <c r="X71" s="595">
        <v>17</v>
      </c>
      <c r="Y71" s="595">
        <v>18</v>
      </c>
      <c r="Z71" s="595">
        <v>19</v>
      </c>
      <c r="AA71" s="595">
        <v>20</v>
      </c>
      <c r="AB71" s="595">
        <v>21</v>
      </c>
      <c r="AC71" s="595">
        <v>22</v>
      </c>
      <c r="AD71" s="267"/>
      <c r="AE71" s="267"/>
    </row>
    <row r="72" spans="1:33" s="20" customFormat="1">
      <c r="A72" s="48" t="s">
        <v>257</v>
      </c>
      <c r="B72" s="53">
        <f>Assumptions!$D$45</f>
        <v>30</v>
      </c>
      <c r="C72" s="62">
        <f>Assumptions!$F$45</f>
        <v>0.1</v>
      </c>
      <c r="D72" s="478"/>
      <c r="E72" s="478"/>
      <c r="F72" s="478"/>
      <c r="G72" s="55">
        <v>0</v>
      </c>
      <c r="H72" s="55">
        <f>((1-$C$72)/$B$72)*Assumptions!Q53/12*(Allocation!K12+Allocation!K14)+((1-$C$72)/$B$72)*Assumptions!R53/12*(Allocation!K13)</f>
        <v>1.5996868553651997E-2</v>
      </c>
      <c r="I72" s="55">
        <f t="shared" ref="I72:AC72" si="30">IF(I71&lt;=$B$72,(1-$C$72)/$B$72,IF(I71=$B$72+1,(1/$B72)*(1-$C$72)-$G$72,0))</f>
        <v>3.0000000000000002E-2</v>
      </c>
      <c r="J72" s="55">
        <f t="shared" si="30"/>
        <v>3.0000000000000002E-2</v>
      </c>
      <c r="K72" s="55">
        <f t="shared" si="30"/>
        <v>3.0000000000000002E-2</v>
      </c>
      <c r="L72" s="55">
        <f t="shared" si="30"/>
        <v>3.0000000000000002E-2</v>
      </c>
      <c r="M72" s="55">
        <f t="shared" si="30"/>
        <v>3.0000000000000002E-2</v>
      </c>
      <c r="N72" s="55">
        <f t="shared" si="30"/>
        <v>3.0000000000000002E-2</v>
      </c>
      <c r="O72" s="55">
        <f t="shared" si="30"/>
        <v>3.0000000000000002E-2</v>
      </c>
      <c r="P72" s="55">
        <f t="shared" si="30"/>
        <v>3.0000000000000002E-2</v>
      </c>
      <c r="Q72" s="55">
        <f t="shared" si="30"/>
        <v>3.0000000000000002E-2</v>
      </c>
      <c r="R72" s="55">
        <f t="shared" si="30"/>
        <v>3.0000000000000002E-2</v>
      </c>
      <c r="S72" s="55">
        <f t="shared" si="30"/>
        <v>3.0000000000000002E-2</v>
      </c>
      <c r="T72" s="55">
        <f t="shared" si="30"/>
        <v>3.0000000000000002E-2</v>
      </c>
      <c r="U72" s="55">
        <f t="shared" si="30"/>
        <v>3.0000000000000002E-2</v>
      </c>
      <c r="V72" s="55">
        <f t="shared" si="30"/>
        <v>3.0000000000000002E-2</v>
      </c>
      <c r="W72" s="55">
        <f t="shared" si="30"/>
        <v>3.0000000000000002E-2</v>
      </c>
      <c r="X72" s="55">
        <f t="shared" si="30"/>
        <v>3.0000000000000002E-2</v>
      </c>
      <c r="Y72" s="55">
        <f t="shared" si="30"/>
        <v>3.0000000000000002E-2</v>
      </c>
      <c r="Z72" s="55">
        <f t="shared" si="30"/>
        <v>3.0000000000000002E-2</v>
      </c>
      <c r="AA72" s="55">
        <f t="shared" si="30"/>
        <v>3.0000000000000002E-2</v>
      </c>
      <c r="AB72" s="55">
        <f t="shared" si="30"/>
        <v>3.0000000000000002E-2</v>
      </c>
      <c r="AC72" s="55">
        <f t="shared" si="30"/>
        <v>3.0000000000000002E-2</v>
      </c>
      <c r="AD72" s="267"/>
      <c r="AE72" s="267"/>
    </row>
    <row r="73" spans="1:33" s="20" customFormat="1">
      <c r="A73" s="48"/>
      <c r="B73" s="56">
        <f>Assumptions!$D$46</f>
        <v>20</v>
      </c>
      <c r="C73" s="41"/>
      <c r="D73" s="41"/>
      <c r="E73" s="41"/>
      <c r="F73" s="41"/>
      <c r="G73" s="55">
        <v>0</v>
      </c>
      <c r="H73" s="55">
        <f t="shared" ref="H73:AB73" si="31">H52</f>
        <v>0.05</v>
      </c>
      <c r="I73" s="55">
        <f t="shared" si="31"/>
        <v>0.05</v>
      </c>
      <c r="J73" s="55">
        <f t="shared" si="31"/>
        <v>0.05</v>
      </c>
      <c r="K73" s="55">
        <f t="shared" si="31"/>
        <v>0.05</v>
      </c>
      <c r="L73" s="55">
        <f t="shared" si="31"/>
        <v>0.05</v>
      </c>
      <c r="M73" s="55">
        <f t="shared" si="31"/>
        <v>0.05</v>
      </c>
      <c r="N73" s="55">
        <f t="shared" si="31"/>
        <v>0.05</v>
      </c>
      <c r="O73" s="55">
        <f t="shared" si="31"/>
        <v>0.05</v>
      </c>
      <c r="P73" s="55">
        <f t="shared" si="31"/>
        <v>0.05</v>
      </c>
      <c r="Q73" s="55">
        <f t="shared" si="31"/>
        <v>0.05</v>
      </c>
      <c r="R73" s="55">
        <f t="shared" si="31"/>
        <v>0.05</v>
      </c>
      <c r="S73" s="55">
        <f t="shared" si="31"/>
        <v>0.05</v>
      </c>
      <c r="T73" s="55">
        <f t="shared" si="31"/>
        <v>0.05</v>
      </c>
      <c r="U73" s="55">
        <f t="shared" si="31"/>
        <v>0.05</v>
      </c>
      <c r="V73" s="55">
        <f t="shared" si="31"/>
        <v>0.05</v>
      </c>
      <c r="W73" s="55">
        <f t="shared" si="31"/>
        <v>0.05</v>
      </c>
      <c r="X73" s="55">
        <f t="shared" si="31"/>
        <v>0.05</v>
      </c>
      <c r="Y73" s="55">
        <f t="shared" si="31"/>
        <v>0.05</v>
      </c>
      <c r="Z73" s="55">
        <f t="shared" si="31"/>
        <v>0.05</v>
      </c>
      <c r="AA73" s="55">
        <f t="shared" si="31"/>
        <v>0.05</v>
      </c>
      <c r="AB73" s="55">
        <f t="shared" si="31"/>
        <v>0</v>
      </c>
      <c r="AC73" s="55">
        <f>AC52</f>
        <v>0</v>
      </c>
      <c r="AD73" s="267"/>
      <c r="AE73" s="267"/>
    </row>
    <row r="74" spans="1:33" s="20" customFormat="1">
      <c r="B74" s="50"/>
      <c r="C74" s="41"/>
      <c r="D74" s="41"/>
      <c r="E74" s="41"/>
      <c r="F74" s="4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67"/>
      <c r="AE74" s="267"/>
    </row>
    <row r="75" spans="1:33" s="20" customFormat="1">
      <c r="A75" s="36" t="s">
        <v>259</v>
      </c>
      <c r="B75" s="248">
        <f>B54</f>
        <v>738629.74002804724</v>
      </c>
      <c r="C75" s="249"/>
      <c r="D75" s="249"/>
      <c r="E75" s="249"/>
      <c r="F75" s="249"/>
      <c r="G75" s="250">
        <f t="shared" ref="G75:AC75" si="32">G72*$B$75</f>
        <v>0</v>
      </c>
      <c r="H75" s="250">
        <f t="shared" si="32"/>
        <v>11815.762861046818</v>
      </c>
      <c r="I75" s="250">
        <f t="shared" si="32"/>
        <v>22158.892200841419</v>
      </c>
      <c r="J75" s="250">
        <f t="shared" si="32"/>
        <v>22158.892200841419</v>
      </c>
      <c r="K75" s="250">
        <f t="shared" si="32"/>
        <v>22158.892200841419</v>
      </c>
      <c r="L75" s="250">
        <f t="shared" si="32"/>
        <v>22158.892200841419</v>
      </c>
      <c r="M75" s="250">
        <f t="shared" si="32"/>
        <v>22158.892200841419</v>
      </c>
      <c r="N75" s="250">
        <f t="shared" si="32"/>
        <v>22158.892200841419</v>
      </c>
      <c r="O75" s="250">
        <f t="shared" si="32"/>
        <v>22158.892200841419</v>
      </c>
      <c r="P75" s="250">
        <f t="shared" si="32"/>
        <v>22158.892200841419</v>
      </c>
      <c r="Q75" s="250">
        <f t="shared" si="32"/>
        <v>22158.892200841419</v>
      </c>
      <c r="R75" s="250">
        <f t="shared" si="32"/>
        <v>22158.892200841419</v>
      </c>
      <c r="S75" s="250">
        <f t="shared" si="32"/>
        <v>22158.892200841419</v>
      </c>
      <c r="T75" s="250">
        <f t="shared" si="32"/>
        <v>22158.892200841419</v>
      </c>
      <c r="U75" s="250">
        <f t="shared" si="32"/>
        <v>22158.892200841419</v>
      </c>
      <c r="V75" s="250">
        <f t="shared" si="32"/>
        <v>22158.892200841419</v>
      </c>
      <c r="W75" s="250">
        <f t="shared" si="32"/>
        <v>22158.892200841419</v>
      </c>
      <c r="X75" s="250">
        <f t="shared" si="32"/>
        <v>22158.892200841419</v>
      </c>
      <c r="Y75" s="250">
        <f t="shared" si="32"/>
        <v>22158.892200841419</v>
      </c>
      <c r="Z75" s="250">
        <f t="shared" si="32"/>
        <v>22158.892200841419</v>
      </c>
      <c r="AA75" s="250">
        <f t="shared" si="32"/>
        <v>22158.892200841419</v>
      </c>
      <c r="AB75" s="250">
        <f t="shared" si="32"/>
        <v>22158.892200841419</v>
      </c>
      <c r="AC75" s="250">
        <f t="shared" si="32"/>
        <v>22158.892200841419</v>
      </c>
      <c r="AD75" s="267"/>
      <c r="AE75" s="267"/>
    </row>
    <row r="76" spans="1:33" s="20" customFormat="1" ht="15">
      <c r="A76" s="37" t="s">
        <v>252</v>
      </c>
      <c r="B76" s="251">
        <f>B55</f>
        <v>11700</v>
      </c>
      <c r="C76" s="249"/>
      <c r="D76" s="249"/>
      <c r="E76" s="249"/>
      <c r="F76" s="249"/>
      <c r="G76" s="252">
        <f t="shared" ref="G76:AC76" si="33">G73*$B$76</f>
        <v>0</v>
      </c>
      <c r="H76" s="252">
        <f t="shared" si="33"/>
        <v>585</v>
      </c>
      <c r="I76" s="252">
        <f t="shared" si="33"/>
        <v>585</v>
      </c>
      <c r="J76" s="252">
        <f t="shared" si="33"/>
        <v>585</v>
      </c>
      <c r="K76" s="252">
        <f t="shared" si="33"/>
        <v>585</v>
      </c>
      <c r="L76" s="252">
        <f t="shared" si="33"/>
        <v>585</v>
      </c>
      <c r="M76" s="252">
        <f t="shared" si="33"/>
        <v>585</v>
      </c>
      <c r="N76" s="252">
        <f t="shared" si="33"/>
        <v>585</v>
      </c>
      <c r="O76" s="252">
        <f t="shared" si="33"/>
        <v>585</v>
      </c>
      <c r="P76" s="252">
        <f t="shared" si="33"/>
        <v>585</v>
      </c>
      <c r="Q76" s="252">
        <f t="shared" si="33"/>
        <v>585</v>
      </c>
      <c r="R76" s="252">
        <f t="shared" si="33"/>
        <v>585</v>
      </c>
      <c r="S76" s="252">
        <f t="shared" si="33"/>
        <v>585</v>
      </c>
      <c r="T76" s="252">
        <f t="shared" si="33"/>
        <v>585</v>
      </c>
      <c r="U76" s="252">
        <f t="shared" si="33"/>
        <v>585</v>
      </c>
      <c r="V76" s="252">
        <f t="shared" si="33"/>
        <v>585</v>
      </c>
      <c r="W76" s="252">
        <f t="shared" si="33"/>
        <v>585</v>
      </c>
      <c r="X76" s="252">
        <f t="shared" si="33"/>
        <v>585</v>
      </c>
      <c r="Y76" s="252">
        <f t="shared" si="33"/>
        <v>585</v>
      </c>
      <c r="Z76" s="252">
        <f t="shared" si="33"/>
        <v>585</v>
      </c>
      <c r="AA76" s="252">
        <f t="shared" si="33"/>
        <v>585</v>
      </c>
      <c r="AB76" s="252">
        <f t="shared" si="33"/>
        <v>0</v>
      </c>
      <c r="AC76" s="252">
        <f t="shared" si="33"/>
        <v>0</v>
      </c>
      <c r="AD76" s="267"/>
      <c r="AE76" s="267"/>
    </row>
    <row r="77" spans="1:33" s="20" customFormat="1">
      <c r="A77" s="26" t="s">
        <v>254</v>
      </c>
      <c r="B77" s="250">
        <f>SUM(B75:B76)</f>
        <v>750329.74002804724</v>
      </c>
      <c r="C77" s="249"/>
      <c r="D77" s="249"/>
      <c r="E77" s="249"/>
      <c r="F77" s="249"/>
      <c r="G77" s="250">
        <f t="shared" ref="G77:AC77" si="34">SUM(G75:G76)</f>
        <v>0</v>
      </c>
      <c r="H77" s="250">
        <f t="shared" si="34"/>
        <v>12400.762861046818</v>
      </c>
      <c r="I77" s="250">
        <f t="shared" si="34"/>
        <v>22743.892200841419</v>
      </c>
      <c r="J77" s="250">
        <f t="shared" si="34"/>
        <v>22743.892200841419</v>
      </c>
      <c r="K77" s="250">
        <f t="shared" si="34"/>
        <v>22743.892200841419</v>
      </c>
      <c r="L77" s="250">
        <f t="shared" si="34"/>
        <v>22743.892200841419</v>
      </c>
      <c r="M77" s="250">
        <f t="shared" si="34"/>
        <v>22743.892200841419</v>
      </c>
      <c r="N77" s="250">
        <f t="shared" si="34"/>
        <v>22743.892200841419</v>
      </c>
      <c r="O77" s="250">
        <f t="shared" si="34"/>
        <v>22743.892200841419</v>
      </c>
      <c r="P77" s="250">
        <f t="shared" si="34"/>
        <v>22743.892200841419</v>
      </c>
      <c r="Q77" s="250">
        <f t="shared" si="34"/>
        <v>22743.892200841419</v>
      </c>
      <c r="R77" s="250">
        <f t="shared" si="34"/>
        <v>22743.892200841419</v>
      </c>
      <c r="S77" s="250">
        <f t="shared" si="34"/>
        <v>22743.892200841419</v>
      </c>
      <c r="T77" s="250">
        <f t="shared" si="34"/>
        <v>22743.892200841419</v>
      </c>
      <c r="U77" s="250">
        <f t="shared" si="34"/>
        <v>22743.892200841419</v>
      </c>
      <c r="V77" s="250">
        <f t="shared" si="34"/>
        <v>22743.892200841419</v>
      </c>
      <c r="W77" s="250">
        <f t="shared" si="34"/>
        <v>22743.892200841419</v>
      </c>
      <c r="X77" s="250">
        <f t="shared" si="34"/>
        <v>22743.892200841419</v>
      </c>
      <c r="Y77" s="250">
        <f t="shared" si="34"/>
        <v>22743.892200841419</v>
      </c>
      <c r="Z77" s="250">
        <f t="shared" si="34"/>
        <v>22743.892200841419</v>
      </c>
      <c r="AA77" s="250">
        <f t="shared" si="34"/>
        <v>22743.892200841419</v>
      </c>
      <c r="AB77" s="250">
        <f t="shared" si="34"/>
        <v>22158.892200841419</v>
      </c>
      <c r="AC77" s="250">
        <f t="shared" si="34"/>
        <v>22158.892200841419</v>
      </c>
      <c r="AD77" s="267"/>
      <c r="AE77" s="267"/>
    </row>
    <row r="78" spans="1:33" s="20" customFormat="1">
      <c r="A78" s="37"/>
      <c r="B78" s="250"/>
      <c r="C78" s="59"/>
      <c r="D78" s="59"/>
      <c r="E78" s="59"/>
      <c r="F78" s="5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67"/>
      <c r="AE78" s="267"/>
    </row>
    <row r="79" spans="1:33" s="20" customFormat="1">
      <c r="A79" s="26" t="s">
        <v>261</v>
      </c>
      <c r="B79" s="27"/>
      <c r="C79" s="59"/>
      <c r="D79" s="59"/>
      <c r="E79" s="59"/>
      <c r="F79" s="59"/>
      <c r="G79" s="250">
        <f>B77-G77</f>
        <v>750329.74002804724</v>
      </c>
      <c r="H79" s="250">
        <f>G79-H77</f>
        <v>737928.97716700041</v>
      </c>
      <c r="I79" s="250">
        <f t="shared" ref="I79:AB79" si="35">H79-I77</f>
        <v>715185.08496615896</v>
      </c>
      <c r="J79" s="250">
        <f t="shared" si="35"/>
        <v>692441.19276531751</v>
      </c>
      <c r="K79" s="250">
        <f t="shared" si="35"/>
        <v>669697.30056447606</v>
      </c>
      <c r="L79" s="250">
        <f t="shared" si="35"/>
        <v>646953.4083636346</v>
      </c>
      <c r="M79" s="250">
        <f t="shared" si="35"/>
        <v>624209.51616279315</v>
      </c>
      <c r="N79" s="250">
        <f t="shared" si="35"/>
        <v>601465.6239619517</v>
      </c>
      <c r="O79" s="250">
        <f t="shared" si="35"/>
        <v>578721.73176111025</v>
      </c>
      <c r="P79" s="250">
        <f t="shared" si="35"/>
        <v>555977.8395602688</v>
      </c>
      <c r="Q79" s="250">
        <f t="shared" si="35"/>
        <v>533233.94735942734</v>
      </c>
      <c r="R79" s="250">
        <f t="shared" si="35"/>
        <v>510490.05515858595</v>
      </c>
      <c r="S79" s="250">
        <f t="shared" si="35"/>
        <v>487746.16295774456</v>
      </c>
      <c r="T79" s="250">
        <f t="shared" si="35"/>
        <v>465002.27075690316</v>
      </c>
      <c r="U79" s="250">
        <f t="shared" si="35"/>
        <v>442258.37855606177</v>
      </c>
      <c r="V79" s="250">
        <f t="shared" si="35"/>
        <v>419514.48635522038</v>
      </c>
      <c r="W79" s="250">
        <f t="shared" si="35"/>
        <v>396770.59415437898</v>
      </c>
      <c r="X79" s="250">
        <f t="shared" si="35"/>
        <v>374026.70195353759</v>
      </c>
      <c r="Y79" s="250">
        <f t="shared" si="35"/>
        <v>351282.80975269619</v>
      </c>
      <c r="Z79" s="250">
        <f t="shared" si="35"/>
        <v>328538.9175518548</v>
      </c>
      <c r="AA79" s="250">
        <f t="shared" si="35"/>
        <v>305795.02535101341</v>
      </c>
      <c r="AB79" s="250">
        <f t="shared" si="35"/>
        <v>283636.13315017201</v>
      </c>
      <c r="AC79" s="250">
        <f>AB79-AC77</f>
        <v>261477.24094933059</v>
      </c>
      <c r="AD79" s="267"/>
      <c r="AE79" s="267"/>
    </row>
    <row r="80" spans="1:33">
      <c r="A80" s="26"/>
      <c r="AF80" s="20"/>
      <c r="AG80" s="20"/>
    </row>
    <row r="81" spans="1:1">
      <c r="A81" s="26"/>
    </row>
  </sheetData>
  <pageMargins left="0.2" right="0.2" top="0.37" bottom="0.4" header="0.17" footer="0.21"/>
  <pageSetup scale="46" fitToWidth="2" pageOrder="overThenDown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6"/>
  <sheetViews>
    <sheetView zoomScale="75" workbookViewId="0">
      <selection activeCell="I6" sqref="I6"/>
    </sheetView>
  </sheetViews>
  <sheetFormatPr defaultColWidth="9.109375" defaultRowHeight="13.2"/>
  <cols>
    <col min="1" max="1" width="38.33203125" style="22" customWidth="1"/>
    <col min="2" max="2" width="9.109375" style="22"/>
    <col min="3" max="3" width="16.88671875" style="22" customWidth="1"/>
    <col min="4" max="4" width="17.5546875" style="22" customWidth="1"/>
    <col min="5" max="5" width="10.109375" style="22" customWidth="1"/>
    <col min="6" max="7" width="10.44140625" style="22" customWidth="1"/>
    <col min="8" max="11" width="10.109375" style="22" customWidth="1"/>
    <col min="12" max="25" width="10" style="22" customWidth="1"/>
    <col min="26" max="27" width="10" style="7" customWidth="1"/>
    <col min="28" max="16384" width="9.109375" style="7"/>
  </cols>
  <sheetData>
    <row r="2" spans="1:28" ht="17.399999999999999">
      <c r="A2" s="127" t="s">
        <v>262</v>
      </c>
      <c r="B2" s="686"/>
      <c r="C2" s="267"/>
      <c r="D2" s="26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42"/>
      <c r="AA2" s="242"/>
    </row>
    <row r="3" spans="1:28">
      <c r="A3" s="138"/>
      <c r="B3" s="267"/>
      <c r="C3" s="267"/>
      <c r="D3" s="268"/>
      <c r="E3" s="24"/>
      <c r="F3" s="24"/>
      <c r="G3" s="24"/>
      <c r="H3" s="24"/>
      <c r="I3" s="24"/>
      <c r="J3" s="24"/>
      <c r="K3" s="265"/>
      <c r="L3" s="24"/>
      <c r="M3" s="24"/>
      <c r="N3" s="24"/>
      <c r="O3" s="24"/>
      <c r="P3" s="24"/>
      <c r="Q3" s="265"/>
      <c r="R3" s="24"/>
      <c r="S3" s="24"/>
      <c r="T3" s="24"/>
      <c r="U3" s="24"/>
      <c r="V3" s="24"/>
      <c r="W3" s="265"/>
      <c r="X3" s="24"/>
      <c r="Y3" s="24"/>
      <c r="Z3" s="316"/>
      <c r="AA3" s="316"/>
    </row>
    <row r="4" spans="1:28">
      <c r="A4" s="492"/>
      <c r="B4" s="23"/>
      <c r="C4" s="494"/>
      <c r="D4" s="541">
        <v>1</v>
      </c>
      <c r="E4" s="541">
        <v>2</v>
      </c>
      <c r="F4" s="541">
        <v>3</v>
      </c>
      <c r="G4" s="541">
        <v>4</v>
      </c>
      <c r="H4" s="541">
        <v>5</v>
      </c>
      <c r="I4" s="542">
        <v>6</v>
      </c>
      <c r="J4" s="541">
        <v>7</v>
      </c>
      <c r="K4" s="541">
        <v>8</v>
      </c>
      <c r="L4" s="541">
        <v>9</v>
      </c>
      <c r="M4" s="541">
        <v>10</v>
      </c>
      <c r="N4" s="541">
        <v>11</v>
      </c>
      <c r="O4" s="542">
        <v>12</v>
      </c>
      <c r="P4" s="541">
        <v>13</v>
      </c>
      <c r="Q4" s="541">
        <v>14</v>
      </c>
      <c r="R4" s="541">
        <v>15</v>
      </c>
      <c r="S4" s="541">
        <v>16</v>
      </c>
      <c r="T4" s="541">
        <v>17</v>
      </c>
      <c r="U4" s="542">
        <v>18</v>
      </c>
      <c r="V4" s="541">
        <v>19</v>
      </c>
      <c r="W4" s="541">
        <v>20</v>
      </c>
      <c r="X4" s="541">
        <v>21</v>
      </c>
      <c r="Y4" s="541">
        <v>22</v>
      </c>
      <c r="Z4" s="317"/>
      <c r="AA4" s="316"/>
    </row>
    <row r="5" spans="1:28" ht="13.8" thickBot="1">
      <c r="A5" s="422" t="s">
        <v>164</v>
      </c>
      <c r="B5" s="557"/>
      <c r="C5" s="557"/>
      <c r="D5" s="9">
        <v>1999</v>
      </c>
      <c r="E5" s="9">
        <v>2000</v>
      </c>
      <c r="F5" s="9">
        <v>2001</v>
      </c>
      <c r="G5" s="9">
        <v>2002</v>
      </c>
      <c r="H5" s="9">
        <v>2003</v>
      </c>
      <c r="I5" s="9">
        <v>2004</v>
      </c>
      <c r="J5" s="9">
        <v>2005</v>
      </c>
      <c r="K5" s="9">
        <v>2006</v>
      </c>
      <c r="L5" s="9">
        <v>2007</v>
      </c>
      <c r="M5" s="9">
        <v>2008</v>
      </c>
      <c r="N5" s="9">
        <v>2009</v>
      </c>
      <c r="O5" s="9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</row>
    <row r="6" spans="1:28">
      <c r="A6" s="492"/>
      <c r="B6" s="558"/>
      <c r="C6" s="558"/>
      <c r="D6" s="558"/>
      <c r="E6" s="558"/>
      <c r="F6" s="5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496" t="s">
        <v>263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67"/>
      <c r="AA7" s="267"/>
    </row>
    <row r="8" spans="1:28">
      <c r="A8" s="496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67"/>
      <c r="AA8" s="267"/>
    </row>
    <row r="9" spans="1:28">
      <c r="A9" s="496"/>
      <c r="B9" s="23"/>
      <c r="C9" s="23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15"/>
      <c r="AA9" s="315"/>
    </row>
    <row r="10" spans="1:28" ht="13.8">
      <c r="A10" s="38" t="s">
        <v>264</v>
      </c>
      <c r="B10" s="23"/>
      <c r="C10" s="23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15"/>
      <c r="AA10" s="315"/>
    </row>
    <row r="11" spans="1:28">
      <c r="A11" s="36" t="s">
        <v>265</v>
      </c>
      <c r="B11" s="500"/>
      <c r="C11" s="28"/>
      <c r="D11" s="32">
        <f>IS!D48</f>
        <v>0</v>
      </c>
      <c r="E11" s="32">
        <f ca="1">IS!E48</f>
        <v>8585.2031173885043</v>
      </c>
      <c r="F11" s="32">
        <f>IS!F48</f>
        <v>13926.314833695171</v>
      </c>
      <c r="G11" s="32">
        <f>IS!G48</f>
        <v>15469.25438452141</v>
      </c>
      <c r="H11" s="32">
        <f>IS!H48</f>
        <v>56843.048852023901</v>
      </c>
      <c r="I11" s="32">
        <f>IS!I48</f>
        <v>90182.049883763073</v>
      </c>
      <c r="J11" s="32">
        <f>IS!J48</f>
        <v>96119.864049081749</v>
      </c>
      <c r="K11" s="32">
        <f>IS!K48</f>
        <v>100006.64906105003</v>
      </c>
      <c r="L11" s="32">
        <f>IS!L48</f>
        <v>107524.83134316927</v>
      </c>
      <c r="M11" s="32">
        <f>IS!M48</f>
        <v>113037.67583889182</v>
      </c>
      <c r="N11" s="32">
        <f>IS!N48</f>
        <v>122013.87106044835</v>
      </c>
      <c r="O11" s="32">
        <f>IS!O48</f>
        <v>126599.21423059508</v>
      </c>
      <c r="P11" s="32">
        <f>IS!P48</f>
        <v>135003.51492429015</v>
      </c>
      <c r="Q11" s="32">
        <f>IS!Q48</f>
        <v>141112.25867805368</v>
      </c>
      <c r="R11" s="32">
        <f>IS!R48</f>
        <v>146768.39319297206</v>
      </c>
      <c r="S11" s="32">
        <f>IS!S48</f>
        <v>153022.52553846376</v>
      </c>
      <c r="T11" s="32">
        <f>IS!T48</f>
        <v>159946.60199377182</v>
      </c>
      <c r="U11" s="32">
        <f>IS!U48</f>
        <v>167078.4173748332</v>
      </c>
      <c r="V11" s="32">
        <f>IS!V48</f>
        <v>174130.10996284313</v>
      </c>
      <c r="W11" s="32">
        <f>IS!W48</f>
        <v>180468.04219428822</v>
      </c>
      <c r="X11" s="32">
        <f>IS!X48</f>
        <v>183838.20047434993</v>
      </c>
      <c r="Y11" s="32">
        <f>IS!Y48</f>
        <v>189045.39054010971</v>
      </c>
      <c r="Z11" s="318"/>
      <c r="AA11" s="318"/>
    </row>
    <row r="12" spans="1:28">
      <c r="A12" s="36" t="s">
        <v>266</v>
      </c>
      <c r="B12" s="23"/>
      <c r="C12" s="30"/>
      <c r="D12" s="32">
        <f>IS!D40</f>
        <v>0</v>
      </c>
      <c r="E12" s="32">
        <f>IS!E40</f>
        <v>27601.19172104682</v>
      </c>
      <c r="F12" s="32">
        <f>IS!F40</f>
        <v>37944.321060841423</v>
      </c>
      <c r="G12" s="32">
        <f>IS!G40</f>
        <v>37944.321060841423</v>
      </c>
      <c r="H12" s="32">
        <f>IS!H40</f>
        <v>37944.321060841423</v>
      </c>
      <c r="I12" s="32">
        <f>IS!I40</f>
        <v>37944.321060841423</v>
      </c>
      <c r="J12" s="32">
        <f>IS!J40</f>
        <v>37944.321060841423</v>
      </c>
      <c r="K12" s="32">
        <f>IS!K40</f>
        <v>37944.321060841423</v>
      </c>
      <c r="L12" s="32">
        <f>IS!L40</f>
        <v>37944.321060841423</v>
      </c>
      <c r="M12" s="32">
        <f>IS!M40</f>
        <v>37944.321060841423</v>
      </c>
      <c r="N12" s="32">
        <f>IS!N40</f>
        <v>37944.321060841423</v>
      </c>
      <c r="O12" s="32">
        <f>IS!O40</f>
        <v>37944.321060841423</v>
      </c>
      <c r="P12" s="32">
        <f>IS!P40</f>
        <v>37944.321060841423</v>
      </c>
      <c r="Q12" s="32">
        <f>IS!Q40</f>
        <v>37944.321060841423</v>
      </c>
      <c r="R12" s="32">
        <f>IS!R40</f>
        <v>37944.321060841423</v>
      </c>
      <c r="S12" s="32">
        <f>IS!S40</f>
        <v>37944.321060841423</v>
      </c>
      <c r="T12" s="32">
        <f>IS!T40</f>
        <v>37944.321060841423</v>
      </c>
      <c r="U12" s="32">
        <f>IS!U40</f>
        <v>37944.321060841423</v>
      </c>
      <c r="V12" s="32">
        <f>IS!V40</f>
        <v>37944.321060841423</v>
      </c>
      <c r="W12" s="32">
        <f>IS!W40</f>
        <v>37944.321060841423</v>
      </c>
      <c r="X12" s="32">
        <f>IS!X40</f>
        <v>37944.321060841423</v>
      </c>
      <c r="Y12" s="32">
        <f>IS!Y40</f>
        <v>36969.321060841423</v>
      </c>
      <c r="Z12" s="318"/>
      <c r="AA12" s="318"/>
    </row>
    <row r="13" spans="1:28" ht="15">
      <c r="A13" s="36" t="s">
        <v>267</v>
      </c>
      <c r="B13" s="23"/>
      <c r="C13" s="23"/>
      <c r="D13" s="501">
        <f>-Depreciation!G32-Depreciation!G67</f>
        <v>0</v>
      </c>
      <c r="E13" s="501">
        <f>-Depreciation!H32-Depreciation!H67</f>
        <v>-62590.535101402362</v>
      </c>
      <c r="F13" s="501">
        <f>-Depreciation!I32-Depreciation!I67</f>
        <v>-118044.51669266447</v>
      </c>
      <c r="G13" s="501">
        <f>-Depreciation!J32-Depreciation!J67</f>
        <v>-106337.56502339806</v>
      </c>
      <c r="H13" s="501">
        <f>-Depreciation!K32-Depreciation!K67</f>
        <v>-95862.924056159623</v>
      </c>
      <c r="I13" s="501">
        <f>-Depreciation!L32-Depreciation!L67</f>
        <v>-86374.131650543684</v>
      </c>
      <c r="J13" s="501">
        <f>-Depreciation!M32-Depreciation!M67</f>
        <v>-77747.956736347347</v>
      </c>
      <c r="K13" s="501">
        <f>-Depreciation!N32-Depreciation!N67</f>
        <v>-73681.331419654787</v>
      </c>
      <c r="L13" s="501">
        <f>-Depreciation!O32-Depreciation!O67</f>
        <v>-73804.562489857592</v>
      </c>
      <c r="M13" s="501">
        <f>-Depreciation!P32-Depreciation!P67</f>
        <v>-73681.331419654787</v>
      </c>
      <c r="N13" s="501">
        <f>-Depreciation!Q32-Depreciation!Q67</f>
        <v>-73804.562489857592</v>
      </c>
      <c r="O13" s="501">
        <f>-Depreciation!R32-Depreciation!R67</f>
        <v>-73681.331419654787</v>
      </c>
      <c r="P13" s="501">
        <f>-Depreciation!S32-Depreciation!S67</f>
        <v>-73804.562489857592</v>
      </c>
      <c r="Q13" s="501">
        <f>-Depreciation!T32-Depreciation!T67</f>
        <v>-73681.331419654787</v>
      </c>
      <c r="R13" s="501">
        <f>-Depreciation!U32-Depreciation!U67</f>
        <v>-73804.562489857592</v>
      </c>
      <c r="S13" s="501">
        <f>-Depreciation!V32-Depreciation!V67</f>
        <v>-73681.331419654787</v>
      </c>
      <c r="T13" s="501">
        <f>-Depreciation!W32-Depreciation!W67</f>
        <v>-22764.577330827393</v>
      </c>
      <c r="U13" s="501">
        <f>-Depreciation!X32-Depreciation!X67</f>
        <v>-975</v>
      </c>
      <c r="V13" s="501">
        <f>-Depreciation!Y32-Depreciation!Y67</f>
        <v>-975</v>
      </c>
      <c r="W13" s="501">
        <f>-Depreciation!Z32-Depreciation!Z67</f>
        <v>-975</v>
      </c>
      <c r="X13" s="501">
        <f>-Depreciation!AA32-Depreciation!AA67</f>
        <v>-975</v>
      </c>
      <c r="Y13" s="501">
        <f>-Depreciation!AB32-Depreciation!AB67</f>
        <v>0</v>
      </c>
      <c r="Z13" s="321"/>
      <c r="AA13" s="321"/>
    </row>
    <row r="14" spans="1:28">
      <c r="A14" s="499" t="s">
        <v>268</v>
      </c>
      <c r="B14" s="23"/>
      <c r="C14" s="23"/>
      <c r="D14" s="39">
        <f>SUM(D11:D13)</f>
        <v>0</v>
      </c>
      <c r="E14" s="39">
        <f t="shared" ref="E14:Y14" ca="1" si="0">SUM(E11:E13)</f>
        <v>-26404.140262967034</v>
      </c>
      <c r="F14" s="39">
        <f t="shared" si="0"/>
        <v>-66173.880798127881</v>
      </c>
      <c r="G14" s="39">
        <f t="shared" si="0"/>
        <v>-52923.989578035224</v>
      </c>
      <c r="H14" s="39">
        <f t="shared" si="0"/>
        <v>-1075.5541432942991</v>
      </c>
      <c r="I14" s="39">
        <f t="shared" si="0"/>
        <v>41752.239294060812</v>
      </c>
      <c r="J14" s="39">
        <f t="shared" si="0"/>
        <v>56316.228373575839</v>
      </c>
      <c r="K14" s="39">
        <f t="shared" si="0"/>
        <v>64269.638702236683</v>
      </c>
      <c r="L14" s="39">
        <f t="shared" si="0"/>
        <v>71664.589914153112</v>
      </c>
      <c r="M14" s="39">
        <f t="shared" si="0"/>
        <v>77300.665480078475</v>
      </c>
      <c r="N14" s="39">
        <f t="shared" si="0"/>
        <v>86153.629631432195</v>
      </c>
      <c r="O14" s="39">
        <f t="shared" si="0"/>
        <v>90862.203871781719</v>
      </c>
      <c r="P14" s="39">
        <f t="shared" si="0"/>
        <v>99143.27349527397</v>
      </c>
      <c r="Q14" s="39">
        <f t="shared" si="0"/>
        <v>105375.24831924033</v>
      </c>
      <c r="R14" s="39">
        <f t="shared" si="0"/>
        <v>110908.1517639559</v>
      </c>
      <c r="S14" s="39">
        <f t="shared" si="0"/>
        <v>117285.51517965038</v>
      </c>
      <c r="T14" s="39">
        <f t="shared" si="0"/>
        <v>175126.34572378584</v>
      </c>
      <c r="U14" s="39">
        <f t="shared" si="0"/>
        <v>204047.73843567463</v>
      </c>
      <c r="V14" s="39">
        <f t="shared" si="0"/>
        <v>211099.43102368456</v>
      </c>
      <c r="W14" s="39">
        <f t="shared" si="0"/>
        <v>217437.36325512966</v>
      </c>
      <c r="X14" s="39">
        <f t="shared" si="0"/>
        <v>220807.52153519134</v>
      </c>
      <c r="Y14" s="39">
        <f t="shared" si="0"/>
        <v>226014.71160095115</v>
      </c>
      <c r="Z14" s="315"/>
      <c r="AA14" s="315"/>
    </row>
    <row r="15" spans="1:28">
      <c r="A15" s="36"/>
      <c r="B15" s="23"/>
      <c r="C15" s="23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15"/>
      <c r="AA15" s="315"/>
    </row>
    <row r="16" spans="1:28">
      <c r="A16" s="36" t="s">
        <v>268</v>
      </c>
      <c r="B16" s="23"/>
      <c r="C16" s="34"/>
      <c r="D16" s="32">
        <f>D14</f>
        <v>0</v>
      </c>
      <c r="E16" s="32">
        <f t="shared" ref="E16:X16" ca="1" si="1">E14</f>
        <v>-26404.140262967034</v>
      </c>
      <c r="F16" s="32">
        <f t="shared" si="1"/>
        <v>-66173.880798127881</v>
      </c>
      <c r="G16" s="32">
        <f t="shared" si="1"/>
        <v>-52923.989578035224</v>
      </c>
      <c r="H16" s="32">
        <f t="shared" si="1"/>
        <v>-1075.5541432942991</v>
      </c>
      <c r="I16" s="32">
        <f t="shared" si="1"/>
        <v>41752.239294060812</v>
      </c>
      <c r="J16" s="32">
        <f t="shared" si="1"/>
        <v>56316.228373575839</v>
      </c>
      <c r="K16" s="32">
        <f t="shared" si="1"/>
        <v>64269.638702236683</v>
      </c>
      <c r="L16" s="32">
        <f t="shared" si="1"/>
        <v>71664.589914153112</v>
      </c>
      <c r="M16" s="32">
        <f t="shared" si="1"/>
        <v>77300.665480078475</v>
      </c>
      <c r="N16" s="32">
        <f t="shared" si="1"/>
        <v>86153.629631432195</v>
      </c>
      <c r="O16" s="32">
        <f t="shared" si="1"/>
        <v>90862.203871781719</v>
      </c>
      <c r="P16" s="32">
        <f t="shared" si="1"/>
        <v>99143.27349527397</v>
      </c>
      <c r="Q16" s="32">
        <f t="shared" si="1"/>
        <v>105375.24831924033</v>
      </c>
      <c r="R16" s="32">
        <f t="shared" si="1"/>
        <v>110908.1517639559</v>
      </c>
      <c r="S16" s="32">
        <f t="shared" si="1"/>
        <v>117285.51517965038</v>
      </c>
      <c r="T16" s="32">
        <f t="shared" si="1"/>
        <v>175126.34572378584</v>
      </c>
      <c r="U16" s="32">
        <f t="shared" si="1"/>
        <v>204047.73843567463</v>
      </c>
      <c r="V16" s="32">
        <f t="shared" si="1"/>
        <v>211099.43102368456</v>
      </c>
      <c r="W16" s="32">
        <f t="shared" si="1"/>
        <v>217437.36325512966</v>
      </c>
      <c r="X16" s="32">
        <f t="shared" si="1"/>
        <v>220807.52153519134</v>
      </c>
      <c r="Y16" s="32">
        <f>Y14</f>
        <v>226014.71160095115</v>
      </c>
      <c r="Z16" s="318"/>
      <c r="AA16" s="318"/>
    </row>
    <row r="17" spans="1:27">
      <c r="A17" s="36" t="s">
        <v>269</v>
      </c>
      <c r="B17" s="23"/>
      <c r="C17" s="23"/>
      <c r="D17" s="502">
        <f>Allocation!$C$17</f>
        <v>6.0994561526546531E-2</v>
      </c>
      <c r="E17" s="502">
        <f>Allocation!$C$17</f>
        <v>6.0994561526546531E-2</v>
      </c>
      <c r="F17" s="502">
        <f>Allocation!$C$17</f>
        <v>6.0994561526546531E-2</v>
      </c>
      <c r="G17" s="502">
        <f>Allocation!$C$17</f>
        <v>6.0994561526546531E-2</v>
      </c>
      <c r="H17" s="502">
        <f>Allocation!$C$17</f>
        <v>6.0994561526546531E-2</v>
      </c>
      <c r="I17" s="502">
        <f>Allocation!$C$17</f>
        <v>6.0994561526546531E-2</v>
      </c>
      <c r="J17" s="502">
        <f>Allocation!$C$17</f>
        <v>6.0994561526546531E-2</v>
      </c>
      <c r="K17" s="502">
        <f>Allocation!$C$17</f>
        <v>6.0994561526546531E-2</v>
      </c>
      <c r="L17" s="502">
        <f>Allocation!$C$17</f>
        <v>6.0994561526546531E-2</v>
      </c>
      <c r="M17" s="502">
        <f>Allocation!$C$17</f>
        <v>6.0994561526546531E-2</v>
      </c>
      <c r="N17" s="502">
        <f>Allocation!$C$17</f>
        <v>6.0994561526546531E-2</v>
      </c>
      <c r="O17" s="502">
        <f>Allocation!$C$17</f>
        <v>6.0994561526546531E-2</v>
      </c>
      <c r="P17" s="502">
        <f>Allocation!$C$17</f>
        <v>6.0994561526546531E-2</v>
      </c>
      <c r="Q17" s="502">
        <f>Allocation!$C$17</f>
        <v>6.0994561526546531E-2</v>
      </c>
      <c r="R17" s="502">
        <f>Allocation!$C$17</f>
        <v>6.0994561526546531E-2</v>
      </c>
      <c r="S17" s="502">
        <f>Allocation!$C$17</f>
        <v>6.0994561526546531E-2</v>
      </c>
      <c r="T17" s="502">
        <f>Allocation!$C$17</f>
        <v>6.0994561526546531E-2</v>
      </c>
      <c r="U17" s="502">
        <f>Allocation!$C$17</f>
        <v>6.0994561526546531E-2</v>
      </c>
      <c r="V17" s="502">
        <f>Allocation!$C$17</f>
        <v>6.0994561526546531E-2</v>
      </c>
      <c r="W17" s="502">
        <f>Allocation!$C$17</f>
        <v>6.0994561526546531E-2</v>
      </c>
      <c r="X17" s="502">
        <f>Allocation!$C$17</f>
        <v>6.0994561526546531E-2</v>
      </c>
      <c r="Y17" s="502">
        <f>Allocation!$C$17</f>
        <v>6.0994561526546531E-2</v>
      </c>
      <c r="Z17" s="322"/>
      <c r="AA17" s="322"/>
    </row>
    <row r="18" spans="1:27">
      <c r="A18" s="36" t="s">
        <v>270</v>
      </c>
      <c r="B18" s="500"/>
      <c r="C18" s="28"/>
      <c r="D18" s="32">
        <f>D16*D17</f>
        <v>0</v>
      </c>
      <c r="E18" s="32">
        <f t="shared" ref="E18:Y18" ca="1" si="2">E16*E17</f>
        <v>-1610.5089578251072</v>
      </c>
      <c r="F18" s="32">
        <f t="shared" si="2"/>
        <v>-4036.2468437917669</v>
      </c>
      <c r="G18" s="32">
        <f t="shared" si="2"/>
        <v>-3228.0755385477769</v>
      </c>
      <c r="H18" s="32">
        <f t="shared" si="2"/>
        <v>-65.60295336829617</v>
      </c>
      <c r="I18" s="32">
        <f t="shared" si="2"/>
        <v>2546.6595284926857</v>
      </c>
      <c r="J18" s="32">
        <f t="shared" si="2"/>
        <v>3434.9836564751172</v>
      </c>
      <c r="K18" s="32">
        <f t="shared" si="2"/>
        <v>3920.0984321124915</v>
      </c>
      <c r="L18" s="32">
        <f t="shared" si="2"/>
        <v>4371.1502387935379</v>
      </c>
      <c r="M18" s="32">
        <f t="shared" si="2"/>
        <v>4714.9201966676383</v>
      </c>
      <c r="N18" s="32">
        <f t="shared" si="2"/>
        <v>5254.9028632896934</v>
      </c>
      <c r="O18" s="32">
        <f t="shared" si="2"/>
        <v>5542.1002844950044</v>
      </c>
      <c r="P18" s="32">
        <f t="shared" si="2"/>
        <v>6047.2004951507179</v>
      </c>
      <c r="Q18" s="32">
        <f t="shared" si="2"/>
        <v>6427.3170669830233</v>
      </c>
      <c r="R18" s="32">
        <f t="shared" si="2"/>
        <v>6764.7940865621686</v>
      </c>
      <c r="S18" s="32">
        <f t="shared" si="2"/>
        <v>7153.7785717978923</v>
      </c>
      <c r="T18" s="32">
        <f t="shared" si="2"/>
        <v>10681.754669168715</v>
      </c>
      <c r="U18" s="32">
        <f t="shared" si="2"/>
        <v>12445.802336367429</v>
      </c>
      <c r="V18" s="32">
        <f t="shared" si="2"/>
        <v>12875.917233793094</v>
      </c>
      <c r="W18" s="32">
        <f t="shared" si="2"/>
        <v>13262.496631235053</v>
      </c>
      <c r="X18" s="32">
        <f t="shared" si="2"/>
        <v>13468.057957802475</v>
      </c>
      <c r="Y18" s="32">
        <f t="shared" si="2"/>
        <v>13785.668232648884</v>
      </c>
      <c r="Z18" s="318"/>
      <c r="AA18" s="318"/>
    </row>
    <row r="19" spans="1:27">
      <c r="A19" s="36"/>
      <c r="B19" s="23"/>
      <c r="C19" s="23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15"/>
      <c r="AA19" s="315"/>
    </row>
    <row r="20" spans="1:27">
      <c r="A20" s="36" t="s">
        <v>271</v>
      </c>
      <c r="B20" s="500"/>
      <c r="C20" s="28"/>
      <c r="D20" s="32">
        <f>C24</f>
        <v>0</v>
      </c>
      <c r="E20" s="32">
        <f>D24</f>
        <v>0</v>
      </c>
      <c r="F20" s="32">
        <f t="shared" ref="F20:Y20" ca="1" si="3">E24</f>
        <v>1610.5089578251072</v>
      </c>
      <c r="G20" s="32">
        <f t="shared" ca="1" si="3"/>
        <v>5646.7558016168741</v>
      </c>
      <c r="H20" s="32">
        <f t="shared" ca="1" si="3"/>
        <v>8874.8313401646519</v>
      </c>
      <c r="I20" s="32">
        <f t="shared" ca="1" si="3"/>
        <v>8940.4342935329478</v>
      </c>
      <c r="J20" s="32">
        <f t="shared" ca="1" si="3"/>
        <v>6393.7747650402616</v>
      </c>
      <c r="K20" s="32">
        <f t="shared" ca="1" si="3"/>
        <v>2958.7911085651444</v>
      </c>
      <c r="L20" s="32">
        <f t="shared" ca="1" si="3"/>
        <v>0</v>
      </c>
      <c r="M20" s="32">
        <f t="shared" ca="1" si="3"/>
        <v>0</v>
      </c>
      <c r="N20" s="32">
        <f t="shared" ca="1" si="3"/>
        <v>0</v>
      </c>
      <c r="O20" s="32">
        <f t="shared" ca="1" si="3"/>
        <v>0</v>
      </c>
      <c r="P20" s="32">
        <f t="shared" ca="1" si="3"/>
        <v>0</v>
      </c>
      <c r="Q20" s="32">
        <f t="shared" ca="1" si="3"/>
        <v>0</v>
      </c>
      <c r="R20" s="32">
        <f ca="1">Q24</f>
        <v>0</v>
      </c>
      <c r="S20" s="32">
        <f t="shared" ca="1" si="3"/>
        <v>0</v>
      </c>
      <c r="T20" s="32">
        <f t="shared" ca="1" si="3"/>
        <v>0</v>
      </c>
      <c r="U20" s="32">
        <f t="shared" ca="1" si="3"/>
        <v>0</v>
      </c>
      <c r="V20" s="32">
        <v>0</v>
      </c>
      <c r="W20" s="32">
        <f t="shared" si="3"/>
        <v>0</v>
      </c>
      <c r="X20" s="32">
        <f t="shared" si="3"/>
        <v>0</v>
      </c>
      <c r="Y20" s="32">
        <f t="shared" ca="1" si="3"/>
        <v>0</v>
      </c>
      <c r="Z20" s="318"/>
      <c r="AA20" s="318"/>
    </row>
    <row r="21" spans="1:27">
      <c r="A21" s="36" t="s">
        <v>272</v>
      </c>
      <c r="B21" s="500"/>
      <c r="C21" s="28"/>
      <c r="D21" s="531">
        <f t="shared" ref="D21:X21" si="4">IF(D2&gt;2020,0,IF(D18&lt;0,-D18,0))</f>
        <v>0</v>
      </c>
      <c r="E21" s="531">
        <f t="shared" ca="1" si="4"/>
        <v>1610.5089578251072</v>
      </c>
      <c r="F21" s="531">
        <f t="shared" si="4"/>
        <v>4036.2468437917669</v>
      </c>
      <c r="G21" s="531">
        <f t="shared" si="4"/>
        <v>3228.0755385477769</v>
      </c>
      <c r="H21" s="531">
        <f t="shared" si="4"/>
        <v>65.60295336829617</v>
      </c>
      <c r="I21" s="531">
        <f t="shared" si="4"/>
        <v>0</v>
      </c>
      <c r="J21" s="531">
        <f t="shared" si="4"/>
        <v>0</v>
      </c>
      <c r="K21" s="531">
        <f t="shared" si="4"/>
        <v>0</v>
      </c>
      <c r="L21" s="531">
        <f t="shared" si="4"/>
        <v>0</v>
      </c>
      <c r="M21" s="531">
        <f t="shared" si="4"/>
        <v>0</v>
      </c>
      <c r="N21" s="531">
        <f t="shared" si="4"/>
        <v>0</v>
      </c>
      <c r="O21" s="531">
        <f t="shared" si="4"/>
        <v>0</v>
      </c>
      <c r="P21" s="531">
        <f t="shared" si="4"/>
        <v>0</v>
      </c>
      <c r="Q21" s="531">
        <f t="shared" si="4"/>
        <v>0</v>
      </c>
      <c r="R21" s="531">
        <f t="shared" si="4"/>
        <v>0</v>
      </c>
      <c r="S21" s="531">
        <f t="shared" si="4"/>
        <v>0</v>
      </c>
      <c r="T21" s="531">
        <f t="shared" si="4"/>
        <v>0</v>
      </c>
      <c r="U21" s="531">
        <f t="shared" si="4"/>
        <v>0</v>
      </c>
      <c r="V21" s="531">
        <f t="shared" si="4"/>
        <v>0</v>
      </c>
      <c r="W21" s="531">
        <f t="shared" si="4"/>
        <v>0</v>
      </c>
      <c r="X21" s="531">
        <f t="shared" si="4"/>
        <v>0</v>
      </c>
      <c r="Y21" s="531">
        <f>IF(Y2&gt;2020,0,IF(Y18&lt;0,-Y18,0))</f>
        <v>0</v>
      </c>
      <c r="Z21" s="318"/>
      <c r="AA21" s="318"/>
    </row>
    <row r="22" spans="1:27">
      <c r="A22" s="36" t="s">
        <v>273</v>
      </c>
      <c r="B22" s="500"/>
      <c r="C22" s="503"/>
      <c r="D22" s="504">
        <v>0</v>
      </c>
      <c r="E22" s="504">
        <v>0</v>
      </c>
      <c r="F22" s="504">
        <v>0</v>
      </c>
      <c r="G22" s="504">
        <v>0</v>
      </c>
      <c r="H22" s="504">
        <v>0</v>
      </c>
      <c r="I22" s="504">
        <v>0</v>
      </c>
      <c r="J22" s="504">
        <v>0</v>
      </c>
      <c r="K22" s="504">
        <v>0</v>
      </c>
      <c r="L22" s="504">
        <v>0</v>
      </c>
      <c r="M22" s="504">
        <v>0</v>
      </c>
      <c r="N22" s="504">
        <v>0</v>
      </c>
      <c r="O22" s="504">
        <v>0</v>
      </c>
      <c r="P22" s="504">
        <v>0</v>
      </c>
      <c r="Q22" s="504">
        <v>0</v>
      </c>
      <c r="R22" s="504">
        <v>0</v>
      </c>
      <c r="S22" s="504">
        <v>0</v>
      </c>
      <c r="T22" s="504">
        <v>0</v>
      </c>
      <c r="U22" s="504">
        <v>0</v>
      </c>
      <c r="V22" s="504">
        <v>0</v>
      </c>
      <c r="W22" s="504">
        <v>0</v>
      </c>
      <c r="X22" s="32">
        <f ca="1">IF(P21&gt;(SUM(Q23:W23)+SUM(P22:W22))*-1,P21-(SUM(P23:W23)+SUM(P22:W22))*-1,0)</f>
        <v>0</v>
      </c>
      <c r="Y22" s="32">
        <f ca="1">IF(Q21&gt;(SUM(R23:X23)+SUM(Q22:X22))*-1,Q21-(SUM(Q23:X23)+SUM(Q22:X22))*-1,0)</f>
        <v>0</v>
      </c>
      <c r="Z22" s="318"/>
      <c r="AA22" s="318"/>
    </row>
    <row r="23" spans="1:27">
      <c r="A23" s="23" t="s">
        <v>274</v>
      </c>
      <c r="B23" s="495"/>
      <c r="C23" s="23"/>
      <c r="D23" s="505">
        <f>IF(D18&lt;0,0,IF(D20&gt;D18,-D18,-D20))</f>
        <v>0</v>
      </c>
      <c r="E23" s="505">
        <f t="shared" ref="E23:X23" ca="1" si="5">IF(E18&lt;0,0,IF(E20&gt;E18,-E18,-E20))</f>
        <v>0</v>
      </c>
      <c r="F23" s="505">
        <f t="shared" si="5"/>
        <v>0</v>
      </c>
      <c r="G23" s="505">
        <f t="shared" si="5"/>
        <v>0</v>
      </c>
      <c r="H23" s="505">
        <f t="shared" si="5"/>
        <v>0</v>
      </c>
      <c r="I23" s="505">
        <f t="shared" ca="1" si="5"/>
        <v>-2546.6595284926857</v>
      </c>
      <c r="J23" s="505">
        <f t="shared" ca="1" si="5"/>
        <v>-3434.9836564751172</v>
      </c>
      <c r="K23" s="505">
        <f t="shared" ca="1" si="5"/>
        <v>-2958.7911085651444</v>
      </c>
      <c r="L23" s="505">
        <f t="shared" ca="1" si="5"/>
        <v>0</v>
      </c>
      <c r="M23" s="505">
        <f t="shared" ca="1" si="5"/>
        <v>0</v>
      </c>
      <c r="N23" s="505">
        <f t="shared" ca="1" si="5"/>
        <v>0</v>
      </c>
      <c r="O23" s="505">
        <f t="shared" ca="1" si="5"/>
        <v>0</v>
      </c>
      <c r="P23" s="505">
        <f t="shared" ca="1" si="5"/>
        <v>0</v>
      </c>
      <c r="Q23" s="505">
        <f t="shared" ca="1" si="5"/>
        <v>0</v>
      </c>
      <c r="R23" s="505">
        <f t="shared" ca="1" si="5"/>
        <v>0</v>
      </c>
      <c r="S23" s="505">
        <f t="shared" ca="1" si="5"/>
        <v>0</v>
      </c>
      <c r="T23" s="505">
        <f t="shared" ca="1" si="5"/>
        <v>0</v>
      </c>
      <c r="U23" s="505">
        <f t="shared" ca="1" si="5"/>
        <v>0</v>
      </c>
      <c r="V23" s="505">
        <f t="shared" si="5"/>
        <v>0</v>
      </c>
      <c r="W23" s="505">
        <f t="shared" si="5"/>
        <v>0</v>
      </c>
      <c r="X23" s="505">
        <f t="shared" si="5"/>
        <v>0</v>
      </c>
      <c r="Y23" s="505">
        <f ca="1">IF(Y18&lt;0,0,IF(Y20&gt;Y18,-Y18,-Y20))</f>
        <v>0</v>
      </c>
      <c r="Z23" s="323"/>
      <c r="AA23" s="323"/>
    </row>
    <row r="24" spans="1:27">
      <c r="A24" s="23" t="s">
        <v>275</v>
      </c>
      <c r="B24" s="495"/>
      <c r="C24" s="23"/>
      <c r="D24" s="505">
        <f t="shared" ref="D24:Y24" si="6">SUM(D20:D23)</f>
        <v>0</v>
      </c>
      <c r="E24" s="505">
        <f t="shared" ca="1" si="6"/>
        <v>1610.5089578251072</v>
      </c>
      <c r="F24" s="505">
        <f t="shared" ca="1" si="6"/>
        <v>5646.7558016168741</v>
      </c>
      <c r="G24" s="505">
        <f t="shared" ca="1" si="6"/>
        <v>8874.8313401646519</v>
      </c>
      <c r="H24" s="505">
        <f t="shared" ca="1" si="6"/>
        <v>8940.4342935329478</v>
      </c>
      <c r="I24" s="505">
        <f t="shared" ca="1" si="6"/>
        <v>6393.7747650402616</v>
      </c>
      <c r="J24" s="505">
        <f t="shared" ca="1" si="6"/>
        <v>2958.7911085651444</v>
      </c>
      <c r="K24" s="505">
        <f t="shared" ca="1" si="6"/>
        <v>0</v>
      </c>
      <c r="L24" s="505">
        <f t="shared" ca="1" si="6"/>
        <v>0</v>
      </c>
      <c r="M24" s="505">
        <f t="shared" ca="1" si="6"/>
        <v>0</v>
      </c>
      <c r="N24" s="505">
        <f t="shared" ca="1" si="6"/>
        <v>0</v>
      </c>
      <c r="O24" s="505">
        <f t="shared" ca="1" si="6"/>
        <v>0</v>
      </c>
      <c r="P24" s="505">
        <f t="shared" ca="1" si="6"/>
        <v>0</v>
      </c>
      <c r="Q24" s="505">
        <f t="shared" ca="1" si="6"/>
        <v>0</v>
      </c>
      <c r="R24" s="505">
        <f t="shared" ca="1" si="6"/>
        <v>0</v>
      </c>
      <c r="S24" s="505">
        <f t="shared" ca="1" si="6"/>
        <v>0</v>
      </c>
      <c r="T24" s="505">
        <f t="shared" ca="1" si="6"/>
        <v>0</v>
      </c>
      <c r="U24" s="505">
        <f t="shared" ca="1" si="6"/>
        <v>0</v>
      </c>
      <c r="V24" s="505">
        <f t="shared" si="6"/>
        <v>0</v>
      </c>
      <c r="W24" s="505">
        <f t="shared" si="6"/>
        <v>0</v>
      </c>
      <c r="X24" s="505">
        <f t="shared" ca="1" si="6"/>
        <v>0</v>
      </c>
      <c r="Y24" s="505">
        <f t="shared" ca="1" si="6"/>
        <v>0</v>
      </c>
      <c r="Z24" s="323"/>
      <c r="AA24" s="323"/>
    </row>
    <row r="25" spans="1:27">
      <c r="A25" s="23"/>
      <c r="B25" s="23"/>
      <c r="C25" s="23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15"/>
      <c r="AA25" s="315"/>
    </row>
    <row r="26" spans="1:27">
      <c r="A26" s="73" t="s">
        <v>276</v>
      </c>
      <c r="B26" s="23"/>
      <c r="C26" s="23"/>
      <c r="D26" s="39">
        <f>IF(D18&lt;0,0,D18+D23)</f>
        <v>0</v>
      </c>
      <c r="E26" s="39">
        <f t="shared" ref="E26:X26" ca="1" si="7">IF(E18&lt;0,0,E18+E23)</f>
        <v>0</v>
      </c>
      <c r="F26" s="39">
        <f t="shared" si="7"/>
        <v>0</v>
      </c>
      <c r="G26" s="39">
        <f t="shared" si="7"/>
        <v>0</v>
      </c>
      <c r="H26" s="39">
        <f t="shared" si="7"/>
        <v>0</v>
      </c>
      <c r="I26" s="39">
        <f t="shared" ca="1" si="7"/>
        <v>0</v>
      </c>
      <c r="J26" s="39">
        <f t="shared" ca="1" si="7"/>
        <v>0</v>
      </c>
      <c r="K26" s="39">
        <f t="shared" ca="1" si="7"/>
        <v>961.3073235473471</v>
      </c>
      <c r="L26" s="39">
        <f t="shared" ca="1" si="7"/>
        <v>4371.1502387935379</v>
      </c>
      <c r="M26" s="39">
        <f t="shared" ca="1" si="7"/>
        <v>4714.9201966676383</v>
      </c>
      <c r="N26" s="39">
        <f t="shared" ca="1" si="7"/>
        <v>5254.9028632896934</v>
      </c>
      <c r="O26" s="39">
        <f t="shared" ca="1" si="7"/>
        <v>5542.1002844950044</v>
      </c>
      <c r="P26" s="39">
        <f t="shared" ca="1" si="7"/>
        <v>6047.2004951507179</v>
      </c>
      <c r="Q26" s="39">
        <f t="shared" ca="1" si="7"/>
        <v>6427.3170669830233</v>
      </c>
      <c r="R26" s="39">
        <f t="shared" ca="1" si="7"/>
        <v>6764.7940865621686</v>
      </c>
      <c r="S26" s="39">
        <f t="shared" ca="1" si="7"/>
        <v>7153.7785717978923</v>
      </c>
      <c r="T26" s="39">
        <f t="shared" ca="1" si="7"/>
        <v>10681.754669168715</v>
      </c>
      <c r="U26" s="39">
        <f t="shared" ca="1" si="7"/>
        <v>12445.802336367429</v>
      </c>
      <c r="V26" s="39">
        <f t="shared" si="7"/>
        <v>12875.917233793094</v>
      </c>
      <c r="W26" s="39">
        <f t="shared" si="7"/>
        <v>13262.496631235053</v>
      </c>
      <c r="X26" s="39">
        <f t="shared" si="7"/>
        <v>13468.057957802475</v>
      </c>
      <c r="Y26" s="39">
        <f ca="1">IF(Y18&lt;0,0,Y18+Y23)</f>
        <v>13785.668232648884</v>
      </c>
      <c r="Z26" s="315"/>
      <c r="AA26" s="315"/>
    </row>
    <row r="27" spans="1:27" ht="15.6">
      <c r="A27" s="23" t="s">
        <v>277</v>
      </c>
      <c r="B27" s="23"/>
      <c r="C27" s="23"/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20"/>
      <c r="AA27" s="320"/>
    </row>
    <row r="28" spans="1:27">
      <c r="A28" s="73" t="s">
        <v>278</v>
      </c>
      <c r="B28" s="23"/>
      <c r="C28" s="23"/>
      <c r="D28" s="532">
        <f t="shared" ref="D28:Y28" si="8">SUM(D26:D27)</f>
        <v>0</v>
      </c>
      <c r="E28" s="533">
        <f t="shared" ca="1" si="8"/>
        <v>0</v>
      </c>
      <c r="F28" s="533">
        <f t="shared" si="8"/>
        <v>0</v>
      </c>
      <c r="G28" s="533">
        <f t="shared" si="8"/>
        <v>0</v>
      </c>
      <c r="H28" s="533">
        <f t="shared" si="8"/>
        <v>0</v>
      </c>
      <c r="I28" s="533">
        <f t="shared" ca="1" si="8"/>
        <v>0</v>
      </c>
      <c r="J28" s="533">
        <f t="shared" ca="1" si="8"/>
        <v>0</v>
      </c>
      <c r="K28" s="533">
        <f t="shared" ca="1" si="8"/>
        <v>961.3073235473471</v>
      </c>
      <c r="L28" s="533">
        <f t="shared" ca="1" si="8"/>
        <v>4371.1502387935379</v>
      </c>
      <c r="M28" s="533">
        <f t="shared" ca="1" si="8"/>
        <v>4714.9201966676383</v>
      </c>
      <c r="N28" s="534">
        <f t="shared" ca="1" si="8"/>
        <v>5254.9028632896934</v>
      </c>
      <c r="O28" s="532">
        <f t="shared" ca="1" si="8"/>
        <v>5542.1002844950044</v>
      </c>
      <c r="P28" s="533">
        <f t="shared" ca="1" si="8"/>
        <v>6047.2004951507179</v>
      </c>
      <c r="Q28" s="533">
        <f t="shared" ca="1" si="8"/>
        <v>6427.3170669830233</v>
      </c>
      <c r="R28" s="533">
        <f t="shared" ca="1" si="8"/>
        <v>6764.7940865621686</v>
      </c>
      <c r="S28" s="533">
        <f t="shared" ca="1" si="8"/>
        <v>7153.7785717978923</v>
      </c>
      <c r="T28" s="533">
        <f t="shared" ca="1" si="8"/>
        <v>10681.754669168715</v>
      </c>
      <c r="U28" s="533">
        <f t="shared" ca="1" si="8"/>
        <v>12445.802336367429</v>
      </c>
      <c r="V28" s="533">
        <f t="shared" si="8"/>
        <v>12875.917233793094</v>
      </c>
      <c r="W28" s="533">
        <f t="shared" si="8"/>
        <v>13262.496631235053</v>
      </c>
      <c r="X28" s="533">
        <f t="shared" si="8"/>
        <v>13468.057957802475</v>
      </c>
      <c r="Y28" s="533">
        <f t="shared" ca="1" si="8"/>
        <v>13785.668232648884</v>
      </c>
      <c r="Z28" s="476"/>
      <c r="AA28" s="476"/>
    </row>
    <row r="29" spans="1:27">
      <c r="A29" s="73"/>
      <c r="B29" s="23"/>
      <c r="C29" s="23"/>
      <c r="D29" s="506"/>
      <c r="E29" s="506"/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476"/>
      <c r="AA29" s="476"/>
    </row>
    <row r="30" spans="1:27">
      <c r="A30" s="36"/>
      <c r="B30" s="23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18"/>
      <c r="AA30" s="318"/>
    </row>
    <row r="31" spans="1:27">
      <c r="A31" s="496" t="s">
        <v>279</v>
      </c>
      <c r="B31" s="23"/>
      <c r="C31" s="23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15"/>
      <c r="AA31" s="315"/>
    </row>
    <row r="32" spans="1:27">
      <c r="A32" s="36" t="s">
        <v>265</v>
      </c>
      <c r="B32" s="23"/>
      <c r="C32" s="30"/>
      <c r="D32" s="32">
        <f>D11</f>
        <v>0</v>
      </c>
      <c r="E32" s="32">
        <f t="shared" ref="E32:X32" ca="1" si="9">E11</f>
        <v>8585.2031173885043</v>
      </c>
      <c r="F32" s="32">
        <f t="shared" si="9"/>
        <v>13926.314833695171</v>
      </c>
      <c r="G32" s="32">
        <f t="shared" si="9"/>
        <v>15469.25438452141</v>
      </c>
      <c r="H32" s="32">
        <f t="shared" si="9"/>
        <v>56843.048852023901</v>
      </c>
      <c r="I32" s="32">
        <f t="shared" si="9"/>
        <v>90182.049883763073</v>
      </c>
      <c r="J32" s="32">
        <f t="shared" si="9"/>
        <v>96119.864049081749</v>
      </c>
      <c r="K32" s="32">
        <f t="shared" si="9"/>
        <v>100006.64906105003</v>
      </c>
      <c r="L32" s="32">
        <f t="shared" si="9"/>
        <v>107524.83134316927</v>
      </c>
      <c r="M32" s="32">
        <f t="shared" si="9"/>
        <v>113037.67583889182</v>
      </c>
      <c r="N32" s="32">
        <f t="shared" si="9"/>
        <v>122013.87106044835</v>
      </c>
      <c r="O32" s="32">
        <f t="shared" si="9"/>
        <v>126599.21423059508</v>
      </c>
      <c r="P32" s="32">
        <f t="shared" si="9"/>
        <v>135003.51492429015</v>
      </c>
      <c r="Q32" s="32">
        <f t="shared" si="9"/>
        <v>141112.25867805368</v>
      </c>
      <c r="R32" s="32">
        <f t="shared" si="9"/>
        <v>146768.39319297206</v>
      </c>
      <c r="S32" s="32">
        <f t="shared" si="9"/>
        <v>153022.52553846376</v>
      </c>
      <c r="T32" s="32">
        <f t="shared" si="9"/>
        <v>159946.60199377182</v>
      </c>
      <c r="U32" s="32">
        <f t="shared" si="9"/>
        <v>167078.4173748332</v>
      </c>
      <c r="V32" s="32">
        <f t="shared" si="9"/>
        <v>174130.10996284313</v>
      </c>
      <c r="W32" s="32">
        <f t="shared" si="9"/>
        <v>180468.04219428822</v>
      </c>
      <c r="X32" s="32">
        <f t="shared" si="9"/>
        <v>183838.20047434993</v>
      </c>
      <c r="Y32" s="32">
        <f>Y11</f>
        <v>189045.39054010971</v>
      </c>
      <c r="Z32" s="318"/>
      <c r="AA32" s="318"/>
    </row>
    <row r="33" spans="1:27">
      <c r="A33" s="36" t="s">
        <v>266</v>
      </c>
      <c r="B33" s="23"/>
      <c r="C33" s="30"/>
      <c r="D33" s="32">
        <f>D12</f>
        <v>0</v>
      </c>
      <c r="E33" s="32">
        <f t="shared" ref="E33:X33" si="10">E12</f>
        <v>27601.19172104682</v>
      </c>
      <c r="F33" s="32">
        <f t="shared" si="10"/>
        <v>37944.321060841423</v>
      </c>
      <c r="G33" s="32">
        <f t="shared" si="10"/>
        <v>37944.321060841423</v>
      </c>
      <c r="H33" s="32">
        <f t="shared" si="10"/>
        <v>37944.321060841423</v>
      </c>
      <c r="I33" s="32">
        <f t="shared" si="10"/>
        <v>37944.321060841423</v>
      </c>
      <c r="J33" s="32">
        <f t="shared" si="10"/>
        <v>37944.321060841423</v>
      </c>
      <c r="K33" s="32">
        <f t="shared" si="10"/>
        <v>37944.321060841423</v>
      </c>
      <c r="L33" s="32">
        <f t="shared" si="10"/>
        <v>37944.321060841423</v>
      </c>
      <c r="M33" s="32">
        <f t="shared" si="10"/>
        <v>37944.321060841423</v>
      </c>
      <c r="N33" s="32">
        <f t="shared" si="10"/>
        <v>37944.321060841423</v>
      </c>
      <c r="O33" s="32">
        <f t="shared" si="10"/>
        <v>37944.321060841423</v>
      </c>
      <c r="P33" s="32">
        <f t="shared" si="10"/>
        <v>37944.321060841423</v>
      </c>
      <c r="Q33" s="32">
        <f t="shared" si="10"/>
        <v>37944.321060841423</v>
      </c>
      <c r="R33" s="32">
        <f t="shared" si="10"/>
        <v>37944.321060841423</v>
      </c>
      <c r="S33" s="32">
        <f t="shared" si="10"/>
        <v>37944.321060841423</v>
      </c>
      <c r="T33" s="32">
        <f t="shared" si="10"/>
        <v>37944.321060841423</v>
      </c>
      <c r="U33" s="32">
        <f t="shared" si="10"/>
        <v>37944.321060841423</v>
      </c>
      <c r="V33" s="32">
        <f t="shared" si="10"/>
        <v>37944.321060841423</v>
      </c>
      <c r="W33" s="32">
        <f t="shared" si="10"/>
        <v>37944.321060841423</v>
      </c>
      <c r="X33" s="32">
        <f t="shared" si="10"/>
        <v>37944.321060841423</v>
      </c>
      <c r="Y33" s="32">
        <f>Y12</f>
        <v>36969.321060841423</v>
      </c>
      <c r="Z33" s="318"/>
      <c r="AA33" s="318"/>
    </row>
    <row r="34" spans="1:27">
      <c r="A34" s="36" t="s">
        <v>280</v>
      </c>
      <c r="B34" s="39"/>
      <c r="C34" s="32"/>
      <c r="D34" s="32">
        <f>-Depreciation!G20-Depreciation!G56</f>
        <v>0</v>
      </c>
      <c r="E34" s="32">
        <f>-Depreciation!H20-Depreciation!H56</f>
        <v>-62590.535101402362</v>
      </c>
      <c r="F34" s="32">
        <f>-Depreciation!I20-Depreciation!I56</f>
        <v>-118044.51669266447</v>
      </c>
      <c r="G34" s="32">
        <f>-Depreciation!J20-Depreciation!J56</f>
        <v>-106337.56502339806</v>
      </c>
      <c r="H34" s="32">
        <f>-Depreciation!K20-Depreciation!K56</f>
        <v>-95862.924056159623</v>
      </c>
      <c r="I34" s="32">
        <f>-Depreciation!L20-Depreciation!L56</f>
        <v>-86374.131650543684</v>
      </c>
      <c r="J34" s="32">
        <f>-Depreciation!M20-Depreciation!M56</f>
        <v>-77747.956736347347</v>
      </c>
      <c r="K34" s="32">
        <f>-Depreciation!N20-Depreciation!N56</f>
        <v>-73681.331419654787</v>
      </c>
      <c r="L34" s="32">
        <f>-Depreciation!O20-Depreciation!O56</f>
        <v>-73804.562489857592</v>
      </c>
      <c r="M34" s="32">
        <f>-Depreciation!P20-Depreciation!P56</f>
        <v>-73681.331419654787</v>
      </c>
      <c r="N34" s="32">
        <f>-Depreciation!Q20-Depreciation!Q56</f>
        <v>-73804.562489857592</v>
      </c>
      <c r="O34" s="32">
        <f>-Depreciation!R20-Depreciation!R56</f>
        <v>-73681.331419654787</v>
      </c>
      <c r="P34" s="32">
        <f>-Depreciation!S20-Depreciation!S56</f>
        <v>-73804.562489857592</v>
      </c>
      <c r="Q34" s="32">
        <f>-Depreciation!T20-Depreciation!T56</f>
        <v>-73681.331419654787</v>
      </c>
      <c r="R34" s="32">
        <f>-Depreciation!U20-Depreciation!U56</f>
        <v>-73804.562489857592</v>
      </c>
      <c r="S34" s="32">
        <f>-Depreciation!V20-Depreciation!V56</f>
        <v>-73681.331419654787</v>
      </c>
      <c r="T34" s="32">
        <f>-Depreciation!W20-Depreciation!W56</f>
        <v>-22764.577330827393</v>
      </c>
      <c r="U34" s="32">
        <f>-Depreciation!X20-Depreciation!X56</f>
        <v>-975</v>
      </c>
      <c r="V34" s="32">
        <f>-Depreciation!Y20-Depreciation!Y56</f>
        <v>-975</v>
      </c>
      <c r="W34" s="32">
        <f>-Depreciation!Z20-Depreciation!Z56</f>
        <v>-975</v>
      </c>
      <c r="X34" s="32">
        <f>-Depreciation!AA20-Depreciation!AA56</f>
        <v>-975</v>
      </c>
      <c r="Y34" s="32">
        <f>-Depreciation!AB20-Depreciation!AB56</f>
        <v>0</v>
      </c>
      <c r="Z34" s="318"/>
      <c r="AA34" s="318"/>
    </row>
    <row r="35" spans="1:27" ht="15">
      <c r="A35" s="36" t="s">
        <v>281</v>
      </c>
      <c r="B35" s="39"/>
      <c r="C35" s="39"/>
      <c r="D35" s="507">
        <f>-D28</f>
        <v>0</v>
      </c>
      <c r="E35" s="507">
        <f t="shared" ref="E35:X35" ca="1" si="11">-E28</f>
        <v>0</v>
      </c>
      <c r="F35" s="507">
        <f t="shared" si="11"/>
        <v>0</v>
      </c>
      <c r="G35" s="507">
        <f t="shared" si="11"/>
        <v>0</v>
      </c>
      <c r="H35" s="507">
        <f t="shared" si="11"/>
        <v>0</v>
      </c>
      <c r="I35" s="507">
        <f t="shared" ca="1" si="11"/>
        <v>0</v>
      </c>
      <c r="J35" s="507">
        <f t="shared" ca="1" si="11"/>
        <v>0</v>
      </c>
      <c r="K35" s="507">
        <f t="shared" ca="1" si="11"/>
        <v>-961.3073235473471</v>
      </c>
      <c r="L35" s="507">
        <f t="shared" ca="1" si="11"/>
        <v>-4371.1502387935379</v>
      </c>
      <c r="M35" s="507">
        <f t="shared" ca="1" si="11"/>
        <v>-4714.9201966676383</v>
      </c>
      <c r="N35" s="507">
        <f t="shared" ca="1" si="11"/>
        <v>-5254.9028632896934</v>
      </c>
      <c r="O35" s="507">
        <f t="shared" ca="1" si="11"/>
        <v>-5542.1002844950044</v>
      </c>
      <c r="P35" s="507">
        <f t="shared" ca="1" si="11"/>
        <v>-6047.2004951507179</v>
      </c>
      <c r="Q35" s="507">
        <f t="shared" ca="1" si="11"/>
        <v>-6427.3170669830233</v>
      </c>
      <c r="R35" s="507">
        <f t="shared" ca="1" si="11"/>
        <v>-6764.7940865621686</v>
      </c>
      <c r="S35" s="507">
        <f t="shared" ca="1" si="11"/>
        <v>-7153.7785717978923</v>
      </c>
      <c r="T35" s="507">
        <f t="shared" ca="1" si="11"/>
        <v>-10681.754669168715</v>
      </c>
      <c r="U35" s="507">
        <f t="shared" ca="1" si="11"/>
        <v>-12445.802336367429</v>
      </c>
      <c r="V35" s="507">
        <f t="shared" si="11"/>
        <v>-12875.917233793094</v>
      </c>
      <c r="W35" s="507">
        <f t="shared" si="11"/>
        <v>-13262.496631235053</v>
      </c>
      <c r="X35" s="507">
        <f t="shared" si="11"/>
        <v>-13468.057957802475</v>
      </c>
      <c r="Y35" s="507">
        <f ca="1">-Y28</f>
        <v>-13785.668232648884</v>
      </c>
      <c r="Z35" s="324"/>
      <c r="AA35" s="324"/>
    </row>
    <row r="36" spans="1:27">
      <c r="A36" s="499" t="s">
        <v>282</v>
      </c>
      <c r="B36" s="506"/>
      <c r="C36" s="75"/>
      <c r="D36" s="75">
        <f>SUM(D32:D35)</f>
        <v>0</v>
      </c>
      <c r="E36" s="75">
        <f t="shared" ref="E36:Y36" ca="1" si="12">SUM(E32:E35)</f>
        <v>-26404.140262967034</v>
      </c>
      <c r="F36" s="75">
        <f t="shared" si="12"/>
        <v>-66173.880798127881</v>
      </c>
      <c r="G36" s="75">
        <f t="shared" si="12"/>
        <v>-52923.989578035224</v>
      </c>
      <c r="H36" s="75">
        <f t="shared" si="12"/>
        <v>-1075.5541432942991</v>
      </c>
      <c r="I36" s="75">
        <f t="shared" ca="1" si="12"/>
        <v>41752.239294060812</v>
      </c>
      <c r="J36" s="75">
        <f t="shared" ca="1" si="12"/>
        <v>56316.228373575839</v>
      </c>
      <c r="K36" s="75">
        <f t="shared" ca="1" si="12"/>
        <v>63308.331378689334</v>
      </c>
      <c r="L36" s="75">
        <f t="shared" ca="1" si="12"/>
        <v>67293.439675359579</v>
      </c>
      <c r="M36" s="75">
        <f t="shared" ca="1" si="12"/>
        <v>72585.745283410841</v>
      </c>
      <c r="N36" s="75">
        <f t="shared" ca="1" si="12"/>
        <v>80898.7267681425</v>
      </c>
      <c r="O36" s="75">
        <f t="shared" ca="1" si="12"/>
        <v>85320.103587286721</v>
      </c>
      <c r="P36" s="75">
        <f t="shared" ca="1" si="12"/>
        <v>93096.073000123259</v>
      </c>
      <c r="Q36" s="75">
        <f t="shared" ca="1" si="12"/>
        <v>98947.931252257302</v>
      </c>
      <c r="R36" s="75">
        <f t="shared" ca="1" si="12"/>
        <v>104143.35767739374</v>
      </c>
      <c r="S36" s="75">
        <f t="shared" ca="1" si="12"/>
        <v>110131.73660785248</v>
      </c>
      <c r="T36" s="75">
        <f t="shared" ca="1" si="12"/>
        <v>164444.59105461714</v>
      </c>
      <c r="U36" s="75">
        <f t="shared" ca="1" si="12"/>
        <v>191601.9360993072</v>
      </c>
      <c r="V36" s="75">
        <f t="shared" si="12"/>
        <v>198223.51378989147</v>
      </c>
      <c r="W36" s="75">
        <f t="shared" si="12"/>
        <v>204174.8666238946</v>
      </c>
      <c r="X36" s="75">
        <f t="shared" si="12"/>
        <v>207339.46357738887</v>
      </c>
      <c r="Y36" s="75">
        <f t="shared" ca="1" si="12"/>
        <v>212229.04336830226</v>
      </c>
      <c r="Z36" s="319"/>
      <c r="AA36" s="319"/>
    </row>
    <row r="37" spans="1:27">
      <c r="A37" s="499"/>
      <c r="B37" s="50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319"/>
      <c r="AA37" s="319"/>
    </row>
    <row r="38" spans="1:27">
      <c r="A38" s="36" t="s">
        <v>283</v>
      </c>
      <c r="B38" s="23"/>
      <c r="C38" s="40"/>
      <c r="D38" s="508">
        <f>IF(D4&gt;2020,0,Assumptions!$L$43)</f>
        <v>0.35</v>
      </c>
      <c r="E38" s="508">
        <f>IF(E4&gt;2020,0,Assumptions!$L$43)</f>
        <v>0.35</v>
      </c>
      <c r="F38" s="508">
        <f>IF(F4&gt;2020,0,Assumptions!$L$43)</f>
        <v>0.35</v>
      </c>
      <c r="G38" s="508">
        <f>IF(G4&gt;2020,0,Assumptions!$L$43)</f>
        <v>0.35</v>
      </c>
      <c r="H38" s="508">
        <f>IF(H4&gt;2020,0,Assumptions!$L$43)</f>
        <v>0.35</v>
      </c>
      <c r="I38" s="508">
        <f>IF(I4&gt;2020,0,Assumptions!$L$43)</f>
        <v>0.35</v>
      </c>
      <c r="J38" s="508">
        <f>IF(J4&gt;2020,0,Assumptions!$L$43)</f>
        <v>0.35</v>
      </c>
      <c r="K38" s="508">
        <f>IF(K4&gt;2020,0,Assumptions!$L$43)</f>
        <v>0.35</v>
      </c>
      <c r="L38" s="508">
        <f>IF(L4&gt;2020,0,Assumptions!$L$43)</f>
        <v>0.35</v>
      </c>
      <c r="M38" s="508">
        <f>IF(M4&gt;2020,0,Assumptions!$L$43)</f>
        <v>0.35</v>
      </c>
      <c r="N38" s="508">
        <f>IF(N4&gt;2020,0,Assumptions!$L$43)</f>
        <v>0.35</v>
      </c>
      <c r="O38" s="508">
        <f>IF(O4&gt;2020,0,Assumptions!$L$43)</f>
        <v>0.35</v>
      </c>
      <c r="P38" s="508">
        <f>IF(P4&gt;2020,0,Assumptions!$L$43)</f>
        <v>0.35</v>
      </c>
      <c r="Q38" s="508">
        <f>IF(Q4&gt;2020,0,Assumptions!$L$43)</f>
        <v>0.35</v>
      </c>
      <c r="R38" s="508">
        <f>IF(R4&gt;2020,0,Assumptions!$L$43)</f>
        <v>0.35</v>
      </c>
      <c r="S38" s="508">
        <f>IF(S4&gt;2020,0,Assumptions!$L$43)</f>
        <v>0.35</v>
      </c>
      <c r="T38" s="508">
        <f>IF(T4&gt;2020,0,Assumptions!$L$43)</f>
        <v>0.35</v>
      </c>
      <c r="U38" s="508">
        <f>IF(U4&gt;2020,0,Assumptions!$L$43)</f>
        <v>0.35</v>
      </c>
      <c r="V38" s="508">
        <f>IF(V4&gt;2020,0,Assumptions!$L$43)</f>
        <v>0.35</v>
      </c>
      <c r="W38" s="508">
        <f>IF(W4&gt;2020,0,Assumptions!$L$43)</f>
        <v>0.35</v>
      </c>
      <c r="X38" s="508">
        <f>IF(X4&gt;2020,0,Assumptions!$L$43)</f>
        <v>0.35</v>
      </c>
      <c r="Y38" s="508">
        <f>IF(Y4&gt;2020,0,Assumptions!$L$43)</f>
        <v>0.35</v>
      </c>
      <c r="Z38" s="325"/>
      <c r="AA38" s="325"/>
    </row>
    <row r="39" spans="1:27">
      <c r="A39" s="36" t="s">
        <v>284</v>
      </c>
      <c r="B39" s="39"/>
      <c r="C39" s="32"/>
      <c r="D39" s="539">
        <f>D36*D38</f>
        <v>0</v>
      </c>
      <c r="E39" s="536">
        <f t="shared" ref="E39:Y39" ca="1" si="13">E36*E38</f>
        <v>-9241.4490920384615</v>
      </c>
      <c r="F39" s="536">
        <f t="shared" si="13"/>
        <v>-23160.858279344757</v>
      </c>
      <c r="G39" s="536">
        <f t="shared" si="13"/>
        <v>-18523.396352312328</v>
      </c>
      <c r="H39" s="536">
        <f t="shared" si="13"/>
        <v>-376.44395015300466</v>
      </c>
      <c r="I39" s="536">
        <f t="shared" ca="1" si="13"/>
        <v>14613.283752921283</v>
      </c>
      <c r="J39" s="536">
        <f t="shared" ca="1" si="13"/>
        <v>19710.679930751543</v>
      </c>
      <c r="K39" s="536">
        <f t="shared" ca="1" si="13"/>
        <v>22157.915982541264</v>
      </c>
      <c r="L39" s="536">
        <f t="shared" ca="1" si="13"/>
        <v>23552.70388637585</v>
      </c>
      <c r="M39" s="536">
        <f t="shared" ca="1" si="13"/>
        <v>25405.010849193794</v>
      </c>
      <c r="N39" s="537">
        <f t="shared" ca="1" si="13"/>
        <v>28314.554368849873</v>
      </c>
      <c r="O39" s="539">
        <f t="shared" ca="1" si="13"/>
        <v>29862.036255550349</v>
      </c>
      <c r="P39" s="536">
        <f t="shared" ca="1" si="13"/>
        <v>32583.62555004314</v>
      </c>
      <c r="Q39" s="536">
        <f t="shared" ca="1" si="13"/>
        <v>34631.775938290055</v>
      </c>
      <c r="R39" s="536">
        <f t="shared" ca="1" si="13"/>
        <v>36450.175187087807</v>
      </c>
      <c r="S39" s="536">
        <f t="shared" ca="1" si="13"/>
        <v>38546.107812748363</v>
      </c>
      <c r="T39" s="536">
        <f t="shared" ca="1" si="13"/>
        <v>57555.606869115996</v>
      </c>
      <c r="U39" s="536">
        <f t="shared" ca="1" si="13"/>
        <v>67060.677634757521</v>
      </c>
      <c r="V39" s="536">
        <f t="shared" si="13"/>
        <v>69378.229826462004</v>
      </c>
      <c r="W39" s="536">
        <f t="shared" si="13"/>
        <v>71461.203318363099</v>
      </c>
      <c r="X39" s="536">
        <f t="shared" si="13"/>
        <v>72568.812252086107</v>
      </c>
      <c r="Y39" s="536">
        <f t="shared" ca="1" si="13"/>
        <v>74280.16517890578</v>
      </c>
      <c r="Z39" s="318"/>
      <c r="AA39" s="318"/>
    </row>
    <row r="40" spans="1:27">
      <c r="A40" s="23"/>
      <c r="B40" s="23"/>
      <c r="C40" s="2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15"/>
      <c r="AA40" s="315"/>
    </row>
    <row r="41" spans="1:27">
      <c r="A41" s="23" t="s">
        <v>285</v>
      </c>
      <c r="B41" s="495"/>
      <c r="C41" s="23"/>
      <c r="D41" s="531">
        <f>IF(D39&lt;0,-D39+C41-C42,C41-C42)</f>
        <v>0</v>
      </c>
      <c r="E41" s="531">
        <f ca="1">IF(E39&lt;0,-E39+D41-D42,D41-D42)</f>
        <v>9241.4490920384615</v>
      </c>
      <c r="F41" s="531">
        <f ca="1">IF(F39&lt;0,-F39+E41-E42,E41-E42)</f>
        <v>32402.30737138322</v>
      </c>
      <c r="G41" s="531">
        <f ca="1">IF(G39&lt;0,-G39+F41-F42,F41-F42)</f>
        <v>50925.703723695551</v>
      </c>
      <c r="H41" s="531">
        <f t="shared" ref="H41:Y41" ca="1" si="14">IF(H39&lt;0,-H39+G41-G42,G41-G42)</f>
        <v>51302.147673848558</v>
      </c>
      <c r="I41" s="531">
        <f t="shared" ca="1" si="14"/>
        <v>51302.147673848558</v>
      </c>
      <c r="J41" s="531">
        <f t="shared" ca="1" si="14"/>
        <v>36688.863920927273</v>
      </c>
      <c r="K41" s="531">
        <f t="shared" ca="1" si="14"/>
        <v>16978.18399017573</v>
      </c>
      <c r="L41" s="531">
        <f t="shared" ca="1" si="14"/>
        <v>0</v>
      </c>
      <c r="M41" s="531">
        <f t="shared" ca="1" si="14"/>
        <v>0</v>
      </c>
      <c r="N41" s="531">
        <f t="shared" ca="1" si="14"/>
        <v>0</v>
      </c>
      <c r="O41" s="531">
        <f t="shared" ca="1" si="14"/>
        <v>0</v>
      </c>
      <c r="P41" s="531">
        <f t="shared" ca="1" si="14"/>
        <v>0</v>
      </c>
      <c r="Q41" s="531">
        <f t="shared" ca="1" si="14"/>
        <v>0</v>
      </c>
      <c r="R41" s="531">
        <f t="shared" ca="1" si="14"/>
        <v>0</v>
      </c>
      <c r="S41" s="531">
        <f t="shared" ca="1" si="14"/>
        <v>0</v>
      </c>
      <c r="T41" s="531">
        <f t="shared" ca="1" si="14"/>
        <v>0</v>
      </c>
      <c r="U41" s="531">
        <f t="shared" ca="1" si="14"/>
        <v>0</v>
      </c>
      <c r="V41" s="531">
        <f t="shared" ca="1" si="14"/>
        <v>0</v>
      </c>
      <c r="W41" s="531">
        <f t="shared" ca="1" si="14"/>
        <v>0</v>
      </c>
      <c r="X41" s="531">
        <f t="shared" ca="1" si="14"/>
        <v>0</v>
      </c>
      <c r="Y41" s="531">
        <f t="shared" ca="1" si="14"/>
        <v>0</v>
      </c>
      <c r="Z41" s="318"/>
      <c r="AA41" s="318"/>
    </row>
    <row r="42" spans="1:27">
      <c r="A42" s="23" t="s">
        <v>274</v>
      </c>
      <c r="B42" s="495"/>
      <c r="C42" s="23"/>
      <c r="D42" s="32">
        <v>0</v>
      </c>
      <c r="E42" s="32">
        <f ca="1">IF(E39&lt;0,0,IF(E41&gt;E39,E39,E41))</f>
        <v>0</v>
      </c>
      <c r="F42" s="32">
        <f t="shared" ref="F42:Y42" si="15">IF(F39&lt;0,0,IF(F41&gt;F39,F39,F41))</f>
        <v>0</v>
      </c>
      <c r="G42" s="32">
        <f t="shared" si="15"/>
        <v>0</v>
      </c>
      <c r="H42" s="234">
        <f t="shared" si="15"/>
        <v>0</v>
      </c>
      <c r="I42" s="234">
        <f t="shared" ca="1" si="15"/>
        <v>14613.283752921283</v>
      </c>
      <c r="J42" s="234">
        <f t="shared" ca="1" si="15"/>
        <v>19710.679930751543</v>
      </c>
      <c r="K42" s="234">
        <f t="shared" ca="1" si="15"/>
        <v>16978.18399017573</v>
      </c>
      <c r="L42" s="531">
        <f t="shared" ca="1" si="15"/>
        <v>0</v>
      </c>
      <c r="M42" s="531">
        <f t="shared" ca="1" si="15"/>
        <v>0</v>
      </c>
      <c r="N42" s="531">
        <f t="shared" ca="1" si="15"/>
        <v>0</v>
      </c>
      <c r="O42" s="531">
        <f t="shared" ca="1" si="15"/>
        <v>0</v>
      </c>
      <c r="P42" s="531">
        <f t="shared" ca="1" si="15"/>
        <v>0</v>
      </c>
      <c r="Q42" s="531">
        <f t="shared" ca="1" si="15"/>
        <v>0</v>
      </c>
      <c r="R42" s="531">
        <f t="shared" ca="1" si="15"/>
        <v>0</v>
      </c>
      <c r="S42" s="531">
        <f t="shared" ca="1" si="15"/>
        <v>0</v>
      </c>
      <c r="T42" s="531">
        <f t="shared" ca="1" si="15"/>
        <v>0</v>
      </c>
      <c r="U42" s="531">
        <f t="shared" ca="1" si="15"/>
        <v>0</v>
      </c>
      <c r="V42" s="531">
        <f t="shared" ca="1" si="15"/>
        <v>0</v>
      </c>
      <c r="W42" s="531">
        <f t="shared" ca="1" si="15"/>
        <v>0</v>
      </c>
      <c r="X42" s="531">
        <f t="shared" ca="1" si="15"/>
        <v>0</v>
      </c>
      <c r="Y42" s="531">
        <f t="shared" ca="1" si="15"/>
        <v>0</v>
      </c>
      <c r="Z42" s="477"/>
      <c r="AA42" s="477"/>
    </row>
    <row r="43" spans="1:27">
      <c r="A43" s="23"/>
      <c r="B43" s="495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18"/>
      <c r="AA43" s="318"/>
    </row>
    <row r="44" spans="1:27">
      <c r="A44" s="73" t="s">
        <v>286</v>
      </c>
      <c r="B44" s="495"/>
      <c r="C44" s="73"/>
      <c r="D44" s="509">
        <f t="shared" ref="D44:X44" si="16">IF(D39&lt;0,0,(D39-D42))</f>
        <v>0</v>
      </c>
      <c r="E44" s="509">
        <f t="shared" ca="1" si="16"/>
        <v>0</v>
      </c>
      <c r="F44" s="509">
        <f t="shared" si="16"/>
        <v>0</v>
      </c>
      <c r="G44" s="509">
        <f t="shared" si="16"/>
        <v>0</v>
      </c>
      <c r="H44" s="509">
        <f t="shared" si="16"/>
        <v>0</v>
      </c>
      <c r="I44" s="509">
        <f t="shared" ca="1" si="16"/>
        <v>0</v>
      </c>
      <c r="J44" s="509">
        <f t="shared" ca="1" si="16"/>
        <v>0</v>
      </c>
      <c r="K44" s="509">
        <f t="shared" ca="1" si="16"/>
        <v>5179.7319923655341</v>
      </c>
      <c r="L44" s="509">
        <f t="shared" ca="1" si="16"/>
        <v>23552.70388637585</v>
      </c>
      <c r="M44" s="509">
        <f t="shared" ca="1" si="16"/>
        <v>25405.010849193794</v>
      </c>
      <c r="N44" s="509">
        <f t="shared" ca="1" si="16"/>
        <v>28314.554368849873</v>
      </c>
      <c r="O44" s="509">
        <f t="shared" ca="1" si="16"/>
        <v>29862.036255550349</v>
      </c>
      <c r="P44" s="509">
        <f t="shared" ca="1" si="16"/>
        <v>32583.62555004314</v>
      </c>
      <c r="Q44" s="509">
        <f t="shared" ca="1" si="16"/>
        <v>34631.775938290055</v>
      </c>
      <c r="R44" s="509">
        <f t="shared" ca="1" si="16"/>
        <v>36450.175187087807</v>
      </c>
      <c r="S44" s="509">
        <f t="shared" ca="1" si="16"/>
        <v>38546.107812748363</v>
      </c>
      <c r="T44" s="509">
        <f t="shared" ca="1" si="16"/>
        <v>57555.606869115996</v>
      </c>
      <c r="U44" s="509">
        <f t="shared" ca="1" si="16"/>
        <v>67060.677634757521</v>
      </c>
      <c r="V44" s="509">
        <f t="shared" ca="1" si="16"/>
        <v>69378.229826462004</v>
      </c>
      <c r="W44" s="509">
        <f t="shared" ca="1" si="16"/>
        <v>71461.203318363099</v>
      </c>
      <c r="X44" s="509">
        <f t="shared" ca="1" si="16"/>
        <v>72568.812252086107</v>
      </c>
      <c r="Y44" s="509">
        <f ca="1">IF(Y39&lt;0,0,(Y39-Y42))</f>
        <v>74280.16517890578</v>
      </c>
      <c r="Z44" s="326"/>
      <c r="AA44" s="326"/>
    </row>
    <row r="45" spans="1:27">
      <c r="A45" s="73"/>
      <c r="B45" s="495"/>
      <c r="C45" s="73"/>
      <c r="D45" s="509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09"/>
      <c r="Y45" s="509"/>
      <c r="Z45" s="326"/>
      <c r="AA45" s="326"/>
    </row>
    <row r="46" spans="1:27">
      <c r="A46"/>
      <c r="B46"/>
      <c r="C46"/>
      <c r="D4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318"/>
      <c r="AA46" s="318"/>
    </row>
    <row r="47" spans="1:27">
      <c r="A47"/>
      <c r="B47"/>
      <c r="C47"/>
      <c r="D47"/>
      <c r="Z47" s="8"/>
      <c r="AA47" s="8"/>
    </row>
    <row r="48" spans="1:27">
      <c r="A48"/>
      <c r="B48"/>
      <c r="C48"/>
      <c r="D48"/>
      <c r="E48" s="21"/>
      <c r="Z48" s="8"/>
      <c r="AA48" s="8"/>
    </row>
    <row r="49" spans="1:27">
      <c r="A49"/>
      <c r="B49"/>
      <c r="C49"/>
      <c r="D49"/>
      <c r="Z49" s="8"/>
      <c r="AA49" s="8"/>
    </row>
    <row r="50" spans="1:27">
      <c r="Z50" s="8"/>
      <c r="AA50" s="8"/>
    </row>
    <row r="51" spans="1:27">
      <c r="Z51" s="8"/>
      <c r="AA51" s="8"/>
    </row>
    <row r="52" spans="1:27">
      <c r="Z52" s="8"/>
      <c r="AA52" s="8"/>
    </row>
    <row r="53" spans="1:27">
      <c r="Z53" s="8"/>
      <c r="AA53" s="8"/>
    </row>
    <row r="54" spans="1:27">
      <c r="Z54" s="8"/>
      <c r="AA54" s="8"/>
    </row>
    <row r="55" spans="1:27">
      <c r="Z55" s="8"/>
      <c r="AA55" s="8"/>
    </row>
    <row r="56" spans="1:27">
      <c r="Z56" s="8"/>
      <c r="AA56" s="8"/>
    </row>
  </sheetData>
  <pageMargins left="0.18" right="0.17" top="0.37" bottom="0.4" header="0.17" footer="0.21"/>
  <pageSetup scale="60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120</vt:i4>
      </vt:variant>
    </vt:vector>
  </HeadingPairs>
  <TitlesOfParts>
    <vt:vector size="137" baseType="lpstr">
      <vt:lpstr>Preset Scenarios</vt:lpstr>
      <vt:lpstr>Assumptions</vt:lpstr>
      <vt:lpstr>Power Price Assumption</vt:lpstr>
      <vt:lpstr>IS</vt:lpstr>
      <vt:lpstr>CF</vt:lpstr>
      <vt:lpstr>IRR</vt:lpstr>
      <vt:lpstr>Debt</vt:lpstr>
      <vt:lpstr>Depreciation</vt:lpstr>
      <vt:lpstr>Tax</vt:lpstr>
      <vt:lpstr>Brownsville</vt:lpstr>
      <vt:lpstr>Caledonia</vt:lpstr>
      <vt:lpstr>New Albany</vt:lpstr>
      <vt:lpstr>Calvert</vt:lpstr>
      <vt:lpstr>Wheatland</vt:lpstr>
      <vt:lpstr>Wilton</vt:lpstr>
      <vt:lpstr>EGC Start Charge Matrix</vt:lpstr>
      <vt:lpstr>Allocation</vt:lpstr>
      <vt:lpstr>Calvert!Coso_Distributable_Cash</vt:lpstr>
      <vt:lpstr>'New Albany'!Coso_Distributable_Cash</vt:lpstr>
      <vt:lpstr>Wheatland!Coso_Distributable_Cash</vt:lpstr>
      <vt:lpstr>Calvert!Coso_Net_ATCash</vt:lpstr>
      <vt:lpstr>'New Albany'!Coso_Net_ATCash</vt:lpstr>
      <vt:lpstr>Wheatland!Coso_Net_ATCash</vt:lpstr>
      <vt:lpstr>Calvert!Coso_Net_Income</vt:lpstr>
      <vt:lpstr>'New Albany'!Coso_Net_Income</vt:lpstr>
      <vt:lpstr>Wheatland!Coso_Net_Income</vt:lpstr>
      <vt:lpstr>Calvert!Energy_Credit_Coso</vt:lpstr>
      <vt:lpstr>'New Albany'!Energy_Credit_Coso</vt:lpstr>
      <vt:lpstr>Wheatland!Energy_Credit_Coso</vt:lpstr>
      <vt:lpstr>Calvert!FPOC_Distributable_Cash</vt:lpstr>
      <vt:lpstr>'New Albany'!FPOC_Distributable_Cash</vt:lpstr>
      <vt:lpstr>Wheatland!FPOC_Distributable_Cash</vt:lpstr>
      <vt:lpstr>Calvert!FPOC_Net_ATCash</vt:lpstr>
      <vt:lpstr>'New Albany'!FPOC_Net_ATCash</vt:lpstr>
      <vt:lpstr>Wheatland!FPOC_Net_ATCash</vt:lpstr>
      <vt:lpstr>Calvert!FPOC_Net_Income</vt:lpstr>
      <vt:lpstr>'New Albany'!FPOC_Net_Income</vt:lpstr>
      <vt:lpstr>Wheatland!FPOC_Net_Income</vt:lpstr>
      <vt:lpstr>Calvert!FSGC_ATCash</vt:lpstr>
      <vt:lpstr>'New Albany'!FSGC_ATCash</vt:lpstr>
      <vt:lpstr>Wheatland!FSGC_ATCash</vt:lpstr>
      <vt:lpstr>Calvert!FSGC_Distributable_Cash</vt:lpstr>
      <vt:lpstr>'New Albany'!FSGC_Distributable_Cash</vt:lpstr>
      <vt:lpstr>Wheatland!FSGC_Distributable_Cash</vt:lpstr>
      <vt:lpstr>Calvert!FSGC_Net_Income</vt:lpstr>
      <vt:lpstr>'New Albany'!FSGC_Net_Income</vt:lpstr>
      <vt:lpstr>Wheatland!FSGC_Net_Income</vt:lpstr>
      <vt:lpstr>Calvert!Imperial_Distributable_Cash</vt:lpstr>
      <vt:lpstr>'New Albany'!Imperial_Distributable_Cash</vt:lpstr>
      <vt:lpstr>Wheatland!Imperial_Distributable_Cash</vt:lpstr>
      <vt:lpstr>Calvert!Imperial_Net_Income</vt:lpstr>
      <vt:lpstr>'New Albany'!Imperial_Net_Income</vt:lpstr>
      <vt:lpstr>Wheatland!Imperial_Net_Income</vt:lpstr>
      <vt:lpstr>Calvert!Minerals_Distributable_Cash</vt:lpstr>
      <vt:lpstr>'New Albany'!Minerals_Distributable_Cash</vt:lpstr>
      <vt:lpstr>Wheatland!Minerals_Distributable_Cash</vt:lpstr>
      <vt:lpstr>Calvert!Minerals_Net_ATCash</vt:lpstr>
      <vt:lpstr>'New Albany'!Minerals_Net_ATCash</vt:lpstr>
      <vt:lpstr>Wheatland!Minerals_Net_ATCash</vt:lpstr>
      <vt:lpstr>Calvert!Minerals_Net_Income</vt:lpstr>
      <vt:lpstr>'New Albany'!Minerals_Net_Income</vt:lpstr>
      <vt:lpstr>Wheatland!Minerals_Net_Income</vt:lpstr>
      <vt:lpstr>Calvert!Norcon_Distributable_Cash</vt:lpstr>
      <vt:lpstr>'New Albany'!Norcon_Distributable_Cash</vt:lpstr>
      <vt:lpstr>Wheatland!Norcon_Distributable_Cash</vt:lpstr>
      <vt:lpstr>Calvert!Norcon_Net_ATCash</vt:lpstr>
      <vt:lpstr>'New Albany'!Norcon_Net_ATCash</vt:lpstr>
      <vt:lpstr>Wheatland!Norcon_Net_ATCash</vt:lpstr>
      <vt:lpstr>Calvert!Norcon_Net_Income</vt:lpstr>
      <vt:lpstr>'New Albany'!Norcon_Net_Income</vt:lpstr>
      <vt:lpstr>Wheatland!Norcon_Net_Income</vt:lpstr>
      <vt:lpstr>Calvert!PRI_Cash_Taxes</vt:lpstr>
      <vt:lpstr>'New Albany'!PRI_Cash_Taxes</vt:lpstr>
      <vt:lpstr>Wheatland!PRI_Cash_Taxes</vt:lpstr>
      <vt:lpstr>Calvert!PRI_Net_ATCash</vt:lpstr>
      <vt:lpstr>'New Albany'!PRI_Net_ATCash</vt:lpstr>
      <vt:lpstr>Wheatland!PRI_Net_ATCash</vt:lpstr>
      <vt:lpstr>Calvert!PRI_Net_Income</vt:lpstr>
      <vt:lpstr>'New Albany'!PRI_Net_Income</vt:lpstr>
      <vt:lpstr>Wheatland!PRI_Net_Income</vt:lpstr>
      <vt:lpstr>Assumptions!Print_Area</vt:lpstr>
      <vt:lpstr>Brownsville!Print_Area</vt:lpstr>
      <vt:lpstr>Caledonia!Print_Area</vt:lpstr>
      <vt:lpstr>Calvert!Print_Area</vt:lpstr>
      <vt:lpstr>CF!Print_Area</vt:lpstr>
      <vt:lpstr>Debt!Print_Area</vt:lpstr>
      <vt:lpstr>Depreciation!Print_Area</vt:lpstr>
      <vt:lpstr>'EGC Start Charge Matrix'!Print_Area</vt:lpstr>
      <vt:lpstr>IRR!Print_Area</vt:lpstr>
      <vt:lpstr>IS!Print_Area</vt:lpstr>
      <vt:lpstr>'New Albany'!Print_Area</vt:lpstr>
      <vt:lpstr>'Preset Scenarios'!Print_Area</vt:lpstr>
      <vt:lpstr>Tax!Print_Area</vt:lpstr>
      <vt:lpstr>Wheatland!Print_Area</vt:lpstr>
      <vt:lpstr>Wilton!Print_Area</vt:lpstr>
      <vt:lpstr>Brownsville!Print_Titles</vt:lpstr>
      <vt:lpstr>Caledonia!Print_Titles</vt:lpstr>
      <vt:lpstr>Calvert!Print_Titles</vt:lpstr>
      <vt:lpstr>CF!Print_Titles</vt:lpstr>
      <vt:lpstr>Debt!Print_Titles</vt:lpstr>
      <vt:lpstr>Depreciation!Print_Titles</vt:lpstr>
      <vt:lpstr>IRR!Print_Titles</vt:lpstr>
      <vt:lpstr>IS!Print_Titles</vt:lpstr>
      <vt:lpstr>'New Albany'!Print_Titles</vt:lpstr>
      <vt:lpstr>Tax!Print_Titles</vt:lpstr>
      <vt:lpstr>Wheatland!Print_Titles</vt:lpstr>
      <vt:lpstr>Wilton!Print_Titles</vt:lpstr>
      <vt:lpstr>Calvert!Saranac_Distributable_Cash</vt:lpstr>
      <vt:lpstr>'New Albany'!Saranac_Distributable_Cash</vt:lpstr>
      <vt:lpstr>Wheatland!Saranac_Distributable_Cash</vt:lpstr>
      <vt:lpstr>Calvert!Saranac_Net_ATCash</vt:lpstr>
      <vt:lpstr>'New Albany'!Saranac_Net_ATCash</vt:lpstr>
      <vt:lpstr>Wheatland!Saranac_Net_ATCash</vt:lpstr>
      <vt:lpstr>Calvert!Saranac_Net_Income</vt:lpstr>
      <vt:lpstr>'New Albany'!Saranac_Net_Income</vt:lpstr>
      <vt:lpstr>Wheatland!Saranac_Net_Income</vt:lpstr>
      <vt:lpstr>Calvert!Yuma_Distributable_Cash</vt:lpstr>
      <vt:lpstr>'New Albany'!Yuma_Distributable_Cash</vt:lpstr>
      <vt:lpstr>Wheatland!Yuma_Distributable_Cash</vt:lpstr>
      <vt:lpstr>Calvert!Yuma_Net_ATCash</vt:lpstr>
      <vt:lpstr>'New Albany'!Yuma_Net_ATCash</vt:lpstr>
      <vt:lpstr>Wheatland!Yuma_Net_ATCash</vt:lpstr>
      <vt:lpstr>Calvert!Yuma_Net_Income</vt:lpstr>
      <vt:lpstr>'New Albany'!Yuma_Net_Income</vt:lpstr>
      <vt:lpstr>Wheatland!Yuma_Net_Income</vt:lpstr>
      <vt:lpstr>Calvert!zinc</vt:lpstr>
      <vt:lpstr>'New Albany'!zinc</vt:lpstr>
      <vt:lpstr>Wheatland!zinc</vt:lpstr>
      <vt:lpstr>Calvert!Zinc_Distributable_Cash</vt:lpstr>
      <vt:lpstr>'New Albany'!Zinc_Distributable_Cash</vt:lpstr>
      <vt:lpstr>Wheatland!Zinc_Distributable_Cash</vt:lpstr>
      <vt:lpstr>Calvert!Zinc_Net_ATCash</vt:lpstr>
      <vt:lpstr>'New Albany'!Zinc_Net_ATCash</vt:lpstr>
      <vt:lpstr>Wheatland!Zinc_Net_ATCash</vt:lpstr>
      <vt:lpstr>Calvert!Zinc_Net_Income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1999-12-07T16:02:25Z</cp:lastPrinted>
  <dcterms:created xsi:type="dcterms:W3CDTF">1999-04-02T01:38:38Z</dcterms:created>
  <dcterms:modified xsi:type="dcterms:W3CDTF">2023-09-10T11:57:35Z</dcterms:modified>
</cp:coreProperties>
</file>