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userName="Havlíček Jan" reservationPassword="9455"/>
  <workbookPr backupFile="1"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 yWindow="4740" windowWidth="9696" windowHeight="5976" tabRatio="888"/>
  </bookViews>
  <sheets>
    <sheet name="Tracking sheet" sheetId="15" r:id="rId1"/>
    <sheet name="Value" sheetId="17" r:id="rId2"/>
    <sheet name="Project Assumtions" sheetId="1" r:id="rId3"/>
    <sheet name="PPA Assumptions &amp;Summary" sheetId="2" r:id="rId4"/>
    <sheet name="Operations" sheetId="3" r:id="rId5"/>
    <sheet name="Debt Amortization" sheetId="4" r:id="rId6"/>
    <sheet name="Returns Summary" sheetId="5" r:id="rId7"/>
    <sheet name="Book Income Statement" sheetId="6" r:id="rId8"/>
    <sheet name="Cash Flow Statement" sheetId="7" r:id="rId9"/>
    <sheet name="BS" sheetId="16" r:id="rId10"/>
    <sheet name="Tax Calculations" sheetId="8" r:id="rId11"/>
    <sheet name="Depreciation" sheetId="9" r:id="rId12"/>
    <sheet name="Interest During Construction" sheetId="10" r:id="rId13"/>
    <sheet name="Maintenance Reserves" sheetId="13" r:id="rId14"/>
  </sheets>
  <externalReferences>
    <externalReference r:id="rId15"/>
    <externalReference r:id="rId16"/>
    <externalReference r:id="rId17"/>
    <externalReference r:id="rId18"/>
  </externalReferences>
  <definedNames>
    <definedName name="AnnualHours">'Project Assumtions'!$G$14</definedName>
    <definedName name="AssessedValueMultiplier">'Project Assumtions'!$U$6</definedName>
    <definedName name="BI">'Book Income Statement'!$B$1:$AB$81</definedName>
    <definedName name="BusnIInsr">'Project Assumtions'!$N$32</definedName>
    <definedName name="Cap_Factor_Energy">'Project Assumtions'!$I$23</definedName>
    <definedName name="CF">'Cash Flow Statement'!$A$1:$AB$36</definedName>
    <definedName name="CityTaxRate">'Project Assumtions'!$U$12</definedName>
    <definedName name="CountyMillageTaxRate">'Project Assumtions'!$U$10</definedName>
    <definedName name="Debt">'Debt Amortization'!$A$1:$AC$59</definedName>
    <definedName name="DebtTerm">'Project Assumtions'!$I$39</definedName>
    <definedName name="Deg_Rate">'Project Assumtions'!$F$11</definedName>
    <definedName name="Deprec">Depreciation!$A$1:$AB$64</definedName>
    <definedName name="Ebitda">'Book Income Statement'!$B$63:$AB$63</definedName>
    <definedName name="Energy_Margin">'Project Assumtions'!$F$23</definedName>
    <definedName name="FercMWh">'Project Assumtions'!$N$9</definedName>
    <definedName name="Fixed">'Project Assumtions'!$N$22</definedName>
    <definedName name="FracYr1">'Project Assumtions'!$I$16</definedName>
    <definedName name="Fuel_Start">'Project Assumtions'!$N$16</definedName>
    <definedName name="Grace1">'[2]Project Assumptions'!$F$40</definedName>
    <definedName name="Grace2">'[2]Project Assumptions'!$G$40</definedName>
    <definedName name="Grace3">'[2]Project Assumptions'!$H$40</definedName>
    <definedName name="HeatRate">'Project Assumtions'!$I$12</definedName>
    <definedName name="idc">'Interest During Construction'!$A$1:$I$57</definedName>
    <definedName name="inf_rate">'Maintenance Reserves'!$G$3</definedName>
    <definedName name="_Int1">'Project Assumtions'!$F$40</definedName>
    <definedName name="_Int2">'Project Assumtions'!$G$40</definedName>
    <definedName name="_Int3">'Project Assumtions'!$H$40</definedName>
    <definedName name="InterestExpense">'Debt Amortization'!$D$88:$AC$88</definedName>
    <definedName name="ISO_NetMW">'Project Assumtions'!$I$9</definedName>
    <definedName name="Labor">'Project Assumtions'!$N$21</definedName>
    <definedName name="LiabInsr">'Project Assumtions'!$N$31</definedName>
    <definedName name="MAIN">'Maintenance Reserves'!$A$1:$AB$44</definedName>
    <definedName name="Main_Escal">'Project Assumtions'!$P$15</definedName>
    <definedName name="Main_Start">'Project Assumtions'!$N$15</definedName>
    <definedName name="Main_Table">'Maintenance Reserves'!$E$19:$J$44</definedName>
    <definedName name="MainMWh">'Project Assumtions'!$N$10</definedName>
    <definedName name="Maint_Accrual">'Project Assumtions'!#REF!</definedName>
    <definedName name="NetMW">'Project Assumtions'!$I$10</definedName>
    <definedName name="OM_Escal">'Project Assumtions'!$N$42</definedName>
    <definedName name="Opcostescalation">'Project Assumtions'!$N$43</definedName>
    <definedName name="OpMachInsr">'Project Assumtions'!$N$33</definedName>
    <definedName name="ops">Operations!$A$1:$W$47</definedName>
    <definedName name="Perc_Draw">'Project Assumtions'!$U$13</definedName>
    <definedName name="ppa">'PPA Assumptions &amp;Summary'!$A$1:$AA$86</definedName>
    <definedName name="PPA_Price">'Project Assumtions'!$I$29</definedName>
    <definedName name="PPACAPACITY">'Project Assumtions'!$I$27</definedName>
    <definedName name="PPAHours">'Project Assumtions'!$I$28</definedName>
    <definedName name="PPATerm">'Project Assumtions'!$I$26</definedName>
    <definedName name="principal">'Debt Amortization'!$D$89:$AC$89</definedName>
    <definedName name="Principal1">'Project Assumtions'!$F$38</definedName>
    <definedName name="Principal2">'Project Assumtions'!$G$38</definedName>
    <definedName name="Principal3">'Project Assumtions'!$H$38</definedName>
    <definedName name="_xlnm.Print_Area" localSheetId="7">'Book Income Statement'!$B$1:$X$81</definedName>
    <definedName name="_xlnm.Print_Area" localSheetId="8">'Cash Flow Statement'!$A$1:$X$36</definedName>
    <definedName name="_xlnm.Print_Area" localSheetId="5">'Debt Amortization'!$A$1:$Y$59</definedName>
    <definedName name="_xlnm.Print_Area" localSheetId="11">Depreciation!$A$1:$W$111</definedName>
    <definedName name="_xlnm.Print_Area" localSheetId="13">'Maintenance Reserves'!$A$1:$X$16</definedName>
    <definedName name="_xlnm.Print_Area" localSheetId="4">Operations!$A$1:$W$47</definedName>
    <definedName name="_xlnm.Print_Area" localSheetId="3">'PPA Assumptions &amp;Summary'!$A$1:$V$81</definedName>
    <definedName name="_xlnm.Print_Area" localSheetId="2">'Project Assumtions'!$A$2:$U$77</definedName>
    <definedName name="_xlnm.Print_Area" localSheetId="6">'Returns Summary'!$A$1:$W$42</definedName>
    <definedName name="_xlnm.Print_Area" localSheetId="10">'Tax Calculations'!$A$1:$W$55</definedName>
    <definedName name="_xlnm.Print_Area" localSheetId="0">'Tracking sheet'!$A$1:$G$241</definedName>
    <definedName name="_xlnm.Print_Titles" localSheetId="7">'Book Income Statement'!$B:$C</definedName>
    <definedName name="_xlnm.Print_Titles" localSheetId="8">'Cash Flow Statement'!$A:$C</definedName>
    <definedName name="_xlnm.Print_Titles" localSheetId="5">'Debt Amortization'!$A:$C</definedName>
    <definedName name="_xlnm.Print_Titles" localSheetId="11">Depreciation!$A:$B</definedName>
    <definedName name="_xlnm.Print_Titles" localSheetId="13">'Maintenance Reserves'!$A:$B</definedName>
    <definedName name="_xlnm.Print_Titles" localSheetId="4">Operations!$A:$B</definedName>
    <definedName name="_xlnm.Print_Titles" localSheetId="3">'PPA Assumptions &amp;Summary'!$A:$B</definedName>
    <definedName name="_xlnm.Print_Titles" localSheetId="2">'Project Assumtions'!$1:$4</definedName>
    <definedName name="_xlnm.Print_Titles" localSheetId="6">'Returns Summary'!$A:$B</definedName>
    <definedName name="_xlnm.Print_Titles" localSheetId="10">'Tax Calculations'!$A:$C</definedName>
    <definedName name="_xlnm.Print_Titles" localSheetId="0">'Tracking sheet'!$1:$3</definedName>
    <definedName name="Pro_Ass">'Project Assumtions'!$A$1:$U$72</definedName>
    <definedName name="ProjectLife">'Project Assumtions'!$I$15</definedName>
    <definedName name="Returns">'Returns Summary'!$A$1:$AA$42</definedName>
    <definedName name="s">'Tracking sheet'!$A$6:$X$12</definedName>
    <definedName name="SchoolMillageTaxRate">'Project Assumtions'!$U$7</definedName>
    <definedName name="solver_adj" localSheetId="2" hidden="1">'Project Assumtions'!$I$29</definedName>
    <definedName name="solver_cvg" localSheetId="2" hidden="1">0.001</definedName>
    <definedName name="solver_drv" localSheetId="2" hidden="1">1</definedName>
    <definedName name="solver_est" localSheetId="2" hidden="1">1</definedName>
    <definedName name="solver_itr" localSheetId="2" hidden="1">100</definedName>
    <definedName name="solver_lin" localSheetId="2" hidden="1">2</definedName>
    <definedName name="solver_neg" localSheetId="2" hidden="1">2</definedName>
    <definedName name="solver_num" localSheetId="2" hidden="1">0</definedName>
    <definedName name="solver_nwt" localSheetId="2" hidden="1">1</definedName>
    <definedName name="solver_opt" localSheetId="2" hidden="1">'Project Assumtions'!$I$60</definedName>
    <definedName name="solver_pre" localSheetId="2" hidden="1">0.000001</definedName>
    <definedName name="solver_scl" localSheetId="2" hidden="1">2</definedName>
    <definedName name="solver_sho" localSheetId="2" hidden="1">2</definedName>
    <definedName name="solver_tim" localSheetId="2" hidden="1">100</definedName>
    <definedName name="solver_tol" localSheetId="2" hidden="1">0.05</definedName>
    <definedName name="solver_typ" localSheetId="2" hidden="1">3</definedName>
    <definedName name="solver_val" localSheetId="2" hidden="1">0.12</definedName>
    <definedName name="StartDate">'Project Assumtions'!$G$16</definedName>
    <definedName name="StartMWh">'Project Assumtions'!#REF!</definedName>
    <definedName name="Tax">'Tax Calculations'!$A$1:$AB$64</definedName>
    <definedName name="Term1">'Project Assumtions'!$F$39</definedName>
    <definedName name="Term2">'Project Assumtions'!$G$39</definedName>
    <definedName name="Term3">'Project Assumtions'!$H$39</definedName>
    <definedName name="TVA_hours">'Project Assumtions'!$I$14</definedName>
    <definedName name="Variable">'Project Assumtions'!$L$10</definedName>
    <definedName name="VariableMwh">'Project Assumtions'!$N$11</definedName>
    <definedName name="VEP">'Project Assumtions'!$F$21</definedName>
    <definedName name="VEP_ESCAL">'Project Assumtions'!$I$21</definedName>
    <definedName name="WaterMWh">'Project Assumtions'!$N$8</definedName>
    <definedName name="WaterTreatmentVar">'Project Assumtions'!$L$8</definedName>
    <definedName name="wrn.test1." localSheetId="5" hidden="1">{"Income Statement",#N/A,FALSE,"CFMODEL";"Balance Sheet",#N/A,FALSE,"CFMODEL"}</definedName>
    <definedName name="wrn.test1." localSheetId="13" hidden="1">{"Income Statement",#N/A,FALSE,"CFMODEL";"Balance Sheet",#N/A,FALSE,"CFMODEL"}</definedName>
    <definedName name="wrn.test1." localSheetId="6" hidden="1">{"Income Statement",#N/A,FALSE,"CFMODEL";"Balance Sheet",#N/A,FALSE,"CFMODEL"}</definedName>
    <definedName name="wrn.test1." hidden="1">{"Income Statement",#N/A,FALSE,"CFMODEL";"Balance Sheet",#N/A,FALSE,"CFMODEL"}</definedName>
    <definedName name="wrn.test2." localSheetId="5" hidden="1">{"SourcesUses",#N/A,TRUE,"CFMODEL";"TransOverview",#N/A,TRUE,"CFMODEL"}</definedName>
    <definedName name="wrn.test2." localSheetId="13" hidden="1">{"SourcesUses",#N/A,TRUE,"CFMODEL";"TransOverview",#N/A,TRUE,"CFMODEL"}</definedName>
    <definedName name="wrn.test2." localSheetId="6" hidden="1">{"SourcesUses",#N/A,TRUE,"CFMODEL";"TransOverview",#N/A,TRUE,"CFMODEL"}</definedName>
    <definedName name="wrn.test2." hidden="1">{"SourcesUses",#N/A,TRUE,"CFMODEL";"TransOverview",#N/A,TRUE,"CFMODEL"}</definedName>
    <definedName name="wrn.test3." localSheetId="5" hidden="1">{"SourcesUses",#N/A,TRUE,#N/A;"TransOverview",#N/A,TRUE,"CFMODEL"}</definedName>
    <definedName name="wrn.test3." localSheetId="13" hidden="1">{"SourcesUses",#N/A,TRUE,#N/A;"TransOverview",#N/A,TRUE,"CFMODEL"}</definedName>
    <definedName name="wrn.test3." localSheetId="6" hidden="1">{"SourcesUses",#N/A,TRUE,#N/A;"TransOverview",#N/A,TRUE,"CFMODEL"}</definedName>
    <definedName name="wrn.test3." hidden="1">{"SourcesUses",#N/A,TRUE,#N/A;"TransOverview",#N/A,TRUE,"CFMODEL"}</definedName>
    <definedName name="wrn.test4." localSheetId="5" hidden="1">{"SourcesUses",#N/A,TRUE,"FundsFlow";"TransOverview",#N/A,TRUE,"FundsFlow"}</definedName>
    <definedName name="wrn.test4." localSheetId="13" hidden="1">{"SourcesUses",#N/A,TRUE,"FundsFlow";"TransOverview",#N/A,TRUE,"FundsFlow"}</definedName>
    <definedName name="wrn.test4." localSheetId="6" hidden="1">{"SourcesUses",#N/A,TRUE,"FundsFlow";"TransOverview",#N/A,TRUE,"FundsFlow"}</definedName>
    <definedName name="wrn.test4." hidden="1">{"SourcesUses",#N/A,TRUE,"FundsFlow";"TransOverview",#N/A,TRUE,"FundsFlow"}</definedName>
    <definedName name="Z_14FB3146_3CEF_11D2_B9CE_0060080D6A65_.wvu.PrintArea" localSheetId="13" hidden="1">'Maintenance Reserves'!$C$1:$AB$34</definedName>
    <definedName name="Z_14FB3146_3CEF_11D2_B9CE_0060080D6A65_.wvu.PrintTitles" localSheetId="13" hidden="1">'Maintenance Reserves'!$A:$B</definedName>
    <definedName name="Z_14FB3146_3CEF_11D2_B9CE_0060080D6A65_.wvu.Rows" localSheetId="13" hidden="1">'Maintenance Reserves'!$15:$15,'Maintenance Reserves'!$27:$34</definedName>
    <definedName name="Z_87D5054C_0AAC_11D2_824B_00A0D1027254_.wvu.PrintArea" localSheetId="12" hidden="1">'Interest During Construction'!$A$2:$I$63</definedName>
    <definedName name="Z_9D7575BF_255B_11D2_8267_00A0D1027254_.wvu.PrintArea" localSheetId="7" hidden="1">'Book Income Statement'!$B$1:$AB$81</definedName>
    <definedName name="Z_9D7575BF_255B_11D2_8267_00A0D1027254_.wvu.PrintArea" localSheetId="8" hidden="1">'Cash Flow Statement'!$D$1:$AB$36</definedName>
    <definedName name="Z_9D7575BF_255B_11D2_8267_00A0D1027254_.wvu.PrintArea" localSheetId="13" hidden="1">'Maintenance Reserves'!$C$1:$AB$34</definedName>
    <definedName name="Z_9D7575BF_255B_11D2_8267_00A0D1027254_.wvu.PrintArea" localSheetId="2" hidden="1">'Project Assumtions'!$A$1:$N$62</definedName>
    <definedName name="Z_9D7575BF_255B_11D2_8267_00A0D1027254_.wvu.PrintArea" localSheetId="6" hidden="1">'Returns Summary'!$C$1:$AA$37</definedName>
    <definedName name="Z_9D7575BF_255B_11D2_8267_00A0D1027254_.wvu.PrintTitles" localSheetId="5" hidden="1">'Debt Amortization'!$A:$B</definedName>
    <definedName name="Z_9D7575BF_255B_11D2_8267_00A0D1027254_.wvu.PrintTitles" localSheetId="13" hidden="1">'Maintenance Reserves'!$A:$B</definedName>
    <definedName name="Z_9D7575BF_255B_11D2_8267_00A0D1027254_.wvu.Rows" localSheetId="7" hidden="1">'Book Income Statement'!$5:$8,'Book Income Statement'!#REF!</definedName>
    <definedName name="Z_9D7575BF_255B_11D2_8267_00A0D1027254_.wvu.Rows" localSheetId="13" hidden="1">'Maintenance Reserves'!$15:$15,'Maintenance Reserves'!$27:$34</definedName>
  </definedNames>
  <calcPr calcId="0" fullCalcOnLoad="1"/>
  <customWorkbookViews>
    <customWorkbookView name="Bryan Garrett - Personal View" guid="{9D7575BF-255B-11D2-8267-00A0D1027254}" autoUpdate="1" mergeInterval="30" personalView="1" maximized="1" windowWidth="1020" windowHeight="621" activeSheetId="1"/>
    <customWorkbookView name="slewis - Personal View" guid="{773475A7-2559-11D2-A5F6-0060080AEB13}" mergeInterval="0" personalView="1" maximized="1" windowWidth="1020" windowHeight="554" activeSheetId="5"/>
  </customWorkbookViews>
</workbook>
</file>

<file path=xl/calcChain.xml><?xml version="1.0" encoding="utf-8"?>
<calcChain xmlns="http://schemas.openxmlformats.org/spreadsheetml/2006/main">
  <c r="B1" i="6" l="1"/>
  <c r="E3" i="6"/>
  <c r="F3" i="6"/>
  <c r="G3" i="6"/>
  <c r="H3" i="6"/>
  <c r="I3" i="6"/>
  <c r="J3" i="6"/>
  <c r="K3" i="6"/>
  <c r="L3" i="6"/>
  <c r="M3" i="6"/>
  <c r="N3" i="6"/>
  <c r="O3" i="6"/>
  <c r="P3" i="6"/>
  <c r="Q3" i="6"/>
  <c r="R3" i="6"/>
  <c r="S3" i="6"/>
  <c r="T3" i="6"/>
  <c r="U3" i="6"/>
  <c r="V3" i="6"/>
  <c r="W3" i="6"/>
  <c r="X3" i="6"/>
  <c r="Y3" i="6"/>
  <c r="Z3" i="6"/>
  <c r="AA3" i="6"/>
  <c r="AB3" i="6"/>
  <c r="D4" i="6"/>
  <c r="E4" i="6"/>
  <c r="F4" i="6"/>
  <c r="G4" i="6"/>
  <c r="H4" i="6"/>
  <c r="I4" i="6"/>
  <c r="J4" i="6"/>
  <c r="K4" i="6"/>
  <c r="L4" i="6"/>
  <c r="M4" i="6"/>
  <c r="N4" i="6"/>
  <c r="O4" i="6"/>
  <c r="P4" i="6"/>
  <c r="Q4" i="6"/>
  <c r="R4" i="6"/>
  <c r="S4" i="6"/>
  <c r="T4" i="6"/>
  <c r="U4" i="6"/>
  <c r="V4" i="6"/>
  <c r="W4" i="6"/>
  <c r="X4" i="6"/>
  <c r="Y4" i="6"/>
  <c r="Z4" i="6"/>
  <c r="AA4" i="6"/>
  <c r="AB4" i="6"/>
  <c r="B5" i="6"/>
  <c r="D5" i="6"/>
  <c r="E5" i="6"/>
  <c r="F5" i="6"/>
  <c r="G5" i="6"/>
  <c r="H5" i="6"/>
  <c r="I5" i="6"/>
  <c r="J5" i="6"/>
  <c r="K5" i="6"/>
  <c r="L5" i="6"/>
  <c r="M5" i="6"/>
  <c r="N5" i="6"/>
  <c r="O5" i="6"/>
  <c r="P5" i="6"/>
  <c r="Q5" i="6"/>
  <c r="R5" i="6"/>
  <c r="S5" i="6"/>
  <c r="T5" i="6"/>
  <c r="U5" i="6"/>
  <c r="V5" i="6"/>
  <c r="W5" i="6"/>
  <c r="X5" i="6"/>
  <c r="Y5" i="6"/>
  <c r="Z5" i="6"/>
  <c r="AA5" i="6"/>
  <c r="AB5" i="6"/>
  <c r="B6" i="6"/>
  <c r="D6" i="6"/>
  <c r="E6" i="6"/>
  <c r="F6" i="6"/>
  <c r="G6" i="6"/>
  <c r="H6" i="6"/>
  <c r="I6" i="6"/>
  <c r="J6" i="6"/>
  <c r="K6" i="6"/>
  <c r="L6" i="6"/>
  <c r="M6" i="6"/>
  <c r="N6" i="6"/>
  <c r="O6" i="6"/>
  <c r="P6" i="6"/>
  <c r="Q6" i="6"/>
  <c r="R6" i="6"/>
  <c r="S6" i="6"/>
  <c r="T6" i="6"/>
  <c r="U6" i="6"/>
  <c r="V6" i="6"/>
  <c r="W6" i="6"/>
  <c r="X6" i="6"/>
  <c r="Y6" i="6"/>
  <c r="Z6" i="6"/>
  <c r="AA6" i="6"/>
  <c r="AB6" i="6"/>
  <c r="B7" i="6"/>
  <c r="D7" i="6"/>
  <c r="E7" i="6"/>
  <c r="F7" i="6"/>
  <c r="G7" i="6"/>
  <c r="H7" i="6"/>
  <c r="I7" i="6"/>
  <c r="J7" i="6"/>
  <c r="K7" i="6"/>
  <c r="L7" i="6"/>
  <c r="M7" i="6"/>
  <c r="N7" i="6"/>
  <c r="O7" i="6"/>
  <c r="P7" i="6"/>
  <c r="Q7" i="6"/>
  <c r="R7" i="6"/>
  <c r="S7" i="6"/>
  <c r="T7" i="6"/>
  <c r="U7" i="6"/>
  <c r="V7" i="6"/>
  <c r="W7" i="6"/>
  <c r="X7" i="6"/>
  <c r="Y7" i="6"/>
  <c r="Z7" i="6"/>
  <c r="AA7" i="6"/>
  <c r="AB7" i="6"/>
  <c r="D10" i="6"/>
  <c r="E10" i="6"/>
  <c r="F10" i="6"/>
  <c r="G10" i="6"/>
  <c r="H10" i="6"/>
  <c r="I10" i="6"/>
  <c r="J10" i="6"/>
  <c r="K10" i="6"/>
  <c r="L10" i="6"/>
  <c r="M10" i="6"/>
  <c r="N10" i="6"/>
  <c r="O10" i="6"/>
  <c r="P10" i="6"/>
  <c r="Q10" i="6"/>
  <c r="R10" i="6"/>
  <c r="S10" i="6"/>
  <c r="T10" i="6"/>
  <c r="U10" i="6"/>
  <c r="V10" i="6"/>
  <c r="W10" i="6"/>
  <c r="X10" i="6"/>
  <c r="Y10" i="6"/>
  <c r="Z10" i="6"/>
  <c r="AA10" i="6"/>
  <c r="AB10" i="6"/>
  <c r="D11" i="6"/>
  <c r="E11" i="6"/>
  <c r="F11" i="6"/>
  <c r="G11" i="6"/>
  <c r="H11" i="6"/>
  <c r="I11" i="6"/>
  <c r="J11" i="6"/>
  <c r="K11" i="6"/>
  <c r="L11" i="6"/>
  <c r="M11" i="6"/>
  <c r="N11" i="6"/>
  <c r="O11" i="6"/>
  <c r="P11" i="6"/>
  <c r="Q11" i="6"/>
  <c r="R11" i="6"/>
  <c r="S11" i="6"/>
  <c r="T11" i="6"/>
  <c r="U11" i="6"/>
  <c r="V11" i="6"/>
  <c r="W11" i="6"/>
  <c r="X11" i="6"/>
  <c r="Y11" i="6"/>
  <c r="Z11" i="6"/>
  <c r="AA11" i="6"/>
  <c r="AB11" i="6"/>
  <c r="D12" i="6"/>
  <c r="E12" i="6"/>
  <c r="F12" i="6"/>
  <c r="G12" i="6"/>
  <c r="H12" i="6"/>
  <c r="I12" i="6"/>
  <c r="J12" i="6"/>
  <c r="K12" i="6"/>
  <c r="L12" i="6"/>
  <c r="M12" i="6"/>
  <c r="N12" i="6"/>
  <c r="O12" i="6"/>
  <c r="P12" i="6"/>
  <c r="Q12" i="6"/>
  <c r="R12" i="6"/>
  <c r="S12" i="6"/>
  <c r="T12" i="6"/>
  <c r="U12" i="6"/>
  <c r="V12" i="6"/>
  <c r="W12" i="6"/>
  <c r="X12" i="6"/>
  <c r="Y12" i="6"/>
  <c r="Z12" i="6"/>
  <c r="AA12" i="6"/>
  <c r="AB12" i="6"/>
  <c r="D13" i="6"/>
  <c r="E13" i="6"/>
  <c r="F13" i="6"/>
  <c r="G13" i="6"/>
  <c r="H13" i="6"/>
  <c r="I13" i="6"/>
  <c r="J13" i="6"/>
  <c r="K13" i="6"/>
  <c r="L13" i="6"/>
  <c r="M13" i="6"/>
  <c r="N13" i="6"/>
  <c r="O13" i="6"/>
  <c r="P13" i="6"/>
  <c r="Q13" i="6"/>
  <c r="R13" i="6"/>
  <c r="S13" i="6"/>
  <c r="T13" i="6"/>
  <c r="U13" i="6"/>
  <c r="V13" i="6"/>
  <c r="W13" i="6"/>
  <c r="X13" i="6"/>
  <c r="Y13" i="6"/>
  <c r="Z13" i="6"/>
  <c r="AA13" i="6"/>
  <c r="AB13" i="6"/>
  <c r="D14" i="6"/>
  <c r="E14" i="6"/>
  <c r="F14" i="6"/>
  <c r="G14" i="6"/>
  <c r="H14" i="6"/>
  <c r="I14" i="6"/>
  <c r="J14" i="6"/>
  <c r="K14" i="6"/>
  <c r="L14" i="6"/>
  <c r="M14" i="6"/>
  <c r="N14" i="6"/>
  <c r="O14" i="6"/>
  <c r="P14" i="6"/>
  <c r="Q14" i="6"/>
  <c r="R14" i="6"/>
  <c r="S14" i="6"/>
  <c r="T14" i="6"/>
  <c r="U14" i="6"/>
  <c r="V14" i="6"/>
  <c r="W14" i="6"/>
  <c r="X14" i="6"/>
  <c r="Y14" i="6"/>
  <c r="Z14" i="6"/>
  <c r="AA14" i="6"/>
  <c r="AB14" i="6"/>
  <c r="D15" i="6"/>
  <c r="E15" i="6"/>
  <c r="F15" i="6"/>
  <c r="G15" i="6"/>
  <c r="H15" i="6"/>
  <c r="I15" i="6"/>
  <c r="J15" i="6"/>
  <c r="K15" i="6"/>
  <c r="L15" i="6"/>
  <c r="M15" i="6"/>
  <c r="N15" i="6"/>
  <c r="O15" i="6"/>
  <c r="P15" i="6"/>
  <c r="Q15" i="6"/>
  <c r="R15" i="6"/>
  <c r="S15" i="6"/>
  <c r="T15" i="6"/>
  <c r="U15" i="6"/>
  <c r="V15" i="6"/>
  <c r="W15" i="6"/>
  <c r="X15" i="6"/>
  <c r="Y15" i="6"/>
  <c r="Z15" i="6"/>
  <c r="AA15" i="6"/>
  <c r="AB15" i="6"/>
  <c r="D16" i="6"/>
  <c r="E16" i="6"/>
  <c r="F16" i="6"/>
  <c r="G16" i="6"/>
  <c r="H16" i="6"/>
  <c r="I16" i="6"/>
  <c r="J16" i="6"/>
  <c r="K16" i="6"/>
  <c r="L16" i="6"/>
  <c r="M16" i="6"/>
  <c r="N16" i="6"/>
  <c r="O16" i="6"/>
  <c r="P16" i="6"/>
  <c r="Q16" i="6"/>
  <c r="R16" i="6"/>
  <c r="S16" i="6"/>
  <c r="T16" i="6"/>
  <c r="U16" i="6"/>
  <c r="V16" i="6"/>
  <c r="W16" i="6"/>
  <c r="X16" i="6"/>
  <c r="Y16" i="6"/>
  <c r="Z16" i="6"/>
  <c r="AA16" i="6"/>
  <c r="AB16" i="6"/>
  <c r="D17" i="6"/>
  <c r="E17" i="6"/>
  <c r="F17" i="6"/>
  <c r="G17" i="6"/>
  <c r="H17" i="6"/>
  <c r="I17" i="6"/>
  <c r="J17" i="6"/>
  <c r="K17" i="6"/>
  <c r="L17" i="6"/>
  <c r="M17" i="6"/>
  <c r="N17" i="6"/>
  <c r="O17" i="6"/>
  <c r="P17" i="6"/>
  <c r="Q17" i="6"/>
  <c r="R17" i="6"/>
  <c r="S17" i="6"/>
  <c r="T17" i="6"/>
  <c r="U17" i="6"/>
  <c r="V17" i="6"/>
  <c r="W17" i="6"/>
  <c r="X17" i="6"/>
  <c r="Y17" i="6"/>
  <c r="Z17" i="6"/>
  <c r="AA17" i="6"/>
  <c r="AB17" i="6"/>
  <c r="D22" i="6"/>
  <c r="E22" i="6"/>
  <c r="F22" i="6"/>
  <c r="G22" i="6"/>
  <c r="H22" i="6"/>
  <c r="I22" i="6"/>
  <c r="J22" i="6"/>
  <c r="K22" i="6"/>
  <c r="L22" i="6"/>
  <c r="M22" i="6"/>
  <c r="N22" i="6"/>
  <c r="O22" i="6"/>
  <c r="P22" i="6"/>
  <c r="Q22" i="6"/>
  <c r="R22" i="6"/>
  <c r="S22" i="6"/>
  <c r="T22" i="6"/>
  <c r="U22" i="6"/>
  <c r="V22" i="6"/>
  <c r="W22" i="6"/>
  <c r="X22" i="6"/>
  <c r="Y22" i="6"/>
  <c r="Z22" i="6"/>
  <c r="AA22" i="6"/>
  <c r="AB22" i="6"/>
  <c r="D24" i="6"/>
  <c r="E24" i="6"/>
  <c r="F24" i="6"/>
  <c r="G24" i="6"/>
  <c r="H24" i="6"/>
  <c r="I24" i="6"/>
  <c r="J24" i="6"/>
  <c r="K24" i="6"/>
  <c r="L24" i="6"/>
  <c r="M24" i="6"/>
  <c r="N24" i="6"/>
  <c r="O24" i="6"/>
  <c r="P24" i="6"/>
  <c r="Q24" i="6"/>
  <c r="R24" i="6"/>
  <c r="S24" i="6"/>
  <c r="T24" i="6"/>
  <c r="U24" i="6"/>
  <c r="V24" i="6"/>
  <c r="W24" i="6"/>
  <c r="X24" i="6"/>
  <c r="Y24" i="6"/>
  <c r="Z24" i="6"/>
  <c r="AA24" i="6"/>
  <c r="AB24" i="6"/>
  <c r="D25" i="6"/>
  <c r="E25" i="6"/>
  <c r="F25" i="6"/>
  <c r="G25" i="6"/>
  <c r="H25" i="6"/>
  <c r="I25" i="6"/>
  <c r="J25" i="6"/>
  <c r="K25" i="6"/>
  <c r="L25" i="6"/>
  <c r="M25" i="6"/>
  <c r="N25" i="6"/>
  <c r="O25" i="6"/>
  <c r="P25" i="6"/>
  <c r="Q25" i="6"/>
  <c r="R25" i="6"/>
  <c r="S25" i="6"/>
  <c r="T25" i="6"/>
  <c r="U25" i="6"/>
  <c r="V25" i="6"/>
  <c r="W25" i="6"/>
  <c r="X25" i="6"/>
  <c r="Y25" i="6"/>
  <c r="Z25" i="6"/>
  <c r="AA25" i="6"/>
  <c r="AB25" i="6"/>
  <c r="D26" i="6"/>
  <c r="E26" i="6"/>
  <c r="F26" i="6"/>
  <c r="G26" i="6"/>
  <c r="H26" i="6"/>
  <c r="I26" i="6"/>
  <c r="J26" i="6"/>
  <c r="K26" i="6"/>
  <c r="L26" i="6"/>
  <c r="M26" i="6"/>
  <c r="N26" i="6"/>
  <c r="O26" i="6"/>
  <c r="P26" i="6"/>
  <c r="Q26" i="6"/>
  <c r="R26" i="6"/>
  <c r="S26" i="6"/>
  <c r="T26" i="6"/>
  <c r="U26" i="6"/>
  <c r="V26" i="6"/>
  <c r="W26" i="6"/>
  <c r="X26" i="6"/>
  <c r="Y26" i="6"/>
  <c r="Z26" i="6"/>
  <c r="AA26" i="6"/>
  <c r="AB26" i="6"/>
  <c r="C27" i="6"/>
  <c r="D27" i="6"/>
  <c r="E27" i="6"/>
  <c r="F27" i="6"/>
  <c r="G27" i="6"/>
  <c r="H27" i="6"/>
  <c r="I27" i="6"/>
  <c r="J27" i="6"/>
  <c r="K27" i="6"/>
  <c r="L27" i="6"/>
  <c r="M27" i="6"/>
  <c r="N27" i="6"/>
  <c r="O27" i="6"/>
  <c r="P27" i="6"/>
  <c r="Q27" i="6"/>
  <c r="R27" i="6"/>
  <c r="S27" i="6"/>
  <c r="T27" i="6"/>
  <c r="U27" i="6"/>
  <c r="V27" i="6"/>
  <c r="W27" i="6"/>
  <c r="X27" i="6"/>
  <c r="Y27" i="6"/>
  <c r="Z27" i="6"/>
  <c r="AA27" i="6"/>
  <c r="AB27" i="6"/>
  <c r="D28" i="6"/>
  <c r="E28" i="6"/>
  <c r="F28" i="6"/>
  <c r="G28" i="6"/>
  <c r="H28" i="6"/>
  <c r="I28" i="6"/>
  <c r="J28" i="6"/>
  <c r="K28" i="6"/>
  <c r="L28" i="6"/>
  <c r="M28" i="6"/>
  <c r="N28" i="6"/>
  <c r="O28" i="6"/>
  <c r="P28" i="6"/>
  <c r="Q28" i="6"/>
  <c r="R28" i="6"/>
  <c r="S28" i="6"/>
  <c r="T28" i="6"/>
  <c r="U28" i="6"/>
  <c r="V28" i="6"/>
  <c r="W28" i="6"/>
  <c r="X28" i="6"/>
  <c r="Y28" i="6"/>
  <c r="Z28" i="6"/>
  <c r="AA28" i="6"/>
  <c r="AB28" i="6"/>
  <c r="C31" i="6"/>
  <c r="D31" i="6"/>
  <c r="E31" i="6"/>
  <c r="F31" i="6"/>
  <c r="G31" i="6"/>
  <c r="H31" i="6"/>
  <c r="I31" i="6"/>
  <c r="J31" i="6"/>
  <c r="K31" i="6"/>
  <c r="L31" i="6"/>
  <c r="M31" i="6"/>
  <c r="N31" i="6"/>
  <c r="O31" i="6"/>
  <c r="P31" i="6"/>
  <c r="Q31" i="6"/>
  <c r="R31" i="6"/>
  <c r="S31" i="6"/>
  <c r="T31" i="6"/>
  <c r="U31" i="6"/>
  <c r="V31" i="6"/>
  <c r="W31" i="6"/>
  <c r="X31" i="6"/>
  <c r="Y31" i="6"/>
  <c r="Z31" i="6"/>
  <c r="AA31" i="6"/>
  <c r="AB31" i="6"/>
  <c r="C32" i="6"/>
  <c r="D32" i="6"/>
  <c r="E32" i="6"/>
  <c r="F32" i="6"/>
  <c r="G32" i="6"/>
  <c r="H32" i="6"/>
  <c r="I32" i="6"/>
  <c r="J32" i="6"/>
  <c r="K32" i="6"/>
  <c r="L32" i="6"/>
  <c r="M32" i="6"/>
  <c r="N32" i="6"/>
  <c r="O32" i="6"/>
  <c r="P32" i="6"/>
  <c r="Q32" i="6"/>
  <c r="R32" i="6"/>
  <c r="S32" i="6"/>
  <c r="T32" i="6"/>
  <c r="U32" i="6"/>
  <c r="V32" i="6"/>
  <c r="W32" i="6"/>
  <c r="X32" i="6"/>
  <c r="Y32" i="6"/>
  <c r="Z32" i="6"/>
  <c r="AA32" i="6"/>
  <c r="AB32" i="6"/>
  <c r="D33" i="6"/>
  <c r="E33" i="6"/>
  <c r="F33" i="6"/>
  <c r="G33" i="6"/>
  <c r="H33" i="6"/>
  <c r="I33" i="6"/>
  <c r="J33" i="6"/>
  <c r="K33" i="6"/>
  <c r="L33" i="6"/>
  <c r="M33" i="6"/>
  <c r="N33" i="6"/>
  <c r="O33" i="6"/>
  <c r="P33" i="6"/>
  <c r="Q33" i="6"/>
  <c r="R33" i="6"/>
  <c r="S33" i="6"/>
  <c r="T33" i="6"/>
  <c r="U33" i="6"/>
  <c r="V33" i="6"/>
  <c r="W33" i="6"/>
  <c r="X33" i="6"/>
  <c r="Y33" i="6"/>
  <c r="Z33" i="6"/>
  <c r="AA33" i="6"/>
  <c r="AB33" i="6"/>
  <c r="C36" i="6"/>
  <c r="D36" i="6"/>
  <c r="E36" i="6"/>
  <c r="F36" i="6"/>
  <c r="G36" i="6"/>
  <c r="H36" i="6"/>
  <c r="I36" i="6"/>
  <c r="J36" i="6"/>
  <c r="K36" i="6"/>
  <c r="L36" i="6"/>
  <c r="M36" i="6"/>
  <c r="N36" i="6"/>
  <c r="O36" i="6"/>
  <c r="P36" i="6"/>
  <c r="Q36" i="6"/>
  <c r="R36" i="6"/>
  <c r="S36" i="6"/>
  <c r="T36" i="6"/>
  <c r="U36" i="6"/>
  <c r="V36" i="6"/>
  <c r="W36" i="6"/>
  <c r="X36" i="6"/>
  <c r="Y36" i="6"/>
  <c r="Z36" i="6"/>
  <c r="AA36" i="6"/>
  <c r="AB36" i="6"/>
  <c r="C37" i="6"/>
  <c r="D37" i="6"/>
  <c r="E37" i="6"/>
  <c r="F37" i="6"/>
  <c r="G37" i="6"/>
  <c r="H37" i="6"/>
  <c r="I37" i="6"/>
  <c r="J37" i="6"/>
  <c r="K37" i="6"/>
  <c r="L37" i="6"/>
  <c r="M37" i="6"/>
  <c r="N37" i="6"/>
  <c r="O37" i="6"/>
  <c r="P37" i="6"/>
  <c r="Q37" i="6"/>
  <c r="R37" i="6"/>
  <c r="S37" i="6"/>
  <c r="T37" i="6"/>
  <c r="U37" i="6"/>
  <c r="V37" i="6"/>
  <c r="W37" i="6"/>
  <c r="X37" i="6"/>
  <c r="Y37" i="6"/>
  <c r="Z37" i="6"/>
  <c r="AA37" i="6"/>
  <c r="AB37" i="6"/>
  <c r="C38" i="6"/>
  <c r="D38" i="6"/>
  <c r="E38" i="6"/>
  <c r="F38" i="6"/>
  <c r="G38" i="6"/>
  <c r="H38" i="6"/>
  <c r="I38" i="6"/>
  <c r="J38" i="6"/>
  <c r="K38" i="6"/>
  <c r="L38" i="6"/>
  <c r="M38" i="6"/>
  <c r="N38" i="6"/>
  <c r="O38" i="6"/>
  <c r="P38" i="6"/>
  <c r="Q38" i="6"/>
  <c r="R38" i="6"/>
  <c r="S38" i="6"/>
  <c r="T38" i="6"/>
  <c r="U38" i="6"/>
  <c r="V38" i="6"/>
  <c r="W38" i="6"/>
  <c r="X38" i="6"/>
  <c r="Y38" i="6"/>
  <c r="Z38" i="6"/>
  <c r="AA38" i="6"/>
  <c r="AB38" i="6"/>
  <c r="C39" i="6"/>
  <c r="D39" i="6"/>
  <c r="E39" i="6"/>
  <c r="F39" i="6"/>
  <c r="G39" i="6"/>
  <c r="H39" i="6"/>
  <c r="I39" i="6"/>
  <c r="J39" i="6"/>
  <c r="K39" i="6"/>
  <c r="L39" i="6"/>
  <c r="M39" i="6"/>
  <c r="N39" i="6"/>
  <c r="O39" i="6"/>
  <c r="P39" i="6"/>
  <c r="Q39" i="6"/>
  <c r="R39" i="6"/>
  <c r="S39" i="6"/>
  <c r="T39" i="6"/>
  <c r="U39" i="6"/>
  <c r="V39" i="6"/>
  <c r="W39" i="6"/>
  <c r="X39" i="6"/>
  <c r="Y39" i="6"/>
  <c r="Z39" i="6"/>
  <c r="AA39" i="6"/>
  <c r="AB39" i="6"/>
  <c r="C40" i="6"/>
  <c r="D40" i="6"/>
  <c r="E40" i="6"/>
  <c r="F40" i="6"/>
  <c r="G40" i="6"/>
  <c r="H40" i="6"/>
  <c r="I40" i="6"/>
  <c r="J40" i="6"/>
  <c r="K40" i="6"/>
  <c r="L40" i="6"/>
  <c r="M40" i="6"/>
  <c r="N40" i="6"/>
  <c r="O40" i="6"/>
  <c r="P40" i="6"/>
  <c r="Q40" i="6"/>
  <c r="R40" i="6"/>
  <c r="S40" i="6"/>
  <c r="T40" i="6"/>
  <c r="U40" i="6"/>
  <c r="V40" i="6"/>
  <c r="W40" i="6"/>
  <c r="X40" i="6"/>
  <c r="Y40" i="6"/>
  <c r="Z40" i="6"/>
  <c r="AA40" i="6"/>
  <c r="AB40" i="6"/>
  <c r="C41" i="6"/>
  <c r="D41" i="6"/>
  <c r="E41" i="6"/>
  <c r="F41" i="6"/>
  <c r="G41" i="6"/>
  <c r="H41" i="6"/>
  <c r="I41" i="6"/>
  <c r="J41" i="6"/>
  <c r="K41" i="6"/>
  <c r="L41" i="6"/>
  <c r="M41" i="6"/>
  <c r="N41" i="6"/>
  <c r="O41" i="6"/>
  <c r="P41" i="6"/>
  <c r="Q41" i="6"/>
  <c r="R41" i="6"/>
  <c r="S41" i="6"/>
  <c r="T41" i="6"/>
  <c r="U41" i="6"/>
  <c r="V41" i="6"/>
  <c r="W41" i="6"/>
  <c r="X41" i="6"/>
  <c r="Y41" i="6"/>
  <c r="Z41" i="6"/>
  <c r="AA41" i="6"/>
  <c r="AB41" i="6"/>
  <c r="C44" i="6"/>
  <c r="D44" i="6"/>
  <c r="E44" i="6"/>
  <c r="F44" i="6"/>
  <c r="G44" i="6"/>
  <c r="H44" i="6"/>
  <c r="I44" i="6"/>
  <c r="J44" i="6"/>
  <c r="K44" i="6"/>
  <c r="L44" i="6"/>
  <c r="M44" i="6"/>
  <c r="N44" i="6"/>
  <c r="O44" i="6"/>
  <c r="P44" i="6"/>
  <c r="Q44" i="6"/>
  <c r="R44" i="6"/>
  <c r="S44" i="6"/>
  <c r="T44" i="6"/>
  <c r="U44" i="6"/>
  <c r="V44" i="6"/>
  <c r="W44" i="6"/>
  <c r="X44" i="6"/>
  <c r="Y44" i="6"/>
  <c r="Z44" i="6"/>
  <c r="AA44" i="6"/>
  <c r="AB44" i="6"/>
  <c r="C45" i="6"/>
  <c r="D45" i="6"/>
  <c r="E45" i="6"/>
  <c r="F45" i="6"/>
  <c r="G45" i="6"/>
  <c r="H45" i="6"/>
  <c r="I45" i="6"/>
  <c r="J45" i="6"/>
  <c r="K45" i="6"/>
  <c r="L45" i="6"/>
  <c r="M45" i="6"/>
  <c r="N45" i="6"/>
  <c r="O45" i="6"/>
  <c r="P45" i="6"/>
  <c r="Q45" i="6"/>
  <c r="R45" i="6"/>
  <c r="S45" i="6"/>
  <c r="T45" i="6"/>
  <c r="U45" i="6"/>
  <c r="V45" i="6"/>
  <c r="W45" i="6"/>
  <c r="X45" i="6"/>
  <c r="Y45" i="6"/>
  <c r="Z45" i="6"/>
  <c r="AA45" i="6"/>
  <c r="AB45" i="6"/>
  <c r="C46" i="6"/>
  <c r="D46" i="6"/>
  <c r="E46" i="6"/>
  <c r="F46" i="6"/>
  <c r="G46" i="6"/>
  <c r="H46" i="6"/>
  <c r="I46" i="6"/>
  <c r="J46" i="6"/>
  <c r="K46" i="6"/>
  <c r="L46" i="6"/>
  <c r="M46" i="6"/>
  <c r="N46" i="6"/>
  <c r="O46" i="6"/>
  <c r="P46" i="6"/>
  <c r="Q46" i="6"/>
  <c r="R46" i="6"/>
  <c r="S46" i="6"/>
  <c r="T46" i="6"/>
  <c r="U46" i="6"/>
  <c r="V46" i="6"/>
  <c r="W46" i="6"/>
  <c r="X46" i="6"/>
  <c r="Y46" i="6"/>
  <c r="Z46" i="6"/>
  <c r="AA46" i="6"/>
  <c r="AB46" i="6"/>
  <c r="C47" i="6"/>
  <c r="D47" i="6"/>
  <c r="E47" i="6"/>
  <c r="F47" i="6"/>
  <c r="G47" i="6"/>
  <c r="H47" i="6"/>
  <c r="I47" i="6"/>
  <c r="J47" i="6"/>
  <c r="K47" i="6"/>
  <c r="L47" i="6"/>
  <c r="M47" i="6"/>
  <c r="N47" i="6"/>
  <c r="O47" i="6"/>
  <c r="P47" i="6"/>
  <c r="Q47" i="6"/>
  <c r="R47" i="6"/>
  <c r="S47" i="6"/>
  <c r="T47" i="6"/>
  <c r="U47" i="6"/>
  <c r="V47" i="6"/>
  <c r="W47" i="6"/>
  <c r="X47" i="6"/>
  <c r="Y47" i="6"/>
  <c r="Z47" i="6"/>
  <c r="AA47" i="6"/>
  <c r="AB47" i="6"/>
  <c r="C48" i="6"/>
  <c r="D48" i="6"/>
  <c r="E48" i="6"/>
  <c r="F48" i="6"/>
  <c r="G48" i="6"/>
  <c r="H48" i="6"/>
  <c r="I48" i="6"/>
  <c r="J48" i="6"/>
  <c r="K48" i="6"/>
  <c r="L48" i="6"/>
  <c r="M48" i="6"/>
  <c r="N48" i="6"/>
  <c r="O48" i="6"/>
  <c r="P48" i="6"/>
  <c r="Q48" i="6"/>
  <c r="R48" i="6"/>
  <c r="S48" i="6"/>
  <c r="T48" i="6"/>
  <c r="U48" i="6"/>
  <c r="V48" i="6"/>
  <c r="W48" i="6"/>
  <c r="X48" i="6"/>
  <c r="Y48" i="6"/>
  <c r="Z48" i="6"/>
  <c r="AA48" i="6"/>
  <c r="AB48" i="6"/>
  <c r="C49" i="6"/>
  <c r="D49" i="6"/>
  <c r="E49" i="6"/>
  <c r="F49" i="6"/>
  <c r="G49" i="6"/>
  <c r="H49" i="6"/>
  <c r="I49" i="6"/>
  <c r="J49" i="6"/>
  <c r="K49" i="6"/>
  <c r="L49" i="6"/>
  <c r="M49" i="6"/>
  <c r="N49" i="6"/>
  <c r="O49" i="6"/>
  <c r="P49" i="6"/>
  <c r="Q49" i="6"/>
  <c r="R49" i="6"/>
  <c r="S49" i="6"/>
  <c r="T49" i="6"/>
  <c r="U49" i="6"/>
  <c r="V49" i="6"/>
  <c r="W49" i="6"/>
  <c r="X49" i="6"/>
  <c r="Y49" i="6"/>
  <c r="Z49" i="6"/>
  <c r="AA49" i="6"/>
  <c r="AB49" i="6"/>
  <c r="D50" i="6"/>
  <c r="E50" i="6"/>
  <c r="F50" i="6"/>
  <c r="G50" i="6"/>
  <c r="H50" i="6"/>
  <c r="I50" i="6"/>
  <c r="J50" i="6"/>
  <c r="K50" i="6"/>
  <c r="L50" i="6"/>
  <c r="M50" i="6"/>
  <c r="N50" i="6"/>
  <c r="O50" i="6"/>
  <c r="P50" i="6"/>
  <c r="Q50" i="6"/>
  <c r="R50" i="6"/>
  <c r="S50" i="6"/>
  <c r="T50" i="6"/>
  <c r="U50" i="6"/>
  <c r="V50" i="6"/>
  <c r="W50" i="6"/>
  <c r="X50" i="6"/>
  <c r="Y50" i="6"/>
  <c r="Z50" i="6"/>
  <c r="AA50" i="6"/>
  <c r="AB50" i="6"/>
  <c r="C53" i="6"/>
  <c r="D53" i="6"/>
  <c r="E53" i="6"/>
  <c r="F53" i="6"/>
  <c r="G53" i="6"/>
  <c r="H53" i="6"/>
  <c r="I53" i="6"/>
  <c r="J53" i="6"/>
  <c r="K53" i="6"/>
  <c r="L53" i="6"/>
  <c r="M53" i="6"/>
  <c r="N53" i="6"/>
  <c r="O53" i="6"/>
  <c r="P53" i="6"/>
  <c r="Q53" i="6"/>
  <c r="R53" i="6"/>
  <c r="S53" i="6"/>
  <c r="T53" i="6"/>
  <c r="U53" i="6"/>
  <c r="V53" i="6"/>
  <c r="W53" i="6"/>
  <c r="X53" i="6"/>
  <c r="Y53" i="6"/>
  <c r="Z53" i="6"/>
  <c r="AA53" i="6"/>
  <c r="AB53" i="6"/>
  <c r="D58" i="6"/>
  <c r="E58" i="6"/>
  <c r="F58" i="6"/>
  <c r="G58" i="6"/>
  <c r="H58" i="6"/>
  <c r="I58" i="6"/>
  <c r="J58" i="6"/>
  <c r="K58" i="6"/>
  <c r="L58" i="6"/>
  <c r="M58" i="6"/>
  <c r="N58" i="6"/>
  <c r="O58" i="6"/>
  <c r="P58" i="6"/>
  <c r="Q58" i="6"/>
  <c r="R58" i="6"/>
  <c r="S58" i="6"/>
  <c r="T58" i="6"/>
  <c r="U58" i="6"/>
  <c r="V58" i="6"/>
  <c r="W58" i="6"/>
  <c r="X58" i="6"/>
  <c r="Y58" i="6"/>
  <c r="Z58" i="6"/>
  <c r="AA58" i="6"/>
  <c r="AB58" i="6"/>
  <c r="D60" i="6"/>
  <c r="E60" i="6"/>
  <c r="F60" i="6"/>
  <c r="G60" i="6"/>
  <c r="H60" i="6"/>
  <c r="I60" i="6"/>
  <c r="J60" i="6"/>
  <c r="K60" i="6"/>
  <c r="L60" i="6"/>
  <c r="M60" i="6"/>
  <c r="N60" i="6"/>
  <c r="O60" i="6"/>
  <c r="P60" i="6"/>
  <c r="Q60" i="6"/>
  <c r="R60" i="6"/>
  <c r="S60" i="6"/>
  <c r="T60" i="6"/>
  <c r="U60" i="6"/>
  <c r="V60" i="6"/>
  <c r="W60" i="6"/>
  <c r="X60" i="6"/>
  <c r="Y60" i="6"/>
  <c r="Z60" i="6"/>
  <c r="AA60" i="6"/>
  <c r="AB60" i="6"/>
  <c r="D63" i="6"/>
  <c r="E63" i="6"/>
  <c r="F63" i="6"/>
  <c r="G63" i="6"/>
  <c r="H63" i="6"/>
  <c r="I63" i="6"/>
  <c r="J63" i="6"/>
  <c r="K63" i="6"/>
  <c r="L63" i="6"/>
  <c r="M63" i="6"/>
  <c r="N63" i="6"/>
  <c r="O63" i="6"/>
  <c r="P63" i="6"/>
  <c r="Q63" i="6"/>
  <c r="R63" i="6"/>
  <c r="S63" i="6"/>
  <c r="T63" i="6"/>
  <c r="U63" i="6"/>
  <c r="V63" i="6"/>
  <c r="W63" i="6"/>
  <c r="X63" i="6"/>
  <c r="Y63" i="6"/>
  <c r="Z63" i="6"/>
  <c r="AA63" i="6"/>
  <c r="AB63" i="6"/>
  <c r="D65" i="6"/>
  <c r="E65" i="6"/>
  <c r="F65" i="6"/>
  <c r="G65" i="6"/>
  <c r="H65" i="6"/>
  <c r="I65" i="6"/>
  <c r="J65" i="6"/>
  <c r="K65" i="6"/>
  <c r="L65" i="6"/>
  <c r="M65" i="6"/>
  <c r="N65" i="6"/>
  <c r="O65" i="6"/>
  <c r="P65" i="6"/>
  <c r="Q65" i="6"/>
  <c r="R65" i="6"/>
  <c r="S65" i="6"/>
  <c r="T65" i="6"/>
  <c r="U65" i="6"/>
  <c r="V65" i="6"/>
  <c r="W65" i="6"/>
  <c r="X65" i="6"/>
  <c r="Y65" i="6"/>
  <c r="Z65" i="6"/>
  <c r="AA65" i="6"/>
  <c r="AB65" i="6"/>
  <c r="D66" i="6"/>
  <c r="D67" i="6"/>
  <c r="E67" i="6"/>
  <c r="F67" i="6"/>
  <c r="G67" i="6"/>
  <c r="H67" i="6"/>
  <c r="I67" i="6"/>
  <c r="J67" i="6"/>
  <c r="K67" i="6"/>
  <c r="L67" i="6"/>
  <c r="M67" i="6"/>
  <c r="N67" i="6"/>
  <c r="O67" i="6"/>
  <c r="P67" i="6"/>
  <c r="Q67" i="6"/>
  <c r="R67" i="6"/>
  <c r="S67" i="6"/>
  <c r="T67" i="6"/>
  <c r="U67" i="6"/>
  <c r="V67" i="6"/>
  <c r="W67" i="6"/>
  <c r="X67" i="6"/>
  <c r="Y67" i="6"/>
  <c r="Z67" i="6"/>
  <c r="AA67" i="6"/>
  <c r="AB67" i="6"/>
  <c r="D69" i="6"/>
  <c r="E69" i="6"/>
  <c r="F69" i="6"/>
  <c r="G69" i="6"/>
  <c r="H69" i="6"/>
  <c r="I69" i="6"/>
  <c r="J69" i="6"/>
  <c r="K69" i="6"/>
  <c r="L69" i="6"/>
  <c r="M69" i="6"/>
  <c r="N69" i="6"/>
  <c r="O69" i="6"/>
  <c r="P69" i="6"/>
  <c r="Q69" i="6"/>
  <c r="R69" i="6"/>
  <c r="S69" i="6"/>
  <c r="T69" i="6"/>
  <c r="U69" i="6"/>
  <c r="V69" i="6"/>
  <c r="W69" i="6"/>
  <c r="X69" i="6"/>
  <c r="Y69" i="6"/>
  <c r="Z69" i="6"/>
  <c r="AA69" i="6"/>
  <c r="AB69" i="6"/>
  <c r="D70" i="6"/>
  <c r="E70" i="6"/>
  <c r="F70" i="6"/>
  <c r="G70" i="6"/>
  <c r="H70" i="6"/>
  <c r="I70" i="6"/>
  <c r="J70" i="6"/>
  <c r="K70" i="6"/>
  <c r="L70" i="6"/>
  <c r="M70" i="6"/>
  <c r="N70" i="6"/>
  <c r="O70" i="6"/>
  <c r="P70" i="6"/>
  <c r="Q70" i="6"/>
  <c r="R70" i="6"/>
  <c r="S70" i="6"/>
  <c r="T70" i="6"/>
  <c r="U70" i="6"/>
  <c r="V70" i="6"/>
  <c r="W70" i="6"/>
  <c r="X70" i="6"/>
  <c r="Y70" i="6"/>
  <c r="Z70" i="6"/>
  <c r="AA70" i="6"/>
  <c r="AB70" i="6"/>
  <c r="D71" i="6"/>
  <c r="E71" i="6"/>
  <c r="F71" i="6"/>
  <c r="G71" i="6"/>
  <c r="H71" i="6"/>
  <c r="I71" i="6"/>
  <c r="J71" i="6"/>
  <c r="K71" i="6"/>
  <c r="L71" i="6"/>
  <c r="M71" i="6"/>
  <c r="N71" i="6"/>
  <c r="O71" i="6"/>
  <c r="P71" i="6"/>
  <c r="Q71" i="6"/>
  <c r="R71" i="6"/>
  <c r="S71" i="6"/>
  <c r="T71" i="6"/>
  <c r="U71" i="6"/>
  <c r="V71" i="6"/>
  <c r="W71" i="6"/>
  <c r="X71" i="6"/>
  <c r="Y71" i="6"/>
  <c r="Z71" i="6"/>
  <c r="AA71" i="6"/>
  <c r="AB71" i="6"/>
  <c r="D72" i="6"/>
  <c r="E72" i="6"/>
  <c r="F72" i="6"/>
  <c r="G72" i="6"/>
  <c r="H72" i="6"/>
  <c r="I72" i="6"/>
  <c r="J72" i="6"/>
  <c r="K72" i="6"/>
  <c r="L72" i="6"/>
  <c r="M72" i="6"/>
  <c r="N72" i="6"/>
  <c r="O72" i="6"/>
  <c r="P72" i="6"/>
  <c r="Q72" i="6"/>
  <c r="R72" i="6"/>
  <c r="S72" i="6"/>
  <c r="T72" i="6"/>
  <c r="U72" i="6"/>
  <c r="V72" i="6"/>
  <c r="W72" i="6"/>
  <c r="X72" i="6"/>
  <c r="Y72" i="6"/>
  <c r="Z72" i="6"/>
  <c r="AA72" i="6"/>
  <c r="AB72" i="6"/>
  <c r="D74" i="6"/>
  <c r="E74" i="6"/>
  <c r="F74" i="6"/>
  <c r="G74" i="6"/>
  <c r="H74" i="6"/>
  <c r="I74" i="6"/>
  <c r="J74" i="6"/>
  <c r="K74" i="6"/>
  <c r="L74" i="6"/>
  <c r="M74" i="6"/>
  <c r="N74" i="6"/>
  <c r="O74" i="6"/>
  <c r="P74" i="6"/>
  <c r="Q74" i="6"/>
  <c r="R74" i="6"/>
  <c r="S74" i="6"/>
  <c r="T74" i="6"/>
  <c r="U74" i="6"/>
  <c r="V74" i="6"/>
  <c r="W74" i="6"/>
  <c r="X74" i="6"/>
  <c r="Y74" i="6"/>
  <c r="Z74" i="6"/>
  <c r="AA74" i="6"/>
  <c r="AB74" i="6"/>
  <c r="D75" i="6"/>
  <c r="E75" i="6"/>
  <c r="F75" i="6"/>
  <c r="G75" i="6"/>
  <c r="H75" i="6"/>
  <c r="I75" i="6"/>
  <c r="J75" i="6"/>
  <c r="K75" i="6"/>
  <c r="L75" i="6"/>
  <c r="M75" i="6"/>
  <c r="N75" i="6"/>
  <c r="O75" i="6"/>
  <c r="P75" i="6"/>
  <c r="Q75" i="6"/>
  <c r="R75" i="6"/>
  <c r="S75" i="6"/>
  <c r="T75" i="6"/>
  <c r="U75" i="6"/>
  <c r="V75" i="6"/>
  <c r="W75" i="6"/>
  <c r="X75" i="6"/>
  <c r="Y75" i="6"/>
  <c r="Z75" i="6"/>
  <c r="AA75" i="6"/>
  <c r="D77" i="6"/>
  <c r="E77" i="6"/>
  <c r="F77" i="6"/>
  <c r="G77" i="6"/>
  <c r="H77" i="6"/>
  <c r="I77" i="6"/>
  <c r="J77" i="6"/>
  <c r="K77" i="6"/>
  <c r="L77" i="6"/>
  <c r="M77" i="6"/>
  <c r="N77" i="6"/>
  <c r="O77" i="6"/>
  <c r="P77" i="6"/>
  <c r="Q77" i="6"/>
  <c r="R77" i="6"/>
  <c r="S77" i="6"/>
  <c r="T77" i="6"/>
  <c r="U77" i="6"/>
  <c r="V77" i="6"/>
  <c r="W77" i="6"/>
  <c r="X77" i="6"/>
  <c r="Y77" i="6"/>
  <c r="Z77" i="6"/>
  <c r="AA77" i="6"/>
  <c r="AB77" i="6"/>
  <c r="D79" i="6"/>
  <c r="E79" i="6"/>
  <c r="F79" i="6"/>
  <c r="G79" i="6"/>
  <c r="H79" i="6"/>
  <c r="I79" i="6"/>
  <c r="J79" i="6"/>
  <c r="K79" i="6"/>
  <c r="L79" i="6"/>
  <c r="M79" i="6"/>
  <c r="N79" i="6"/>
  <c r="O79" i="6"/>
  <c r="P79" i="6"/>
  <c r="Q79" i="6"/>
  <c r="R79" i="6"/>
  <c r="S79" i="6"/>
  <c r="T79" i="6"/>
  <c r="U79" i="6"/>
  <c r="V79" i="6"/>
  <c r="W79" i="6"/>
  <c r="X79" i="6"/>
  <c r="Y79" i="6"/>
  <c r="Z79" i="6"/>
  <c r="AA79" i="6"/>
  <c r="AB79" i="6"/>
  <c r="D81" i="6"/>
  <c r="E81" i="6"/>
  <c r="F81" i="6"/>
  <c r="G81" i="6"/>
  <c r="H81" i="6"/>
  <c r="I81" i="6"/>
  <c r="J81" i="6"/>
  <c r="K81" i="6"/>
  <c r="L81" i="6"/>
  <c r="M81" i="6"/>
  <c r="N81" i="6"/>
  <c r="O81" i="6"/>
  <c r="P81" i="6"/>
  <c r="Q81" i="6"/>
  <c r="R81" i="6"/>
  <c r="S81" i="6"/>
  <c r="T81" i="6"/>
  <c r="U81" i="6"/>
  <c r="V81" i="6"/>
  <c r="W81" i="6"/>
  <c r="X81" i="6"/>
  <c r="Y81" i="6"/>
  <c r="Z81" i="6"/>
  <c r="AA81" i="6"/>
  <c r="AB81" i="6"/>
  <c r="C83" i="6"/>
  <c r="F83" i="6"/>
  <c r="C84" i="6"/>
  <c r="F84" i="6"/>
  <c r="A1" i="16"/>
  <c r="D3" i="16"/>
  <c r="E3" i="16"/>
  <c r="F3" i="16"/>
  <c r="G3" i="16"/>
  <c r="H3" i="16"/>
  <c r="I3" i="16"/>
  <c r="J3" i="16"/>
  <c r="K3" i="16"/>
  <c r="L3" i="16"/>
  <c r="M3" i="16"/>
  <c r="N3" i="16"/>
  <c r="O3" i="16"/>
  <c r="P3" i="16"/>
  <c r="Q3" i="16"/>
  <c r="R3" i="16"/>
  <c r="S3" i="16"/>
  <c r="T3" i="16"/>
  <c r="U3" i="16"/>
  <c r="V3" i="16"/>
  <c r="W3" i="16"/>
  <c r="X3" i="16"/>
  <c r="D4" i="16"/>
  <c r="E4" i="16"/>
  <c r="F4" i="16"/>
  <c r="G4" i="16"/>
  <c r="H4" i="16"/>
  <c r="I4" i="16"/>
  <c r="J4" i="16"/>
  <c r="K4" i="16"/>
  <c r="L4" i="16"/>
  <c r="M4" i="16"/>
  <c r="N4" i="16"/>
  <c r="O4" i="16"/>
  <c r="P4" i="16"/>
  <c r="Q4" i="16"/>
  <c r="R4" i="16"/>
  <c r="S4" i="16"/>
  <c r="T4" i="16"/>
  <c r="U4" i="16"/>
  <c r="V4" i="16"/>
  <c r="W4" i="16"/>
  <c r="X4" i="16"/>
  <c r="D10" i="16"/>
  <c r="E10" i="16"/>
  <c r="F10" i="16"/>
  <c r="G10" i="16"/>
  <c r="H10" i="16"/>
  <c r="I10" i="16"/>
  <c r="J10" i="16"/>
  <c r="K10" i="16"/>
  <c r="L10" i="16"/>
  <c r="M10" i="16"/>
  <c r="N10" i="16"/>
  <c r="O10" i="16"/>
  <c r="P10" i="16"/>
  <c r="Q10" i="16"/>
  <c r="R10" i="16"/>
  <c r="S10" i="16"/>
  <c r="T10" i="16"/>
  <c r="U10" i="16"/>
  <c r="V10" i="16"/>
  <c r="W10" i="16"/>
  <c r="X10" i="16"/>
  <c r="D11" i="16"/>
  <c r="E11" i="16"/>
  <c r="F11" i="16"/>
  <c r="G11" i="16"/>
  <c r="H11" i="16"/>
  <c r="I11" i="16"/>
  <c r="J11" i="16"/>
  <c r="K11" i="16"/>
  <c r="L11" i="16"/>
  <c r="M11" i="16"/>
  <c r="N11" i="16"/>
  <c r="O11" i="16"/>
  <c r="P11" i="16"/>
  <c r="Q11" i="16"/>
  <c r="R11" i="16"/>
  <c r="S11" i="16"/>
  <c r="T11" i="16"/>
  <c r="U11" i="16"/>
  <c r="V11" i="16"/>
  <c r="W11" i="16"/>
  <c r="X11" i="16"/>
  <c r="D12" i="16"/>
  <c r="E12" i="16"/>
  <c r="F12" i="16"/>
  <c r="G12" i="16"/>
  <c r="H12" i="16"/>
  <c r="I12" i="16"/>
  <c r="J12" i="16"/>
  <c r="K12" i="16"/>
  <c r="L12" i="16"/>
  <c r="M12" i="16"/>
  <c r="N12" i="16"/>
  <c r="O12" i="16"/>
  <c r="P12" i="16"/>
  <c r="Q12" i="16"/>
  <c r="R12" i="16"/>
  <c r="S12" i="16"/>
  <c r="T12" i="16"/>
  <c r="U12" i="16"/>
  <c r="V12" i="16"/>
  <c r="W12" i="16"/>
  <c r="X12" i="16"/>
  <c r="D15" i="16"/>
  <c r="E15" i="16"/>
  <c r="F15" i="16"/>
  <c r="G15" i="16"/>
  <c r="H15" i="16"/>
  <c r="I15" i="16"/>
  <c r="J15" i="16"/>
  <c r="K15" i="16"/>
  <c r="L15" i="16"/>
  <c r="M15" i="16"/>
  <c r="N15" i="16"/>
  <c r="O15" i="16"/>
  <c r="P15" i="16"/>
  <c r="Q15" i="16"/>
  <c r="R15" i="16"/>
  <c r="S15" i="16"/>
  <c r="T15" i="16"/>
  <c r="U15" i="16"/>
  <c r="V15" i="16"/>
  <c r="W15" i="16"/>
  <c r="X15" i="16"/>
  <c r="D16" i="16"/>
  <c r="E16" i="16"/>
  <c r="F16" i="16"/>
  <c r="G16" i="16"/>
  <c r="H16" i="16"/>
  <c r="I16" i="16"/>
  <c r="J16" i="16"/>
  <c r="K16" i="16"/>
  <c r="L16" i="16"/>
  <c r="M16" i="16"/>
  <c r="N16" i="16"/>
  <c r="O16" i="16"/>
  <c r="P16" i="16"/>
  <c r="Q16" i="16"/>
  <c r="R16" i="16"/>
  <c r="S16" i="16"/>
  <c r="T16" i="16"/>
  <c r="U16" i="16"/>
  <c r="V16" i="16"/>
  <c r="W16" i="16"/>
  <c r="X16" i="16"/>
  <c r="D17" i="16"/>
  <c r="E17" i="16"/>
  <c r="F17" i="16"/>
  <c r="G17" i="16"/>
  <c r="H17" i="16"/>
  <c r="I17" i="16"/>
  <c r="J17" i="16"/>
  <c r="K17" i="16"/>
  <c r="L17" i="16"/>
  <c r="M17" i="16"/>
  <c r="N17" i="16"/>
  <c r="O17" i="16"/>
  <c r="P17" i="16"/>
  <c r="Q17" i="16"/>
  <c r="R17" i="16"/>
  <c r="S17" i="16"/>
  <c r="T17" i="16"/>
  <c r="U17" i="16"/>
  <c r="V17" i="16"/>
  <c r="W17" i="16"/>
  <c r="X17" i="16"/>
  <c r="D18" i="16"/>
  <c r="E18" i="16"/>
  <c r="F18" i="16"/>
  <c r="G18" i="16"/>
  <c r="H18" i="16"/>
  <c r="I18" i="16"/>
  <c r="J18" i="16"/>
  <c r="K18" i="16"/>
  <c r="L18" i="16"/>
  <c r="M18" i="16"/>
  <c r="N18" i="16"/>
  <c r="O18" i="16"/>
  <c r="P18" i="16"/>
  <c r="Q18" i="16"/>
  <c r="R18" i="16"/>
  <c r="S18" i="16"/>
  <c r="T18" i="16"/>
  <c r="U18" i="16"/>
  <c r="V18" i="16"/>
  <c r="W18" i="16"/>
  <c r="X18" i="16"/>
  <c r="D21" i="16"/>
  <c r="E21" i="16"/>
  <c r="F21" i="16"/>
  <c r="G21" i="16"/>
  <c r="H21" i="16"/>
  <c r="I21" i="16"/>
  <c r="J21" i="16"/>
  <c r="K21" i="16"/>
  <c r="L21" i="16"/>
  <c r="M21" i="16"/>
  <c r="N21" i="16"/>
  <c r="O21" i="16"/>
  <c r="P21" i="16"/>
  <c r="Q21" i="16"/>
  <c r="R21" i="16"/>
  <c r="S21" i="16"/>
  <c r="T21" i="16"/>
  <c r="U21" i="16"/>
  <c r="V21" i="16"/>
  <c r="W21" i="16"/>
  <c r="X21" i="16"/>
  <c r="D24" i="16"/>
  <c r="E24" i="16"/>
  <c r="F24" i="16"/>
  <c r="G24" i="16"/>
  <c r="H24" i="16"/>
  <c r="I24" i="16"/>
  <c r="J24" i="16"/>
  <c r="K24" i="16"/>
  <c r="L24" i="16"/>
  <c r="M24" i="16"/>
  <c r="N24" i="16"/>
  <c r="O24" i="16"/>
  <c r="P24" i="16"/>
  <c r="Q24" i="16"/>
  <c r="R24" i="16"/>
  <c r="S24" i="16"/>
  <c r="T24" i="16"/>
  <c r="U24" i="16"/>
  <c r="V24" i="16"/>
  <c r="W24" i="16"/>
  <c r="X24" i="16"/>
  <c r="D26" i="16"/>
  <c r="E26" i="16"/>
  <c r="F26" i="16"/>
  <c r="G26" i="16"/>
  <c r="H26" i="16"/>
  <c r="I26" i="16"/>
  <c r="J26" i="16"/>
  <c r="K26" i="16"/>
  <c r="L26" i="16"/>
  <c r="M26" i="16"/>
  <c r="N26" i="16"/>
  <c r="O26" i="16"/>
  <c r="P26" i="16"/>
  <c r="Q26" i="16"/>
  <c r="R26" i="16"/>
  <c r="S26" i="16"/>
  <c r="T26" i="16"/>
  <c r="U26" i="16"/>
  <c r="V26" i="16"/>
  <c r="W26" i="16"/>
  <c r="X26" i="16"/>
  <c r="D28" i="16"/>
  <c r="E28" i="16"/>
  <c r="F28" i="16"/>
  <c r="G28" i="16"/>
  <c r="H28" i="16"/>
  <c r="I28" i="16"/>
  <c r="J28" i="16"/>
  <c r="K28" i="16"/>
  <c r="L28" i="16"/>
  <c r="M28" i="16"/>
  <c r="N28" i="16"/>
  <c r="O28" i="16"/>
  <c r="P28" i="16"/>
  <c r="Q28" i="16"/>
  <c r="R28" i="16"/>
  <c r="S28" i="16"/>
  <c r="T28" i="16"/>
  <c r="U28" i="16"/>
  <c r="V28" i="16"/>
  <c r="W28" i="16"/>
  <c r="X28" i="16"/>
  <c r="D30" i="16"/>
  <c r="E30" i="16"/>
  <c r="F30" i="16"/>
  <c r="G30" i="16"/>
  <c r="H30" i="16"/>
  <c r="I30" i="16"/>
  <c r="J30" i="16"/>
  <c r="K30" i="16"/>
  <c r="L30" i="16"/>
  <c r="M30" i="16"/>
  <c r="N30" i="16"/>
  <c r="O30" i="16"/>
  <c r="P30" i="16"/>
  <c r="Q30" i="16"/>
  <c r="R30" i="16"/>
  <c r="S30" i="16"/>
  <c r="T30" i="16"/>
  <c r="U30" i="16"/>
  <c r="V30" i="16"/>
  <c r="W30" i="16"/>
  <c r="X30" i="16"/>
  <c r="D33" i="16"/>
  <c r="E33" i="16"/>
  <c r="F33" i="16"/>
  <c r="G33" i="16"/>
  <c r="H33" i="16"/>
  <c r="I33" i="16"/>
  <c r="J33" i="16"/>
  <c r="K33" i="16"/>
  <c r="L33" i="16"/>
  <c r="M33" i="16"/>
  <c r="N33" i="16"/>
  <c r="O33" i="16"/>
  <c r="P33" i="16"/>
  <c r="Q33" i="16"/>
  <c r="R33" i="16"/>
  <c r="S33" i="16"/>
  <c r="T33" i="16"/>
  <c r="U33" i="16"/>
  <c r="V33" i="16"/>
  <c r="W33" i="16"/>
  <c r="X33" i="16"/>
  <c r="D34" i="16"/>
  <c r="E34" i="16"/>
  <c r="F34" i="16"/>
  <c r="G34" i="16"/>
  <c r="H34" i="16"/>
  <c r="I34" i="16"/>
  <c r="J34" i="16"/>
  <c r="K34" i="16"/>
  <c r="L34" i="16"/>
  <c r="M34" i="16"/>
  <c r="N34" i="16"/>
  <c r="O34" i="16"/>
  <c r="P34" i="16"/>
  <c r="Q34" i="16"/>
  <c r="R34" i="16"/>
  <c r="S34" i="16"/>
  <c r="T34" i="16"/>
  <c r="U34" i="16"/>
  <c r="V34" i="16"/>
  <c r="W34" i="16"/>
  <c r="X34" i="16"/>
  <c r="D35" i="16"/>
  <c r="E35" i="16"/>
  <c r="F35" i="16"/>
  <c r="G35" i="16"/>
  <c r="H35" i="16"/>
  <c r="I35" i="16"/>
  <c r="J35" i="16"/>
  <c r="K35" i="16"/>
  <c r="L35" i="16"/>
  <c r="M35" i="16"/>
  <c r="N35" i="16"/>
  <c r="O35" i="16"/>
  <c r="P35" i="16"/>
  <c r="Q35" i="16"/>
  <c r="R35" i="16"/>
  <c r="S35" i="16"/>
  <c r="T35" i="16"/>
  <c r="U35" i="16"/>
  <c r="V35" i="16"/>
  <c r="W35" i="16"/>
  <c r="X35" i="16"/>
  <c r="D36" i="16"/>
  <c r="E36" i="16"/>
  <c r="F36" i="16"/>
  <c r="G36" i="16"/>
  <c r="H36" i="16"/>
  <c r="I36" i="16"/>
  <c r="J36" i="16"/>
  <c r="K36" i="16"/>
  <c r="L36" i="16"/>
  <c r="M36" i="16"/>
  <c r="N36" i="16"/>
  <c r="O36" i="16"/>
  <c r="P36" i="16"/>
  <c r="Q36" i="16"/>
  <c r="R36" i="16"/>
  <c r="S36" i="16"/>
  <c r="T36" i="16"/>
  <c r="U36" i="16"/>
  <c r="V36" i="16"/>
  <c r="W36" i="16"/>
  <c r="X36" i="16"/>
  <c r="D38" i="16"/>
  <c r="E38" i="16"/>
  <c r="F38" i="16"/>
  <c r="G38" i="16"/>
  <c r="H38" i="16"/>
  <c r="I38" i="16"/>
  <c r="J38" i="16"/>
  <c r="K38" i="16"/>
  <c r="L38" i="16"/>
  <c r="M38" i="16"/>
  <c r="N38" i="16"/>
  <c r="O38" i="16"/>
  <c r="P38" i="16"/>
  <c r="Q38" i="16"/>
  <c r="R38" i="16"/>
  <c r="S38" i="16"/>
  <c r="T38" i="16"/>
  <c r="U38" i="16"/>
  <c r="V38" i="16"/>
  <c r="W38" i="16"/>
  <c r="X38" i="16"/>
  <c r="A1" i="7"/>
  <c r="E3" i="7"/>
  <c r="F3" i="7"/>
  <c r="G3" i="7"/>
  <c r="H3" i="7"/>
  <c r="I3" i="7"/>
  <c r="J3" i="7"/>
  <c r="K3" i="7"/>
  <c r="L3" i="7"/>
  <c r="M3" i="7"/>
  <c r="N3" i="7"/>
  <c r="O3" i="7"/>
  <c r="P3" i="7"/>
  <c r="Q3" i="7"/>
  <c r="R3" i="7"/>
  <c r="S3" i="7"/>
  <c r="T3" i="7"/>
  <c r="U3" i="7"/>
  <c r="V3" i="7"/>
  <c r="W3" i="7"/>
  <c r="X3" i="7"/>
  <c r="Y3" i="7"/>
  <c r="Z3" i="7"/>
  <c r="AA3" i="7"/>
  <c r="AB3" i="7"/>
  <c r="D4" i="7"/>
  <c r="E4" i="7"/>
  <c r="F4" i="7"/>
  <c r="G4" i="7"/>
  <c r="H4" i="7"/>
  <c r="I4" i="7"/>
  <c r="J4" i="7"/>
  <c r="K4" i="7"/>
  <c r="L4" i="7"/>
  <c r="M4" i="7"/>
  <c r="N4" i="7"/>
  <c r="O4" i="7"/>
  <c r="P4" i="7"/>
  <c r="Q4" i="7"/>
  <c r="R4" i="7"/>
  <c r="S4" i="7"/>
  <c r="T4" i="7"/>
  <c r="U4" i="7"/>
  <c r="V4" i="7"/>
  <c r="W4" i="7"/>
  <c r="X4" i="7"/>
  <c r="Y4" i="7"/>
  <c r="Z4" i="7"/>
  <c r="AA4" i="7"/>
  <c r="AB4" i="7"/>
  <c r="C6" i="7"/>
  <c r="D6" i="7"/>
  <c r="E6" i="7"/>
  <c r="F6" i="7"/>
  <c r="G6" i="7"/>
  <c r="H6" i="7"/>
  <c r="I6" i="7"/>
  <c r="J6" i="7"/>
  <c r="K6" i="7"/>
  <c r="L6" i="7"/>
  <c r="M6" i="7"/>
  <c r="N6" i="7"/>
  <c r="O6" i="7"/>
  <c r="P6" i="7"/>
  <c r="Q6" i="7"/>
  <c r="R6" i="7"/>
  <c r="S6" i="7"/>
  <c r="T6" i="7"/>
  <c r="U6" i="7"/>
  <c r="V6" i="7"/>
  <c r="W6" i="7"/>
  <c r="X6" i="7"/>
  <c r="Y6" i="7"/>
  <c r="Z6" i="7"/>
  <c r="AA6" i="7"/>
  <c r="AB6" i="7"/>
  <c r="C7" i="7"/>
  <c r="D7" i="7"/>
  <c r="E7" i="7"/>
  <c r="F7" i="7"/>
  <c r="G7" i="7"/>
  <c r="H7" i="7"/>
  <c r="I7" i="7"/>
  <c r="J7" i="7"/>
  <c r="K7" i="7"/>
  <c r="L7" i="7"/>
  <c r="M7" i="7"/>
  <c r="N7" i="7"/>
  <c r="O7" i="7"/>
  <c r="P7" i="7"/>
  <c r="Q7" i="7"/>
  <c r="R7" i="7"/>
  <c r="S7" i="7"/>
  <c r="T7" i="7"/>
  <c r="U7" i="7"/>
  <c r="V7" i="7"/>
  <c r="W7" i="7"/>
  <c r="X7" i="7"/>
  <c r="Y7" i="7"/>
  <c r="Z7" i="7"/>
  <c r="AA7" i="7"/>
  <c r="AB7" i="7"/>
  <c r="D8" i="7"/>
  <c r="E8" i="7"/>
  <c r="F8" i="7"/>
  <c r="G8" i="7"/>
  <c r="H8" i="7"/>
  <c r="I8" i="7"/>
  <c r="J8" i="7"/>
  <c r="K8" i="7"/>
  <c r="L8" i="7"/>
  <c r="M8" i="7"/>
  <c r="N8" i="7"/>
  <c r="O8" i="7"/>
  <c r="P8" i="7"/>
  <c r="Q8" i="7"/>
  <c r="R8" i="7"/>
  <c r="S8" i="7"/>
  <c r="T8" i="7"/>
  <c r="U8" i="7"/>
  <c r="V8" i="7"/>
  <c r="W8" i="7"/>
  <c r="X8" i="7"/>
  <c r="Y8" i="7"/>
  <c r="Z8" i="7"/>
  <c r="AA8" i="7"/>
  <c r="AB8" i="7"/>
  <c r="D9" i="7"/>
  <c r="E9" i="7"/>
  <c r="F9" i="7"/>
  <c r="G9" i="7"/>
  <c r="H9" i="7"/>
  <c r="I9" i="7"/>
  <c r="J9" i="7"/>
  <c r="K9" i="7"/>
  <c r="L9" i="7"/>
  <c r="M9" i="7"/>
  <c r="N9" i="7"/>
  <c r="O9" i="7"/>
  <c r="P9" i="7"/>
  <c r="Q9" i="7"/>
  <c r="R9" i="7"/>
  <c r="S9" i="7"/>
  <c r="T9" i="7"/>
  <c r="U9" i="7"/>
  <c r="V9" i="7"/>
  <c r="W9" i="7"/>
  <c r="X9" i="7"/>
  <c r="Y9" i="7"/>
  <c r="Z9" i="7"/>
  <c r="AA9" i="7"/>
  <c r="AB9" i="7"/>
  <c r="C10" i="7"/>
  <c r="D10" i="7"/>
  <c r="E10" i="7"/>
  <c r="F10" i="7"/>
  <c r="G10" i="7"/>
  <c r="H10" i="7"/>
  <c r="I10" i="7"/>
  <c r="J10" i="7"/>
  <c r="K10" i="7"/>
  <c r="L10" i="7"/>
  <c r="M10" i="7"/>
  <c r="N10" i="7"/>
  <c r="O10" i="7"/>
  <c r="P10" i="7"/>
  <c r="Q10" i="7"/>
  <c r="R10" i="7"/>
  <c r="S10" i="7"/>
  <c r="T10" i="7"/>
  <c r="U10" i="7"/>
  <c r="V10" i="7"/>
  <c r="W10" i="7"/>
  <c r="X10" i="7"/>
  <c r="Y10" i="7"/>
  <c r="Z10" i="7"/>
  <c r="AA10" i="7"/>
  <c r="AB10" i="7"/>
  <c r="C12" i="7"/>
  <c r="D12" i="7"/>
  <c r="E12" i="7"/>
  <c r="F12" i="7"/>
  <c r="G12" i="7"/>
  <c r="H12" i="7"/>
  <c r="I12" i="7"/>
  <c r="J12" i="7"/>
  <c r="K12" i="7"/>
  <c r="L12" i="7"/>
  <c r="M12" i="7"/>
  <c r="N12" i="7"/>
  <c r="O12" i="7"/>
  <c r="P12" i="7"/>
  <c r="Q12" i="7"/>
  <c r="R12" i="7"/>
  <c r="S12" i="7"/>
  <c r="T12" i="7"/>
  <c r="U12" i="7"/>
  <c r="V12" i="7"/>
  <c r="W12" i="7"/>
  <c r="X12" i="7"/>
  <c r="Y12" i="7"/>
  <c r="Z12" i="7"/>
  <c r="AA12" i="7"/>
  <c r="AB12" i="7"/>
  <c r="C13" i="7"/>
  <c r="D13" i="7"/>
  <c r="E13" i="7"/>
  <c r="F13" i="7"/>
  <c r="G13" i="7"/>
  <c r="H13" i="7"/>
  <c r="I13" i="7"/>
  <c r="J13" i="7"/>
  <c r="K13" i="7"/>
  <c r="L13" i="7"/>
  <c r="M13" i="7"/>
  <c r="N13" i="7"/>
  <c r="O13" i="7"/>
  <c r="P13" i="7"/>
  <c r="Q13" i="7"/>
  <c r="R13" i="7"/>
  <c r="S13" i="7"/>
  <c r="T13" i="7"/>
  <c r="U13" i="7"/>
  <c r="V13" i="7"/>
  <c r="W13" i="7"/>
  <c r="X13" i="7"/>
  <c r="Y13" i="7"/>
  <c r="Z13" i="7"/>
  <c r="AA13" i="7"/>
  <c r="AB13" i="7"/>
  <c r="D14" i="7"/>
  <c r="E14" i="7"/>
  <c r="F14" i="7"/>
  <c r="G14" i="7"/>
  <c r="H14" i="7"/>
  <c r="I14" i="7"/>
  <c r="J14" i="7"/>
  <c r="K14" i="7"/>
  <c r="L14" i="7"/>
  <c r="M14" i="7"/>
  <c r="N14" i="7"/>
  <c r="O14" i="7"/>
  <c r="P14" i="7"/>
  <c r="Q14" i="7"/>
  <c r="R14" i="7"/>
  <c r="S14" i="7"/>
  <c r="T14" i="7"/>
  <c r="U14" i="7"/>
  <c r="V14" i="7"/>
  <c r="W14" i="7"/>
  <c r="X14" i="7"/>
  <c r="Y14" i="7"/>
  <c r="Z14" i="7"/>
  <c r="AA14" i="7"/>
  <c r="AB14" i="7"/>
  <c r="AC14" i="7"/>
  <c r="AD14" i="7"/>
  <c r="AE14" i="7"/>
  <c r="AF14" i="7"/>
  <c r="AG14" i="7"/>
  <c r="C17" i="7"/>
  <c r="C20" i="7"/>
  <c r="D20" i="7"/>
  <c r="E20" i="7"/>
  <c r="F20" i="7"/>
  <c r="G20" i="7"/>
  <c r="H20" i="7"/>
  <c r="I20" i="7"/>
  <c r="J20" i="7"/>
  <c r="K20" i="7"/>
  <c r="L20" i="7"/>
  <c r="M20" i="7"/>
  <c r="N20" i="7"/>
  <c r="O20" i="7"/>
  <c r="P20" i="7"/>
  <c r="Q20" i="7"/>
  <c r="R20" i="7"/>
  <c r="S20" i="7"/>
  <c r="T20" i="7"/>
  <c r="U20" i="7"/>
  <c r="V20" i="7"/>
  <c r="W20" i="7"/>
  <c r="X20" i="7"/>
  <c r="Y20" i="7"/>
  <c r="Z20" i="7"/>
  <c r="AA20" i="7"/>
  <c r="AB20" i="7"/>
  <c r="D21" i="7"/>
  <c r="E21" i="7"/>
  <c r="F21" i="7"/>
  <c r="G21" i="7"/>
  <c r="H21" i="7"/>
  <c r="I21" i="7"/>
  <c r="J21" i="7"/>
  <c r="K21" i="7"/>
  <c r="L21" i="7"/>
  <c r="M21" i="7"/>
  <c r="N21" i="7"/>
  <c r="O21" i="7"/>
  <c r="P21" i="7"/>
  <c r="Q21" i="7"/>
  <c r="R21" i="7"/>
  <c r="S21" i="7"/>
  <c r="T21" i="7"/>
  <c r="U21" i="7"/>
  <c r="V21" i="7"/>
  <c r="W21" i="7"/>
  <c r="X21" i="7"/>
  <c r="Y21" i="7"/>
  <c r="Z21" i="7"/>
  <c r="AA21" i="7"/>
  <c r="AB21" i="7"/>
  <c r="C22" i="7"/>
  <c r="D22" i="7"/>
  <c r="E22" i="7"/>
  <c r="F22" i="7"/>
  <c r="G22" i="7"/>
  <c r="H22" i="7"/>
  <c r="I22" i="7"/>
  <c r="J22" i="7"/>
  <c r="K22" i="7"/>
  <c r="L22" i="7"/>
  <c r="M22" i="7"/>
  <c r="N22" i="7"/>
  <c r="O22" i="7"/>
  <c r="P22" i="7"/>
  <c r="Q22" i="7"/>
  <c r="R22" i="7"/>
  <c r="S22" i="7"/>
  <c r="T22" i="7"/>
  <c r="U22" i="7"/>
  <c r="V22" i="7"/>
  <c r="W22" i="7"/>
  <c r="X22" i="7"/>
  <c r="Y22" i="7"/>
  <c r="Z22" i="7"/>
  <c r="AA22" i="7"/>
  <c r="AB22" i="7"/>
  <c r="D27" i="7"/>
  <c r="E27" i="7"/>
  <c r="F27" i="7"/>
  <c r="G27" i="7"/>
  <c r="H27" i="7"/>
  <c r="I27" i="7"/>
  <c r="J27" i="7"/>
  <c r="K27" i="7"/>
  <c r="L27" i="7"/>
  <c r="M27" i="7"/>
  <c r="N27" i="7"/>
  <c r="O27" i="7"/>
  <c r="P27" i="7"/>
  <c r="Q27" i="7"/>
  <c r="R27" i="7"/>
  <c r="S27" i="7"/>
  <c r="T27" i="7"/>
  <c r="U27" i="7"/>
  <c r="V27" i="7"/>
  <c r="W27" i="7"/>
  <c r="X27" i="7"/>
  <c r="Y27" i="7"/>
  <c r="Z27" i="7"/>
  <c r="AA27" i="7"/>
  <c r="AB27" i="7"/>
  <c r="D28" i="7"/>
  <c r="D29" i="7"/>
  <c r="E29" i="7"/>
  <c r="F29" i="7"/>
  <c r="G29" i="7"/>
  <c r="H29" i="7"/>
  <c r="I29" i="7"/>
  <c r="J29" i="7"/>
  <c r="K29" i="7"/>
  <c r="L29" i="7"/>
  <c r="M29" i="7"/>
  <c r="N29" i="7"/>
  <c r="O29" i="7"/>
  <c r="P29" i="7"/>
  <c r="Q29" i="7"/>
  <c r="R29" i="7"/>
  <c r="S29" i="7"/>
  <c r="T29" i="7"/>
  <c r="U29" i="7"/>
  <c r="V29" i="7"/>
  <c r="W29" i="7"/>
  <c r="X29" i="7"/>
  <c r="Y29" i="7"/>
  <c r="Z29" i="7"/>
  <c r="AA29" i="7"/>
  <c r="AB29" i="7"/>
  <c r="D30" i="7"/>
  <c r="E30" i="7"/>
  <c r="F30" i="7"/>
  <c r="G30" i="7"/>
  <c r="H30" i="7"/>
  <c r="I30" i="7"/>
  <c r="J30" i="7"/>
  <c r="K30" i="7"/>
  <c r="L30" i="7"/>
  <c r="M30" i="7"/>
  <c r="N30" i="7"/>
  <c r="O30" i="7"/>
  <c r="P30" i="7"/>
  <c r="Q30" i="7"/>
  <c r="R30" i="7"/>
  <c r="S30" i="7"/>
  <c r="T30" i="7"/>
  <c r="U30" i="7"/>
  <c r="V30" i="7"/>
  <c r="W30" i="7"/>
  <c r="X30" i="7"/>
  <c r="Y30" i="7"/>
  <c r="Z30" i="7"/>
  <c r="AA30" i="7"/>
  <c r="AB30" i="7"/>
  <c r="D31" i="7"/>
  <c r="E31" i="7"/>
  <c r="F31" i="7"/>
  <c r="G31" i="7"/>
  <c r="H31" i="7"/>
  <c r="I31" i="7"/>
  <c r="J31" i="7"/>
  <c r="K31" i="7"/>
  <c r="L31" i="7"/>
  <c r="M31" i="7"/>
  <c r="N31" i="7"/>
  <c r="O31" i="7"/>
  <c r="P31" i="7"/>
  <c r="Q31" i="7"/>
  <c r="R31" i="7"/>
  <c r="S31" i="7"/>
  <c r="T31" i="7"/>
  <c r="U31" i="7"/>
  <c r="V31" i="7"/>
  <c r="W31" i="7"/>
  <c r="X31" i="7"/>
  <c r="Y31" i="7"/>
  <c r="Z31" i="7"/>
  <c r="AA31" i="7"/>
  <c r="AB31" i="7"/>
  <c r="D32" i="7"/>
  <c r="E32" i="7"/>
  <c r="F32" i="7"/>
  <c r="G32" i="7"/>
  <c r="H32" i="7"/>
  <c r="I32" i="7"/>
  <c r="J32" i="7"/>
  <c r="K32" i="7"/>
  <c r="L32" i="7"/>
  <c r="M32" i="7"/>
  <c r="N32" i="7"/>
  <c r="O32" i="7"/>
  <c r="P32" i="7"/>
  <c r="Q32" i="7"/>
  <c r="R32" i="7"/>
  <c r="S32" i="7"/>
  <c r="T32" i="7"/>
  <c r="U32" i="7"/>
  <c r="V32" i="7"/>
  <c r="W32" i="7"/>
  <c r="X32" i="7"/>
  <c r="Y32" i="7"/>
  <c r="Z32" i="7"/>
  <c r="AA32" i="7"/>
  <c r="AB32" i="7"/>
  <c r="D36" i="7"/>
  <c r="E36" i="7"/>
  <c r="F36" i="7"/>
  <c r="G36" i="7"/>
  <c r="H36" i="7"/>
  <c r="I36" i="7"/>
  <c r="J36" i="7"/>
  <c r="K36" i="7"/>
  <c r="L36" i="7"/>
  <c r="M36" i="7"/>
  <c r="N36" i="7"/>
  <c r="O36" i="7"/>
  <c r="P36" i="7"/>
  <c r="Q36" i="7"/>
  <c r="R36" i="7"/>
  <c r="S36" i="7"/>
  <c r="T36" i="7"/>
  <c r="U36" i="7"/>
  <c r="V36" i="7"/>
  <c r="W36" i="7"/>
  <c r="X36" i="7"/>
  <c r="Y36" i="7"/>
  <c r="Z36" i="7"/>
  <c r="AA36" i="7"/>
  <c r="AB36" i="7"/>
  <c r="A1" i="4"/>
  <c r="E4" i="4"/>
  <c r="F4" i="4"/>
  <c r="G4" i="4"/>
  <c r="H4" i="4"/>
  <c r="I4" i="4"/>
  <c r="J4" i="4"/>
  <c r="K4" i="4"/>
  <c r="L4" i="4"/>
  <c r="M4" i="4"/>
  <c r="N4" i="4"/>
  <c r="O4" i="4"/>
  <c r="P4" i="4"/>
  <c r="Q4" i="4"/>
  <c r="R4" i="4"/>
  <c r="S4" i="4"/>
  <c r="T4" i="4"/>
  <c r="U4" i="4"/>
  <c r="V4" i="4"/>
  <c r="W4" i="4"/>
  <c r="X4" i="4"/>
  <c r="Y4" i="4"/>
  <c r="Z4" i="4"/>
  <c r="AA4" i="4"/>
  <c r="AB4" i="4"/>
  <c r="AC4" i="4"/>
  <c r="E5" i="4"/>
  <c r="F5" i="4"/>
  <c r="G5" i="4"/>
  <c r="H5" i="4"/>
  <c r="I5" i="4"/>
  <c r="J5" i="4"/>
  <c r="K5" i="4"/>
  <c r="L5" i="4"/>
  <c r="M5" i="4"/>
  <c r="N5" i="4"/>
  <c r="O5" i="4"/>
  <c r="P5" i="4"/>
  <c r="Q5" i="4"/>
  <c r="R5" i="4"/>
  <c r="S5" i="4"/>
  <c r="T5" i="4"/>
  <c r="U5" i="4"/>
  <c r="V5" i="4"/>
  <c r="W5" i="4"/>
  <c r="X5" i="4"/>
  <c r="Y5" i="4"/>
  <c r="Z5" i="4"/>
  <c r="AA5" i="4"/>
  <c r="AB5" i="4"/>
  <c r="AC5" i="4"/>
  <c r="E6" i="4"/>
  <c r="F6" i="4"/>
  <c r="G6" i="4"/>
  <c r="H6" i="4"/>
  <c r="I6" i="4"/>
  <c r="J6" i="4"/>
  <c r="K6" i="4"/>
  <c r="L6" i="4"/>
  <c r="M6" i="4"/>
  <c r="N6" i="4"/>
  <c r="O6" i="4"/>
  <c r="P6" i="4"/>
  <c r="Q6" i="4"/>
  <c r="R6" i="4"/>
  <c r="S6" i="4"/>
  <c r="T6" i="4"/>
  <c r="U6" i="4"/>
  <c r="V6" i="4"/>
  <c r="W6" i="4"/>
  <c r="X6" i="4"/>
  <c r="Y6" i="4"/>
  <c r="Z6" i="4"/>
  <c r="AA6" i="4"/>
  <c r="AB6" i="4"/>
  <c r="AC6" i="4"/>
  <c r="E8" i="4"/>
  <c r="F8" i="4"/>
  <c r="G8" i="4"/>
  <c r="H8" i="4"/>
  <c r="I8" i="4"/>
  <c r="J8" i="4"/>
  <c r="K8" i="4"/>
  <c r="L8" i="4"/>
  <c r="M8" i="4"/>
  <c r="N8" i="4"/>
  <c r="O8" i="4"/>
  <c r="P8" i="4"/>
  <c r="Q8" i="4"/>
  <c r="R8" i="4"/>
  <c r="S8" i="4"/>
  <c r="T8" i="4"/>
  <c r="U8" i="4"/>
  <c r="V8" i="4"/>
  <c r="W8" i="4"/>
  <c r="X8" i="4"/>
  <c r="Y8" i="4"/>
  <c r="Z8" i="4"/>
  <c r="AA8" i="4"/>
  <c r="AB8" i="4"/>
  <c r="AC8" i="4"/>
  <c r="E9" i="4"/>
  <c r="F9" i="4"/>
  <c r="G9" i="4"/>
  <c r="H9" i="4"/>
  <c r="I9" i="4"/>
  <c r="J9" i="4"/>
  <c r="K9" i="4"/>
  <c r="L9" i="4"/>
  <c r="M9" i="4"/>
  <c r="N9" i="4"/>
  <c r="O9" i="4"/>
  <c r="P9" i="4"/>
  <c r="Q9" i="4"/>
  <c r="R9" i="4"/>
  <c r="S9" i="4"/>
  <c r="T9" i="4"/>
  <c r="U9" i="4"/>
  <c r="V9" i="4"/>
  <c r="W9" i="4"/>
  <c r="X9" i="4"/>
  <c r="Y9" i="4"/>
  <c r="Z9" i="4"/>
  <c r="AA9" i="4"/>
  <c r="AB9" i="4"/>
  <c r="AC9" i="4"/>
  <c r="E10" i="4"/>
  <c r="F10" i="4"/>
  <c r="G10" i="4"/>
  <c r="H10" i="4"/>
  <c r="I10" i="4"/>
  <c r="J10" i="4"/>
  <c r="K10" i="4"/>
  <c r="L10" i="4"/>
  <c r="M10" i="4"/>
  <c r="N10" i="4"/>
  <c r="O10" i="4"/>
  <c r="P10" i="4"/>
  <c r="Q10" i="4"/>
  <c r="R10" i="4"/>
  <c r="S10" i="4"/>
  <c r="T10" i="4"/>
  <c r="U10" i="4"/>
  <c r="V10" i="4"/>
  <c r="W10" i="4"/>
  <c r="X10" i="4"/>
  <c r="Y10" i="4"/>
  <c r="Z10" i="4"/>
  <c r="AA10" i="4"/>
  <c r="AB10" i="4"/>
  <c r="AC10" i="4"/>
  <c r="E12" i="4"/>
  <c r="F12" i="4"/>
  <c r="G12" i="4"/>
  <c r="H12" i="4"/>
  <c r="I12" i="4"/>
  <c r="J12" i="4"/>
  <c r="K12" i="4"/>
  <c r="L12" i="4"/>
  <c r="M12" i="4"/>
  <c r="N12" i="4"/>
  <c r="O12" i="4"/>
  <c r="P12" i="4"/>
  <c r="Q12" i="4"/>
  <c r="R12" i="4"/>
  <c r="S12" i="4"/>
  <c r="T12" i="4"/>
  <c r="U12" i="4"/>
  <c r="V12" i="4"/>
  <c r="W12" i="4"/>
  <c r="X12" i="4"/>
  <c r="Y12" i="4"/>
  <c r="Z12" i="4"/>
  <c r="AA12" i="4"/>
  <c r="AB12" i="4"/>
  <c r="AC12" i="4"/>
  <c r="E13" i="4"/>
  <c r="F13" i="4"/>
  <c r="G13" i="4"/>
  <c r="H13" i="4"/>
  <c r="I13" i="4"/>
  <c r="J13" i="4"/>
  <c r="K13" i="4"/>
  <c r="L13" i="4"/>
  <c r="M13" i="4"/>
  <c r="N13" i="4"/>
  <c r="O13" i="4"/>
  <c r="P13" i="4"/>
  <c r="Q13" i="4"/>
  <c r="R13" i="4"/>
  <c r="S13" i="4"/>
  <c r="T13" i="4"/>
  <c r="U13" i="4"/>
  <c r="V13" i="4"/>
  <c r="W13" i="4"/>
  <c r="X13" i="4"/>
  <c r="Y13" i="4"/>
  <c r="Z13" i="4"/>
  <c r="AA13" i="4"/>
  <c r="AB13" i="4"/>
  <c r="AC13" i="4"/>
  <c r="E14" i="4"/>
  <c r="F14" i="4"/>
  <c r="G14" i="4"/>
  <c r="H14" i="4"/>
  <c r="I14" i="4"/>
  <c r="J14" i="4"/>
  <c r="K14" i="4"/>
  <c r="L14" i="4"/>
  <c r="M14" i="4"/>
  <c r="N14" i="4"/>
  <c r="O14" i="4"/>
  <c r="P14" i="4"/>
  <c r="Q14" i="4"/>
  <c r="R14" i="4"/>
  <c r="S14" i="4"/>
  <c r="T14" i="4"/>
  <c r="U14" i="4"/>
  <c r="V14" i="4"/>
  <c r="W14" i="4"/>
  <c r="X14" i="4"/>
  <c r="Y14" i="4"/>
  <c r="Z14" i="4"/>
  <c r="AA14" i="4"/>
  <c r="AB14" i="4"/>
  <c r="AC14" i="4"/>
  <c r="E16" i="4"/>
  <c r="F16" i="4"/>
  <c r="G16" i="4"/>
  <c r="H16" i="4"/>
  <c r="I16" i="4"/>
  <c r="J16" i="4"/>
  <c r="K16" i="4"/>
  <c r="L16" i="4"/>
  <c r="M16" i="4"/>
  <c r="N16" i="4"/>
  <c r="O16" i="4"/>
  <c r="P16" i="4"/>
  <c r="Q16" i="4"/>
  <c r="R16" i="4"/>
  <c r="S16" i="4"/>
  <c r="T16" i="4"/>
  <c r="U16" i="4"/>
  <c r="V16" i="4"/>
  <c r="W16" i="4"/>
  <c r="X16" i="4"/>
  <c r="Y16" i="4"/>
  <c r="Z16" i="4"/>
  <c r="AA16" i="4"/>
  <c r="AB16" i="4"/>
  <c r="AC16" i="4"/>
  <c r="B18" i="4"/>
  <c r="C18" i="4"/>
  <c r="B19" i="4"/>
  <c r="C19" i="4"/>
  <c r="E19" i="4"/>
  <c r="F19" i="4"/>
  <c r="G19" i="4"/>
  <c r="H19" i="4"/>
  <c r="I19" i="4"/>
  <c r="J19" i="4"/>
  <c r="K19" i="4"/>
  <c r="L19" i="4"/>
  <c r="M19" i="4"/>
  <c r="N19" i="4"/>
  <c r="O19" i="4"/>
  <c r="P19" i="4"/>
  <c r="Q19" i="4"/>
  <c r="R19" i="4"/>
  <c r="S19" i="4"/>
  <c r="T19" i="4"/>
  <c r="U19" i="4"/>
  <c r="V19" i="4"/>
  <c r="W19" i="4"/>
  <c r="X19" i="4"/>
  <c r="Y19" i="4"/>
  <c r="Z19" i="4"/>
  <c r="AA19" i="4"/>
  <c r="AB19" i="4"/>
  <c r="AC19" i="4"/>
  <c r="B20" i="4"/>
  <c r="E20" i="4"/>
  <c r="F20" i="4"/>
  <c r="G20" i="4"/>
  <c r="H20" i="4"/>
  <c r="I20" i="4"/>
  <c r="J20" i="4"/>
  <c r="K20" i="4"/>
  <c r="L20" i="4"/>
  <c r="M20" i="4"/>
  <c r="N20" i="4"/>
  <c r="O20" i="4"/>
  <c r="P20" i="4"/>
  <c r="Q20" i="4"/>
  <c r="R20" i="4"/>
  <c r="S20" i="4"/>
  <c r="T20" i="4"/>
  <c r="U20" i="4"/>
  <c r="V20" i="4"/>
  <c r="W20" i="4"/>
  <c r="X20" i="4"/>
  <c r="Y20" i="4"/>
  <c r="Z20" i="4"/>
  <c r="AA20" i="4"/>
  <c r="AB20" i="4"/>
  <c r="AC20" i="4"/>
  <c r="B21" i="4"/>
  <c r="E21" i="4"/>
  <c r="F21" i="4"/>
  <c r="G21" i="4"/>
  <c r="H21" i="4"/>
  <c r="I21" i="4"/>
  <c r="J21" i="4"/>
  <c r="K21" i="4"/>
  <c r="L21" i="4"/>
  <c r="M21" i="4"/>
  <c r="N21" i="4"/>
  <c r="O21" i="4"/>
  <c r="P21" i="4"/>
  <c r="Q21" i="4"/>
  <c r="R21" i="4"/>
  <c r="S21" i="4"/>
  <c r="T21" i="4"/>
  <c r="U21" i="4"/>
  <c r="V21" i="4"/>
  <c r="W21" i="4"/>
  <c r="X21" i="4"/>
  <c r="Y21" i="4"/>
  <c r="Z21" i="4"/>
  <c r="AA21" i="4"/>
  <c r="AB21" i="4"/>
  <c r="AC21" i="4"/>
  <c r="B22" i="4"/>
  <c r="E26" i="4"/>
  <c r="F26" i="4"/>
  <c r="G26" i="4"/>
  <c r="H26" i="4"/>
  <c r="I26" i="4"/>
  <c r="J26" i="4"/>
  <c r="K26" i="4"/>
  <c r="L26" i="4"/>
  <c r="M26" i="4"/>
  <c r="N26" i="4"/>
  <c r="O26" i="4"/>
  <c r="P26" i="4"/>
  <c r="Q26" i="4"/>
  <c r="R26" i="4"/>
  <c r="S26" i="4"/>
  <c r="T26" i="4"/>
  <c r="U26" i="4"/>
  <c r="V26" i="4"/>
  <c r="W26" i="4"/>
  <c r="X26" i="4"/>
  <c r="Y26" i="4"/>
  <c r="Z26" i="4"/>
  <c r="AA26" i="4"/>
  <c r="AB26" i="4"/>
  <c r="AC26" i="4"/>
  <c r="E27" i="4"/>
  <c r="F27" i="4"/>
  <c r="G27" i="4"/>
  <c r="H27" i="4"/>
  <c r="I27" i="4"/>
  <c r="J27" i="4"/>
  <c r="K27" i="4"/>
  <c r="L27" i="4"/>
  <c r="M27" i="4"/>
  <c r="N27" i="4"/>
  <c r="O27" i="4"/>
  <c r="P27" i="4"/>
  <c r="Q27" i="4"/>
  <c r="R27" i="4"/>
  <c r="S27" i="4"/>
  <c r="T27" i="4"/>
  <c r="U27" i="4"/>
  <c r="V27" i="4"/>
  <c r="W27" i="4"/>
  <c r="X27" i="4"/>
  <c r="Y27" i="4"/>
  <c r="Z27" i="4"/>
  <c r="AA27" i="4"/>
  <c r="AB27" i="4"/>
  <c r="AC27" i="4"/>
  <c r="E28" i="4"/>
  <c r="F28" i="4"/>
  <c r="G28" i="4"/>
  <c r="H28" i="4"/>
  <c r="I28" i="4"/>
  <c r="J28" i="4"/>
  <c r="K28" i="4"/>
  <c r="L28" i="4"/>
  <c r="M28" i="4"/>
  <c r="N28" i="4"/>
  <c r="O28" i="4"/>
  <c r="P28" i="4"/>
  <c r="Q28" i="4"/>
  <c r="R28" i="4"/>
  <c r="S28" i="4"/>
  <c r="T28" i="4"/>
  <c r="U28" i="4"/>
  <c r="V28" i="4"/>
  <c r="W28" i="4"/>
  <c r="X28" i="4"/>
  <c r="Y28" i="4"/>
  <c r="Z28" i="4"/>
  <c r="AA28" i="4"/>
  <c r="AB28" i="4"/>
  <c r="AC28" i="4"/>
  <c r="E29" i="4"/>
  <c r="F29" i="4"/>
  <c r="G29" i="4"/>
  <c r="H29" i="4"/>
  <c r="I29" i="4"/>
  <c r="J29" i="4"/>
  <c r="K29" i="4"/>
  <c r="L29" i="4"/>
  <c r="M29" i="4"/>
  <c r="N29" i="4"/>
  <c r="O29" i="4"/>
  <c r="P29" i="4"/>
  <c r="Q29" i="4"/>
  <c r="R29" i="4"/>
  <c r="S29" i="4"/>
  <c r="T29" i="4"/>
  <c r="U29" i="4"/>
  <c r="V29" i="4"/>
  <c r="W29" i="4"/>
  <c r="X29" i="4"/>
  <c r="Y29" i="4"/>
  <c r="Z29" i="4"/>
  <c r="AA29" i="4"/>
  <c r="AB29" i="4"/>
  <c r="AC29" i="4"/>
  <c r="E30" i="4"/>
  <c r="F30" i="4"/>
  <c r="G30" i="4"/>
  <c r="H30" i="4"/>
  <c r="I30" i="4"/>
  <c r="J30" i="4"/>
  <c r="K30" i="4"/>
  <c r="L30" i="4"/>
  <c r="M30" i="4"/>
  <c r="N30" i="4"/>
  <c r="O30" i="4"/>
  <c r="P30" i="4"/>
  <c r="Q30" i="4"/>
  <c r="R30" i="4"/>
  <c r="S30" i="4"/>
  <c r="T30" i="4"/>
  <c r="U30" i="4"/>
  <c r="V30" i="4"/>
  <c r="W30" i="4"/>
  <c r="X30" i="4"/>
  <c r="Y30" i="4"/>
  <c r="Z30" i="4"/>
  <c r="AA30" i="4"/>
  <c r="AB30" i="4"/>
  <c r="AC30" i="4"/>
  <c r="E31" i="4"/>
  <c r="E34" i="4"/>
  <c r="F34" i="4"/>
  <c r="G34" i="4"/>
  <c r="H34" i="4"/>
  <c r="I34" i="4"/>
  <c r="J34" i="4"/>
  <c r="K34" i="4"/>
  <c r="L34" i="4"/>
  <c r="M34" i="4"/>
  <c r="N34" i="4"/>
  <c r="O34" i="4"/>
  <c r="P34" i="4"/>
  <c r="Q34" i="4"/>
  <c r="R34" i="4"/>
  <c r="S34" i="4"/>
  <c r="T34" i="4"/>
  <c r="U34" i="4"/>
  <c r="V34" i="4"/>
  <c r="W34" i="4"/>
  <c r="X34" i="4"/>
  <c r="Y34" i="4"/>
  <c r="Z34" i="4"/>
  <c r="AA34" i="4"/>
  <c r="AB34" i="4"/>
  <c r="AC34" i="4"/>
  <c r="E35" i="4"/>
  <c r="F35" i="4"/>
  <c r="G35" i="4"/>
  <c r="H35" i="4"/>
  <c r="I35" i="4"/>
  <c r="J35" i="4"/>
  <c r="K35" i="4"/>
  <c r="L35" i="4"/>
  <c r="M35" i="4"/>
  <c r="N35" i="4"/>
  <c r="O35" i="4"/>
  <c r="P35" i="4"/>
  <c r="Q35" i="4"/>
  <c r="R35" i="4"/>
  <c r="S35" i="4"/>
  <c r="T35" i="4"/>
  <c r="U35" i="4"/>
  <c r="V35" i="4"/>
  <c r="W35" i="4"/>
  <c r="X35" i="4"/>
  <c r="Y35" i="4"/>
  <c r="Z35" i="4"/>
  <c r="AA35" i="4"/>
  <c r="AB35" i="4"/>
  <c r="AC35" i="4"/>
  <c r="E36" i="4"/>
  <c r="F36" i="4"/>
  <c r="G36" i="4"/>
  <c r="H36" i="4"/>
  <c r="I36" i="4"/>
  <c r="J36" i="4"/>
  <c r="K36" i="4"/>
  <c r="L36" i="4"/>
  <c r="M36" i="4"/>
  <c r="N36" i="4"/>
  <c r="O36" i="4"/>
  <c r="P36" i="4"/>
  <c r="Q36" i="4"/>
  <c r="R36" i="4"/>
  <c r="S36" i="4"/>
  <c r="T36" i="4"/>
  <c r="U36" i="4"/>
  <c r="V36" i="4"/>
  <c r="W36" i="4"/>
  <c r="X36" i="4"/>
  <c r="Y36" i="4"/>
  <c r="Z36" i="4"/>
  <c r="AA36" i="4"/>
  <c r="AB36" i="4"/>
  <c r="AC36" i="4"/>
  <c r="E37" i="4"/>
  <c r="F37" i="4"/>
  <c r="G37" i="4"/>
  <c r="H37" i="4"/>
  <c r="I37" i="4"/>
  <c r="J37" i="4"/>
  <c r="K37" i="4"/>
  <c r="L37" i="4"/>
  <c r="M37" i="4"/>
  <c r="N37" i="4"/>
  <c r="O37" i="4"/>
  <c r="P37" i="4"/>
  <c r="Q37" i="4"/>
  <c r="R37" i="4"/>
  <c r="S37" i="4"/>
  <c r="T37" i="4"/>
  <c r="U37" i="4"/>
  <c r="V37" i="4"/>
  <c r="W37" i="4"/>
  <c r="X37" i="4"/>
  <c r="Y37" i="4"/>
  <c r="Z37" i="4"/>
  <c r="AA37" i="4"/>
  <c r="AB37" i="4"/>
  <c r="AC37" i="4"/>
  <c r="E38" i="4"/>
  <c r="F38" i="4"/>
  <c r="G38" i="4"/>
  <c r="H38" i="4"/>
  <c r="I38" i="4"/>
  <c r="J38" i="4"/>
  <c r="K38" i="4"/>
  <c r="L38" i="4"/>
  <c r="M38" i="4"/>
  <c r="N38" i="4"/>
  <c r="O38" i="4"/>
  <c r="P38" i="4"/>
  <c r="Q38" i="4"/>
  <c r="R38" i="4"/>
  <c r="S38" i="4"/>
  <c r="T38" i="4"/>
  <c r="U38" i="4"/>
  <c r="V38" i="4"/>
  <c r="W38" i="4"/>
  <c r="X38" i="4"/>
  <c r="Y38" i="4"/>
  <c r="Z38" i="4"/>
  <c r="AA38" i="4"/>
  <c r="AB38" i="4"/>
  <c r="AC38" i="4"/>
  <c r="E39" i="4"/>
  <c r="E42" i="4"/>
  <c r="F42" i="4"/>
  <c r="G42" i="4"/>
  <c r="H42" i="4"/>
  <c r="I42" i="4"/>
  <c r="J42" i="4"/>
  <c r="K42" i="4"/>
  <c r="L42" i="4"/>
  <c r="M42" i="4"/>
  <c r="N42" i="4"/>
  <c r="O42" i="4"/>
  <c r="P42" i="4"/>
  <c r="Q42" i="4"/>
  <c r="R42" i="4"/>
  <c r="S42" i="4"/>
  <c r="T42" i="4"/>
  <c r="U42" i="4"/>
  <c r="V42" i="4"/>
  <c r="W42" i="4"/>
  <c r="X42" i="4"/>
  <c r="Y42" i="4"/>
  <c r="Z42" i="4"/>
  <c r="AA42" i="4"/>
  <c r="AB42" i="4"/>
  <c r="AC42" i="4"/>
  <c r="E43" i="4"/>
  <c r="F43" i="4"/>
  <c r="G43" i="4"/>
  <c r="H43" i="4"/>
  <c r="I43" i="4"/>
  <c r="J43" i="4"/>
  <c r="K43" i="4"/>
  <c r="L43" i="4"/>
  <c r="M43" i="4"/>
  <c r="N43" i="4"/>
  <c r="O43" i="4"/>
  <c r="P43" i="4"/>
  <c r="Q43" i="4"/>
  <c r="R43" i="4"/>
  <c r="S43" i="4"/>
  <c r="T43" i="4"/>
  <c r="U43" i="4"/>
  <c r="V43" i="4"/>
  <c r="W43" i="4"/>
  <c r="X43" i="4"/>
  <c r="Y43" i="4"/>
  <c r="Z43" i="4"/>
  <c r="AA43" i="4"/>
  <c r="AB43" i="4"/>
  <c r="AC43" i="4"/>
  <c r="E44" i="4"/>
  <c r="F44" i="4"/>
  <c r="G44" i="4"/>
  <c r="H44" i="4"/>
  <c r="I44" i="4"/>
  <c r="J44" i="4"/>
  <c r="K44" i="4"/>
  <c r="L44" i="4"/>
  <c r="M44" i="4"/>
  <c r="N44" i="4"/>
  <c r="O44" i="4"/>
  <c r="P44" i="4"/>
  <c r="Q44" i="4"/>
  <c r="R44" i="4"/>
  <c r="S44" i="4"/>
  <c r="T44" i="4"/>
  <c r="U44" i="4"/>
  <c r="V44" i="4"/>
  <c r="W44" i="4"/>
  <c r="X44" i="4"/>
  <c r="Y44" i="4"/>
  <c r="Z44" i="4"/>
  <c r="AA44" i="4"/>
  <c r="AB44" i="4"/>
  <c r="AC44" i="4"/>
  <c r="E45" i="4"/>
  <c r="F45" i="4"/>
  <c r="G45" i="4"/>
  <c r="H45" i="4"/>
  <c r="I45" i="4"/>
  <c r="J45" i="4"/>
  <c r="K45" i="4"/>
  <c r="L45" i="4"/>
  <c r="M45" i="4"/>
  <c r="N45" i="4"/>
  <c r="O45" i="4"/>
  <c r="P45" i="4"/>
  <c r="Q45" i="4"/>
  <c r="R45" i="4"/>
  <c r="S45" i="4"/>
  <c r="T45" i="4"/>
  <c r="U45" i="4"/>
  <c r="V45" i="4"/>
  <c r="W45" i="4"/>
  <c r="X45" i="4"/>
  <c r="Y45" i="4"/>
  <c r="Z45" i="4"/>
  <c r="AA45" i="4"/>
  <c r="AB45" i="4"/>
  <c r="AC45" i="4"/>
  <c r="E46" i="4"/>
  <c r="F46" i="4"/>
  <c r="G46" i="4"/>
  <c r="H46" i="4"/>
  <c r="I46" i="4"/>
  <c r="J46" i="4"/>
  <c r="K46" i="4"/>
  <c r="L46" i="4"/>
  <c r="M46" i="4"/>
  <c r="N46" i="4"/>
  <c r="O46" i="4"/>
  <c r="P46" i="4"/>
  <c r="Q46" i="4"/>
  <c r="R46" i="4"/>
  <c r="S46" i="4"/>
  <c r="T46" i="4"/>
  <c r="U46" i="4"/>
  <c r="V46" i="4"/>
  <c r="W46" i="4"/>
  <c r="X46" i="4"/>
  <c r="Y46" i="4"/>
  <c r="Z46" i="4"/>
  <c r="AA46" i="4"/>
  <c r="AB46" i="4"/>
  <c r="AC46" i="4"/>
  <c r="E47" i="4"/>
  <c r="E51" i="4"/>
  <c r="F51" i="4"/>
  <c r="G51" i="4"/>
  <c r="H51" i="4"/>
  <c r="I51" i="4"/>
  <c r="J51" i="4"/>
  <c r="K51" i="4"/>
  <c r="L51" i="4"/>
  <c r="M51" i="4"/>
  <c r="N51" i="4"/>
  <c r="O51" i="4"/>
  <c r="P51" i="4"/>
  <c r="Q51" i="4"/>
  <c r="R51" i="4"/>
  <c r="S51" i="4"/>
  <c r="T51" i="4"/>
  <c r="U51" i="4"/>
  <c r="V51" i="4"/>
  <c r="W51" i="4"/>
  <c r="X51" i="4"/>
  <c r="Y51" i="4"/>
  <c r="Z51" i="4"/>
  <c r="AA51" i="4"/>
  <c r="AB51" i="4"/>
  <c r="AC51" i="4"/>
  <c r="E52" i="4"/>
  <c r="F52" i="4"/>
  <c r="G52" i="4"/>
  <c r="H52" i="4"/>
  <c r="I52" i="4"/>
  <c r="J52" i="4"/>
  <c r="K52" i="4"/>
  <c r="L52" i="4"/>
  <c r="M52" i="4"/>
  <c r="N52" i="4"/>
  <c r="O52" i="4"/>
  <c r="P52" i="4"/>
  <c r="Q52" i="4"/>
  <c r="R52" i="4"/>
  <c r="S52" i="4"/>
  <c r="T52" i="4"/>
  <c r="U52" i="4"/>
  <c r="V52" i="4"/>
  <c r="W52" i="4"/>
  <c r="X52" i="4"/>
  <c r="Y52" i="4"/>
  <c r="Z52" i="4"/>
  <c r="AA52" i="4"/>
  <c r="AB52" i="4"/>
  <c r="AC52" i="4"/>
  <c r="E53" i="4"/>
  <c r="F53" i="4"/>
  <c r="G53" i="4"/>
  <c r="H53" i="4"/>
  <c r="I53" i="4"/>
  <c r="J53" i="4"/>
  <c r="K53" i="4"/>
  <c r="L53" i="4"/>
  <c r="M53" i="4"/>
  <c r="N53" i="4"/>
  <c r="O53" i="4"/>
  <c r="P53" i="4"/>
  <c r="Q53" i="4"/>
  <c r="R53" i="4"/>
  <c r="S53" i="4"/>
  <c r="T53" i="4"/>
  <c r="U53" i="4"/>
  <c r="V53" i="4"/>
  <c r="W53" i="4"/>
  <c r="X53" i="4"/>
  <c r="Y53" i="4"/>
  <c r="Z53" i="4"/>
  <c r="AA53" i="4"/>
  <c r="AB53" i="4"/>
  <c r="AC53" i="4"/>
  <c r="E54" i="4"/>
  <c r="F54" i="4"/>
  <c r="G54" i="4"/>
  <c r="H54" i="4"/>
  <c r="I54" i="4"/>
  <c r="J54" i="4"/>
  <c r="K54" i="4"/>
  <c r="L54" i="4"/>
  <c r="M54" i="4"/>
  <c r="N54" i="4"/>
  <c r="O54" i="4"/>
  <c r="P54" i="4"/>
  <c r="Q54" i="4"/>
  <c r="R54" i="4"/>
  <c r="S54" i="4"/>
  <c r="T54" i="4"/>
  <c r="U54" i="4"/>
  <c r="V54" i="4"/>
  <c r="W54" i="4"/>
  <c r="X54" i="4"/>
  <c r="Y54" i="4"/>
  <c r="Z54" i="4"/>
  <c r="AA54" i="4"/>
  <c r="AB54" i="4"/>
  <c r="AC54" i="4"/>
  <c r="E55" i="4"/>
  <c r="F55" i="4"/>
  <c r="G55" i="4"/>
  <c r="H55" i="4"/>
  <c r="I55" i="4"/>
  <c r="J55" i="4"/>
  <c r="K55" i="4"/>
  <c r="L55" i="4"/>
  <c r="M55" i="4"/>
  <c r="N55" i="4"/>
  <c r="O55" i="4"/>
  <c r="P55" i="4"/>
  <c r="Q55" i="4"/>
  <c r="R55" i="4"/>
  <c r="S55" i="4"/>
  <c r="T55" i="4"/>
  <c r="U55" i="4"/>
  <c r="V55" i="4"/>
  <c r="W55" i="4"/>
  <c r="X55" i="4"/>
  <c r="Y55" i="4"/>
  <c r="Z55" i="4"/>
  <c r="AA55" i="4"/>
  <c r="AB55" i="4"/>
  <c r="AC55" i="4"/>
  <c r="E56" i="4"/>
  <c r="E58" i="4"/>
  <c r="F58" i="4"/>
  <c r="G58" i="4"/>
  <c r="H58" i="4"/>
  <c r="I58" i="4"/>
  <c r="J58" i="4"/>
  <c r="K58" i="4"/>
  <c r="L58" i="4"/>
  <c r="M58" i="4"/>
  <c r="N58" i="4"/>
  <c r="O58" i="4"/>
  <c r="P58" i="4"/>
  <c r="Q58" i="4"/>
  <c r="R58" i="4"/>
  <c r="S58" i="4"/>
  <c r="T58" i="4"/>
  <c r="U58" i="4"/>
  <c r="V58" i="4"/>
  <c r="W58" i="4"/>
  <c r="X58" i="4"/>
  <c r="Y58" i="4"/>
  <c r="Z58" i="4"/>
  <c r="AA58" i="4"/>
  <c r="AB58" i="4"/>
  <c r="AC58" i="4"/>
  <c r="B63" i="4"/>
  <c r="B64" i="4"/>
  <c r="B65" i="4"/>
  <c r="E65" i="4"/>
  <c r="F65" i="4"/>
  <c r="G65" i="4"/>
  <c r="H65" i="4"/>
  <c r="I65" i="4"/>
  <c r="J65" i="4"/>
  <c r="K65" i="4"/>
  <c r="L65" i="4"/>
  <c r="M65" i="4"/>
  <c r="N65" i="4"/>
  <c r="O65" i="4"/>
  <c r="P65" i="4"/>
  <c r="Q65" i="4"/>
  <c r="R65" i="4"/>
  <c r="S65" i="4"/>
  <c r="T65" i="4"/>
  <c r="U65" i="4"/>
  <c r="V65" i="4"/>
  <c r="W65" i="4"/>
  <c r="X65" i="4"/>
  <c r="Y65" i="4"/>
  <c r="Z65" i="4"/>
  <c r="AA65" i="4"/>
  <c r="AB65" i="4"/>
  <c r="AC65" i="4"/>
  <c r="E66" i="4"/>
  <c r="F66" i="4"/>
  <c r="G66" i="4"/>
  <c r="H66" i="4"/>
  <c r="I66" i="4"/>
  <c r="J66" i="4"/>
  <c r="K66" i="4"/>
  <c r="L66" i="4"/>
  <c r="M66" i="4"/>
  <c r="N66" i="4"/>
  <c r="O66" i="4"/>
  <c r="P66" i="4"/>
  <c r="Q66" i="4"/>
  <c r="R66" i="4"/>
  <c r="S66" i="4"/>
  <c r="T66" i="4"/>
  <c r="U66" i="4"/>
  <c r="V66" i="4"/>
  <c r="W66" i="4"/>
  <c r="X66" i="4"/>
  <c r="Y66" i="4"/>
  <c r="Z66" i="4"/>
  <c r="AA66" i="4"/>
  <c r="AB66" i="4"/>
  <c r="AC66" i="4"/>
  <c r="C68" i="4"/>
  <c r="E68" i="4"/>
  <c r="F68" i="4"/>
  <c r="G68" i="4"/>
  <c r="H68" i="4"/>
  <c r="I68" i="4"/>
  <c r="J68" i="4"/>
  <c r="K68" i="4"/>
  <c r="L68" i="4"/>
  <c r="M68" i="4"/>
  <c r="N68" i="4"/>
  <c r="O68" i="4"/>
  <c r="P68" i="4"/>
  <c r="Q68" i="4"/>
  <c r="R68" i="4"/>
  <c r="S68" i="4"/>
  <c r="T68" i="4"/>
  <c r="U68" i="4"/>
  <c r="V68" i="4"/>
  <c r="W68" i="4"/>
  <c r="X68" i="4"/>
  <c r="Y68" i="4"/>
  <c r="Z68" i="4"/>
  <c r="AA68" i="4"/>
  <c r="AB68" i="4"/>
  <c r="AC68" i="4"/>
  <c r="E69" i="4"/>
  <c r="F69" i="4"/>
  <c r="G69" i="4"/>
  <c r="H69" i="4"/>
  <c r="I69" i="4"/>
  <c r="J69" i="4"/>
  <c r="K69" i="4"/>
  <c r="L69" i="4"/>
  <c r="M69" i="4"/>
  <c r="N69" i="4"/>
  <c r="O69" i="4"/>
  <c r="P69" i="4"/>
  <c r="Q69" i="4"/>
  <c r="R69" i="4"/>
  <c r="S69" i="4"/>
  <c r="T69" i="4"/>
  <c r="U69" i="4"/>
  <c r="V69" i="4"/>
  <c r="W69" i="4"/>
  <c r="X69" i="4"/>
  <c r="Y69" i="4"/>
  <c r="Z69" i="4"/>
  <c r="AA69" i="4"/>
  <c r="AB69" i="4"/>
  <c r="AC69" i="4"/>
  <c r="E70" i="4"/>
  <c r="F70" i="4"/>
  <c r="G70" i="4"/>
  <c r="H70" i="4"/>
  <c r="I70" i="4"/>
  <c r="J70" i="4"/>
  <c r="K70" i="4"/>
  <c r="L70" i="4"/>
  <c r="M70" i="4"/>
  <c r="N70" i="4"/>
  <c r="O70" i="4"/>
  <c r="P70" i="4"/>
  <c r="Q70" i="4"/>
  <c r="R70" i="4"/>
  <c r="S70" i="4"/>
  <c r="T70" i="4"/>
  <c r="U70" i="4"/>
  <c r="V70" i="4"/>
  <c r="W70" i="4"/>
  <c r="X70" i="4"/>
  <c r="Y70" i="4"/>
  <c r="Z70" i="4"/>
  <c r="AA70" i="4"/>
  <c r="AB70" i="4"/>
  <c r="AC70" i="4"/>
  <c r="E71" i="4"/>
  <c r="F71" i="4"/>
  <c r="G71" i="4"/>
  <c r="H71" i="4"/>
  <c r="I71" i="4"/>
  <c r="J71" i="4"/>
  <c r="K71" i="4"/>
  <c r="L71" i="4"/>
  <c r="M71" i="4"/>
  <c r="N71" i="4"/>
  <c r="O71" i="4"/>
  <c r="P71" i="4"/>
  <c r="Q71" i="4"/>
  <c r="R71" i="4"/>
  <c r="S71" i="4"/>
  <c r="T71" i="4"/>
  <c r="U71" i="4"/>
  <c r="V71" i="4"/>
  <c r="W71" i="4"/>
  <c r="X71" i="4"/>
  <c r="Y71" i="4"/>
  <c r="Z71" i="4"/>
  <c r="AA71" i="4"/>
  <c r="AB71" i="4"/>
  <c r="AC71" i="4"/>
  <c r="E72" i="4"/>
  <c r="F72" i="4"/>
  <c r="G72" i="4"/>
  <c r="H72" i="4"/>
  <c r="I72" i="4"/>
  <c r="J72" i="4"/>
  <c r="K72" i="4"/>
  <c r="L72" i="4"/>
  <c r="M72" i="4"/>
  <c r="N72" i="4"/>
  <c r="O72" i="4"/>
  <c r="P72" i="4"/>
  <c r="Q72" i="4"/>
  <c r="R72" i="4"/>
  <c r="S72" i="4"/>
  <c r="T72" i="4"/>
  <c r="U72" i="4"/>
  <c r="V72" i="4"/>
  <c r="W72" i="4"/>
  <c r="X72" i="4"/>
  <c r="Y72" i="4"/>
  <c r="Z72" i="4"/>
  <c r="AA72" i="4"/>
  <c r="AB72" i="4"/>
  <c r="AC72" i="4"/>
  <c r="C73" i="4"/>
  <c r="D74" i="4"/>
  <c r="B77" i="4"/>
  <c r="B78" i="4"/>
  <c r="B79" i="4"/>
  <c r="E79" i="4"/>
  <c r="F79" i="4"/>
  <c r="G79" i="4"/>
  <c r="H79" i="4"/>
  <c r="I79" i="4"/>
  <c r="J79" i="4"/>
  <c r="K79" i="4"/>
  <c r="L79" i="4"/>
  <c r="M79" i="4"/>
  <c r="N79" i="4"/>
  <c r="O79" i="4"/>
  <c r="P79" i="4"/>
  <c r="Q79" i="4"/>
  <c r="R79" i="4"/>
  <c r="S79" i="4"/>
  <c r="T79" i="4"/>
  <c r="U79" i="4"/>
  <c r="V79" i="4"/>
  <c r="W79" i="4"/>
  <c r="X79" i="4"/>
  <c r="Y79" i="4"/>
  <c r="Z79" i="4"/>
  <c r="AA79" i="4"/>
  <c r="AB79" i="4"/>
  <c r="AC79" i="4"/>
  <c r="E80" i="4"/>
  <c r="F80" i="4"/>
  <c r="G80" i="4"/>
  <c r="H80" i="4"/>
  <c r="I80" i="4"/>
  <c r="J80" i="4"/>
  <c r="K80" i="4"/>
  <c r="L80" i="4"/>
  <c r="M80" i="4"/>
  <c r="N80" i="4"/>
  <c r="O80" i="4"/>
  <c r="P80" i="4"/>
  <c r="Q80" i="4"/>
  <c r="R80" i="4"/>
  <c r="S80" i="4"/>
  <c r="T80" i="4"/>
  <c r="U80" i="4"/>
  <c r="V80" i="4"/>
  <c r="W80" i="4"/>
  <c r="X80" i="4"/>
  <c r="Y80" i="4"/>
  <c r="Z80" i="4"/>
  <c r="AA80" i="4"/>
  <c r="AB80" i="4"/>
  <c r="AC80" i="4"/>
  <c r="C82" i="4"/>
  <c r="E82" i="4"/>
  <c r="F82" i="4"/>
  <c r="G82" i="4"/>
  <c r="H82" i="4"/>
  <c r="I82" i="4"/>
  <c r="J82" i="4"/>
  <c r="K82" i="4"/>
  <c r="L82" i="4"/>
  <c r="M82" i="4"/>
  <c r="N82" i="4"/>
  <c r="O82" i="4"/>
  <c r="P82" i="4"/>
  <c r="Q82" i="4"/>
  <c r="R82" i="4"/>
  <c r="S82" i="4"/>
  <c r="T82" i="4"/>
  <c r="U82" i="4"/>
  <c r="V82" i="4"/>
  <c r="W82" i="4"/>
  <c r="X82" i="4"/>
  <c r="Y82" i="4"/>
  <c r="Z82" i="4"/>
  <c r="AA82" i="4"/>
  <c r="AB82" i="4"/>
  <c r="AC82" i="4"/>
  <c r="E83" i="4"/>
  <c r="F83" i="4"/>
  <c r="G83" i="4"/>
  <c r="H83" i="4"/>
  <c r="I83" i="4"/>
  <c r="J83" i="4"/>
  <c r="K83" i="4"/>
  <c r="L83" i="4"/>
  <c r="M83" i="4"/>
  <c r="N83" i="4"/>
  <c r="O83" i="4"/>
  <c r="P83" i="4"/>
  <c r="Q83" i="4"/>
  <c r="R83" i="4"/>
  <c r="S83" i="4"/>
  <c r="T83" i="4"/>
  <c r="U83" i="4"/>
  <c r="V83" i="4"/>
  <c r="W83" i="4"/>
  <c r="X83" i="4"/>
  <c r="Y83" i="4"/>
  <c r="Z83" i="4"/>
  <c r="AA83" i="4"/>
  <c r="AB83" i="4"/>
  <c r="AC83" i="4"/>
  <c r="E84" i="4"/>
  <c r="F84" i="4"/>
  <c r="G84" i="4"/>
  <c r="H84" i="4"/>
  <c r="I84" i="4"/>
  <c r="J84" i="4"/>
  <c r="K84" i="4"/>
  <c r="L84" i="4"/>
  <c r="M84" i="4"/>
  <c r="N84" i="4"/>
  <c r="O84" i="4"/>
  <c r="P84" i="4"/>
  <c r="Q84" i="4"/>
  <c r="R84" i="4"/>
  <c r="S84" i="4"/>
  <c r="T84" i="4"/>
  <c r="U84" i="4"/>
  <c r="V84" i="4"/>
  <c r="W84" i="4"/>
  <c r="X84" i="4"/>
  <c r="Y84" i="4"/>
  <c r="Z84" i="4"/>
  <c r="AA84" i="4"/>
  <c r="AB84" i="4"/>
  <c r="AC84" i="4"/>
  <c r="E85" i="4"/>
  <c r="F85" i="4"/>
  <c r="G85" i="4"/>
  <c r="H85" i="4"/>
  <c r="I85" i="4"/>
  <c r="J85" i="4"/>
  <c r="K85" i="4"/>
  <c r="L85" i="4"/>
  <c r="M85" i="4"/>
  <c r="N85" i="4"/>
  <c r="O85" i="4"/>
  <c r="P85" i="4"/>
  <c r="Q85" i="4"/>
  <c r="R85" i="4"/>
  <c r="S85" i="4"/>
  <c r="T85" i="4"/>
  <c r="U85" i="4"/>
  <c r="V85" i="4"/>
  <c r="W85" i="4"/>
  <c r="X85" i="4"/>
  <c r="Y85" i="4"/>
  <c r="Z85" i="4"/>
  <c r="AA85" i="4"/>
  <c r="AB85" i="4"/>
  <c r="AC85" i="4"/>
  <c r="E86" i="4"/>
  <c r="F86" i="4"/>
  <c r="G86" i="4"/>
  <c r="H86" i="4"/>
  <c r="I86" i="4"/>
  <c r="J86" i="4"/>
  <c r="K86" i="4"/>
  <c r="L86" i="4"/>
  <c r="M86" i="4"/>
  <c r="N86" i="4"/>
  <c r="O86" i="4"/>
  <c r="P86" i="4"/>
  <c r="Q86" i="4"/>
  <c r="R86" i="4"/>
  <c r="S86" i="4"/>
  <c r="T86" i="4"/>
  <c r="U86" i="4"/>
  <c r="V86" i="4"/>
  <c r="W86" i="4"/>
  <c r="X86" i="4"/>
  <c r="Y86" i="4"/>
  <c r="Z86" i="4"/>
  <c r="AA86" i="4"/>
  <c r="AB86" i="4"/>
  <c r="AC86" i="4"/>
  <c r="C87" i="4"/>
  <c r="D88" i="4"/>
  <c r="B91" i="4"/>
  <c r="B92" i="4"/>
  <c r="B93" i="4"/>
  <c r="E93" i="4"/>
  <c r="F93" i="4"/>
  <c r="G93" i="4"/>
  <c r="H93" i="4"/>
  <c r="I93" i="4"/>
  <c r="J93" i="4"/>
  <c r="K93" i="4"/>
  <c r="L93" i="4"/>
  <c r="M93" i="4"/>
  <c r="N93" i="4"/>
  <c r="O93" i="4"/>
  <c r="P93" i="4"/>
  <c r="Q93" i="4"/>
  <c r="R93" i="4"/>
  <c r="S93" i="4"/>
  <c r="T93" i="4"/>
  <c r="U93" i="4"/>
  <c r="V93" i="4"/>
  <c r="W93" i="4"/>
  <c r="X93" i="4"/>
  <c r="Y93" i="4"/>
  <c r="Z93" i="4"/>
  <c r="AA93" i="4"/>
  <c r="AB93" i="4"/>
  <c r="AC93" i="4"/>
  <c r="E94" i="4"/>
  <c r="F94" i="4"/>
  <c r="G94" i="4"/>
  <c r="H94" i="4"/>
  <c r="I94" i="4"/>
  <c r="J94" i="4"/>
  <c r="K94" i="4"/>
  <c r="L94" i="4"/>
  <c r="M94" i="4"/>
  <c r="N94" i="4"/>
  <c r="O94" i="4"/>
  <c r="P94" i="4"/>
  <c r="Q94" i="4"/>
  <c r="R94" i="4"/>
  <c r="S94" i="4"/>
  <c r="T94" i="4"/>
  <c r="U94" i="4"/>
  <c r="V94" i="4"/>
  <c r="W94" i="4"/>
  <c r="X94" i="4"/>
  <c r="Y94" i="4"/>
  <c r="Z94" i="4"/>
  <c r="AA94" i="4"/>
  <c r="AB94" i="4"/>
  <c r="AC94" i="4"/>
  <c r="C96" i="4"/>
  <c r="E96" i="4"/>
  <c r="F96" i="4"/>
  <c r="G96" i="4"/>
  <c r="H96" i="4"/>
  <c r="I96" i="4"/>
  <c r="J96" i="4"/>
  <c r="K96" i="4"/>
  <c r="L96" i="4"/>
  <c r="M96" i="4"/>
  <c r="N96" i="4"/>
  <c r="O96" i="4"/>
  <c r="P96" i="4"/>
  <c r="Q96" i="4"/>
  <c r="R96" i="4"/>
  <c r="S96" i="4"/>
  <c r="T96" i="4"/>
  <c r="U96" i="4"/>
  <c r="V96" i="4"/>
  <c r="W96" i="4"/>
  <c r="X96" i="4"/>
  <c r="Y96" i="4"/>
  <c r="Z96" i="4"/>
  <c r="AA96" i="4"/>
  <c r="AB96" i="4"/>
  <c r="AC96" i="4"/>
  <c r="B97" i="4"/>
  <c r="E97" i="4"/>
  <c r="F97" i="4"/>
  <c r="G97" i="4"/>
  <c r="H97" i="4"/>
  <c r="I97" i="4"/>
  <c r="J97" i="4"/>
  <c r="K97" i="4"/>
  <c r="L97" i="4"/>
  <c r="M97" i="4"/>
  <c r="N97" i="4"/>
  <c r="O97" i="4"/>
  <c r="P97" i="4"/>
  <c r="Q97" i="4"/>
  <c r="R97" i="4"/>
  <c r="S97" i="4"/>
  <c r="T97" i="4"/>
  <c r="U97" i="4"/>
  <c r="V97" i="4"/>
  <c r="W97" i="4"/>
  <c r="X97" i="4"/>
  <c r="Y97" i="4"/>
  <c r="Z97" i="4"/>
  <c r="AA97" i="4"/>
  <c r="AB97" i="4"/>
  <c r="AC97" i="4"/>
  <c r="E98" i="4"/>
  <c r="F98" i="4"/>
  <c r="G98" i="4"/>
  <c r="H98" i="4"/>
  <c r="I98" i="4"/>
  <c r="J98" i="4"/>
  <c r="K98" i="4"/>
  <c r="L98" i="4"/>
  <c r="M98" i="4"/>
  <c r="N98" i="4"/>
  <c r="O98" i="4"/>
  <c r="P98" i="4"/>
  <c r="Q98" i="4"/>
  <c r="R98" i="4"/>
  <c r="S98" i="4"/>
  <c r="T98" i="4"/>
  <c r="U98" i="4"/>
  <c r="V98" i="4"/>
  <c r="W98" i="4"/>
  <c r="X98" i="4"/>
  <c r="Y98" i="4"/>
  <c r="Z98" i="4"/>
  <c r="AA98" i="4"/>
  <c r="AB98" i="4"/>
  <c r="AC98" i="4"/>
  <c r="E99" i="4"/>
  <c r="F99" i="4"/>
  <c r="G99" i="4"/>
  <c r="H99" i="4"/>
  <c r="I99" i="4"/>
  <c r="J99" i="4"/>
  <c r="K99" i="4"/>
  <c r="L99" i="4"/>
  <c r="M99" i="4"/>
  <c r="N99" i="4"/>
  <c r="O99" i="4"/>
  <c r="P99" i="4"/>
  <c r="Q99" i="4"/>
  <c r="R99" i="4"/>
  <c r="S99" i="4"/>
  <c r="T99" i="4"/>
  <c r="U99" i="4"/>
  <c r="V99" i="4"/>
  <c r="W99" i="4"/>
  <c r="X99" i="4"/>
  <c r="Y99" i="4"/>
  <c r="Z99" i="4"/>
  <c r="AA99" i="4"/>
  <c r="AB99" i="4"/>
  <c r="AC99" i="4"/>
  <c r="E100" i="4"/>
  <c r="F100" i="4"/>
  <c r="G100" i="4"/>
  <c r="H100" i="4"/>
  <c r="I100" i="4"/>
  <c r="J100" i="4"/>
  <c r="K100" i="4"/>
  <c r="L100" i="4"/>
  <c r="M100" i="4"/>
  <c r="N100" i="4"/>
  <c r="O100" i="4"/>
  <c r="P100" i="4"/>
  <c r="Q100" i="4"/>
  <c r="R100" i="4"/>
  <c r="S100" i="4"/>
  <c r="T100" i="4"/>
  <c r="U100" i="4"/>
  <c r="V100" i="4"/>
  <c r="W100" i="4"/>
  <c r="X100" i="4"/>
  <c r="Y100" i="4"/>
  <c r="Z100" i="4"/>
  <c r="AA100" i="4"/>
  <c r="AB100" i="4"/>
  <c r="AC100" i="4"/>
  <c r="C101" i="4"/>
  <c r="D102" i="4"/>
  <c r="A1" i="9"/>
  <c r="E4" i="9"/>
  <c r="F4" i="9"/>
  <c r="G4" i="9"/>
  <c r="H4" i="9"/>
  <c r="I4" i="9"/>
  <c r="J4" i="9"/>
  <c r="K4" i="9"/>
  <c r="L4" i="9"/>
  <c r="M4" i="9"/>
  <c r="N4" i="9"/>
  <c r="O4" i="9"/>
  <c r="P4" i="9"/>
  <c r="Q4" i="9"/>
  <c r="R4" i="9"/>
  <c r="S4" i="9"/>
  <c r="T4" i="9"/>
  <c r="U4" i="9"/>
  <c r="V4" i="9"/>
  <c r="W4" i="9"/>
  <c r="X4" i="9"/>
  <c r="Y4" i="9"/>
  <c r="Z4" i="9"/>
  <c r="AA4" i="9"/>
  <c r="AB4" i="9"/>
  <c r="D5" i="9"/>
  <c r="E5" i="9"/>
  <c r="F5" i="9"/>
  <c r="G5" i="9"/>
  <c r="H5" i="9"/>
  <c r="I5" i="9"/>
  <c r="J5" i="9"/>
  <c r="K5" i="9"/>
  <c r="L5" i="9"/>
  <c r="M5" i="9"/>
  <c r="N5" i="9"/>
  <c r="O5" i="9"/>
  <c r="P5" i="9"/>
  <c r="Q5" i="9"/>
  <c r="R5" i="9"/>
  <c r="S5" i="9"/>
  <c r="T5" i="9"/>
  <c r="U5" i="9"/>
  <c r="V5" i="9"/>
  <c r="W5" i="9"/>
  <c r="X5" i="9"/>
  <c r="Y5" i="9"/>
  <c r="Z5" i="9"/>
  <c r="AA5" i="9"/>
  <c r="AB5" i="9"/>
  <c r="D7" i="9"/>
  <c r="E7" i="9"/>
  <c r="F7" i="9"/>
  <c r="G7" i="9"/>
  <c r="H7" i="9"/>
  <c r="I7" i="9"/>
  <c r="J7" i="9"/>
  <c r="K7" i="9"/>
  <c r="L7" i="9"/>
  <c r="M7" i="9"/>
  <c r="N7" i="9"/>
  <c r="O7" i="9"/>
  <c r="P7" i="9"/>
  <c r="Q7" i="9"/>
  <c r="R7" i="9"/>
  <c r="S7" i="9"/>
  <c r="T7" i="9"/>
  <c r="U7" i="9"/>
  <c r="V7" i="9"/>
  <c r="W7" i="9"/>
  <c r="X7" i="9"/>
  <c r="Y7" i="9"/>
  <c r="Z7" i="9"/>
  <c r="AA7" i="9"/>
  <c r="AB7" i="9"/>
  <c r="D8" i="9"/>
  <c r="E8" i="9"/>
  <c r="F8" i="9"/>
  <c r="G8" i="9"/>
  <c r="H8" i="9"/>
  <c r="I8" i="9"/>
  <c r="J8" i="9"/>
  <c r="K8" i="9"/>
  <c r="L8" i="9"/>
  <c r="M8" i="9"/>
  <c r="N8" i="9"/>
  <c r="O8" i="9"/>
  <c r="P8" i="9"/>
  <c r="Q8" i="9"/>
  <c r="R8" i="9"/>
  <c r="S8" i="9"/>
  <c r="T8" i="9"/>
  <c r="U8" i="9"/>
  <c r="V8" i="9"/>
  <c r="W8" i="9"/>
  <c r="X8" i="9"/>
  <c r="Y8" i="9"/>
  <c r="Z8" i="9"/>
  <c r="AA8" i="9"/>
  <c r="AB8" i="9"/>
  <c r="B9" i="9"/>
  <c r="D9" i="9"/>
  <c r="E9" i="9"/>
  <c r="F9" i="9"/>
  <c r="G9" i="9"/>
  <c r="H9" i="9"/>
  <c r="I9" i="9"/>
  <c r="J9" i="9"/>
  <c r="K9" i="9"/>
  <c r="L9" i="9"/>
  <c r="M9" i="9"/>
  <c r="N9" i="9"/>
  <c r="O9" i="9"/>
  <c r="P9" i="9"/>
  <c r="Q9" i="9"/>
  <c r="R9" i="9"/>
  <c r="S9" i="9"/>
  <c r="T9" i="9"/>
  <c r="U9" i="9"/>
  <c r="V9" i="9"/>
  <c r="W9" i="9"/>
  <c r="X9" i="9"/>
  <c r="Y9" i="9"/>
  <c r="Z9" i="9"/>
  <c r="AA9" i="9"/>
  <c r="AB9" i="9"/>
  <c r="B11" i="9"/>
  <c r="D11" i="9"/>
  <c r="E11" i="9"/>
  <c r="F11" i="9"/>
  <c r="G11" i="9"/>
  <c r="H11" i="9"/>
  <c r="I11" i="9"/>
  <c r="J11" i="9"/>
  <c r="K11" i="9"/>
  <c r="L11" i="9"/>
  <c r="M11" i="9"/>
  <c r="N11" i="9"/>
  <c r="O11" i="9"/>
  <c r="P11" i="9"/>
  <c r="Q11" i="9"/>
  <c r="R11" i="9"/>
  <c r="S11" i="9"/>
  <c r="T11" i="9"/>
  <c r="U11" i="9"/>
  <c r="V11" i="9"/>
  <c r="W11" i="9"/>
  <c r="X11" i="9"/>
  <c r="Y11" i="9"/>
  <c r="Z11" i="9"/>
  <c r="AA11" i="9"/>
  <c r="AB11" i="9"/>
  <c r="B12" i="9"/>
  <c r="D12" i="9"/>
  <c r="E12" i="9"/>
  <c r="F12" i="9"/>
  <c r="G12" i="9"/>
  <c r="H12" i="9"/>
  <c r="I12" i="9"/>
  <c r="J12" i="9"/>
  <c r="K12" i="9"/>
  <c r="L12" i="9"/>
  <c r="M12" i="9"/>
  <c r="N12" i="9"/>
  <c r="O12" i="9"/>
  <c r="P12" i="9"/>
  <c r="Q12" i="9"/>
  <c r="R12" i="9"/>
  <c r="S12" i="9"/>
  <c r="T12" i="9"/>
  <c r="U12" i="9"/>
  <c r="V12" i="9"/>
  <c r="W12" i="9"/>
  <c r="X12" i="9"/>
  <c r="Y12" i="9"/>
  <c r="Z12" i="9"/>
  <c r="AA12" i="9"/>
  <c r="AB12" i="9"/>
  <c r="B13" i="9"/>
  <c r="D13" i="9"/>
  <c r="E13" i="9"/>
  <c r="F13" i="9"/>
  <c r="G13" i="9"/>
  <c r="H13" i="9"/>
  <c r="I13" i="9"/>
  <c r="J13" i="9"/>
  <c r="K13" i="9"/>
  <c r="L13" i="9"/>
  <c r="M13" i="9"/>
  <c r="N13" i="9"/>
  <c r="O13" i="9"/>
  <c r="P13" i="9"/>
  <c r="Q13" i="9"/>
  <c r="R13" i="9"/>
  <c r="S13" i="9"/>
  <c r="T13" i="9"/>
  <c r="U13" i="9"/>
  <c r="V13" i="9"/>
  <c r="W13" i="9"/>
  <c r="X13" i="9"/>
  <c r="Y13" i="9"/>
  <c r="Z13" i="9"/>
  <c r="AA13" i="9"/>
  <c r="AB13" i="9"/>
  <c r="D14" i="9"/>
  <c r="B15" i="9"/>
  <c r="D15" i="9"/>
  <c r="E15" i="9"/>
  <c r="F15" i="9"/>
  <c r="G15" i="9"/>
  <c r="H15" i="9"/>
  <c r="I15" i="9"/>
  <c r="J15" i="9"/>
  <c r="K15" i="9"/>
  <c r="L15" i="9"/>
  <c r="M15" i="9"/>
  <c r="N15" i="9"/>
  <c r="O15" i="9"/>
  <c r="P15" i="9"/>
  <c r="Q15" i="9"/>
  <c r="R15" i="9"/>
  <c r="S15" i="9"/>
  <c r="T15" i="9"/>
  <c r="U15" i="9"/>
  <c r="V15" i="9"/>
  <c r="W15" i="9"/>
  <c r="X15" i="9"/>
  <c r="Y15" i="9"/>
  <c r="Z15" i="9"/>
  <c r="AA15" i="9"/>
  <c r="AB15" i="9"/>
  <c r="B19" i="9"/>
  <c r="D19" i="9"/>
  <c r="E19" i="9"/>
  <c r="F19" i="9"/>
  <c r="G19" i="9"/>
  <c r="H19" i="9"/>
  <c r="I19" i="9"/>
  <c r="J19" i="9"/>
  <c r="K19" i="9"/>
  <c r="L19" i="9"/>
  <c r="M19" i="9"/>
  <c r="N19" i="9"/>
  <c r="O19" i="9"/>
  <c r="P19" i="9"/>
  <c r="Q19" i="9"/>
  <c r="R19" i="9"/>
  <c r="S19" i="9"/>
  <c r="T19" i="9"/>
  <c r="U19" i="9"/>
  <c r="V19" i="9"/>
  <c r="W19" i="9"/>
  <c r="X19" i="9"/>
  <c r="Y19" i="9"/>
  <c r="Z19" i="9"/>
  <c r="AA19" i="9"/>
  <c r="AB19" i="9"/>
  <c r="D20" i="9"/>
  <c r="E20" i="9"/>
  <c r="F20" i="9"/>
  <c r="G20" i="9"/>
  <c r="H20" i="9"/>
  <c r="I20" i="9"/>
  <c r="J20" i="9"/>
  <c r="K20" i="9"/>
  <c r="L20" i="9"/>
  <c r="M20" i="9"/>
  <c r="N20" i="9"/>
  <c r="O20" i="9"/>
  <c r="P20" i="9"/>
  <c r="Q20" i="9"/>
  <c r="R20" i="9"/>
  <c r="S20" i="9"/>
  <c r="T20" i="9"/>
  <c r="U20" i="9"/>
  <c r="V20" i="9"/>
  <c r="W20" i="9"/>
  <c r="X20" i="9"/>
  <c r="Y20" i="9"/>
  <c r="Z20" i="9"/>
  <c r="AA20" i="9"/>
  <c r="AB20" i="9"/>
  <c r="B21" i="9"/>
  <c r="D21" i="9"/>
  <c r="E21" i="9"/>
  <c r="F21" i="9"/>
  <c r="G21" i="9"/>
  <c r="H21" i="9"/>
  <c r="I21" i="9"/>
  <c r="J21" i="9"/>
  <c r="K21" i="9"/>
  <c r="L21" i="9"/>
  <c r="M21" i="9"/>
  <c r="N21" i="9"/>
  <c r="O21" i="9"/>
  <c r="P21" i="9"/>
  <c r="Q21" i="9"/>
  <c r="R21" i="9"/>
  <c r="S21" i="9"/>
  <c r="T21" i="9"/>
  <c r="U21" i="9"/>
  <c r="V21" i="9"/>
  <c r="W21" i="9"/>
  <c r="X21" i="9"/>
  <c r="Y21" i="9"/>
  <c r="Z21" i="9"/>
  <c r="AA21" i="9"/>
  <c r="AB21" i="9"/>
  <c r="B24" i="9"/>
  <c r="D24" i="9"/>
  <c r="E24" i="9"/>
  <c r="F24" i="9"/>
  <c r="G24" i="9"/>
  <c r="H24" i="9"/>
  <c r="I24" i="9"/>
  <c r="J24" i="9"/>
  <c r="K24" i="9"/>
  <c r="L24" i="9"/>
  <c r="M24" i="9"/>
  <c r="N24" i="9"/>
  <c r="O24" i="9"/>
  <c r="P24" i="9"/>
  <c r="Q24" i="9"/>
  <c r="R24" i="9"/>
  <c r="S24" i="9"/>
  <c r="T24" i="9"/>
  <c r="U24" i="9"/>
  <c r="V24" i="9"/>
  <c r="W24" i="9"/>
  <c r="X24" i="9"/>
  <c r="Y24" i="9"/>
  <c r="Z24" i="9"/>
  <c r="AA24" i="9"/>
  <c r="AB24" i="9"/>
  <c r="B25" i="9"/>
  <c r="D25" i="9"/>
  <c r="E25" i="9"/>
  <c r="F25" i="9"/>
  <c r="G25" i="9"/>
  <c r="H25" i="9"/>
  <c r="I25" i="9"/>
  <c r="J25" i="9"/>
  <c r="K25" i="9"/>
  <c r="L25" i="9"/>
  <c r="M25" i="9"/>
  <c r="N25" i="9"/>
  <c r="O25" i="9"/>
  <c r="P25" i="9"/>
  <c r="Q25" i="9"/>
  <c r="R25" i="9"/>
  <c r="S25" i="9"/>
  <c r="T25" i="9"/>
  <c r="U25" i="9"/>
  <c r="V25" i="9"/>
  <c r="W25" i="9"/>
  <c r="X25" i="9"/>
  <c r="Y25" i="9"/>
  <c r="Z25" i="9"/>
  <c r="AA25" i="9"/>
  <c r="AB25" i="9"/>
  <c r="B26" i="9"/>
  <c r="D26" i="9"/>
  <c r="E26" i="9"/>
  <c r="F26" i="9"/>
  <c r="G26" i="9"/>
  <c r="H26" i="9"/>
  <c r="I26" i="9"/>
  <c r="J26" i="9"/>
  <c r="K26" i="9"/>
  <c r="L26" i="9"/>
  <c r="M26" i="9"/>
  <c r="N26" i="9"/>
  <c r="O26" i="9"/>
  <c r="P26" i="9"/>
  <c r="Q26" i="9"/>
  <c r="R26" i="9"/>
  <c r="S26" i="9"/>
  <c r="T26" i="9"/>
  <c r="U26" i="9"/>
  <c r="V26" i="9"/>
  <c r="W26" i="9"/>
  <c r="X26" i="9"/>
  <c r="Y26" i="9"/>
  <c r="Z26" i="9"/>
  <c r="AA26" i="9"/>
  <c r="AB26" i="9"/>
  <c r="B27" i="9"/>
  <c r="D27" i="9"/>
  <c r="B28" i="9"/>
  <c r="D28" i="9"/>
  <c r="E28" i="9"/>
  <c r="F28" i="9"/>
  <c r="G28" i="9"/>
  <c r="H28" i="9"/>
  <c r="I28" i="9"/>
  <c r="J28" i="9"/>
  <c r="K28" i="9"/>
  <c r="L28" i="9"/>
  <c r="M28" i="9"/>
  <c r="N28" i="9"/>
  <c r="O28" i="9"/>
  <c r="P28" i="9"/>
  <c r="Q28" i="9"/>
  <c r="R28" i="9"/>
  <c r="S28" i="9"/>
  <c r="T28" i="9"/>
  <c r="U28" i="9"/>
  <c r="V28" i="9"/>
  <c r="W28" i="9"/>
  <c r="X28" i="9"/>
  <c r="Y28" i="9"/>
  <c r="Z28" i="9"/>
  <c r="AA28" i="9"/>
  <c r="AB28" i="9"/>
  <c r="E31" i="9"/>
  <c r="F31" i="9"/>
  <c r="G31" i="9"/>
  <c r="H31" i="9"/>
  <c r="I31" i="9"/>
  <c r="J31" i="9"/>
  <c r="K31" i="9"/>
  <c r="L31" i="9"/>
  <c r="M31" i="9"/>
  <c r="N31" i="9"/>
  <c r="O31" i="9"/>
  <c r="P31" i="9"/>
  <c r="Q31" i="9"/>
  <c r="R31" i="9"/>
  <c r="S31" i="9"/>
  <c r="T31" i="9"/>
  <c r="U31" i="9"/>
  <c r="V31" i="9"/>
  <c r="W31" i="9"/>
  <c r="X31" i="9"/>
  <c r="Y31" i="9"/>
  <c r="Z31" i="9"/>
  <c r="AA31" i="9"/>
  <c r="AB31" i="9"/>
  <c r="C32" i="9"/>
  <c r="D32" i="9"/>
  <c r="E32" i="9"/>
  <c r="F32" i="9"/>
  <c r="G32" i="9"/>
  <c r="H32" i="9"/>
  <c r="I32" i="9"/>
  <c r="J32" i="9"/>
  <c r="K32" i="9"/>
  <c r="L32" i="9"/>
  <c r="M32" i="9"/>
  <c r="N32" i="9"/>
  <c r="O32" i="9"/>
  <c r="P32" i="9"/>
  <c r="Q32" i="9"/>
  <c r="R32" i="9"/>
  <c r="S32" i="9"/>
  <c r="T32" i="9"/>
  <c r="U32" i="9"/>
  <c r="V32" i="9"/>
  <c r="W32" i="9"/>
  <c r="X32" i="9"/>
  <c r="Y32" i="9"/>
  <c r="Z32" i="9"/>
  <c r="AA32" i="9"/>
  <c r="AB32" i="9"/>
  <c r="D33" i="9"/>
  <c r="E33" i="9"/>
  <c r="F33" i="9"/>
  <c r="G33" i="9"/>
  <c r="H33" i="9"/>
  <c r="I33" i="9"/>
  <c r="J33" i="9"/>
  <c r="K33" i="9"/>
  <c r="L33" i="9"/>
  <c r="M33" i="9"/>
  <c r="N33" i="9"/>
  <c r="O33" i="9"/>
  <c r="P33" i="9"/>
  <c r="Q33" i="9"/>
  <c r="R33" i="9"/>
  <c r="S33" i="9"/>
  <c r="T33" i="9"/>
  <c r="U33" i="9"/>
  <c r="V33" i="9"/>
  <c r="W33" i="9"/>
  <c r="X33" i="9"/>
  <c r="Y33" i="9"/>
  <c r="Z33" i="9"/>
  <c r="AA33" i="9"/>
  <c r="AB33" i="9"/>
  <c r="B34" i="9"/>
  <c r="D34" i="9"/>
  <c r="E34" i="9"/>
  <c r="F34" i="9"/>
  <c r="G34" i="9"/>
  <c r="H34" i="9"/>
  <c r="I34" i="9"/>
  <c r="J34" i="9"/>
  <c r="K34" i="9"/>
  <c r="L34" i="9"/>
  <c r="M34" i="9"/>
  <c r="N34" i="9"/>
  <c r="O34" i="9"/>
  <c r="P34" i="9"/>
  <c r="Q34" i="9"/>
  <c r="R34" i="9"/>
  <c r="S34" i="9"/>
  <c r="T34" i="9"/>
  <c r="U34" i="9"/>
  <c r="V34" i="9"/>
  <c r="W34" i="9"/>
  <c r="X34" i="9"/>
  <c r="Y34" i="9"/>
  <c r="Z34" i="9"/>
  <c r="AA34" i="9"/>
  <c r="AB34" i="9"/>
  <c r="B36" i="9"/>
  <c r="D36" i="9"/>
  <c r="E36" i="9"/>
  <c r="F36" i="9"/>
  <c r="G36" i="9"/>
  <c r="H36" i="9"/>
  <c r="I36" i="9"/>
  <c r="J36" i="9"/>
  <c r="K36" i="9"/>
  <c r="L36" i="9"/>
  <c r="M36" i="9"/>
  <c r="N36" i="9"/>
  <c r="O36" i="9"/>
  <c r="P36" i="9"/>
  <c r="Q36" i="9"/>
  <c r="R36" i="9"/>
  <c r="S36" i="9"/>
  <c r="T36" i="9"/>
  <c r="U36" i="9"/>
  <c r="V36" i="9"/>
  <c r="W36" i="9"/>
  <c r="X36" i="9"/>
  <c r="Y36" i="9"/>
  <c r="Z36" i="9"/>
  <c r="AA36" i="9"/>
  <c r="AB36" i="9"/>
  <c r="B37" i="9"/>
  <c r="D37" i="9"/>
  <c r="E37" i="9"/>
  <c r="F37" i="9"/>
  <c r="G37" i="9"/>
  <c r="H37" i="9"/>
  <c r="I37" i="9"/>
  <c r="J37" i="9"/>
  <c r="K37" i="9"/>
  <c r="L37" i="9"/>
  <c r="M37" i="9"/>
  <c r="N37" i="9"/>
  <c r="O37" i="9"/>
  <c r="P37" i="9"/>
  <c r="Q37" i="9"/>
  <c r="R37" i="9"/>
  <c r="S37" i="9"/>
  <c r="T37" i="9"/>
  <c r="U37" i="9"/>
  <c r="V37" i="9"/>
  <c r="W37" i="9"/>
  <c r="X37" i="9"/>
  <c r="Y37" i="9"/>
  <c r="Z37" i="9"/>
  <c r="AA37" i="9"/>
  <c r="AB37" i="9"/>
  <c r="B38" i="9"/>
  <c r="D38" i="9"/>
  <c r="E38" i="9"/>
  <c r="F38" i="9"/>
  <c r="G38" i="9"/>
  <c r="H38" i="9"/>
  <c r="I38" i="9"/>
  <c r="J38" i="9"/>
  <c r="K38" i="9"/>
  <c r="L38" i="9"/>
  <c r="M38" i="9"/>
  <c r="N38" i="9"/>
  <c r="O38" i="9"/>
  <c r="P38" i="9"/>
  <c r="Q38" i="9"/>
  <c r="R38" i="9"/>
  <c r="S38" i="9"/>
  <c r="T38" i="9"/>
  <c r="U38" i="9"/>
  <c r="V38" i="9"/>
  <c r="W38" i="9"/>
  <c r="X38" i="9"/>
  <c r="Y38" i="9"/>
  <c r="Z38" i="9"/>
  <c r="AA38" i="9"/>
  <c r="AB38" i="9"/>
  <c r="B39" i="9"/>
  <c r="D39" i="9"/>
  <c r="B40" i="9"/>
  <c r="D40" i="9"/>
  <c r="E40" i="9"/>
  <c r="F40" i="9"/>
  <c r="G40" i="9"/>
  <c r="H40" i="9"/>
  <c r="I40" i="9"/>
  <c r="J40" i="9"/>
  <c r="K40" i="9"/>
  <c r="L40" i="9"/>
  <c r="M40" i="9"/>
  <c r="N40" i="9"/>
  <c r="O40" i="9"/>
  <c r="P40" i="9"/>
  <c r="Q40" i="9"/>
  <c r="R40" i="9"/>
  <c r="S40" i="9"/>
  <c r="T40" i="9"/>
  <c r="U40" i="9"/>
  <c r="V40" i="9"/>
  <c r="W40" i="9"/>
  <c r="X40" i="9"/>
  <c r="Y40" i="9"/>
  <c r="Z40" i="9"/>
  <c r="AA40" i="9"/>
  <c r="AB40" i="9"/>
  <c r="D42" i="9"/>
  <c r="E42" i="9"/>
  <c r="F42" i="9"/>
  <c r="G42" i="9"/>
  <c r="H42" i="9"/>
  <c r="I42" i="9"/>
  <c r="J42" i="9"/>
  <c r="K42" i="9"/>
  <c r="L42" i="9"/>
  <c r="M42" i="9"/>
  <c r="N42" i="9"/>
  <c r="O42" i="9"/>
  <c r="P42" i="9"/>
  <c r="Q42" i="9"/>
  <c r="R42" i="9"/>
  <c r="S42" i="9"/>
  <c r="T42" i="9"/>
  <c r="U42" i="9"/>
  <c r="V42" i="9"/>
  <c r="W42" i="9"/>
  <c r="X42" i="9"/>
  <c r="Y42" i="9"/>
  <c r="Z42" i="9"/>
  <c r="AA42" i="9"/>
  <c r="AB42" i="9"/>
  <c r="E44" i="9"/>
  <c r="F44" i="9"/>
  <c r="G44" i="9"/>
  <c r="H44" i="9"/>
  <c r="I44" i="9"/>
  <c r="J44" i="9"/>
  <c r="K44" i="9"/>
  <c r="L44" i="9"/>
  <c r="M44" i="9"/>
  <c r="N44" i="9"/>
  <c r="O44" i="9"/>
  <c r="P44" i="9"/>
  <c r="Q44" i="9"/>
  <c r="R44" i="9"/>
  <c r="S44" i="9"/>
  <c r="T44" i="9"/>
  <c r="U44" i="9"/>
  <c r="V44" i="9"/>
  <c r="W44" i="9"/>
  <c r="X44" i="9"/>
  <c r="Y44" i="9"/>
  <c r="Z44" i="9"/>
  <c r="AA44" i="9"/>
  <c r="AB44" i="9"/>
  <c r="B48" i="9"/>
  <c r="F49" i="9"/>
  <c r="G49" i="9"/>
  <c r="H49" i="9"/>
  <c r="I49" i="9"/>
  <c r="J49" i="9"/>
  <c r="K49" i="9"/>
  <c r="L49" i="9"/>
  <c r="M49" i="9"/>
  <c r="D51" i="9"/>
  <c r="E51" i="9"/>
  <c r="F51" i="9"/>
  <c r="G51" i="9"/>
  <c r="H51" i="9"/>
  <c r="I51" i="9"/>
  <c r="J51" i="9"/>
  <c r="K51" i="9"/>
  <c r="L51" i="9"/>
  <c r="M51" i="9"/>
  <c r="N51" i="9"/>
  <c r="O51" i="9"/>
  <c r="P51" i="9"/>
  <c r="Q51" i="9"/>
  <c r="R51" i="9"/>
  <c r="S51" i="9"/>
  <c r="T51" i="9"/>
  <c r="U51" i="9"/>
  <c r="V51" i="9"/>
  <c r="W51" i="9"/>
  <c r="X51" i="9"/>
  <c r="Y51" i="9"/>
  <c r="Z51" i="9"/>
  <c r="AA51" i="9"/>
  <c r="AB51" i="9"/>
  <c r="D52" i="9"/>
  <c r="E52" i="9"/>
  <c r="F52" i="9"/>
  <c r="G52" i="9"/>
  <c r="H52" i="9"/>
  <c r="I52" i="9"/>
  <c r="J52" i="9"/>
  <c r="K52" i="9"/>
  <c r="L52" i="9"/>
  <c r="M52" i="9"/>
  <c r="N52" i="9"/>
  <c r="O52" i="9"/>
  <c r="P52" i="9"/>
  <c r="Q52" i="9"/>
  <c r="R52" i="9"/>
  <c r="S52" i="9"/>
  <c r="T52" i="9"/>
  <c r="U52" i="9"/>
  <c r="V52" i="9"/>
  <c r="W52" i="9"/>
  <c r="X52" i="9"/>
  <c r="Y52" i="9"/>
  <c r="Z52" i="9"/>
  <c r="AA52" i="9"/>
  <c r="AB52" i="9"/>
  <c r="D53" i="9"/>
  <c r="E53" i="9"/>
  <c r="F53" i="9"/>
  <c r="G53" i="9"/>
  <c r="H53" i="9"/>
  <c r="I53" i="9"/>
  <c r="J53" i="9"/>
  <c r="K53" i="9"/>
  <c r="L53" i="9"/>
  <c r="M53" i="9"/>
  <c r="N53" i="9"/>
  <c r="O53" i="9"/>
  <c r="P53" i="9"/>
  <c r="Q53" i="9"/>
  <c r="R53" i="9"/>
  <c r="S53" i="9"/>
  <c r="T53" i="9"/>
  <c r="U53" i="9"/>
  <c r="V53" i="9"/>
  <c r="W53" i="9"/>
  <c r="X53" i="9"/>
  <c r="Y53" i="9"/>
  <c r="Z53" i="9"/>
  <c r="D55" i="9"/>
  <c r="E55" i="9"/>
  <c r="F55" i="9"/>
  <c r="G55" i="9"/>
  <c r="H55" i="9"/>
  <c r="I55" i="9"/>
  <c r="J55" i="9"/>
  <c r="K55" i="9"/>
  <c r="L55" i="9"/>
  <c r="M55" i="9"/>
  <c r="N55" i="9"/>
  <c r="O55" i="9"/>
  <c r="P55" i="9"/>
  <c r="Q55" i="9"/>
  <c r="R55" i="9"/>
  <c r="S55" i="9"/>
  <c r="T55" i="9"/>
  <c r="U55" i="9"/>
  <c r="V55" i="9"/>
  <c r="W55" i="9"/>
  <c r="X55" i="9"/>
  <c r="Y55" i="9"/>
  <c r="Z55" i="9"/>
  <c r="D56" i="9"/>
  <c r="E56" i="9"/>
  <c r="F56" i="9"/>
  <c r="G56" i="9"/>
  <c r="H56" i="9"/>
  <c r="I56" i="9"/>
  <c r="J56" i="9"/>
  <c r="K56" i="9"/>
  <c r="L56" i="9"/>
  <c r="M56" i="9"/>
  <c r="N56" i="9"/>
  <c r="O56" i="9"/>
  <c r="P56" i="9"/>
  <c r="Q56" i="9"/>
  <c r="R56" i="9"/>
  <c r="S56" i="9"/>
  <c r="T56" i="9"/>
  <c r="U56" i="9"/>
  <c r="V56" i="9"/>
  <c r="W56" i="9"/>
  <c r="X56" i="9"/>
  <c r="Y56" i="9"/>
  <c r="Z56" i="9"/>
  <c r="B61" i="9"/>
  <c r="C61" i="9"/>
  <c r="D61" i="9"/>
  <c r="E61" i="9"/>
  <c r="F61" i="9"/>
  <c r="G61" i="9"/>
  <c r="H61" i="9"/>
  <c r="I61" i="9"/>
  <c r="J61" i="9"/>
  <c r="K61" i="9"/>
  <c r="L61" i="9"/>
  <c r="M61" i="9"/>
  <c r="N61" i="9"/>
  <c r="O61" i="9"/>
  <c r="P61" i="9"/>
  <c r="Q61" i="9"/>
  <c r="R61" i="9"/>
  <c r="S61" i="9"/>
  <c r="T61" i="9"/>
  <c r="U61" i="9"/>
  <c r="V61" i="9"/>
  <c r="W61" i="9"/>
  <c r="X61" i="9"/>
  <c r="Y61" i="9"/>
  <c r="Z61" i="9"/>
  <c r="AA61" i="9"/>
  <c r="AB61" i="9"/>
  <c r="B62" i="9"/>
  <c r="C62" i="9"/>
  <c r="D62" i="9"/>
  <c r="E62" i="9"/>
  <c r="F62" i="9"/>
  <c r="G62" i="9"/>
  <c r="H62" i="9"/>
  <c r="I62" i="9"/>
  <c r="J62" i="9"/>
  <c r="K62" i="9"/>
  <c r="L62" i="9"/>
  <c r="M62" i="9"/>
  <c r="N62" i="9"/>
  <c r="O62" i="9"/>
  <c r="P62" i="9"/>
  <c r="Q62" i="9"/>
  <c r="R62" i="9"/>
  <c r="S62" i="9"/>
  <c r="T62" i="9"/>
  <c r="U62" i="9"/>
  <c r="V62" i="9"/>
  <c r="W62" i="9"/>
  <c r="X62" i="9"/>
  <c r="Y62" i="9"/>
  <c r="Z62" i="9"/>
  <c r="AA62" i="9"/>
  <c r="AB62" i="9"/>
  <c r="D63" i="9"/>
  <c r="E63" i="9"/>
  <c r="F63" i="9"/>
  <c r="G63" i="9"/>
  <c r="H63" i="9"/>
  <c r="I63" i="9"/>
  <c r="J63" i="9"/>
  <c r="K63" i="9"/>
  <c r="L63" i="9"/>
  <c r="M63" i="9"/>
  <c r="N63" i="9"/>
  <c r="O63" i="9"/>
  <c r="P63" i="9"/>
  <c r="Q63" i="9"/>
  <c r="R63" i="9"/>
  <c r="S63" i="9"/>
  <c r="T63" i="9"/>
  <c r="U63" i="9"/>
  <c r="V63" i="9"/>
  <c r="W63" i="9"/>
  <c r="X63" i="9"/>
  <c r="Y63" i="9"/>
  <c r="Z63" i="9"/>
  <c r="AA63" i="9"/>
  <c r="AB63" i="9"/>
  <c r="B64" i="9"/>
  <c r="D64" i="9"/>
  <c r="E64" i="9"/>
  <c r="F64" i="9"/>
  <c r="G64" i="9"/>
  <c r="H64" i="9"/>
  <c r="I64" i="9"/>
  <c r="J64" i="9"/>
  <c r="K64" i="9"/>
  <c r="L64" i="9"/>
  <c r="M64" i="9"/>
  <c r="N64" i="9"/>
  <c r="O64" i="9"/>
  <c r="P64" i="9"/>
  <c r="Q64" i="9"/>
  <c r="R64" i="9"/>
  <c r="S64" i="9"/>
  <c r="T64" i="9"/>
  <c r="U64" i="9"/>
  <c r="V64" i="9"/>
  <c r="W64" i="9"/>
  <c r="X64" i="9"/>
  <c r="Y64" i="9"/>
  <c r="Z64" i="9"/>
  <c r="AA64" i="9"/>
  <c r="AB64" i="9"/>
  <c r="C65" i="9"/>
  <c r="E67" i="9"/>
  <c r="F67" i="9"/>
  <c r="G67" i="9"/>
  <c r="H67" i="9"/>
  <c r="I67" i="9"/>
  <c r="J67" i="9"/>
  <c r="K67" i="9"/>
  <c r="L67" i="9"/>
  <c r="M67" i="9"/>
  <c r="N67" i="9"/>
  <c r="O67" i="9"/>
  <c r="P67" i="9"/>
  <c r="Q67" i="9"/>
  <c r="R67" i="9"/>
  <c r="S67" i="9"/>
  <c r="T67" i="9"/>
  <c r="U67" i="9"/>
  <c r="V67" i="9"/>
  <c r="W67" i="9"/>
  <c r="X67" i="9"/>
  <c r="Y67" i="9"/>
  <c r="Z67" i="9"/>
  <c r="D71" i="9"/>
  <c r="E71" i="9"/>
  <c r="F71" i="9"/>
  <c r="G71" i="9"/>
  <c r="H71" i="9"/>
  <c r="I71" i="9"/>
  <c r="J71" i="9"/>
  <c r="K71" i="9"/>
  <c r="L71" i="9"/>
  <c r="M71" i="9"/>
  <c r="N71" i="9"/>
  <c r="O71" i="9"/>
  <c r="P71" i="9"/>
  <c r="Q71" i="9"/>
  <c r="R71" i="9"/>
  <c r="S71" i="9"/>
  <c r="T71" i="9"/>
  <c r="U71" i="9"/>
  <c r="V71" i="9"/>
  <c r="W71" i="9"/>
  <c r="X71" i="9"/>
  <c r="Y71" i="9"/>
  <c r="Z71" i="9"/>
  <c r="E77" i="9"/>
  <c r="B86" i="9"/>
  <c r="A1" i="10"/>
  <c r="D6" i="10"/>
  <c r="C7" i="10"/>
  <c r="C9" i="10"/>
  <c r="C15" i="10"/>
  <c r="B21" i="10"/>
  <c r="D21" i="10"/>
  <c r="F21" i="10"/>
  <c r="B22" i="10"/>
  <c r="D22" i="10"/>
  <c r="F22" i="10"/>
  <c r="A23" i="10"/>
  <c r="B23" i="10"/>
  <c r="D23" i="10"/>
  <c r="F23" i="10"/>
  <c r="A24" i="10"/>
  <c r="B24" i="10"/>
  <c r="D24" i="10"/>
  <c r="E24" i="10"/>
  <c r="F24" i="10"/>
  <c r="A25" i="10"/>
  <c r="B25" i="10"/>
  <c r="D25" i="10"/>
  <c r="E25" i="10"/>
  <c r="F25" i="10"/>
  <c r="A26" i="10"/>
  <c r="B26" i="10"/>
  <c r="D26" i="10"/>
  <c r="E26" i="10"/>
  <c r="F26" i="10"/>
  <c r="A27" i="10"/>
  <c r="B27" i="10"/>
  <c r="D27" i="10"/>
  <c r="E27" i="10"/>
  <c r="F27" i="10"/>
  <c r="A28" i="10"/>
  <c r="B28" i="10"/>
  <c r="D28" i="10"/>
  <c r="E28" i="10"/>
  <c r="F28" i="10"/>
  <c r="A29" i="10"/>
  <c r="B29" i="10"/>
  <c r="D29" i="10"/>
  <c r="E29" i="10"/>
  <c r="F29" i="10"/>
  <c r="A30" i="10"/>
  <c r="B30" i="10"/>
  <c r="D30" i="10"/>
  <c r="E30" i="10"/>
  <c r="F30" i="10"/>
  <c r="A31" i="10"/>
  <c r="B31" i="10"/>
  <c r="D31" i="10"/>
  <c r="E31" i="10"/>
  <c r="F31" i="10"/>
  <c r="A32" i="10"/>
  <c r="B32" i="10"/>
  <c r="D32" i="10"/>
  <c r="E32" i="10"/>
  <c r="F32" i="10"/>
  <c r="A33" i="10"/>
  <c r="B33" i="10"/>
  <c r="D33" i="10"/>
  <c r="E33" i="10"/>
  <c r="F33" i="10"/>
  <c r="A34" i="10"/>
  <c r="B34" i="10"/>
  <c r="D34" i="10"/>
  <c r="E34" i="10"/>
  <c r="F34" i="10"/>
  <c r="A35" i="10"/>
  <c r="B35" i="10"/>
  <c r="D35" i="10"/>
  <c r="E35" i="10"/>
  <c r="F35" i="10"/>
  <c r="A36" i="10"/>
  <c r="B36" i="10"/>
  <c r="D36" i="10"/>
  <c r="E36" i="10"/>
  <c r="F36" i="10"/>
  <c r="A37" i="10"/>
  <c r="B37" i="10"/>
  <c r="D37" i="10"/>
  <c r="E37" i="10"/>
  <c r="F37" i="10"/>
  <c r="A38" i="10"/>
  <c r="B38" i="10"/>
  <c r="D38" i="10"/>
  <c r="E38" i="10"/>
  <c r="F38" i="10"/>
  <c r="A39" i="10"/>
  <c r="B39" i="10"/>
  <c r="D39" i="10"/>
  <c r="E39" i="10"/>
  <c r="F39" i="10"/>
  <c r="A40" i="10"/>
  <c r="B40" i="10"/>
  <c r="D40" i="10"/>
  <c r="E40" i="10"/>
  <c r="F40" i="10"/>
  <c r="A41" i="10"/>
  <c r="B41" i="10"/>
  <c r="D41" i="10"/>
  <c r="E41" i="10"/>
  <c r="F41" i="10"/>
  <c r="A42" i="10"/>
  <c r="B42" i="10"/>
  <c r="D42" i="10"/>
  <c r="E42" i="10"/>
  <c r="F42" i="10"/>
  <c r="A43" i="10"/>
  <c r="B43" i="10"/>
  <c r="D43" i="10"/>
  <c r="E43" i="10"/>
  <c r="F43" i="10"/>
  <c r="A44" i="10"/>
  <c r="B44" i="10"/>
  <c r="D44" i="10"/>
  <c r="E44" i="10"/>
  <c r="F44" i="10"/>
  <c r="A45" i="10"/>
  <c r="B45" i="10"/>
  <c r="D45" i="10"/>
  <c r="E45" i="10"/>
  <c r="F45" i="10"/>
  <c r="A46" i="10"/>
  <c r="B46" i="10"/>
  <c r="D46" i="10"/>
  <c r="E46" i="10"/>
  <c r="F46" i="10"/>
  <c r="A47" i="10"/>
  <c r="B47" i="10"/>
  <c r="D47" i="10"/>
  <c r="E47" i="10"/>
  <c r="F47" i="10"/>
  <c r="A48" i="10"/>
  <c r="B48" i="10"/>
  <c r="D48" i="10"/>
  <c r="E48" i="10"/>
  <c r="F48" i="10"/>
  <c r="A49" i="10"/>
  <c r="B49" i="10"/>
  <c r="D49" i="10"/>
  <c r="E49" i="10"/>
  <c r="F49" i="10"/>
  <c r="A50" i="10"/>
  <c r="B50" i="10"/>
  <c r="D50" i="10"/>
  <c r="E50" i="10"/>
  <c r="F50" i="10"/>
  <c r="A51" i="10"/>
  <c r="B51" i="10"/>
  <c r="D51" i="10"/>
  <c r="E51" i="10"/>
  <c r="F51" i="10"/>
  <c r="A52" i="10"/>
  <c r="B52" i="10"/>
  <c r="D52" i="10"/>
  <c r="E52" i="10"/>
  <c r="F52" i="10"/>
  <c r="A53" i="10"/>
  <c r="B53" i="10"/>
  <c r="D53" i="10"/>
  <c r="E53" i="10"/>
  <c r="F53" i="10"/>
  <c r="A54" i="10"/>
  <c r="B54" i="10"/>
  <c r="D54" i="10"/>
  <c r="E54" i="10"/>
  <c r="F54" i="10"/>
  <c r="A55" i="10"/>
  <c r="B55" i="10"/>
  <c r="D55" i="10"/>
  <c r="E55" i="10"/>
  <c r="F55" i="10"/>
  <c r="A56" i="10"/>
  <c r="B56" i="10"/>
  <c r="D56" i="10"/>
  <c r="E56" i="10"/>
  <c r="F56" i="10"/>
  <c r="A57" i="10"/>
  <c r="B57" i="10"/>
  <c r="D57" i="10"/>
  <c r="E57" i="10"/>
  <c r="F57" i="10"/>
  <c r="C58" i="10"/>
  <c r="A1" i="13"/>
  <c r="C5" i="13"/>
  <c r="D5" i="13"/>
  <c r="E5" i="13"/>
  <c r="F5" i="13"/>
  <c r="G5" i="13"/>
  <c r="H5" i="13"/>
  <c r="I5" i="13"/>
  <c r="J5" i="13"/>
  <c r="K5" i="13"/>
  <c r="L5" i="13"/>
  <c r="M5" i="13"/>
  <c r="N5" i="13"/>
  <c r="O5" i="13"/>
  <c r="P5" i="13"/>
  <c r="Q5" i="13"/>
  <c r="R5" i="13"/>
  <c r="S5" i="13"/>
  <c r="T5" i="13"/>
  <c r="U5" i="13"/>
  <c r="V5" i="13"/>
  <c r="W5" i="13"/>
  <c r="X5" i="13"/>
  <c r="Y5" i="13"/>
  <c r="Z5" i="13"/>
  <c r="AA5" i="13"/>
  <c r="AB5" i="13"/>
  <c r="D7" i="13"/>
  <c r="E7" i="13"/>
  <c r="F7" i="13"/>
  <c r="G7" i="13"/>
  <c r="H7" i="13"/>
  <c r="I7" i="13"/>
  <c r="J7" i="13"/>
  <c r="K7" i="13"/>
  <c r="L7" i="13"/>
  <c r="M7" i="13"/>
  <c r="N7" i="13"/>
  <c r="O7" i="13"/>
  <c r="P7" i="13"/>
  <c r="Q7" i="13"/>
  <c r="R7" i="13"/>
  <c r="S7" i="13"/>
  <c r="T7" i="13"/>
  <c r="U7" i="13"/>
  <c r="V7" i="13"/>
  <c r="W7" i="13"/>
  <c r="X7" i="13"/>
  <c r="Y7" i="13"/>
  <c r="Z7" i="13"/>
  <c r="AA7" i="13"/>
  <c r="AB7" i="13"/>
  <c r="D8" i="13"/>
  <c r="E8" i="13"/>
  <c r="F8" i="13"/>
  <c r="G8" i="13"/>
  <c r="H8" i="13"/>
  <c r="I8" i="13"/>
  <c r="J8" i="13"/>
  <c r="K8" i="13"/>
  <c r="L8" i="13"/>
  <c r="M8" i="13"/>
  <c r="N8" i="13"/>
  <c r="O8" i="13"/>
  <c r="P8" i="13"/>
  <c r="Q8" i="13"/>
  <c r="R8" i="13"/>
  <c r="S8" i="13"/>
  <c r="T8" i="13"/>
  <c r="U8" i="13"/>
  <c r="V8" i="13"/>
  <c r="W8" i="13"/>
  <c r="X8" i="13"/>
  <c r="Y8" i="13"/>
  <c r="Z8" i="13"/>
  <c r="AA8" i="13"/>
  <c r="AB8" i="13"/>
  <c r="D11" i="13"/>
  <c r="E11" i="13"/>
  <c r="F11" i="13"/>
  <c r="G11" i="13"/>
  <c r="H11" i="13"/>
  <c r="I11" i="13"/>
  <c r="J11" i="13"/>
  <c r="K11" i="13"/>
  <c r="L11" i="13"/>
  <c r="M11" i="13"/>
  <c r="N11" i="13"/>
  <c r="O11" i="13"/>
  <c r="P11" i="13"/>
  <c r="Q11" i="13"/>
  <c r="R11" i="13"/>
  <c r="S11" i="13"/>
  <c r="T11" i="13"/>
  <c r="U11" i="13"/>
  <c r="V11" i="13"/>
  <c r="W11" i="13"/>
  <c r="X11" i="13"/>
  <c r="Y11" i="13"/>
  <c r="Z11" i="13"/>
  <c r="AA11" i="13"/>
  <c r="AB11" i="13"/>
  <c r="G12" i="13"/>
  <c r="J12" i="13"/>
  <c r="M12" i="13"/>
  <c r="Q12" i="13"/>
  <c r="T12" i="13"/>
  <c r="W12" i="13"/>
  <c r="D13" i="13"/>
  <c r="E13" i="13"/>
  <c r="F13" i="13"/>
  <c r="G13" i="13"/>
  <c r="H13" i="13"/>
  <c r="I13" i="13"/>
  <c r="J13" i="13"/>
  <c r="K13" i="13"/>
  <c r="L13" i="13"/>
  <c r="M13" i="13"/>
  <c r="N13" i="13"/>
  <c r="O13" i="13"/>
  <c r="P13" i="13"/>
  <c r="Q13" i="13"/>
  <c r="R13" i="13"/>
  <c r="S13" i="13"/>
  <c r="T13" i="13"/>
  <c r="U13" i="13"/>
  <c r="V13" i="13"/>
  <c r="W13" i="13"/>
  <c r="X13" i="13"/>
  <c r="Y13" i="13"/>
  <c r="Z13" i="13"/>
  <c r="AA13" i="13"/>
  <c r="AB13" i="13"/>
  <c r="D14" i="13"/>
  <c r="E14" i="13"/>
  <c r="F14" i="13"/>
  <c r="G14" i="13"/>
  <c r="H14" i="13"/>
  <c r="I14" i="13"/>
  <c r="J14" i="13"/>
  <c r="K14" i="13"/>
  <c r="L14" i="13"/>
  <c r="M14" i="13"/>
  <c r="N14" i="13"/>
  <c r="O14" i="13"/>
  <c r="P14" i="13"/>
  <c r="Q14" i="13"/>
  <c r="R14" i="13"/>
  <c r="S14" i="13"/>
  <c r="T14" i="13"/>
  <c r="U14" i="13"/>
  <c r="V14" i="13"/>
  <c r="W14" i="13"/>
  <c r="X14" i="13"/>
  <c r="Y14" i="13"/>
  <c r="Z14" i="13"/>
  <c r="AA14" i="13"/>
  <c r="AB14" i="13"/>
  <c r="D15" i="13"/>
  <c r="E15" i="13"/>
  <c r="F15" i="13"/>
  <c r="G15" i="13"/>
  <c r="H15" i="13"/>
  <c r="I15" i="13"/>
  <c r="J15" i="13"/>
  <c r="K15" i="13"/>
  <c r="L15" i="13"/>
  <c r="M15" i="13"/>
  <c r="N15" i="13"/>
  <c r="O15" i="13"/>
  <c r="P15" i="13"/>
  <c r="Q15" i="13"/>
  <c r="R15" i="13"/>
  <c r="S15" i="13"/>
  <c r="T15" i="13"/>
  <c r="U15" i="13"/>
  <c r="V15" i="13"/>
  <c r="W15" i="13"/>
  <c r="X15" i="13"/>
  <c r="Y15" i="13"/>
  <c r="Z15" i="13"/>
  <c r="AA15" i="13"/>
  <c r="AB15" i="13"/>
  <c r="B21" i="13"/>
  <c r="F21" i="13"/>
  <c r="G21" i="13"/>
  <c r="H21" i="13"/>
  <c r="I21" i="13"/>
  <c r="J21" i="13"/>
  <c r="F22" i="13"/>
  <c r="G22" i="13"/>
  <c r="H22" i="13"/>
  <c r="I22" i="13"/>
  <c r="J22" i="13"/>
  <c r="F23" i="13"/>
  <c r="G23" i="13"/>
  <c r="H23" i="13"/>
  <c r="I23" i="13"/>
  <c r="J23" i="13"/>
  <c r="F24" i="13"/>
  <c r="G24" i="13"/>
  <c r="H24" i="13"/>
  <c r="I24" i="13"/>
  <c r="J24" i="13"/>
  <c r="F25" i="13"/>
  <c r="G25" i="13"/>
  <c r="H25" i="13"/>
  <c r="I25" i="13"/>
  <c r="J25" i="13"/>
  <c r="F26" i="13"/>
  <c r="G26" i="13"/>
  <c r="H26" i="13"/>
  <c r="I26" i="13"/>
  <c r="J26" i="13"/>
  <c r="F27" i="13"/>
  <c r="G27" i="13"/>
  <c r="H27" i="13"/>
  <c r="I27" i="13"/>
  <c r="J27" i="13"/>
  <c r="F28" i="13"/>
  <c r="G28" i="13"/>
  <c r="H28" i="13"/>
  <c r="I28" i="13"/>
  <c r="J28" i="13"/>
  <c r="F29" i="13"/>
  <c r="G29" i="13"/>
  <c r="H29" i="13"/>
  <c r="I29" i="13"/>
  <c r="J29" i="13"/>
  <c r="F30" i="13"/>
  <c r="G30" i="13"/>
  <c r="H30" i="13"/>
  <c r="I30" i="13"/>
  <c r="J30" i="13"/>
  <c r="F31" i="13"/>
  <c r="G31" i="13"/>
  <c r="H31" i="13"/>
  <c r="I31" i="13"/>
  <c r="J31" i="13"/>
  <c r="F32" i="13"/>
  <c r="G32" i="13"/>
  <c r="H32" i="13"/>
  <c r="I32" i="13"/>
  <c r="J32" i="13"/>
  <c r="F33" i="13"/>
  <c r="G33" i="13"/>
  <c r="H33" i="13"/>
  <c r="I33" i="13"/>
  <c r="J33" i="13"/>
  <c r="F34" i="13"/>
  <c r="G34" i="13"/>
  <c r="H34" i="13"/>
  <c r="I34" i="13"/>
  <c r="J34" i="13"/>
  <c r="F35" i="13"/>
  <c r="G35" i="13"/>
  <c r="H35" i="13"/>
  <c r="I35" i="13"/>
  <c r="J35" i="13"/>
  <c r="F36" i="13"/>
  <c r="G36" i="13"/>
  <c r="H36" i="13"/>
  <c r="I36" i="13"/>
  <c r="J36" i="13"/>
  <c r="F37" i="13"/>
  <c r="G37" i="13"/>
  <c r="H37" i="13"/>
  <c r="I37" i="13"/>
  <c r="J37" i="13"/>
  <c r="F38" i="13"/>
  <c r="G38" i="13"/>
  <c r="H38" i="13"/>
  <c r="I38" i="13"/>
  <c r="J38" i="13"/>
  <c r="F39" i="13"/>
  <c r="G39" i="13"/>
  <c r="H39" i="13"/>
  <c r="I39" i="13"/>
  <c r="J39" i="13"/>
  <c r="F40" i="13"/>
  <c r="G40" i="13"/>
  <c r="H40" i="13"/>
  <c r="I40" i="13"/>
  <c r="J40" i="13"/>
  <c r="F41" i="13"/>
  <c r="G41" i="13"/>
  <c r="H41" i="13"/>
  <c r="I41" i="13"/>
  <c r="J41" i="13"/>
  <c r="F42" i="13"/>
  <c r="G42" i="13"/>
  <c r="H42" i="13"/>
  <c r="I42" i="13"/>
  <c r="J42" i="13"/>
  <c r="F43" i="13"/>
  <c r="G43" i="13"/>
  <c r="H43" i="13"/>
  <c r="I43" i="13"/>
  <c r="J43" i="13"/>
  <c r="F44" i="13"/>
  <c r="G44" i="13"/>
  <c r="H44" i="13"/>
  <c r="I44" i="13"/>
  <c r="J44" i="13"/>
  <c r="A1" i="3"/>
  <c r="C3" i="3"/>
  <c r="D3" i="3"/>
  <c r="E3" i="3"/>
  <c r="F3" i="3"/>
  <c r="G3" i="3"/>
  <c r="H3" i="3"/>
  <c r="I3" i="3"/>
  <c r="J3" i="3"/>
  <c r="K3" i="3"/>
  <c r="L3" i="3"/>
  <c r="M3" i="3"/>
  <c r="N3" i="3"/>
  <c r="O3" i="3"/>
  <c r="P3" i="3"/>
  <c r="Q3" i="3"/>
  <c r="R3" i="3"/>
  <c r="S3" i="3"/>
  <c r="T3" i="3"/>
  <c r="U3" i="3"/>
  <c r="V3" i="3"/>
  <c r="W3" i="3"/>
  <c r="C4" i="3"/>
  <c r="D4" i="3"/>
  <c r="E4" i="3"/>
  <c r="F4" i="3"/>
  <c r="G4" i="3"/>
  <c r="H4" i="3"/>
  <c r="I4" i="3"/>
  <c r="J4" i="3"/>
  <c r="K4" i="3"/>
  <c r="L4" i="3"/>
  <c r="M4" i="3"/>
  <c r="N4" i="3"/>
  <c r="O4" i="3"/>
  <c r="P4" i="3"/>
  <c r="Q4" i="3"/>
  <c r="R4" i="3"/>
  <c r="S4" i="3"/>
  <c r="T4" i="3"/>
  <c r="U4" i="3"/>
  <c r="V4" i="3"/>
  <c r="W4" i="3"/>
  <c r="C8" i="3"/>
  <c r="D8" i="3"/>
  <c r="E8" i="3"/>
  <c r="F8" i="3"/>
  <c r="G8" i="3"/>
  <c r="H8" i="3"/>
  <c r="I8" i="3"/>
  <c r="J8" i="3"/>
  <c r="K8" i="3"/>
  <c r="L8" i="3"/>
  <c r="M8" i="3"/>
  <c r="N8" i="3"/>
  <c r="O8" i="3"/>
  <c r="P8" i="3"/>
  <c r="Q8" i="3"/>
  <c r="R8" i="3"/>
  <c r="S8" i="3"/>
  <c r="T8" i="3"/>
  <c r="U8" i="3"/>
  <c r="V8" i="3"/>
  <c r="W8" i="3"/>
  <c r="C10" i="3"/>
  <c r="D10" i="3"/>
  <c r="E10" i="3"/>
  <c r="F10" i="3"/>
  <c r="G10" i="3"/>
  <c r="H10" i="3"/>
  <c r="I10" i="3"/>
  <c r="J10" i="3"/>
  <c r="K10" i="3"/>
  <c r="L10" i="3"/>
  <c r="M10" i="3"/>
  <c r="N10" i="3"/>
  <c r="O10" i="3"/>
  <c r="P10" i="3"/>
  <c r="Q10" i="3"/>
  <c r="R10" i="3"/>
  <c r="S10" i="3"/>
  <c r="T10" i="3"/>
  <c r="U10" i="3"/>
  <c r="V10" i="3"/>
  <c r="W10" i="3"/>
  <c r="C11" i="3"/>
  <c r="D11" i="3"/>
  <c r="E11" i="3"/>
  <c r="F11" i="3"/>
  <c r="G11" i="3"/>
  <c r="H11" i="3"/>
  <c r="I11" i="3"/>
  <c r="J11" i="3"/>
  <c r="K11" i="3"/>
  <c r="L11" i="3"/>
  <c r="M11" i="3"/>
  <c r="N11" i="3"/>
  <c r="O11" i="3"/>
  <c r="P11" i="3"/>
  <c r="Q11" i="3"/>
  <c r="R11" i="3"/>
  <c r="S11" i="3"/>
  <c r="T11" i="3"/>
  <c r="U11" i="3"/>
  <c r="V11" i="3"/>
  <c r="W11" i="3"/>
  <c r="C12" i="3"/>
  <c r="D12" i="3"/>
  <c r="E12" i="3"/>
  <c r="F12" i="3"/>
  <c r="G12" i="3"/>
  <c r="H12" i="3"/>
  <c r="I12" i="3"/>
  <c r="J12" i="3"/>
  <c r="K12" i="3"/>
  <c r="L12" i="3"/>
  <c r="M12" i="3"/>
  <c r="N12" i="3"/>
  <c r="O12" i="3"/>
  <c r="P12" i="3"/>
  <c r="Q12" i="3"/>
  <c r="R12" i="3"/>
  <c r="S12" i="3"/>
  <c r="T12" i="3"/>
  <c r="U12" i="3"/>
  <c r="V12" i="3"/>
  <c r="W12" i="3"/>
  <c r="C15" i="3"/>
  <c r="D15" i="3"/>
  <c r="E15" i="3"/>
  <c r="F15" i="3"/>
  <c r="G15" i="3"/>
  <c r="H15" i="3"/>
  <c r="I15" i="3"/>
  <c r="J15" i="3"/>
  <c r="K15" i="3"/>
  <c r="L15" i="3"/>
  <c r="M15" i="3"/>
  <c r="N15" i="3"/>
  <c r="O15" i="3"/>
  <c r="P15" i="3"/>
  <c r="Q15" i="3"/>
  <c r="R15" i="3"/>
  <c r="S15" i="3"/>
  <c r="T15" i="3"/>
  <c r="U15" i="3"/>
  <c r="V15" i="3"/>
  <c r="W15" i="3"/>
  <c r="C17" i="3"/>
  <c r="D17" i="3"/>
  <c r="E17" i="3"/>
  <c r="F17" i="3"/>
  <c r="G17" i="3"/>
  <c r="H17" i="3"/>
  <c r="I17" i="3"/>
  <c r="J17" i="3"/>
  <c r="K17" i="3"/>
  <c r="L17" i="3"/>
  <c r="M17" i="3"/>
  <c r="N17" i="3"/>
  <c r="O17" i="3"/>
  <c r="P17" i="3"/>
  <c r="Q17" i="3"/>
  <c r="R17" i="3"/>
  <c r="S17" i="3"/>
  <c r="T17" i="3"/>
  <c r="U17" i="3"/>
  <c r="V17" i="3"/>
  <c r="W17" i="3"/>
  <c r="C19" i="3"/>
  <c r="D19" i="3"/>
  <c r="E19" i="3"/>
  <c r="F19" i="3"/>
  <c r="G19" i="3"/>
  <c r="H19" i="3"/>
  <c r="I19" i="3"/>
  <c r="J19" i="3"/>
  <c r="K19" i="3"/>
  <c r="L19" i="3"/>
  <c r="M19" i="3"/>
  <c r="N19" i="3"/>
  <c r="O19" i="3"/>
  <c r="P19" i="3"/>
  <c r="Q19" i="3"/>
  <c r="R19" i="3"/>
  <c r="S19" i="3"/>
  <c r="T19" i="3"/>
  <c r="U19" i="3"/>
  <c r="V19" i="3"/>
  <c r="W19" i="3"/>
  <c r="C20" i="3"/>
  <c r="D20" i="3"/>
  <c r="E20" i="3"/>
  <c r="F20" i="3"/>
  <c r="G20" i="3"/>
  <c r="H20" i="3"/>
  <c r="I20" i="3"/>
  <c r="J20" i="3"/>
  <c r="K20" i="3"/>
  <c r="L20" i="3"/>
  <c r="M20" i="3"/>
  <c r="N20" i="3"/>
  <c r="O20" i="3"/>
  <c r="P20" i="3"/>
  <c r="Q20" i="3"/>
  <c r="R20" i="3"/>
  <c r="S20" i="3"/>
  <c r="T20" i="3"/>
  <c r="U20" i="3"/>
  <c r="V20" i="3"/>
  <c r="W20" i="3"/>
  <c r="C21" i="3"/>
  <c r="D21" i="3"/>
  <c r="E21" i="3"/>
  <c r="F21" i="3"/>
  <c r="G21" i="3"/>
  <c r="H21" i="3"/>
  <c r="I21" i="3"/>
  <c r="J21" i="3"/>
  <c r="K21" i="3"/>
  <c r="L21" i="3"/>
  <c r="M21" i="3"/>
  <c r="N21" i="3"/>
  <c r="O21" i="3"/>
  <c r="P21" i="3"/>
  <c r="Q21" i="3"/>
  <c r="R21" i="3"/>
  <c r="S21" i="3"/>
  <c r="T21" i="3"/>
  <c r="U21" i="3"/>
  <c r="V21" i="3"/>
  <c r="W21" i="3"/>
  <c r="C22" i="3"/>
  <c r="D22" i="3"/>
  <c r="E22" i="3"/>
  <c r="F22" i="3"/>
  <c r="G22" i="3"/>
  <c r="H22" i="3"/>
  <c r="I22" i="3"/>
  <c r="J22" i="3"/>
  <c r="K22" i="3"/>
  <c r="L22" i="3"/>
  <c r="M22" i="3"/>
  <c r="N22" i="3"/>
  <c r="O22" i="3"/>
  <c r="P22" i="3"/>
  <c r="Q22" i="3"/>
  <c r="R22" i="3"/>
  <c r="S22" i="3"/>
  <c r="T22" i="3"/>
  <c r="U22" i="3"/>
  <c r="V22" i="3"/>
  <c r="W22" i="3"/>
  <c r="C25" i="3"/>
  <c r="D25" i="3"/>
  <c r="E25" i="3"/>
  <c r="F25" i="3"/>
  <c r="G25" i="3"/>
  <c r="H25" i="3"/>
  <c r="I25" i="3"/>
  <c r="J25" i="3"/>
  <c r="K25" i="3"/>
  <c r="L25" i="3"/>
  <c r="M25" i="3"/>
  <c r="N25" i="3"/>
  <c r="O25" i="3"/>
  <c r="P25" i="3"/>
  <c r="Q25" i="3"/>
  <c r="R25" i="3"/>
  <c r="S25" i="3"/>
  <c r="T25" i="3"/>
  <c r="U25" i="3"/>
  <c r="V25" i="3"/>
  <c r="W25" i="3"/>
  <c r="C26" i="3"/>
  <c r="D26" i="3"/>
  <c r="E26" i="3"/>
  <c r="F26" i="3"/>
  <c r="G26" i="3"/>
  <c r="H26" i="3"/>
  <c r="I26" i="3"/>
  <c r="J26" i="3"/>
  <c r="K26" i="3"/>
  <c r="L26" i="3"/>
  <c r="M26" i="3"/>
  <c r="N26" i="3"/>
  <c r="O26" i="3"/>
  <c r="P26" i="3"/>
  <c r="Q26" i="3"/>
  <c r="R26" i="3"/>
  <c r="S26" i="3"/>
  <c r="T26" i="3"/>
  <c r="U26" i="3"/>
  <c r="V26" i="3"/>
  <c r="W26" i="3"/>
  <c r="C27" i="3"/>
  <c r="D27" i="3"/>
  <c r="E27" i="3"/>
  <c r="F27" i="3"/>
  <c r="G27" i="3"/>
  <c r="H27" i="3"/>
  <c r="I27" i="3"/>
  <c r="J27" i="3"/>
  <c r="K27" i="3"/>
  <c r="L27" i="3"/>
  <c r="M27" i="3"/>
  <c r="N27" i="3"/>
  <c r="O27" i="3"/>
  <c r="P27" i="3"/>
  <c r="Q27" i="3"/>
  <c r="R27" i="3"/>
  <c r="S27" i="3"/>
  <c r="T27" i="3"/>
  <c r="U27" i="3"/>
  <c r="V27" i="3"/>
  <c r="W27" i="3"/>
  <c r="C28" i="3"/>
  <c r="D28" i="3"/>
  <c r="E28" i="3"/>
  <c r="F28" i="3"/>
  <c r="G28" i="3"/>
  <c r="H28" i="3"/>
  <c r="I28" i="3"/>
  <c r="J28" i="3"/>
  <c r="K28" i="3"/>
  <c r="L28" i="3"/>
  <c r="M28" i="3"/>
  <c r="N28" i="3"/>
  <c r="O28" i="3"/>
  <c r="P28" i="3"/>
  <c r="Q28" i="3"/>
  <c r="R28" i="3"/>
  <c r="S28" i="3"/>
  <c r="T28" i="3"/>
  <c r="U28" i="3"/>
  <c r="V28" i="3"/>
  <c r="W28" i="3"/>
  <c r="C30" i="3"/>
  <c r="D30" i="3"/>
  <c r="E30" i="3"/>
  <c r="F30" i="3"/>
  <c r="G30" i="3"/>
  <c r="H30" i="3"/>
  <c r="I30" i="3"/>
  <c r="J30" i="3"/>
  <c r="K30" i="3"/>
  <c r="L30" i="3"/>
  <c r="M30" i="3"/>
  <c r="N30" i="3"/>
  <c r="O30" i="3"/>
  <c r="P30" i="3"/>
  <c r="Q30" i="3"/>
  <c r="R30" i="3"/>
  <c r="S30" i="3"/>
  <c r="T30" i="3"/>
  <c r="U30" i="3"/>
  <c r="V30" i="3"/>
  <c r="W30" i="3"/>
  <c r="C31" i="3"/>
  <c r="D31" i="3"/>
  <c r="E31" i="3"/>
  <c r="F31" i="3"/>
  <c r="G31" i="3"/>
  <c r="H31" i="3"/>
  <c r="I31" i="3"/>
  <c r="J31" i="3"/>
  <c r="K31" i="3"/>
  <c r="L31" i="3"/>
  <c r="M31" i="3"/>
  <c r="N31" i="3"/>
  <c r="O31" i="3"/>
  <c r="P31" i="3"/>
  <c r="Q31" i="3"/>
  <c r="R31" i="3"/>
  <c r="S31" i="3"/>
  <c r="T31" i="3"/>
  <c r="U31" i="3"/>
  <c r="V31" i="3"/>
  <c r="W31" i="3"/>
  <c r="C32" i="3"/>
  <c r="D32" i="3"/>
  <c r="E32" i="3"/>
  <c r="F32" i="3"/>
  <c r="G32" i="3"/>
  <c r="H32" i="3"/>
  <c r="I32" i="3"/>
  <c r="J32" i="3"/>
  <c r="K32" i="3"/>
  <c r="L32" i="3"/>
  <c r="M32" i="3"/>
  <c r="N32" i="3"/>
  <c r="O32" i="3"/>
  <c r="P32" i="3"/>
  <c r="Q32" i="3"/>
  <c r="R32" i="3"/>
  <c r="S32" i="3"/>
  <c r="T32" i="3"/>
  <c r="U32" i="3"/>
  <c r="V32" i="3"/>
  <c r="W32" i="3"/>
  <c r="C33" i="3"/>
  <c r="D33" i="3"/>
  <c r="E33" i="3"/>
  <c r="F33" i="3"/>
  <c r="G33" i="3"/>
  <c r="H33" i="3"/>
  <c r="I33" i="3"/>
  <c r="J33" i="3"/>
  <c r="K33" i="3"/>
  <c r="L33" i="3"/>
  <c r="M33" i="3"/>
  <c r="N33" i="3"/>
  <c r="O33" i="3"/>
  <c r="P33" i="3"/>
  <c r="Q33" i="3"/>
  <c r="R33" i="3"/>
  <c r="S33" i="3"/>
  <c r="T33" i="3"/>
  <c r="U33" i="3"/>
  <c r="V33" i="3"/>
  <c r="W33" i="3"/>
  <c r="C35" i="3"/>
  <c r="D35" i="3"/>
  <c r="E35" i="3"/>
  <c r="F35" i="3"/>
  <c r="G35" i="3"/>
  <c r="H35" i="3"/>
  <c r="I35" i="3"/>
  <c r="J35" i="3"/>
  <c r="K35" i="3"/>
  <c r="L35" i="3"/>
  <c r="M35" i="3"/>
  <c r="N35" i="3"/>
  <c r="O35" i="3"/>
  <c r="P35" i="3"/>
  <c r="Q35" i="3"/>
  <c r="R35" i="3"/>
  <c r="S35" i="3"/>
  <c r="T35" i="3"/>
  <c r="U35" i="3"/>
  <c r="V35" i="3"/>
  <c r="W35" i="3"/>
  <c r="C36" i="3"/>
  <c r="D36" i="3"/>
  <c r="E36" i="3"/>
  <c r="F36" i="3"/>
  <c r="G36" i="3"/>
  <c r="H36" i="3"/>
  <c r="I36" i="3"/>
  <c r="J36" i="3"/>
  <c r="K36" i="3"/>
  <c r="L36" i="3"/>
  <c r="M36" i="3"/>
  <c r="N36" i="3"/>
  <c r="O36" i="3"/>
  <c r="P36" i="3"/>
  <c r="Q36" i="3"/>
  <c r="R36" i="3"/>
  <c r="S36" i="3"/>
  <c r="T36" i="3"/>
  <c r="U36" i="3"/>
  <c r="V36" i="3"/>
  <c r="W36" i="3"/>
  <c r="C37" i="3"/>
  <c r="D37" i="3"/>
  <c r="E37" i="3"/>
  <c r="F37" i="3"/>
  <c r="G37" i="3"/>
  <c r="H37" i="3"/>
  <c r="I37" i="3"/>
  <c r="J37" i="3"/>
  <c r="K37" i="3"/>
  <c r="L37" i="3"/>
  <c r="M37" i="3"/>
  <c r="N37" i="3"/>
  <c r="O37" i="3"/>
  <c r="P37" i="3"/>
  <c r="Q37" i="3"/>
  <c r="R37" i="3"/>
  <c r="S37" i="3"/>
  <c r="T37" i="3"/>
  <c r="U37" i="3"/>
  <c r="V37" i="3"/>
  <c r="W37" i="3"/>
  <c r="C41" i="3"/>
  <c r="D41" i="3"/>
  <c r="E41" i="3"/>
  <c r="F41" i="3"/>
  <c r="G41" i="3"/>
  <c r="H41" i="3"/>
  <c r="I41" i="3"/>
  <c r="J41" i="3"/>
  <c r="K41" i="3"/>
  <c r="L41" i="3"/>
  <c r="M41" i="3"/>
  <c r="N41" i="3"/>
  <c r="O41" i="3"/>
  <c r="P41" i="3"/>
  <c r="Q41" i="3"/>
  <c r="R41" i="3"/>
  <c r="S41" i="3"/>
  <c r="T41" i="3"/>
  <c r="U41" i="3"/>
  <c r="V41" i="3"/>
  <c r="W41" i="3"/>
  <c r="C42" i="3"/>
  <c r="D42" i="3"/>
  <c r="E42" i="3"/>
  <c r="F42" i="3"/>
  <c r="G42" i="3"/>
  <c r="H42" i="3"/>
  <c r="I42" i="3"/>
  <c r="J42" i="3"/>
  <c r="K42" i="3"/>
  <c r="L42" i="3"/>
  <c r="M42" i="3"/>
  <c r="N42" i="3"/>
  <c r="O42" i="3"/>
  <c r="P42" i="3"/>
  <c r="Q42" i="3"/>
  <c r="R42" i="3"/>
  <c r="S42" i="3"/>
  <c r="T42" i="3"/>
  <c r="U42" i="3"/>
  <c r="V42" i="3"/>
  <c r="W42" i="3"/>
  <c r="C43" i="3"/>
  <c r="D43" i="3"/>
  <c r="E43" i="3"/>
  <c r="F43" i="3"/>
  <c r="G43" i="3"/>
  <c r="H43" i="3"/>
  <c r="I43" i="3"/>
  <c r="J43" i="3"/>
  <c r="K43" i="3"/>
  <c r="L43" i="3"/>
  <c r="M43" i="3"/>
  <c r="N43" i="3"/>
  <c r="O43" i="3"/>
  <c r="P43" i="3"/>
  <c r="Q43" i="3"/>
  <c r="R43" i="3"/>
  <c r="S43" i="3"/>
  <c r="T43" i="3"/>
  <c r="U43" i="3"/>
  <c r="V43" i="3"/>
  <c r="W43" i="3"/>
  <c r="C46" i="3"/>
  <c r="D46" i="3"/>
  <c r="E46" i="3"/>
  <c r="F46" i="3"/>
  <c r="G46" i="3"/>
  <c r="H46" i="3"/>
  <c r="I46" i="3"/>
  <c r="J46" i="3"/>
  <c r="K46" i="3"/>
  <c r="L46" i="3"/>
  <c r="M46" i="3"/>
  <c r="N46" i="3"/>
  <c r="O46" i="3"/>
  <c r="P46" i="3"/>
  <c r="Q46" i="3"/>
  <c r="R46" i="3"/>
  <c r="S46" i="3"/>
  <c r="T46" i="3"/>
  <c r="U46" i="3"/>
  <c r="V46" i="3"/>
  <c r="W46" i="3"/>
  <c r="A1" i="2"/>
  <c r="D3" i="2"/>
  <c r="E3" i="2"/>
  <c r="F3" i="2"/>
  <c r="G3" i="2"/>
  <c r="H3" i="2"/>
  <c r="I3" i="2"/>
  <c r="J3" i="2"/>
  <c r="K3" i="2"/>
  <c r="L3" i="2"/>
  <c r="M3" i="2"/>
  <c r="N3" i="2"/>
  <c r="O3" i="2"/>
  <c r="P3" i="2"/>
  <c r="Q3" i="2"/>
  <c r="R3" i="2"/>
  <c r="S3" i="2"/>
  <c r="T3" i="2"/>
  <c r="U3" i="2"/>
  <c r="V3" i="2"/>
  <c r="W3" i="2"/>
  <c r="X3" i="2"/>
  <c r="Y3" i="2"/>
  <c r="Z3" i="2"/>
  <c r="AA3" i="2"/>
  <c r="C4" i="2"/>
  <c r="D4" i="2"/>
  <c r="E4" i="2"/>
  <c r="F4" i="2"/>
  <c r="G4" i="2"/>
  <c r="H4" i="2"/>
  <c r="I4" i="2"/>
  <c r="J4" i="2"/>
  <c r="K4" i="2"/>
  <c r="L4" i="2"/>
  <c r="M4" i="2"/>
  <c r="N4" i="2"/>
  <c r="O4" i="2"/>
  <c r="P4" i="2"/>
  <c r="Q4" i="2"/>
  <c r="R4" i="2"/>
  <c r="S4" i="2"/>
  <c r="T4" i="2"/>
  <c r="U4" i="2"/>
  <c r="V4" i="2"/>
  <c r="W4" i="2"/>
  <c r="X4" i="2"/>
  <c r="Y4" i="2"/>
  <c r="Z4" i="2"/>
  <c r="AA4" i="2"/>
  <c r="C5" i="2"/>
  <c r="D5" i="2"/>
  <c r="E5" i="2"/>
  <c r="F5" i="2"/>
  <c r="G5" i="2"/>
  <c r="H5" i="2"/>
  <c r="I5" i="2"/>
  <c r="J5" i="2"/>
  <c r="K5" i="2"/>
  <c r="L5" i="2"/>
  <c r="M5" i="2"/>
  <c r="N5" i="2"/>
  <c r="O5" i="2"/>
  <c r="P5" i="2"/>
  <c r="Q5" i="2"/>
  <c r="R5" i="2"/>
  <c r="S5" i="2"/>
  <c r="T5" i="2"/>
  <c r="U5" i="2"/>
  <c r="V5" i="2"/>
  <c r="Y5" i="2"/>
  <c r="Z5" i="2"/>
  <c r="AA5" i="2"/>
  <c r="C6" i="2"/>
  <c r="D6" i="2"/>
  <c r="E6" i="2"/>
  <c r="F6" i="2"/>
  <c r="G6" i="2"/>
  <c r="H6" i="2"/>
  <c r="I6" i="2"/>
  <c r="J6" i="2"/>
  <c r="K6" i="2"/>
  <c r="L6" i="2"/>
  <c r="M6" i="2"/>
  <c r="N6" i="2"/>
  <c r="O6" i="2"/>
  <c r="P6" i="2"/>
  <c r="Q6" i="2"/>
  <c r="R6" i="2"/>
  <c r="S6" i="2"/>
  <c r="T6" i="2"/>
  <c r="U6" i="2"/>
  <c r="V6" i="2"/>
  <c r="W6" i="2"/>
  <c r="X6" i="2"/>
  <c r="Y6" i="2"/>
  <c r="Z6" i="2"/>
  <c r="AA6" i="2"/>
  <c r="C7" i="2"/>
  <c r="D7" i="2"/>
  <c r="E7" i="2"/>
  <c r="F7" i="2"/>
  <c r="G7" i="2"/>
  <c r="H7" i="2"/>
  <c r="I7" i="2"/>
  <c r="J7" i="2"/>
  <c r="K7" i="2"/>
  <c r="L7" i="2"/>
  <c r="M7" i="2"/>
  <c r="N7" i="2"/>
  <c r="O7" i="2"/>
  <c r="P7" i="2"/>
  <c r="Q7" i="2"/>
  <c r="R7" i="2"/>
  <c r="S7" i="2"/>
  <c r="T7" i="2"/>
  <c r="U7" i="2"/>
  <c r="V7" i="2"/>
  <c r="X7" i="2"/>
  <c r="Y7" i="2"/>
  <c r="Z7" i="2"/>
  <c r="AA7" i="2"/>
  <c r="C8" i="2"/>
  <c r="D8" i="2"/>
  <c r="E8" i="2"/>
  <c r="F8" i="2"/>
  <c r="G8" i="2"/>
  <c r="H8" i="2"/>
  <c r="I8" i="2"/>
  <c r="J8" i="2"/>
  <c r="K8" i="2"/>
  <c r="L8" i="2"/>
  <c r="M8" i="2"/>
  <c r="N8" i="2"/>
  <c r="O8" i="2"/>
  <c r="P8" i="2"/>
  <c r="Q8" i="2"/>
  <c r="R8" i="2"/>
  <c r="S8" i="2"/>
  <c r="T8" i="2"/>
  <c r="U8" i="2"/>
  <c r="V8" i="2"/>
  <c r="W8" i="2"/>
  <c r="X8" i="2"/>
  <c r="Y8" i="2"/>
  <c r="Z8" i="2"/>
  <c r="AA8" i="2"/>
  <c r="C9" i="2"/>
  <c r="D9" i="2"/>
  <c r="E9" i="2"/>
  <c r="F9" i="2"/>
  <c r="G9" i="2"/>
  <c r="H9" i="2"/>
  <c r="I9" i="2"/>
  <c r="J9" i="2"/>
  <c r="K9" i="2"/>
  <c r="L9" i="2"/>
  <c r="M9" i="2"/>
  <c r="N9" i="2"/>
  <c r="O9" i="2"/>
  <c r="P9" i="2"/>
  <c r="Q9" i="2"/>
  <c r="R9" i="2"/>
  <c r="S9" i="2"/>
  <c r="T9" i="2"/>
  <c r="U9" i="2"/>
  <c r="V9" i="2"/>
  <c r="W9" i="2"/>
  <c r="X9" i="2"/>
  <c r="Y9" i="2"/>
  <c r="Z9" i="2"/>
  <c r="AA9" i="2"/>
  <c r="C11" i="2"/>
  <c r="D11" i="2"/>
  <c r="E11" i="2"/>
  <c r="F11" i="2"/>
  <c r="G11" i="2"/>
  <c r="H11" i="2"/>
  <c r="I11" i="2"/>
  <c r="J11" i="2"/>
  <c r="K11" i="2"/>
  <c r="L11" i="2"/>
  <c r="M11" i="2"/>
  <c r="N11" i="2"/>
  <c r="O11" i="2"/>
  <c r="P11" i="2"/>
  <c r="Q11" i="2"/>
  <c r="R11" i="2"/>
  <c r="S11" i="2"/>
  <c r="T11" i="2"/>
  <c r="U11" i="2"/>
  <c r="V11" i="2"/>
  <c r="W11" i="2"/>
  <c r="X11" i="2"/>
  <c r="Y11" i="2"/>
  <c r="Z11" i="2"/>
  <c r="AA11" i="2"/>
  <c r="C12" i="2"/>
  <c r="D12" i="2"/>
  <c r="E12" i="2"/>
  <c r="F12" i="2"/>
  <c r="G12" i="2"/>
  <c r="H12" i="2"/>
  <c r="I12" i="2"/>
  <c r="J12" i="2"/>
  <c r="K12" i="2"/>
  <c r="L12" i="2"/>
  <c r="M12" i="2"/>
  <c r="N12" i="2"/>
  <c r="O12" i="2"/>
  <c r="P12" i="2"/>
  <c r="Q12" i="2"/>
  <c r="R12" i="2"/>
  <c r="S12" i="2"/>
  <c r="T12" i="2"/>
  <c r="U12" i="2"/>
  <c r="V12" i="2"/>
  <c r="W12" i="2"/>
  <c r="X12" i="2"/>
  <c r="Y12" i="2"/>
  <c r="Z12" i="2"/>
  <c r="AA12" i="2"/>
  <c r="C13" i="2"/>
  <c r="D13" i="2"/>
  <c r="E13" i="2"/>
  <c r="F13" i="2"/>
  <c r="G13" i="2"/>
  <c r="H13" i="2"/>
  <c r="I13" i="2"/>
  <c r="J13" i="2"/>
  <c r="K13" i="2"/>
  <c r="L13" i="2"/>
  <c r="M13" i="2"/>
  <c r="N13" i="2"/>
  <c r="O13" i="2"/>
  <c r="P13" i="2"/>
  <c r="Q13" i="2"/>
  <c r="R13" i="2"/>
  <c r="S13" i="2"/>
  <c r="T13" i="2"/>
  <c r="U13" i="2"/>
  <c r="V13" i="2"/>
  <c r="W13" i="2"/>
  <c r="X13" i="2"/>
  <c r="Y13" i="2"/>
  <c r="Z13" i="2"/>
  <c r="AA13" i="2"/>
  <c r="B14" i="2"/>
  <c r="D14" i="2"/>
  <c r="E14" i="2"/>
  <c r="F14" i="2"/>
  <c r="G14" i="2"/>
  <c r="H14" i="2"/>
  <c r="I14" i="2"/>
  <c r="J14" i="2"/>
  <c r="K14" i="2"/>
  <c r="L14" i="2"/>
  <c r="M14" i="2"/>
  <c r="N14" i="2"/>
  <c r="O14" i="2"/>
  <c r="P14" i="2"/>
  <c r="Q14" i="2"/>
  <c r="R14" i="2"/>
  <c r="S14" i="2"/>
  <c r="T14" i="2"/>
  <c r="U14" i="2"/>
  <c r="V14" i="2"/>
  <c r="W14" i="2"/>
  <c r="X14" i="2"/>
  <c r="Y14" i="2"/>
  <c r="Z14" i="2"/>
  <c r="AA14" i="2"/>
  <c r="D15" i="2"/>
  <c r="E15" i="2"/>
  <c r="F15" i="2"/>
  <c r="G15" i="2"/>
  <c r="H15" i="2"/>
  <c r="I15" i="2"/>
  <c r="J15" i="2"/>
  <c r="K15" i="2"/>
  <c r="L15" i="2"/>
  <c r="M15" i="2"/>
  <c r="N15" i="2"/>
  <c r="O15" i="2"/>
  <c r="P15" i="2"/>
  <c r="Q15" i="2"/>
  <c r="R15" i="2"/>
  <c r="S15" i="2"/>
  <c r="T15" i="2"/>
  <c r="U15" i="2"/>
  <c r="V15" i="2"/>
  <c r="W15" i="2"/>
  <c r="X15" i="2"/>
  <c r="Y15" i="2"/>
  <c r="Z15" i="2"/>
  <c r="AA15" i="2"/>
  <c r="D16" i="2"/>
  <c r="E16" i="2"/>
  <c r="F16" i="2"/>
  <c r="G16" i="2"/>
  <c r="H16" i="2"/>
  <c r="I16" i="2"/>
  <c r="J16" i="2"/>
  <c r="K16" i="2"/>
  <c r="L16" i="2"/>
  <c r="M16" i="2"/>
  <c r="N16" i="2"/>
  <c r="O16" i="2"/>
  <c r="P16" i="2"/>
  <c r="Q16" i="2"/>
  <c r="R16" i="2"/>
  <c r="S16" i="2"/>
  <c r="T16" i="2"/>
  <c r="U16" i="2"/>
  <c r="V16" i="2"/>
  <c r="W16" i="2"/>
  <c r="X16" i="2"/>
  <c r="Y16" i="2"/>
  <c r="Z16" i="2"/>
  <c r="AA16" i="2"/>
  <c r="T17" i="2"/>
  <c r="U17" i="2"/>
  <c r="V17" i="2"/>
  <c r="S18" i="2"/>
  <c r="T18" i="2"/>
  <c r="U18" i="2"/>
  <c r="V18" i="2"/>
  <c r="S19" i="2"/>
  <c r="T19" i="2"/>
  <c r="U19" i="2"/>
  <c r="V19" i="2"/>
  <c r="C22" i="2"/>
  <c r="D22" i="2"/>
  <c r="E22" i="2"/>
  <c r="F22" i="2"/>
  <c r="G22" i="2"/>
  <c r="H22" i="2"/>
  <c r="I22" i="2"/>
  <c r="J22" i="2"/>
  <c r="K22" i="2"/>
  <c r="L22" i="2"/>
  <c r="M22" i="2"/>
  <c r="N22" i="2"/>
  <c r="O22" i="2"/>
  <c r="P22" i="2"/>
  <c r="Q22" i="2"/>
  <c r="R22" i="2"/>
  <c r="S22" i="2"/>
  <c r="T22" i="2"/>
  <c r="U22" i="2"/>
  <c r="V22" i="2"/>
  <c r="W22" i="2"/>
  <c r="X22" i="2"/>
  <c r="Y22" i="2"/>
  <c r="Z22" i="2"/>
  <c r="AA22" i="2"/>
  <c r="C24" i="2"/>
  <c r="D24" i="2"/>
  <c r="E24" i="2"/>
  <c r="F24" i="2"/>
  <c r="G24" i="2"/>
  <c r="H24" i="2"/>
  <c r="I24" i="2"/>
  <c r="J24" i="2"/>
  <c r="K24" i="2"/>
  <c r="L24" i="2"/>
  <c r="M24" i="2"/>
  <c r="N24" i="2"/>
  <c r="O24" i="2"/>
  <c r="P24" i="2"/>
  <c r="Q24" i="2"/>
  <c r="R24" i="2"/>
  <c r="S24" i="2"/>
  <c r="T24" i="2"/>
  <c r="U24" i="2"/>
  <c r="V24" i="2"/>
  <c r="W24" i="2"/>
  <c r="X24" i="2"/>
  <c r="Y24" i="2"/>
  <c r="Z24" i="2"/>
  <c r="AA24" i="2"/>
  <c r="C25" i="2"/>
  <c r="D25" i="2"/>
  <c r="E25" i="2"/>
  <c r="F25" i="2"/>
  <c r="G25" i="2"/>
  <c r="H25" i="2"/>
  <c r="I25" i="2"/>
  <c r="J25" i="2"/>
  <c r="K25" i="2"/>
  <c r="L25" i="2"/>
  <c r="M25" i="2"/>
  <c r="N25" i="2"/>
  <c r="O25" i="2"/>
  <c r="P25" i="2"/>
  <c r="Q25" i="2"/>
  <c r="R25" i="2"/>
  <c r="S25" i="2"/>
  <c r="T25" i="2"/>
  <c r="U25" i="2"/>
  <c r="V25" i="2"/>
  <c r="W25" i="2"/>
  <c r="X25" i="2"/>
  <c r="Y25" i="2"/>
  <c r="Z25" i="2"/>
  <c r="AA25" i="2"/>
  <c r="C26" i="2"/>
  <c r="D26" i="2"/>
  <c r="E26" i="2"/>
  <c r="F26" i="2"/>
  <c r="G26" i="2"/>
  <c r="H26" i="2"/>
  <c r="I26" i="2"/>
  <c r="J26" i="2"/>
  <c r="K26" i="2"/>
  <c r="L26" i="2"/>
  <c r="M26" i="2"/>
  <c r="N26" i="2"/>
  <c r="O26" i="2"/>
  <c r="P26" i="2"/>
  <c r="Q26" i="2"/>
  <c r="R26" i="2"/>
  <c r="S26" i="2"/>
  <c r="T26" i="2"/>
  <c r="U26" i="2"/>
  <c r="V26" i="2"/>
  <c r="W26" i="2"/>
  <c r="X26" i="2"/>
  <c r="Y26" i="2"/>
  <c r="Z26" i="2"/>
  <c r="AA26" i="2"/>
  <c r="B30" i="2"/>
  <c r="C30" i="2"/>
  <c r="D30" i="2"/>
  <c r="E30" i="2"/>
  <c r="F30" i="2"/>
  <c r="G30" i="2"/>
  <c r="H30" i="2"/>
  <c r="I30" i="2"/>
  <c r="J30" i="2"/>
  <c r="K30" i="2"/>
  <c r="L30" i="2"/>
  <c r="M30" i="2"/>
  <c r="N30" i="2"/>
  <c r="O30" i="2"/>
  <c r="P30" i="2"/>
  <c r="Q30" i="2"/>
  <c r="R30" i="2"/>
  <c r="S30" i="2"/>
  <c r="T30" i="2"/>
  <c r="U30" i="2"/>
  <c r="V30" i="2"/>
  <c r="W30" i="2"/>
  <c r="X30" i="2"/>
  <c r="Y30" i="2"/>
  <c r="Z30" i="2"/>
  <c r="AA30" i="2"/>
  <c r="B31" i="2"/>
  <c r="C31" i="2"/>
  <c r="D31" i="2"/>
  <c r="E31" i="2"/>
  <c r="F31" i="2"/>
  <c r="G31" i="2"/>
  <c r="H31" i="2"/>
  <c r="I31" i="2"/>
  <c r="J31" i="2"/>
  <c r="K31" i="2"/>
  <c r="L31" i="2"/>
  <c r="M31" i="2"/>
  <c r="N31" i="2"/>
  <c r="O31" i="2"/>
  <c r="P31" i="2"/>
  <c r="Q31" i="2"/>
  <c r="R31" i="2"/>
  <c r="S31" i="2"/>
  <c r="T31" i="2"/>
  <c r="U31" i="2"/>
  <c r="V31" i="2"/>
  <c r="W31" i="2"/>
  <c r="X31" i="2"/>
  <c r="Y31" i="2"/>
  <c r="Z31" i="2"/>
  <c r="AA31" i="2"/>
  <c r="B32" i="2"/>
  <c r="C32" i="2"/>
  <c r="D32" i="2"/>
  <c r="E32" i="2"/>
  <c r="F32" i="2"/>
  <c r="G32" i="2"/>
  <c r="H32" i="2"/>
  <c r="I32" i="2"/>
  <c r="J32" i="2"/>
  <c r="K32" i="2"/>
  <c r="L32" i="2"/>
  <c r="M32" i="2"/>
  <c r="N32" i="2"/>
  <c r="O32" i="2"/>
  <c r="P32" i="2"/>
  <c r="Q32" i="2"/>
  <c r="R32" i="2"/>
  <c r="S32" i="2"/>
  <c r="T32" i="2"/>
  <c r="U32" i="2"/>
  <c r="V32" i="2"/>
  <c r="W32" i="2"/>
  <c r="X32" i="2"/>
  <c r="Y32" i="2"/>
  <c r="Z32" i="2"/>
  <c r="AA32" i="2"/>
  <c r="C33" i="2"/>
  <c r="D33" i="2"/>
  <c r="E33" i="2"/>
  <c r="F33" i="2"/>
  <c r="G33" i="2"/>
  <c r="H33" i="2"/>
  <c r="I33" i="2"/>
  <c r="J33" i="2"/>
  <c r="K33" i="2"/>
  <c r="L33" i="2"/>
  <c r="M33" i="2"/>
  <c r="N33" i="2"/>
  <c r="O33" i="2"/>
  <c r="P33" i="2"/>
  <c r="Q33" i="2"/>
  <c r="R33" i="2"/>
  <c r="S33" i="2"/>
  <c r="T33" i="2"/>
  <c r="U33" i="2"/>
  <c r="V33" i="2"/>
  <c r="W33" i="2"/>
  <c r="X33" i="2"/>
  <c r="Y33" i="2"/>
  <c r="Z33" i="2"/>
  <c r="AA33" i="2"/>
  <c r="B34" i="2"/>
  <c r="C34" i="2"/>
  <c r="D34" i="2"/>
  <c r="E34" i="2"/>
  <c r="F34" i="2"/>
  <c r="G34" i="2"/>
  <c r="H34" i="2"/>
  <c r="I34" i="2"/>
  <c r="J34" i="2"/>
  <c r="K34" i="2"/>
  <c r="L34" i="2"/>
  <c r="M34" i="2"/>
  <c r="N34" i="2"/>
  <c r="O34" i="2"/>
  <c r="P34" i="2"/>
  <c r="Q34" i="2"/>
  <c r="R34" i="2"/>
  <c r="S34" i="2"/>
  <c r="T34" i="2"/>
  <c r="U34" i="2"/>
  <c r="V34" i="2"/>
  <c r="W34" i="2"/>
  <c r="X34" i="2"/>
  <c r="B35" i="2"/>
  <c r="C35" i="2"/>
  <c r="D35" i="2"/>
  <c r="E35" i="2"/>
  <c r="F35" i="2"/>
  <c r="G35" i="2"/>
  <c r="H35" i="2"/>
  <c r="I35" i="2"/>
  <c r="J35" i="2"/>
  <c r="K35" i="2"/>
  <c r="L35" i="2"/>
  <c r="M35" i="2"/>
  <c r="N35" i="2"/>
  <c r="O35" i="2"/>
  <c r="P35" i="2"/>
  <c r="Q35" i="2"/>
  <c r="R35" i="2"/>
  <c r="S35" i="2"/>
  <c r="T35" i="2"/>
  <c r="U35" i="2"/>
  <c r="V35" i="2"/>
  <c r="W35" i="2"/>
  <c r="X35" i="2"/>
  <c r="Y35" i="2"/>
  <c r="Z35" i="2"/>
  <c r="AA35" i="2"/>
  <c r="C36" i="2"/>
  <c r="D36" i="2"/>
  <c r="E36" i="2"/>
  <c r="F36" i="2"/>
  <c r="G36" i="2"/>
  <c r="H36" i="2"/>
  <c r="I36" i="2"/>
  <c r="J36" i="2"/>
  <c r="K36" i="2"/>
  <c r="L36" i="2"/>
  <c r="M36" i="2"/>
  <c r="N36" i="2"/>
  <c r="O36" i="2"/>
  <c r="P36" i="2"/>
  <c r="Q36" i="2"/>
  <c r="R36" i="2"/>
  <c r="S36" i="2"/>
  <c r="T36" i="2"/>
  <c r="U36" i="2"/>
  <c r="V36" i="2"/>
  <c r="W36" i="2"/>
  <c r="X36" i="2"/>
  <c r="Y36" i="2"/>
  <c r="Z36" i="2"/>
  <c r="AA36" i="2"/>
  <c r="B39" i="2"/>
  <c r="C39" i="2"/>
  <c r="D39" i="2"/>
  <c r="E39" i="2"/>
  <c r="F39" i="2"/>
  <c r="G39" i="2"/>
  <c r="H39" i="2"/>
  <c r="I39" i="2"/>
  <c r="J39" i="2"/>
  <c r="K39" i="2"/>
  <c r="L39" i="2"/>
  <c r="M39" i="2"/>
  <c r="N39" i="2"/>
  <c r="O39" i="2"/>
  <c r="P39" i="2"/>
  <c r="Q39" i="2"/>
  <c r="R39" i="2"/>
  <c r="S39" i="2"/>
  <c r="T39" i="2"/>
  <c r="U39" i="2"/>
  <c r="V39" i="2"/>
  <c r="W39" i="2"/>
  <c r="X39" i="2"/>
  <c r="Y39" i="2"/>
  <c r="Z39" i="2"/>
  <c r="AA39" i="2"/>
  <c r="B40" i="2"/>
  <c r="C40" i="2"/>
  <c r="D40" i="2"/>
  <c r="E40" i="2"/>
  <c r="F40" i="2"/>
  <c r="G40" i="2"/>
  <c r="H40" i="2"/>
  <c r="I40" i="2"/>
  <c r="J40" i="2"/>
  <c r="K40" i="2"/>
  <c r="L40" i="2"/>
  <c r="M40" i="2"/>
  <c r="N40" i="2"/>
  <c r="O40" i="2"/>
  <c r="P40" i="2"/>
  <c r="Q40" i="2"/>
  <c r="R40" i="2"/>
  <c r="S40" i="2"/>
  <c r="T40" i="2"/>
  <c r="U40" i="2"/>
  <c r="V40" i="2"/>
  <c r="W40" i="2"/>
  <c r="X40" i="2"/>
  <c r="Y40" i="2"/>
  <c r="Z40" i="2"/>
  <c r="AA40" i="2"/>
  <c r="B43" i="2"/>
  <c r="C43" i="2"/>
  <c r="D43" i="2"/>
  <c r="E43" i="2"/>
  <c r="F43" i="2"/>
  <c r="G43" i="2"/>
  <c r="H43" i="2"/>
  <c r="I43" i="2"/>
  <c r="J43" i="2"/>
  <c r="K43" i="2"/>
  <c r="L43" i="2"/>
  <c r="M43" i="2"/>
  <c r="N43" i="2"/>
  <c r="O43" i="2"/>
  <c r="P43" i="2"/>
  <c r="Q43" i="2"/>
  <c r="R43" i="2"/>
  <c r="S43" i="2"/>
  <c r="T43" i="2"/>
  <c r="U43" i="2"/>
  <c r="V43" i="2"/>
  <c r="W43" i="2"/>
  <c r="X43" i="2"/>
  <c r="Y43" i="2"/>
  <c r="Z43" i="2"/>
  <c r="AA43" i="2"/>
  <c r="B44" i="2"/>
  <c r="C44" i="2"/>
  <c r="D44" i="2"/>
  <c r="E44" i="2"/>
  <c r="F44" i="2"/>
  <c r="G44" i="2"/>
  <c r="H44" i="2"/>
  <c r="I44" i="2"/>
  <c r="J44" i="2"/>
  <c r="K44" i="2"/>
  <c r="L44" i="2"/>
  <c r="M44" i="2"/>
  <c r="N44" i="2"/>
  <c r="O44" i="2"/>
  <c r="P44" i="2"/>
  <c r="Q44" i="2"/>
  <c r="R44" i="2"/>
  <c r="S44" i="2"/>
  <c r="T44" i="2"/>
  <c r="U44" i="2"/>
  <c r="V44" i="2"/>
  <c r="W44" i="2"/>
  <c r="X44" i="2"/>
  <c r="Y44" i="2"/>
  <c r="Z44" i="2"/>
  <c r="AA44" i="2"/>
  <c r="B45" i="2"/>
  <c r="C45" i="2"/>
  <c r="D45" i="2"/>
  <c r="E45" i="2"/>
  <c r="F45" i="2"/>
  <c r="G45" i="2"/>
  <c r="H45" i="2"/>
  <c r="I45" i="2"/>
  <c r="J45" i="2"/>
  <c r="K45" i="2"/>
  <c r="L45" i="2"/>
  <c r="M45" i="2"/>
  <c r="N45" i="2"/>
  <c r="O45" i="2"/>
  <c r="P45" i="2"/>
  <c r="Q45" i="2"/>
  <c r="R45" i="2"/>
  <c r="S45" i="2"/>
  <c r="T45" i="2"/>
  <c r="U45" i="2"/>
  <c r="V45" i="2"/>
  <c r="W45" i="2"/>
  <c r="X45" i="2"/>
  <c r="Y45" i="2"/>
  <c r="Z45" i="2"/>
  <c r="AA45" i="2"/>
  <c r="B46" i="2"/>
  <c r="C46" i="2"/>
  <c r="D46" i="2"/>
  <c r="E46" i="2"/>
  <c r="F46" i="2"/>
  <c r="G46" i="2"/>
  <c r="H46" i="2"/>
  <c r="I46" i="2"/>
  <c r="J46" i="2"/>
  <c r="K46" i="2"/>
  <c r="L46" i="2"/>
  <c r="M46" i="2"/>
  <c r="N46" i="2"/>
  <c r="O46" i="2"/>
  <c r="P46" i="2"/>
  <c r="Q46" i="2"/>
  <c r="R46" i="2"/>
  <c r="S46" i="2"/>
  <c r="T46" i="2"/>
  <c r="U46" i="2"/>
  <c r="V46" i="2"/>
  <c r="W46" i="2"/>
  <c r="X46" i="2"/>
  <c r="Y46" i="2"/>
  <c r="Z46" i="2"/>
  <c r="AA46" i="2"/>
  <c r="B48" i="2"/>
  <c r="C48" i="2"/>
  <c r="D48" i="2"/>
  <c r="E48" i="2"/>
  <c r="F48" i="2"/>
  <c r="G48" i="2"/>
  <c r="H48" i="2"/>
  <c r="I48" i="2"/>
  <c r="J48" i="2"/>
  <c r="K48" i="2"/>
  <c r="L48" i="2"/>
  <c r="M48" i="2"/>
  <c r="N48" i="2"/>
  <c r="O48" i="2"/>
  <c r="P48" i="2"/>
  <c r="Q48" i="2"/>
  <c r="R48" i="2"/>
  <c r="S48" i="2"/>
  <c r="T48" i="2"/>
  <c r="U48" i="2"/>
  <c r="V48" i="2"/>
  <c r="W48" i="2"/>
  <c r="X48" i="2"/>
  <c r="Y48" i="2"/>
  <c r="Z48" i="2"/>
  <c r="AA48" i="2"/>
  <c r="B49" i="2"/>
  <c r="C49" i="2"/>
  <c r="D49" i="2"/>
  <c r="E49" i="2"/>
  <c r="F49" i="2"/>
  <c r="G49" i="2"/>
  <c r="H49" i="2"/>
  <c r="I49" i="2"/>
  <c r="J49" i="2"/>
  <c r="K49" i="2"/>
  <c r="L49" i="2"/>
  <c r="M49" i="2"/>
  <c r="N49" i="2"/>
  <c r="O49" i="2"/>
  <c r="P49" i="2"/>
  <c r="Q49" i="2"/>
  <c r="R49" i="2"/>
  <c r="S49" i="2"/>
  <c r="T49" i="2"/>
  <c r="U49" i="2"/>
  <c r="V49" i="2"/>
  <c r="W49" i="2"/>
  <c r="X49" i="2"/>
  <c r="Y49" i="2"/>
  <c r="Z49" i="2"/>
  <c r="AA49" i="2"/>
  <c r="B50" i="2"/>
  <c r="C50" i="2"/>
  <c r="D50" i="2"/>
  <c r="E50" i="2"/>
  <c r="F50" i="2"/>
  <c r="G50" i="2"/>
  <c r="H50" i="2"/>
  <c r="I50" i="2"/>
  <c r="J50" i="2"/>
  <c r="K50" i="2"/>
  <c r="L50" i="2"/>
  <c r="M50" i="2"/>
  <c r="N50" i="2"/>
  <c r="O50" i="2"/>
  <c r="P50" i="2"/>
  <c r="Q50" i="2"/>
  <c r="R50" i="2"/>
  <c r="S50" i="2"/>
  <c r="T50" i="2"/>
  <c r="U50" i="2"/>
  <c r="V50" i="2"/>
  <c r="W50" i="2"/>
  <c r="B51" i="2"/>
  <c r="C51" i="2"/>
  <c r="D51" i="2"/>
  <c r="E51" i="2"/>
  <c r="F51" i="2"/>
  <c r="G51" i="2"/>
  <c r="H51" i="2"/>
  <c r="I51" i="2"/>
  <c r="J51" i="2"/>
  <c r="K51" i="2"/>
  <c r="L51" i="2"/>
  <c r="M51" i="2"/>
  <c r="N51" i="2"/>
  <c r="O51" i="2"/>
  <c r="P51" i="2"/>
  <c r="Q51" i="2"/>
  <c r="R51" i="2"/>
  <c r="S51" i="2"/>
  <c r="T51" i="2"/>
  <c r="U51" i="2"/>
  <c r="V51" i="2"/>
  <c r="W51" i="2"/>
  <c r="X51" i="2"/>
  <c r="Y51" i="2"/>
  <c r="Z51" i="2"/>
  <c r="AA51" i="2"/>
  <c r="B52" i="2"/>
  <c r="C52" i="2"/>
  <c r="D52" i="2"/>
  <c r="E52" i="2"/>
  <c r="F52" i="2"/>
  <c r="G52" i="2"/>
  <c r="H52" i="2"/>
  <c r="I52" i="2"/>
  <c r="J52" i="2"/>
  <c r="K52" i="2"/>
  <c r="L52" i="2"/>
  <c r="M52" i="2"/>
  <c r="N52" i="2"/>
  <c r="O52" i="2"/>
  <c r="P52" i="2"/>
  <c r="Q52" i="2"/>
  <c r="R52" i="2"/>
  <c r="S52" i="2"/>
  <c r="T52" i="2"/>
  <c r="U52" i="2"/>
  <c r="V52" i="2"/>
  <c r="W52" i="2"/>
  <c r="X52" i="2"/>
  <c r="Y52" i="2"/>
  <c r="Z52" i="2"/>
  <c r="AA52" i="2"/>
  <c r="B54" i="2"/>
  <c r="C54" i="2"/>
  <c r="D54" i="2"/>
  <c r="E54" i="2"/>
  <c r="F54" i="2"/>
  <c r="G54" i="2"/>
  <c r="H54" i="2"/>
  <c r="I54" i="2"/>
  <c r="J54" i="2"/>
  <c r="K54" i="2"/>
  <c r="L54" i="2"/>
  <c r="M54" i="2"/>
  <c r="N54" i="2"/>
  <c r="O54" i="2"/>
  <c r="P54" i="2"/>
  <c r="Q54" i="2"/>
  <c r="R54" i="2"/>
  <c r="S54" i="2"/>
  <c r="T54" i="2"/>
  <c r="U54" i="2"/>
  <c r="V54" i="2"/>
  <c r="W54" i="2"/>
  <c r="X54" i="2"/>
  <c r="Y54" i="2"/>
  <c r="Z54" i="2"/>
  <c r="AA54" i="2"/>
  <c r="B55" i="2"/>
  <c r="C55" i="2"/>
  <c r="D55" i="2"/>
  <c r="E55" i="2"/>
  <c r="F55" i="2"/>
  <c r="G55" i="2"/>
  <c r="H55" i="2"/>
  <c r="I55" i="2"/>
  <c r="J55" i="2"/>
  <c r="K55" i="2"/>
  <c r="L55" i="2"/>
  <c r="M55" i="2"/>
  <c r="N55" i="2"/>
  <c r="O55" i="2"/>
  <c r="P55" i="2"/>
  <c r="Q55" i="2"/>
  <c r="R55" i="2"/>
  <c r="S55" i="2"/>
  <c r="T55" i="2"/>
  <c r="U55" i="2"/>
  <c r="V55" i="2"/>
  <c r="W55" i="2"/>
  <c r="X55" i="2"/>
  <c r="Y55" i="2"/>
  <c r="Z55" i="2"/>
  <c r="AA55" i="2"/>
  <c r="B58" i="2"/>
  <c r="C58" i="2"/>
  <c r="D58" i="2"/>
  <c r="E58" i="2"/>
  <c r="F58" i="2"/>
  <c r="G58" i="2"/>
  <c r="H58" i="2"/>
  <c r="I58" i="2"/>
  <c r="J58" i="2"/>
  <c r="K58" i="2"/>
  <c r="L58" i="2"/>
  <c r="M58" i="2"/>
  <c r="N58" i="2"/>
  <c r="O58" i="2"/>
  <c r="P58" i="2"/>
  <c r="Q58" i="2"/>
  <c r="R58" i="2"/>
  <c r="S58" i="2"/>
  <c r="T58" i="2"/>
  <c r="U58" i="2"/>
  <c r="V58" i="2"/>
  <c r="W58" i="2"/>
  <c r="X58" i="2"/>
  <c r="Y58" i="2"/>
  <c r="Z58" i="2"/>
  <c r="AA58" i="2"/>
  <c r="B59" i="2"/>
  <c r="C59" i="2"/>
  <c r="D59" i="2"/>
  <c r="E59" i="2"/>
  <c r="F59" i="2"/>
  <c r="G59" i="2"/>
  <c r="H59" i="2"/>
  <c r="I59" i="2"/>
  <c r="J59" i="2"/>
  <c r="K59" i="2"/>
  <c r="L59" i="2"/>
  <c r="M59" i="2"/>
  <c r="N59" i="2"/>
  <c r="O59" i="2"/>
  <c r="P59" i="2"/>
  <c r="Q59" i="2"/>
  <c r="R59" i="2"/>
  <c r="S59" i="2"/>
  <c r="T59" i="2"/>
  <c r="U59" i="2"/>
  <c r="V59" i="2"/>
  <c r="W59" i="2"/>
  <c r="X59" i="2"/>
  <c r="Y59" i="2"/>
  <c r="Z59" i="2"/>
  <c r="AA59" i="2"/>
  <c r="B60" i="2"/>
  <c r="C60" i="2"/>
  <c r="D60" i="2"/>
  <c r="E60" i="2"/>
  <c r="F60" i="2"/>
  <c r="G60" i="2"/>
  <c r="H60" i="2"/>
  <c r="I60" i="2"/>
  <c r="J60" i="2"/>
  <c r="K60" i="2"/>
  <c r="L60" i="2"/>
  <c r="M60" i="2"/>
  <c r="N60" i="2"/>
  <c r="O60" i="2"/>
  <c r="P60" i="2"/>
  <c r="Q60" i="2"/>
  <c r="R60" i="2"/>
  <c r="S60" i="2"/>
  <c r="T60" i="2"/>
  <c r="U60" i="2"/>
  <c r="V60" i="2"/>
  <c r="W60" i="2"/>
  <c r="X60" i="2"/>
  <c r="Y60" i="2"/>
  <c r="Z60" i="2"/>
  <c r="AA60" i="2"/>
  <c r="B61" i="2"/>
  <c r="C61" i="2"/>
  <c r="D61" i="2"/>
  <c r="E61" i="2"/>
  <c r="F61" i="2"/>
  <c r="G61" i="2"/>
  <c r="H61" i="2"/>
  <c r="I61" i="2"/>
  <c r="J61" i="2"/>
  <c r="K61" i="2"/>
  <c r="L61" i="2"/>
  <c r="M61" i="2"/>
  <c r="N61" i="2"/>
  <c r="O61" i="2"/>
  <c r="P61" i="2"/>
  <c r="Q61" i="2"/>
  <c r="R61" i="2"/>
  <c r="S61" i="2"/>
  <c r="T61" i="2"/>
  <c r="U61" i="2"/>
  <c r="V61" i="2"/>
  <c r="W61" i="2"/>
  <c r="X61" i="2"/>
  <c r="Y61" i="2"/>
  <c r="Z61" i="2"/>
  <c r="AA61" i="2"/>
  <c r="C65" i="2"/>
  <c r="D65" i="2"/>
  <c r="E65" i="2"/>
  <c r="F65" i="2"/>
  <c r="G65" i="2"/>
  <c r="H65" i="2"/>
  <c r="I65" i="2"/>
  <c r="J65" i="2"/>
  <c r="K65" i="2"/>
  <c r="L65" i="2"/>
  <c r="M65" i="2"/>
  <c r="N65" i="2"/>
  <c r="O65" i="2"/>
  <c r="P65" i="2"/>
  <c r="Q65" i="2"/>
  <c r="R65" i="2"/>
  <c r="S65" i="2"/>
  <c r="T65" i="2"/>
  <c r="U65" i="2"/>
  <c r="V65" i="2"/>
  <c r="W65" i="2"/>
  <c r="C66" i="2"/>
  <c r="D66" i="2"/>
  <c r="E66" i="2"/>
  <c r="F66" i="2"/>
  <c r="G66" i="2"/>
  <c r="H66" i="2"/>
  <c r="I66" i="2"/>
  <c r="J66" i="2"/>
  <c r="K66" i="2"/>
  <c r="L66" i="2"/>
  <c r="M66" i="2"/>
  <c r="N66" i="2"/>
  <c r="O66" i="2"/>
  <c r="P66" i="2"/>
  <c r="Q66" i="2"/>
  <c r="R66" i="2"/>
  <c r="S66" i="2"/>
  <c r="T66" i="2"/>
  <c r="U66" i="2"/>
  <c r="V66" i="2"/>
  <c r="W66" i="2"/>
  <c r="C67" i="2"/>
  <c r="D67" i="2"/>
  <c r="E67" i="2"/>
  <c r="F67" i="2"/>
  <c r="G67" i="2"/>
  <c r="H67" i="2"/>
  <c r="I67" i="2"/>
  <c r="J67" i="2"/>
  <c r="K67" i="2"/>
  <c r="L67" i="2"/>
  <c r="M67" i="2"/>
  <c r="N67" i="2"/>
  <c r="O67" i="2"/>
  <c r="P67" i="2"/>
  <c r="Q67" i="2"/>
  <c r="R67" i="2"/>
  <c r="S67" i="2"/>
  <c r="T67" i="2"/>
  <c r="U67" i="2"/>
  <c r="V67" i="2"/>
  <c r="C68" i="2"/>
  <c r="D68" i="2"/>
  <c r="E68" i="2"/>
  <c r="F68" i="2"/>
  <c r="G68" i="2"/>
  <c r="H68" i="2"/>
  <c r="I68" i="2"/>
  <c r="J68" i="2"/>
  <c r="K68" i="2"/>
  <c r="L68" i="2"/>
  <c r="M68" i="2"/>
  <c r="N68" i="2"/>
  <c r="O68" i="2"/>
  <c r="P68" i="2"/>
  <c r="Q68" i="2"/>
  <c r="R68" i="2"/>
  <c r="S68" i="2"/>
  <c r="T68" i="2"/>
  <c r="U68" i="2"/>
  <c r="V68" i="2"/>
  <c r="C74" i="2"/>
  <c r="D74" i="2"/>
  <c r="E74" i="2"/>
  <c r="F74" i="2"/>
  <c r="G74" i="2"/>
  <c r="H74" i="2"/>
  <c r="I74" i="2"/>
  <c r="J74" i="2"/>
  <c r="K74" i="2"/>
  <c r="L74" i="2"/>
  <c r="M74" i="2"/>
  <c r="N74" i="2"/>
  <c r="O74" i="2"/>
  <c r="P74" i="2"/>
  <c r="Q74" i="2"/>
  <c r="R74" i="2"/>
  <c r="S74" i="2"/>
  <c r="T74" i="2"/>
  <c r="U74" i="2"/>
  <c r="V74" i="2"/>
  <c r="C75" i="2"/>
  <c r="D75" i="2"/>
  <c r="E75" i="2"/>
  <c r="F75" i="2"/>
  <c r="G75" i="2"/>
  <c r="H75" i="2"/>
  <c r="I75" i="2"/>
  <c r="J75" i="2"/>
  <c r="K75" i="2"/>
  <c r="L75" i="2"/>
  <c r="M75" i="2"/>
  <c r="N75" i="2"/>
  <c r="O75" i="2"/>
  <c r="P75" i="2"/>
  <c r="Q75" i="2"/>
  <c r="R75" i="2"/>
  <c r="S75" i="2"/>
  <c r="T75" i="2"/>
  <c r="U75" i="2"/>
  <c r="V75" i="2"/>
  <c r="C77" i="2"/>
  <c r="D77" i="2"/>
  <c r="E77" i="2"/>
  <c r="F77" i="2"/>
  <c r="G77" i="2"/>
  <c r="H77" i="2"/>
  <c r="I77" i="2"/>
  <c r="J77" i="2"/>
  <c r="K77" i="2"/>
  <c r="L77" i="2"/>
  <c r="M77" i="2"/>
  <c r="N77" i="2"/>
  <c r="O77" i="2"/>
  <c r="P77" i="2"/>
  <c r="Q77" i="2"/>
  <c r="R77" i="2"/>
  <c r="S77" i="2"/>
  <c r="T77" i="2"/>
  <c r="U77" i="2"/>
  <c r="V77" i="2"/>
  <c r="C83" i="2"/>
  <c r="D83" i="2"/>
  <c r="E83" i="2"/>
  <c r="F83" i="2"/>
  <c r="G83" i="2"/>
  <c r="H83" i="2"/>
  <c r="I83" i="2"/>
  <c r="J83" i="2"/>
  <c r="K83" i="2"/>
  <c r="L83" i="2"/>
  <c r="M83" i="2"/>
  <c r="N83" i="2"/>
  <c r="O83" i="2"/>
  <c r="P83" i="2"/>
  <c r="Q83" i="2"/>
  <c r="R83" i="2"/>
  <c r="S83" i="2"/>
  <c r="T83" i="2"/>
  <c r="U83" i="2"/>
  <c r="V83" i="2"/>
  <c r="C86" i="2"/>
  <c r="D86" i="2"/>
  <c r="E86" i="2"/>
  <c r="F86" i="2"/>
  <c r="G86" i="2"/>
  <c r="H86" i="2"/>
  <c r="I86" i="2"/>
  <c r="J86" i="2"/>
  <c r="K86" i="2"/>
  <c r="L86" i="2"/>
  <c r="M86" i="2"/>
  <c r="N86" i="2"/>
  <c r="O86" i="2"/>
  <c r="P86" i="2"/>
  <c r="Q86" i="2"/>
  <c r="R86" i="2"/>
  <c r="S86" i="2"/>
  <c r="T86" i="2"/>
  <c r="U86" i="2"/>
  <c r="V86" i="2"/>
  <c r="A4" i="1"/>
  <c r="B8" i="1"/>
  <c r="C8" i="1"/>
  <c r="M8" i="1"/>
  <c r="N8" i="1"/>
  <c r="P8" i="1"/>
  <c r="U8" i="1"/>
  <c r="B9" i="1"/>
  <c r="C9" i="1"/>
  <c r="L9" i="1"/>
  <c r="M9" i="1"/>
  <c r="P9" i="1"/>
  <c r="M10" i="1"/>
  <c r="N10" i="1"/>
  <c r="P10" i="1"/>
  <c r="C11" i="1"/>
  <c r="I11" i="1"/>
  <c r="L11" i="1"/>
  <c r="N11" i="1"/>
  <c r="P11" i="1"/>
  <c r="I13" i="1"/>
  <c r="U14" i="1"/>
  <c r="M15" i="1"/>
  <c r="N15" i="1"/>
  <c r="O15" i="1"/>
  <c r="I16" i="1"/>
  <c r="M16" i="1"/>
  <c r="N16" i="1"/>
  <c r="O16" i="1"/>
  <c r="M17" i="1"/>
  <c r="N17" i="1"/>
  <c r="O17" i="1"/>
  <c r="U17" i="1"/>
  <c r="G18" i="1"/>
  <c r="I18" i="1"/>
  <c r="F21" i="1"/>
  <c r="P21" i="1"/>
  <c r="F22" i="1"/>
  <c r="P22" i="1"/>
  <c r="N23" i="1"/>
  <c r="P23" i="1"/>
  <c r="N24" i="1"/>
  <c r="P24" i="1"/>
  <c r="S24" i="1"/>
  <c r="P25" i="1"/>
  <c r="S25" i="1"/>
  <c r="N26" i="1"/>
  <c r="P26" i="1"/>
  <c r="S26" i="1"/>
  <c r="I27" i="1"/>
  <c r="S27" i="1"/>
  <c r="I28" i="1"/>
  <c r="S28" i="1"/>
  <c r="C30" i="1"/>
  <c r="N34" i="1"/>
  <c r="P34" i="1"/>
  <c r="P35" i="1"/>
  <c r="F37" i="1"/>
  <c r="G37" i="1"/>
  <c r="H37" i="1"/>
  <c r="I37" i="1"/>
  <c r="P37" i="1"/>
  <c r="F38" i="1"/>
  <c r="G38" i="1"/>
  <c r="H38" i="1"/>
  <c r="I38" i="1"/>
  <c r="P38" i="1"/>
  <c r="F39" i="1"/>
  <c r="G39" i="1"/>
  <c r="H39" i="1"/>
  <c r="I39" i="1"/>
  <c r="P39" i="1"/>
  <c r="F40" i="1"/>
  <c r="G40" i="1"/>
  <c r="H40" i="1"/>
  <c r="I40" i="1"/>
  <c r="N40" i="1"/>
  <c r="P40" i="1"/>
  <c r="I41" i="1"/>
  <c r="C43" i="1"/>
  <c r="F43" i="1"/>
  <c r="G43" i="1"/>
  <c r="H43" i="1"/>
  <c r="I43" i="1"/>
  <c r="I47" i="1"/>
  <c r="L47" i="1"/>
  <c r="N47" i="1"/>
  <c r="P47" i="1"/>
  <c r="C49" i="1"/>
  <c r="L49" i="1"/>
  <c r="N49" i="1"/>
  <c r="P49" i="1"/>
  <c r="C50" i="1"/>
  <c r="L50" i="1"/>
  <c r="N50" i="1"/>
  <c r="P50" i="1"/>
  <c r="H51" i="1"/>
  <c r="L51" i="1"/>
  <c r="N51" i="1"/>
  <c r="P51" i="1"/>
  <c r="C53" i="1"/>
  <c r="L53" i="1"/>
  <c r="N53" i="1"/>
  <c r="P53" i="1"/>
  <c r="C54" i="1"/>
  <c r="L54" i="1"/>
  <c r="N54" i="1"/>
  <c r="P54" i="1"/>
  <c r="L55" i="1"/>
  <c r="N55" i="1"/>
  <c r="P55" i="1"/>
  <c r="L56" i="1"/>
  <c r="N56" i="1"/>
  <c r="L57" i="1"/>
  <c r="N57" i="1"/>
  <c r="P57" i="1"/>
  <c r="C58" i="1"/>
  <c r="L58" i="1"/>
  <c r="G59" i="1"/>
  <c r="I59" i="1"/>
  <c r="C60" i="1"/>
  <c r="G60" i="1"/>
  <c r="I60" i="1"/>
  <c r="G61" i="1"/>
  <c r="I61" i="1"/>
  <c r="N61" i="1"/>
  <c r="G65" i="1"/>
  <c r="I65" i="1"/>
  <c r="G66" i="1"/>
  <c r="I66" i="1"/>
  <c r="N66" i="1"/>
  <c r="G67" i="1"/>
  <c r="I67" i="1"/>
  <c r="P68" i="1"/>
  <c r="P69" i="1"/>
  <c r="F86" i="1"/>
  <c r="F87" i="1"/>
  <c r="F88" i="1"/>
  <c r="E92" i="1"/>
  <c r="F92" i="1"/>
  <c r="G92" i="1"/>
  <c r="H92" i="1"/>
  <c r="A1" i="5"/>
  <c r="C3" i="5"/>
  <c r="D3" i="5"/>
  <c r="E3" i="5"/>
  <c r="F3" i="5"/>
  <c r="G3" i="5"/>
  <c r="H3" i="5"/>
  <c r="I3" i="5"/>
  <c r="J3" i="5"/>
  <c r="K3" i="5"/>
  <c r="L3" i="5"/>
  <c r="M3" i="5"/>
  <c r="N3" i="5"/>
  <c r="O3" i="5"/>
  <c r="P3" i="5"/>
  <c r="Q3" i="5"/>
  <c r="R3" i="5"/>
  <c r="S3" i="5"/>
  <c r="T3" i="5"/>
  <c r="U3" i="5"/>
  <c r="V3" i="5"/>
  <c r="W3" i="5"/>
  <c r="X3" i="5"/>
  <c r="Y3" i="5"/>
  <c r="Z3" i="5"/>
  <c r="AA3" i="5"/>
  <c r="C4" i="5"/>
  <c r="D4" i="5"/>
  <c r="E4" i="5"/>
  <c r="F4" i="5"/>
  <c r="G4" i="5"/>
  <c r="H4" i="5"/>
  <c r="I4" i="5"/>
  <c r="J4" i="5"/>
  <c r="K4" i="5"/>
  <c r="L4" i="5"/>
  <c r="M4" i="5"/>
  <c r="N4" i="5"/>
  <c r="O4" i="5"/>
  <c r="P4" i="5"/>
  <c r="Q4" i="5"/>
  <c r="R4" i="5"/>
  <c r="S4" i="5"/>
  <c r="T4" i="5"/>
  <c r="U4" i="5"/>
  <c r="V4" i="5"/>
  <c r="W4" i="5"/>
  <c r="X4" i="5"/>
  <c r="Y4" i="5"/>
  <c r="Z4" i="5"/>
  <c r="AA4" i="5"/>
  <c r="B6" i="5"/>
  <c r="C6" i="5"/>
  <c r="D6" i="5"/>
  <c r="E6" i="5"/>
  <c r="F6" i="5"/>
  <c r="G6" i="5"/>
  <c r="H6" i="5"/>
  <c r="I6" i="5"/>
  <c r="J6" i="5"/>
  <c r="K6" i="5"/>
  <c r="L6" i="5"/>
  <c r="M6" i="5"/>
  <c r="N6" i="5"/>
  <c r="O6" i="5"/>
  <c r="P6" i="5"/>
  <c r="Q6" i="5"/>
  <c r="R6" i="5"/>
  <c r="S6" i="5"/>
  <c r="T6" i="5"/>
  <c r="U6" i="5"/>
  <c r="V6" i="5"/>
  <c r="W6" i="5"/>
  <c r="X6" i="5"/>
  <c r="Y6" i="5"/>
  <c r="Z6" i="5"/>
  <c r="AA6" i="5"/>
  <c r="B7" i="5"/>
  <c r="C7" i="5"/>
  <c r="D7" i="5"/>
  <c r="E7" i="5"/>
  <c r="F7" i="5"/>
  <c r="G7" i="5"/>
  <c r="H7" i="5"/>
  <c r="I7" i="5"/>
  <c r="J7" i="5"/>
  <c r="K7" i="5"/>
  <c r="L7" i="5"/>
  <c r="M7" i="5"/>
  <c r="N7" i="5"/>
  <c r="O7" i="5"/>
  <c r="P7" i="5"/>
  <c r="Q7" i="5"/>
  <c r="R7" i="5"/>
  <c r="S7" i="5"/>
  <c r="T7" i="5"/>
  <c r="U7" i="5"/>
  <c r="V7" i="5"/>
  <c r="W7" i="5"/>
  <c r="X7" i="5"/>
  <c r="Y7" i="5"/>
  <c r="Z7" i="5"/>
  <c r="AA7" i="5"/>
  <c r="C8" i="5"/>
  <c r="D8" i="5"/>
  <c r="E8" i="5"/>
  <c r="F8" i="5"/>
  <c r="G8" i="5"/>
  <c r="H8" i="5"/>
  <c r="I8" i="5"/>
  <c r="J8" i="5"/>
  <c r="K8" i="5"/>
  <c r="L8" i="5"/>
  <c r="M8" i="5"/>
  <c r="N8" i="5"/>
  <c r="O8" i="5"/>
  <c r="P8" i="5"/>
  <c r="Q8" i="5"/>
  <c r="R8" i="5"/>
  <c r="S8" i="5"/>
  <c r="T8" i="5"/>
  <c r="U8" i="5"/>
  <c r="V8" i="5"/>
  <c r="W8" i="5"/>
  <c r="X8" i="5"/>
  <c r="Y8" i="5"/>
  <c r="Z8" i="5"/>
  <c r="AA8" i="5"/>
  <c r="C9" i="5"/>
  <c r="D9" i="5"/>
  <c r="E9" i="5"/>
  <c r="F9" i="5"/>
  <c r="G9" i="5"/>
  <c r="H9" i="5"/>
  <c r="I9" i="5"/>
  <c r="J9" i="5"/>
  <c r="K9" i="5"/>
  <c r="L9" i="5"/>
  <c r="M9" i="5"/>
  <c r="N9" i="5"/>
  <c r="O9" i="5"/>
  <c r="P9" i="5"/>
  <c r="Q9" i="5"/>
  <c r="R9" i="5"/>
  <c r="S9" i="5"/>
  <c r="T9" i="5"/>
  <c r="U9" i="5"/>
  <c r="V9" i="5"/>
  <c r="W9" i="5"/>
  <c r="X9" i="5"/>
  <c r="Y9" i="5"/>
  <c r="Z9" i="5"/>
  <c r="AA9" i="5"/>
  <c r="B11" i="5"/>
  <c r="C11" i="5"/>
  <c r="D11" i="5"/>
  <c r="E11" i="5"/>
  <c r="F11" i="5"/>
  <c r="G11" i="5"/>
  <c r="H11" i="5"/>
  <c r="I11" i="5"/>
  <c r="J11" i="5"/>
  <c r="K11" i="5"/>
  <c r="L11" i="5"/>
  <c r="M11" i="5"/>
  <c r="N11" i="5"/>
  <c r="O11" i="5"/>
  <c r="P11" i="5"/>
  <c r="Q11" i="5"/>
  <c r="R11" i="5"/>
  <c r="S11" i="5"/>
  <c r="T11" i="5"/>
  <c r="U11" i="5"/>
  <c r="V11" i="5"/>
  <c r="W11" i="5"/>
  <c r="X11" i="5"/>
  <c r="Y11" i="5"/>
  <c r="Z11" i="5"/>
  <c r="AA11" i="5"/>
  <c r="C12" i="5"/>
  <c r="D12" i="5"/>
  <c r="E12" i="5"/>
  <c r="F12" i="5"/>
  <c r="G12" i="5"/>
  <c r="H12" i="5"/>
  <c r="I12" i="5"/>
  <c r="J12" i="5"/>
  <c r="K12" i="5"/>
  <c r="L12" i="5"/>
  <c r="M12" i="5"/>
  <c r="N12" i="5"/>
  <c r="O12" i="5"/>
  <c r="P12" i="5"/>
  <c r="Q12" i="5"/>
  <c r="R12" i="5"/>
  <c r="S12" i="5"/>
  <c r="T12" i="5"/>
  <c r="U12" i="5"/>
  <c r="V12" i="5"/>
  <c r="W12" i="5"/>
  <c r="X12" i="5"/>
  <c r="Y12" i="5"/>
  <c r="Z12" i="5"/>
  <c r="AA12" i="5"/>
  <c r="C13" i="5"/>
  <c r="D13" i="5"/>
  <c r="E13" i="5"/>
  <c r="F13" i="5"/>
  <c r="G13" i="5"/>
  <c r="H13" i="5"/>
  <c r="I13" i="5"/>
  <c r="J13" i="5"/>
  <c r="K13" i="5"/>
  <c r="L13" i="5"/>
  <c r="M13" i="5"/>
  <c r="N13" i="5"/>
  <c r="O13" i="5"/>
  <c r="P13" i="5"/>
  <c r="Q13" i="5"/>
  <c r="R13" i="5"/>
  <c r="S13" i="5"/>
  <c r="T13" i="5"/>
  <c r="U13" i="5"/>
  <c r="V13" i="5"/>
  <c r="W13" i="5"/>
  <c r="X13" i="5"/>
  <c r="Y13" i="5"/>
  <c r="Z13" i="5"/>
  <c r="AA13" i="5"/>
  <c r="B15" i="5"/>
  <c r="C15" i="5"/>
  <c r="D15" i="5"/>
  <c r="E15" i="5"/>
  <c r="F15" i="5"/>
  <c r="G15" i="5"/>
  <c r="H15" i="5"/>
  <c r="I15" i="5"/>
  <c r="J15" i="5"/>
  <c r="K15" i="5"/>
  <c r="L15" i="5"/>
  <c r="M15" i="5"/>
  <c r="N15" i="5"/>
  <c r="O15" i="5"/>
  <c r="P15" i="5"/>
  <c r="Q15" i="5"/>
  <c r="R15" i="5"/>
  <c r="S15" i="5"/>
  <c r="T15" i="5"/>
  <c r="U15" i="5"/>
  <c r="V15" i="5"/>
  <c r="W15" i="5"/>
  <c r="X15" i="5"/>
  <c r="Y15" i="5"/>
  <c r="Z15" i="5"/>
  <c r="AA15" i="5"/>
  <c r="C16" i="5"/>
  <c r="D16" i="5"/>
  <c r="E16" i="5"/>
  <c r="F16" i="5"/>
  <c r="G16" i="5"/>
  <c r="H16" i="5"/>
  <c r="I16" i="5"/>
  <c r="J16" i="5"/>
  <c r="K16" i="5"/>
  <c r="L16" i="5"/>
  <c r="M16" i="5"/>
  <c r="N16" i="5"/>
  <c r="O16" i="5"/>
  <c r="P16" i="5"/>
  <c r="Q16" i="5"/>
  <c r="R16" i="5"/>
  <c r="S16" i="5"/>
  <c r="T16" i="5"/>
  <c r="U16" i="5"/>
  <c r="V16" i="5"/>
  <c r="W16" i="5"/>
  <c r="X16" i="5"/>
  <c r="Y16" i="5"/>
  <c r="Z16" i="5"/>
  <c r="AA16" i="5"/>
  <c r="C17" i="5"/>
  <c r="D17" i="5"/>
  <c r="E17" i="5"/>
  <c r="F17" i="5"/>
  <c r="G17" i="5"/>
  <c r="H17" i="5"/>
  <c r="I17" i="5"/>
  <c r="J17" i="5"/>
  <c r="K17" i="5"/>
  <c r="L17" i="5"/>
  <c r="M17" i="5"/>
  <c r="N17" i="5"/>
  <c r="O17" i="5"/>
  <c r="P17" i="5"/>
  <c r="Q17" i="5"/>
  <c r="R17" i="5"/>
  <c r="S17" i="5"/>
  <c r="T17" i="5"/>
  <c r="U17" i="5"/>
  <c r="V17" i="5"/>
  <c r="W17" i="5"/>
  <c r="X17" i="5"/>
  <c r="Y17" i="5"/>
  <c r="Z17" i="5"/>
  <c r="AA17" i="5"/>
  <c r="B19" i="5"/>
  <c r="E19" i="5"/>
  <c r="C23" i="5"/>
  <c r="D23" i="5"/>
  <c r="E23" i="5"/>
  <c r="F23" i="5"/>
  <c r="G23" i="5"/>
  <c r="H23" i="5"/>
  <c r="I23" i="5"/>
  <c r="J23" i="5"/>
  <c r="K23" i="5"/>
  <c r="L23" i="5"/>
  <c r="M23" i="5"/>
  <c r="N23" i="5"/>
  <c r="O23" i="5"/>
  <c r="P23" i="5"/>
  <c r="Q23" i="5"/>
  <c r="R23" i="5"/>
  <c r="S23" i="5"/>
  <c r="T23" i="5"/>
  <c r="U23" i="5"/>
  <c r="V23" i="5"/>
  <c r="W23" i="5"/>
  <c r="X23" i="5"/>
  <c r="Y23" i="5"/>
  <c r="Z23" i="5"/>
  <c r="AA23" i="5"/>
  <c r="C24" i="5"/>
  <c r="D24" i="5"/>
  <c r="E24" i="5"/>
  <c r="F24" i="5"/>
  <c r="G24" i="5"/>
  <c r="H24" i="5"/>
  <c r="I24" i="5"/>
  <c r="J24" i="5"/>
  <c r="K24" i="5"/>
  <c r="L24" i="5"/>
  <c r="M24" i="5"/>
  <c r="N24" i="5"/>
  <c r="O24" i="5"/>
  <c r="P24" i="5"/>
  <c r="Q24" i="5"/>
  <c r="R24" i="5"/>
  <c r="S24" i="5"/>
  <c r="T24" i="5"/>
  <c r="U24" i="5"/>
  <c r="V24" i="5"/>
  <c r="W24" i="5"/>
  <c r="X24" i="5"/>
  <c r="Y24" i="5"/>
  <c r="Z24" i="5"/>
  <c r="AA24" i="5"/>
  <c r="B25" i="5"/>
  <c r="C25" i="5"/>
  <c r="D25" i="5"/>
  <c r="E25" i="5"/>
  <c r="F25" i="5"/>
  <c r="G25" i="5"/>
  <c r="H25" i="5"/>
  <c r="I25" i="5"/>
  <c r="J25" i="5"/>
  <c r="K25" i="5"/>
  <c r="L25" i="5"/>
  <c r="M25" i="5"/>
  <c r="N25" i="5"/>
  <c r="O25" i="5"/>
  <c r="P25" i="5"/>
  <c r="Q25" i="5"/>
  <c r="R25" i="5"/>
  <c r="S25" i="5"/>
  <c r="T25" i="5"/>
  <c r="U25" i="5"/>
  <c r="V25" i="5"/>
  <c r="W25" i="5"/>
  <c r="X25" i="5"/>
  <c r="Y25" i="5"/>
  <c r="Z25" i="5"/>
  <c r="AA25" i="5"/>
  <c r="B26" i="5"/>
  <c r="C26" i="5"/>
  <c r="D26" i="5"/>
  <c r="E26" i="5"/>
  <c r="F26" i="5"/>
  <c r="G26" i="5"/>
  <c r="H26" i="5"/>
  <c r="I26" i="5"/>
  <c r="J26" i="5"/>
  <c r="K26" i="5"/>
  <c r="L26" i="5"/>
  <c r="M26" i="5"/>
  <c r="N26" i="5"/>
  <c r="O26" i="5"/>
  <c r="P26" i="5"/>
  <c r="Q26" i="5"/>
  <c r="R26" i="5"/>
  <c r="S26" i="5"/>
  <c r="T26" i="5"/>
  <c r="U26" i="5"/>
  <c r="V26" i="5"/>
  <c r="W26" i="5"/>
  <c r="X26" i="5"/>
  <c r="Y26" i="5"/>
  <c r="Z26" i="5"/>
  <c r="AA26" i="5"/>
  <c r="A27" i="5"/>
  <c r="C27" i="5"/>
  <c r="D27" i="5"/>
  <c r="E27" i="5"/>
  <c r="F27" i="5"/>
  <c r="G27" i="5"/>
  <c r="H27" i="5"/>
  <c r="I27" i="5"/>
  <c r="J27" i="5"/>
  <c r="K27" i="5"/>
  <c r="L27" i="5"/>
  <c r="M27" i="5"/>
  <c r="N27" i="5"/>
  <c r="O27" i="5"/>
  <c r="P27" i="5"/>
  <c r="Q27" i="5"/>
  <c r="R27" i="5"/>
  <c r="S27" i="5"/>
  <c r="T27" i="5"/>
  <c r="U27" i="5"/>
  <c r="V27" i="5"/>
  <c r="W27" i="5"/>
  <c r="X27" i="5"/>
  <c r="Y27" i="5"/>
  <c r="Z27" i="5"/>
  <c r="AA27" i="5"/>
  <c r="B29" i="5"/>
  <c r="C30" i="5"/>
  <c r="D30" i="5"/>
  <c r="E30" i="5"/>
  <c r="F30" i="5"/>
  <c r="G30" i="5"/>
  <c r="H30" i="5"/>
  <c r="I30" i="5"/>
  <c r="J30" i="5"/>
  <c r="K30" i="5"/>
  <c r="L30" i="5"/>
  <c r="M30" i="5"/>
  <c r="N30" i="5"/>
  <c r="O30" i="5"/>
  <c r="P30" i="5"/>
  <c r="Q30" i="5"/>
  <c r="R30" i="5"/>
  <c r="S30" i="5"/>
  <c r="T30" i="5"/>
  <c r="U30" i="5"/>
  <c r="V30" i="5"/>
  <c r="W30" i="5"/>
  <c r="X30" i="5"/>
  <c r="Y30" i="5"/>
  <c r="Z30" i="5"/>
  <c r="AA30" i="5"/>
  <c r="C31" i="5"/>
  <c r="D31" i="5"/>
  <c r="E31" i="5"/>
  <c r="F31" i="5"/>
  <c r="G31" i="5"/>
  <c r="H31" i="5"/>
  <c r="I31" i="5"/>
  <c r="J31" i="5"/>
  <c r="K31" i="5"/>
  <c r="L31" i="5"/>
  <c r="M31" i="5"/>
  <c r="N31" i="5"/>
  <c r="O31" i="5"/>
  <c r="P31" i="5"/>
  <c r="Q31" i="5"/>
  <c r="R31" i="5"/>
  <c r="S31" i="5"/>
  <c r="T31" i="5"/>
  <c r="U31" i="5"/>
  <c r="V31" i="5"/>
  <c r="W31" i="5"/>
  <c r="X31" i="5"/>
  <c r="Y31" i="5"/>
  <c r="Z31" i="5"/>
  <c r="AA31" i="5"/>
  <c r="C32" i="5"/>
  <c r="D32" i="5"/>
  <c r="E32" i="5"/>
  <c r="F32" i="5"/>
  <c r="G32" i="5"/>
  <c r="H32" i="5"/>
  <c r="I32" i="5"/>
  <c r="J32" i="5"/>
  <c r="K32" i="5"/>
  <c r="L32" i="5"/>
  <c r="M32" i="5"/>
  <c r="N32" i="5"/>
  <c r="O32" i="5"/>
  <c r="P32" i="5"/>
  <c r="Q32" i="5"/>
  <c r="R32" i="5"/>
  <c r="S32" i="5"/>
  <c r="T32" i="5"/>
  <c r="U32" i="5"/>
  <c r="V32" i="5"/>
  <c r="W32" i="5"/>
  <c r="X32" i="5"/>
  <c r="Y32" i="5"/>
  <c r="Z32" i="5"/>
  <c r="AA32" i="5"/>
  <c r="B34" i="5"/>
  <c r="C35" i="5"/>
  <c r="D35" i="5"/>
  <c r="E35" i="5"/>
  <c r="F35" i="5"/>
  <c r="G35" i="5"/>
  <c r="H35" i="5"/>
  <c r="I35" i="5"/>
  <c r="J35" i="5"/>
  <c r="K35" i="5"/>
  <c r="L35" i="5"/>
  <c r="M35" i="5"/>
  <c r="N35" i="5"/>
  <c r="O35" i="5"/>
  <c r="P35" i="5"/>
  <c r="Q35" i="5"/>
  <c r="R35" i="5"/>
  <c r="S35" i="5"/>
  <c r="T35" i="5"/>
  <c r="U35" i="5"/>
  <c r="V35" i="5"/>
  <c r="W35" i="5"/>
  <c r="X35" i="5"/>
  <c r="Y35" i="5"/>
  <c r="Z35" i="5"/>
  <c r="AA35" i="5"/>
  <c r="C36" i="5"/>
  <c r="D36" i="5"/>
  <c r="E36" i="5"/>
  <c r="F36" i="5"/>
  <c r="G36" i="5"/>
  <c r="H36" i="5"/>
  <c r="I36" i="5"/>
  <c r="J36" i="5"/>
  <c r="K36" i="5"/>
  <c r="L36" i="5"/>
  <c r="M36" i="5"/>
  <c r="N36" i="5"/>
  <c r="O36" i="5"/>
  <c r="P36" i="5"/>
  <c r="Q36" i="5"/>
  <c r="R36" i="5"/>
  <c r="S36" i="5"/>
  <c r="T36" i="5"/>
  <c r="U36" i="5"/>
  <c r="V36" i="5"/>
  <c r="W36" i="5"/>
  <c r="X36" i="5"/>
  <c r="Y36" i="5"/>
  <c r="Z36" i="5"/>
  <c r="AA36" i="5"/>
  <c r="C37" i="5"/>
  <c r="D37" i="5"/>
  <c r="E37" i="5"/>
  <c r="F37" i="5"/>
  <c r="G37" i="5"/>
  <c r="H37" i="5"/>
  <c r="I37" i="5"/>
  <c r="J37" i="5"/>
  <c r="K37" i="5"/>
  <c r="L37" i="5"/>
  <c r="M37" i="5"/>
  <c r="N37" i="5"/>
  <c r="O37" i="5"/>
  <c r="P37" i="5"/>
  <c r="Q37" i="5"/>
  <c r="R37" i="5"/>
  <c r="S37" i="5"/>
  <c r="T37" i="5"/>
  <c r="U37" i="5"/>
  <c r="V37" i="5"/>
  <c r="W37" i="5"/>
  <c r="X37" i="5"/>
  <c r="Y37" i="5"/>
  <c r="Z37" i="5"/>
  <c r="AA37" i="5"/>
  <c r="B39" i="5"/>
  <c r="C40" i="5"/>
  <c r="D40" i="5"/>
  <c r="E40" i="5"/>
  <c r="F40" i="5"/>
  <c r="G40" i="5"/>
  <c r="H40" i="5"/>
  <c r="I40" i="5"/>
  <c r="J40" i="5"/>
  <c r="K40" i="5"/>
  <c r="L40" i="5"/>
  <c r="M40" i="5"/>
  <c r="N40" i="5"/>
  <c r="O40" i="5"/>
  <c r="P40" i="5"/>
  <c r="Q40" i="5"/>
  <c r="R40" i="5"/>
  <c r="S40" i="5"/>
  <c r="T40" i="5"/>
  <c r="U40" i="5"/>
  <c r="V40" i="5"/>
  <c r="W40" i="5"/>
  <c r="X40" i="5"/>
  <c r="Y40" i="5"/>
  <c r="Z40" i="5"/>
  <c r="AA40" i="5"/>
  <c r="C41" i="5"/>
  <c r="D41" i="5"/>
  <c r="E41" i="5"/>
  <c r="F41" i="5"/>
  <c r="G41" i="5"/>
  <c r="H41" i="5"/>
  <c r="I41" i="5"/>
  <c r="J41" i="5"/>
  <c r="K41" i="5"/>
  <c r="L41" i="5"/>
  <c r="M41" i="5"/>
  <c r="N41" i="5"/>
  <c r="O41" i="5"/>
  <c r="P41" i="5"/>
  <c r="Q41" i="5"/>
  <c r="R41" i="5"/>
  <c r="S41" i="5"/>
  <c r="T41" i="5"/>
  <c r="U41" i="5"/>
  <c r="V41" i="5"/>
  <c r="W41" i="5"/>
  <c r="X41" i="5"/>
  <c r="Y41" i="5"/>
  <c r="Z41" i="5"/>
  <c r="AA41" i="5"/>
  <c r="C42" i="5"/>
  <c r="D42" i="5"/>
  <c r="E42" i="5"/>
  <c r="F42" i="5"/>
  <c r="G42" i="5"/>
  <c r="H42" i="5"/>
  <c r="I42" i="5"/>
  <c r="J42" i="5"/>
  <c r="K42" i="5"/>
  <c r="L42" i="5"/>
  <c r="M42" i="5"/>
  <c r="N42" i="5"/>
  <c r="O42" i="5"/>
  <c r="P42" i="5"/>
  <c r="Q42" i="5"/>
  <c r="R42" i="5"/>
  <c r="S42" i="5"/>
  <c r="T42" i="5"/>
  <c r="U42" i="5"/>
  <c r="V42" i="5"/>
  <c r="W42" i="5"/>
  <c r="X42" i="5"/>
  <c r="Y42" i="5"/>
  <c r="Z42" i="5"/>
  <c r="AA42" i="5"/>
  <c r="A1" i="8"/>
  <c r="E3" i="8"/>
  <c r="F3" i="8"/>
  <c r="G3" i="8"/>
  <c r="H3" i="8"/>
  <c r="I3" i="8"/>
  <c r="J3" i="8"/>
  <c r="K3" i="8"/>
  <c r="L3" i="8"/>
  <c r="M3" i="8"/>
  <c r="N3" i="8"/>
  <c r="O3" i="8"/>
  <c r="P3" i="8"/>
  <c r="Q3" i="8"/>
  <c r="R3" i="8"/>
  <c r="S3" i="8"/>
  <c r="T3" i="8"/>
  <c r="U3" i="8"/>
  <c r="V3" i="8"/>
  <c r="W3" i="8"/>
  <c r="X3" i="8"/>
  <c r="Y3" i="8"/>
  <c r="Z3" i="8"/>
  <c r="AA3" i="8"/>
  <c r="AB3" i="8"/>
  <c r="D4" i="8"/>
  <c r="E4" i="8"/>
  <c r="F4" i="8"/>
  <c r="G4" i="8"/>
  <c r="H4" i="8"/>
  <c r="I4" i="8"/>
  <c r="J4" i="8"/>
  <c r="K4" i="8"/>
  <c r="L4" i="8"/>
  <c r="M4" i="8"/>
  <c r="N4" i="8"/>
  <c r="O4" i="8"/>
  <c r="P4" i="8"/>
  <c r="Q4" i="8"/>
  <c r="R4" i="8"/>
  <c r="S4" i="8"/>
  <c r="T4" i="8"/>
  <c r="U4" i="8"/>
  <c r="V4" i="8"/>
  <c r="W4" i="8"/>
  <c r="X4" i="8"/>
  <c r="Y4" i="8"/>
  <c r="Z4" i="8"/>
  <c r="AA4" i="8"/>
  <c r="AB4" i="8"/>
  <c r="D8" i="8"/>
  <c r="E8" i="8"/>
  <c r="F8" i="8"/>
  <c r="G8" i="8"/>
  <c r="H8" i="8"/>
  <c r="I8" i="8"/>
  <c r="J8" i="8"/>
  <c r="K8" i="8"/>
  <c r="L8" i="8"/>
  <c r="M8" i="8"/>
  <c r="N8" i="8"/>
  <c r="O8" i="8"/>
  <c r="P8" i="8"/>
  <c r="Q8" i="8"/>
  <c r="R8" i="8"/>
  <c r="S8" i="8"/>
  <c r="T8" i="8"/>
  <c r="U8" i="8"/>
  <c r="V8" i="8"/>
  <c r="W8" i="8"/>
  <c r="X8" i="8"/>
  <c r="Y8" i="8"/>
  <c r="Z8" i="8"/>
  <c r="AA8" i="8"/>
  <c r="AB8" i="8"/>
  <c r="D9" i="8"/>
  <c r="E9" i="8"/>
  <c r="F9" i="8"/>
  <c r="G9" i="8"/>
  <c r="H9" i="8"/>
  <c r="I9" i="8"/>
  <c r="J9" i="8"/>
  <c r="K9" i="8"/>
  <c r="L9" i="8"/>
  <c r="M9" i="8"/>
  <c r="N9" i="8"/>
  <c r="O9" i="8"/>
  <c r="P9" i="8"/>
  <c r="Q9" i="8"/>
  <c r="R9" i="8"/>
  <c r="S9" i="8"/>
  <c r="T9" i="8"/>
  <c r="U9" i="8"/>
  <c r="V9" i="8"/>
  <c r="W9" i="8"/>
  <c r="X9" i="8"/>
  <c r="Y9" i="8"/>
  <c r="Z9" i="8"/>
  <c r="AA9" i="8"/>
  <c r="AB9" i="8"/>
  <c r="D10" i="8"/>
  <c r="E10" i="8"/>
  <c r="F10" i="8"/>
  <c r="G10" i="8"/>
  <c r="H10" i="8"/>
  <c r="I10" i="8"/>
  <c r="J10" i="8"/>
  <c r="K10" i="8"/>
  <c r="L10" i="8"/>
  <c r="M10" i="8"/>
  <c r="N10" i="8"/>
  <c r="O10" i="8"/>
  <c r="P10" i="8"/>
  <c r="Q10" i="8"/>
  <c r="R10" i="8"/>
  <c r="S10" i="8"/>
  <c r="T10" i="8"/>
  <c r="U10" i="8"/>
  <c r="V10" i="8"/>
  <c r="W10" i="8"/>
  <c r="X10" i="8"/>
  <c r="Y10" i="8"/>
  <c r="Z10" i="8"/>
  <c r="AA10" i="8"/>
  <c r="AB10" i="8"/>
  <c r="D13" i="8"/>
  <c r="E13" i="8"/>
  <c r="F13" i="8"/>
  <c r="G13" i="8"/>
  <c r="H13" i="8"/>
  <c r="I13" i="8"/>
  <c r="J13" i="8"/>
  <c r="K13" i="8"/>
  <c r="L13" i="8"/>
  <c r="M13" i="8"/>
  <c r="N13" i="8"/>
  <c r="O13" i="8"/>
  <c r="P13" i="8"/>
  <c r="Q13" i="8"/>
  <c r="R13" i="8"/>
  <c r="S13" i="8"/>
  <c r="T13" i="8"/>
  <c r="U13" i="8"/>
  <c r="V13" i="8"/>
  <c r="W13" i="8"/>
  <c r="X13" i="8"/>
  <c r="Y13" i="8"/>
  <c r="Z13" i="8"/>
  <c r="AA13" i="8"/>
  <c r="AB13" i="8"/>
  <c r="D14" i="8"/>
  <c r="E14" i="8"/>
  <c r="F14" i="8"/>
  <c r="G14" i="8"/>
  <c r="H14" i="8"/>
  <c r="I14" i="8"/>
  <c r="J14" i="8"/>
  <c r="K14" i="8"/>
  <c r="L14" i="8"/>
  <c r="M14" i="8"/>
  <c r="N14" i="8"/>
  <c r="O14" i="8"/>
  <c r="P14" i="8"/>
  <c r="Q14" i="8"/>
  <c r="R14" i="8"/>
  <c r="S14" i="8"/>
  <c r="T14" i="8"/>
  <c r="U14" i="8"/>
  <c r="V14" i="8"/>
  <c r="W14" i="8"/>
  <c r="X14" i="8"/>
  <c r="Y14" i="8"/>
  <c r="Z14" i="8"/>
  <c r="AA14" i="8"/>
  <c r="AB14" i="8"/>
  <c r="D15" i="8"/>
  <c r="E15" i="8"/>
  <c r="F15" i="8"/>
  <c r="G15" i="8"/>
  <c r="H15" i="8"/>
  <c r="I15" i="8"/>
  <c r="J15" i="8"/>
  <c r="K15" i="8"/>
  <c r="L15" i="8"/>
  <c r="M15" i="8"/>
  <c r="N15" i="8"/>
  <c r="O15" i="8"/>
  <c r="P15" i="8"/>
  <c r="Q15" i="8"/>
  <c r="R15" i="8"/>
  <c r="S15" i="8"/>
  <c r="T15" i="8"/>
  <c r="U15" i="8"/>
  <c r="V15" i="8"/>
  <c r="W15" i="8"/>
  <c r="X15" i="8"/>
  <c r="Y15" i="8"/>
  <c r="Z15" i="8"/>
  <c r="AA15" i="8"/>
  <c r="AB15" i="8"/>
  <c r="D17" i="8"/>
  <c r="E17" i="8"/>
  <c r="F17" i="8"/>
  <c r="G17" i="8"/>
  <c r="H17" i="8"/>
  <c r="I17" i="8"/>
  <c r="J17" i="8"/>
  <c r="K17" i="8"/>
  <c r="L17" i="8"/>
  <c r="M17" i="8"/>
  <c r="N17" i="8"/>
  <c r="O17" i="8"/>
  <c r="P17" i="8"/>
  <c r="Q17" i="8"/>
  <c r="R17" i="8"/>
  <c r="S17" i="8"/>
  <c r="T17" i="8"/>
  <c r="U17" i="8"/>
  <c r="V17" i="8"/>
  <c r="W17" i="8"/>
  <c r="X17" i="8"/>
  <c r="Y17" i="8"/>
  <c r="Z17" i="8"/>
  <c r="AA17" i="8"/>
  <c r="AB17" i="8"/>
  <c r="D20" i="8"/>
  <c r="E20" i="8"/>
  <c r="F20" i="8"/>
  <c r="G20" i="8"/>
  <c r="H20" i="8"/>
  <c r="I20" i="8"/>
  <c r="J20" i="8"/>
  <c r="K20" i="8"/>
  <c r="L20" i="8"/>
  <c r="M20" i="8"/>
  <c r="N20" i="8"/>
  <c r="O20" i="8"/>
  <c r="P20" i="8"/>
  <c r="Q20" i="8"/>
  <c r="R20" i="8"/>
  <c r="S20" i="8"/>
  <c r="T20" i="8"/>
  <c r="U20" i="8"/>
  <c r="V20" i="8"/>
  <c r="W20" i="8"/>
  <c r="X20" i="8"/>
  <c r="Y20" i="8"/>
  <c r="Z20" i="8"/>
  <c r="AA20" i="8"/>
  <c r="AB20" i="8"/>
  <c r="D23" i="8"/>
  <c r="E23" i="8"/>
  <c r="F23" i="8"/>
  <c r="G23" i="8"/>
  <c r="H23" i="8"/>
  <c r="I23" i="8"/>
  <c r="J23" i="8"/>
  <c r="K23" i="8"/>
  <c r="L23" i="8"/>
  <c r="M23" i="8"/>
  <c r="N23" i="8"/>
  <c r="O23" i="8"/>
  <c r="P23" i="8"/>
  <c r="Q23" i="8"/>
  <c r="R23" i="8"/>
  <c r="S23" i="8"/>
  <c r="T23" i="8"/>
  <c r="U23" i="8"/>
  <c r="V23" i="8"/>
  <c r="W23" i="8"/>
  <c r="X23" i="8"/>
  <c r="Y23" i="8"/>
  <c r="Z23" i="8"/>
  <c r="AA23" i="8"/>
  <c r="AB23" i="8"/>
  <c r="D24" i="8"/>
  <c r="E24" i="8"/>
  <c r="F24" i="8"/>
  <c r="G24" i="8"/>
  <c r="H24" i="8"/>
  <c r="I24" i="8"/>
  <c r="J24" i="8"/>
  <c r="K24" i="8"/>
  <c r="L24" i="8"/>
  <c r="M24" i="8"/>
  <c r="N24" i="8"/>
  <c r="O24" i="8"/>
  <c r="P24" i="8"/>
  <c r="Q24" i="8"/>
  <c r="R24" i="8"/>
  <c r="S24" i="8"/>
  <c r="T24" i="8"/>
  <c r="U24" i="8"/>
  <c r="V24" i="8"/>
  <c r="W24" i="8"/>
  <c r="X24" i="8"/>
  <c r="Y24" i="8"/>
  <c r="Z24" i="8"/>
  <c r="AA24" i="8"/>
  <c r="AB24" i="8"/>
  <c r="D25" i="8"/>
  <c r="E25" i="8"/>
  <c r="F25" i="8"/>
  <c r="G25" i="8"/>
  <c r="H25" i="8"/>
  <c r="I25" i="8"/>
  <c r="J25" i="8"/>
  <c r="K25" i="8"/>
  <c r="L25" i="8"/>
  <c r="M25" i="8"/>
  <c r="N25" i="8"/>
  <c r="O25" i="8"/>
  <c r="P25" i="8"/>
  <c r="Q25" i="8"/>
  <c r="R25" i="8"/>
  <c r="S25" i="8"/>
  <c r="T25" i="8"/>
  <c r="U25" i="8"/>
  <c r="V25" i="8"/>
  <c r="W25" i="8"/>
  <c r="X25" i="8"/>
  <c r="Y25" i="8"/>
  <c r="Z25" i="8"/>
  <c r="AA25" i="8"/>
  <c r="AB25" i="8"/>
  <c r="D26" i="8"/>
  <c r="E26" i="8"/>
  <c r="F26" i="8"/>
  <c r="G26" i="8"/>
  <c r="H26" i="8"/>
  <c r="I26" i="8"/>
  <c r="J26" i="8"/>
  <c r="K26" i="8"/>
  <c r="L26" i="8"/>
  <c r="M26" i="8"/>
  <c r="N26" i="8"/>
  <c r="O26" i="8"/>
  <c r="P26" i="8"/>
  <c r="Q26" i="8"/>
  <c r="R26" i="8"/>
  <c r="S26" i="8"/>
  <c r="T26" i="8"/>
  <c r="U26" i="8"/>
  <c r="V26" i="8"/>
  <c r="W26" i="8"/>
  <c r="X26" i="8"/>
  <c r="Y26" i="8"/>
  <c r="Z26" i="8"/>
  <c r="AA26" i="8"/>
  <c r="AB26" i="8"/>
  <c r="D28" i="8"/>
  <c r="E28" i="8"/>
  <c r="F28" i="8"/>
  <c r="G28" i="8"/>
  <c r="H28" i="8"/>
  <c r="I28" i="8"/>
  <c r="J28" i="8"/>
  <c r="K28" i="8"/>
  <c r="L28" i="8"/>
  <c r="M28" i="8"/>
  <c r="N28" i="8"/>
  <c r="O28" i="8"/>
  <c r="P28" i="8"/>
  <c r="Q28" i="8"/>
  <c r="R28" i="8"/>
  <c r="S28" i="8"/>
  <c r="T28" i="8"/>
  <c r="U28" i="8"/>
  <c r="V28" i="8"/>
  <c r="W28" i="8"/>
  <c r="X28" i="8"/>
  <c r="Y28" i="8"/>
  <c r="Z28" i="8"/>
  <c r="AA28" i="8"/>
  <c r="AB28" i="8"/>
  <c r="D29" i="8"/>
  <c r="E29" i="8"/>
  <c r="F29" i="8"/>
  <c r="G29" i="8"/>
  <c r="H29" i="8"/>
  <c r="I29" i="8"/>
  <c r="J29" i="8"/>
  <c r="K29" i="8"/>
  <c r="L29" i="8"/>
  <c r="M29" i="8"/>
  <c r="N29" i="8"/>
  <c r="O29" i="8"/>
  <c r="P29" i="8"/>
  <c r="Q29" i="8"/>
  <c r="R29" i="8"/>
  <c r="S29" i="8"/>
  <c r="T29" i="8"/>
  <c r="U29" i="8"/>
  <c r="V29" i="8"/>
  <c r="W29" i="8"/>
  <c r="X29" i="8"/>
  <c r="Y29" i="8"/>
  <c r="Z29" i="8"/>
  <c r="AA29" i="8"/>
  <c r="AB29" i="8"/>
  <c r="D30" i="8"/>
  <c r="E30" i="8"/>
  <c r="F30" i="8"/>
  <c r="G30" i="8"/>
  <c r="H30" i="8"/>
  <c r="I30" i="8"/>
  <c r="J30" i="8"/>
  <c r="K30" i="8"/>
  <c r="L30" i="8"/>
  <c r="M30" i="8"/>
  <c r="N30" i="8"/>
  <c r="O30" i="8"/>
  <c r="P30" i="8"/>
  <c r="Q30" i="8"/>
  <c r="R30" i="8"/>
  <c r="S30" i="8"/>
  <c r="T30" i="8"/>
  <c r="U30" i="8"/>
  <c r="V30" i="8"/>
  <c r="W30" i="8"/>
  <c r="X30" i="8"/>
  <c r="Y30" i="8"/>
  <c r="Z30" i="8"/>
  <c r="AA30" i="8"/>
  <c r="AB30" i="8"/>
  <c r="D32" i="8"/>
  <c r="E32" i="8"/>
  <c r="F32" i="8"/>
  <c r="G32" i="8"/>
  <c r="H32" i="8"/>
  <c r="I32" i="8"/>
  <c r="J32" i="8"/>
  <c r="K32" i="8"/>
  <c r="L32" i="8"/>
  <c r="M32" i="8"/>
  <c r="N32" i="8"/>
  <c r="O32" i="8"/>
  <c r="P32" i="8"/>
  <c r="Q32" i="8"/>
  <c r="R32" i="8"/>
  <c r="S32" i="8"/>
  <c r="T32" i="8"/>
  <c r="U32" i="8"/>
  <c r="V32" i="8"/>
  <c r="W32" i="8"/>
  <c r="X32" i="8"/>
  <c r="Y32" i="8"/>
  <c r="Z32" i="8"/>
  <c r="AA32" i="8"/>
  <c r="AB32" i="8"/>
  <c r="D33" i="8"/>
  <c r="E33" i="8"/>
  <c r="F33" i="8"/>
  <c r="G33" i="8"/>
  <c r="H33" i="8"/>
  <c r="I33" i="8"/>
  <c r="J33" i="8"/>
  <c r="K33" i="8"/>
  <c r="L33" i="8"/>
  <c r="M33" i="8"/>
  <c r="N33" i="8"/>
  <c r="O33" i="8"/>
  <c r="P33" i="8"/>
  <c r="Q33" i="8"/>
  <c r="R33" i="8"/>
  <c r="S33" i="8"/>
  <c r="T33" i="8"/>
  <c r="U33" i="8"/>
  <c r="V33" i="8"/>
  <c r="W33" i="8"/>
  <c r="X33" i="8"/>
  <c r="Y33" i="8"/>
  <c r="Z33" i="8"/>
  <c r="AA33" i="8"/>
  <c r="AB33" i="8"/>
  <c r="X34" i="8"/>
  <c r="D35" i="8"/>
  <c r="E35" i="8"/>
  <c r="F35" i="8"/>
  <c r="G35" i="8"/>
  <c r="H35" i="8"/>
  <c r="I35" i="8"/>
  <c r="J35" i="8"/>
  <c r="K35" i="8"/>
  <c r="L35" i="8"/>
  <c r="M35" i="8"/>
  <c r="N35" i="8"/>
  <c r="O35" i="8"/>
  <c r="P35" i="8"/>
  <c r="Q35" i="8"/>
  <c r="R35" i="8"/>
  <c r="S35" i="8"/>
  <c r="T35" i="8"/>
  <c r="U35" i="8"/>
  <c r="V35" i="8"/>
  <c r="W35" i="8"/>
  <c r="X35" i="8"/>
  <c r="Y35" i="8"/>
  <c r="Z35" i="8"/>
  <c r="AA35" i="8"/>
  <c r="AB35" i="8"/>
  <c r="D36" i="8"/>
  <c r="E36" i="8"/>
  <c r="F36" i="8"/>
  <c r="G36" i="8"/>
  <c r="H36" i="8"/>
  <c r="I36" i="8"/>
  <c r="J36" i="8"/>
  <c r="K36" i="8"/>
  <c r="L36" i="8"/>
  <c r="M36" i="8"/>
  <c r="N36" i="8"/>
  <c r="O36" i="8"/>
  <c r="P36" i="8"/>
  <c r="Q36" i="8"/>
  <c r="R36" i="8"/>
  <c r="S36" i="8"/>
  <c r="T36" i="8"/>
  <c r="U36" i="8"/>
  <c r="V36" i="8"/>
  <c r="W36" i="8"/>
  <c r="X36" i="8"/>
  <c r="Y36" i="8"/>
  <c r="Z36" i="8"/>
  <c r="AA36" i="8"/>
  <c r="AB36" i="8"/>
  <c r="D38" i="8"/>
  <c r="E38" i="8"/>
  <c r="F38" i="8"/>
  <c r="G38" i="8"/>
  <c r="H38" i="8"/>
  <c r="I38" i="8"/>
  <c r="J38" i="8"/>
  <c r="K38" i="8"/>
  <c r="L38" i="8"/>
  <c r="M38" i="8"/>
  <c r="N38" i="8"/>
  <c r="O38" i="8"/>
  <c r="P38" i="8"/>
  <c r="Q38" i="8"/>
  <c r="R38" i="8"/>
  <c r="S38" i="8"/>
  <c r="T38" i="8"/>
  <c r="U38" i="8"/>
  <c r="V38" i="8"/>
  <c r="W38" i="8"/>
  <c r="X38" i="8"/>
  <c r="Y38" i="8"/>
  <c r="Z38" i="8"/>
  <c r="AA38" i="8"/>
  <c r="AB38" i="8"/>
  <c r="D39" i="8"/>
  <c r="E39" i="8"/>
  <c r="F39" i="8"/>
  <c r="G39" i="8"/>
  <c r="H39" i="8"/>
  <c r="I39" i="8"/>
  <c r="J39" i="8"/>
  <c r="K39" i="8"/>
  <c r="L39" i="8"/>
  <c r="M39" i="8"/>
  <c r="N39" i="8"/>
  <c r="O39" i="8"/>
  <c r="P39" i="8"/>
  <c r="Q39" i="8"/>
  <c r="R39" i="8"/>
  <c r="S39" i="8"/>
  <c r="T39" i="8"/>
  <c r="U39" i="8"/>
  <c r="V39" i="8"/>
  <c r="W39" i="8"/>
  <c r="X39" i="8"/>
  <c r="Y39" i="8"/>
  <c r="Z39" i="8"/>
  <c r="AA39" i="8"/>
  <c r="AB39" i="8"/>
  <c r="D40" i="8"/>
  <c r="E40" i="8"/>
  <c r="F40" i="8"/>
  <c r="G40" i="8"/>
  <c r="H40" i="8"/>
  <c r="I40" i="8"/>
  <c r="J40" i="8"/>
  <c r="K40" i="8"/>
  <c r="L40" i="8"/>
  <c r="M40" i="8"/>
  <c r="N40" i="8"/>
  <c r="O40" i="8"/>
  <c r="P40" i="8"/>
  <c r="Q40" i="8"/>
  <c r="R40" i="8"/>
  <c r="S40" i="8"/>
  <c r="T40" i="8"/>
  <c r="U40" i="8"/>
  <c r="V40" i="8"/>
  <c r="W40" i="8"/>
  <c r="X40" i="8"/>
  <c r="Y40" i="8"/>
  <c r="Z40" i="8"/>
  <c r="AA40" i="8"/>
  <c r="AB40" i="8"/>
  <c r="D43" i="8"/>
  <c r="E43" i="8"/>
  <c r="F43" i="8"/>
  <c r="G43" i="8"/>
  <c r="H43" i="8"/>
  <c r="I43" i="8"/>
  <c r="J43" i="8"/>
  <c r="K43" i="8"/>
  <c r="L43" i="8"/>
  <c r="M43" i="8"/>
  <c r="N43" i="8"/>
  <c r="O43" i="8"/>
  <c r="P43" i="8"/>
  <c r="Q43" i="8"/>
  <c r="R43" i="8"/>
  <c r="S43" i="8"/>
  <c r="T43" i="8"/>
  <c r="U43" i="8"/>
  <c r="V43" i="8"/>
  <c r="W43" i="8"/>
  <c r="X43" i="8"/>
  <c r="Y43" i="8"/>
  <c r="Z43" i="8"/>
  <c r="AA43" i="8"/>
  <c r="AB43" i="8"/>
  <c r="D44" i="8"/>
  <c r="E44" i="8"/>
  <c r="F44" i="8"/>
  <c r="G44" i="8"/>
  <c r="H44" i="8"/>
  <c r="I44" i="8"/>
  <c r="J44" i="8"/>
  <c r="K44" i="8"/>
  <c r="L44" i="8"/>
  <c r="M44" i="8"/>
  <c r="N44" i="8"/>
  <c r="O44" i="8"/>
  <c r="P44" i="8"/>
  <c r="Q44" i="8"/>
  <c r="R44" i="8"/>
  <c r="S44" i="8"/>
  <c r="T44" i="8"/>
  <c r="U44" i="8"/>
  <c r="V44" i="8"/>
  <c r="W44" i="8"/>
  <c r="X44" i="8"/>
  <c r="Y44" i="8"/>
  <c r="Z44" i="8"/>
  <c r="AA44" i="8"/>
  <c r="AB44" i="8"/>
  <c r="D45" i="8"/>
  <c r="E45" i="8"/>
  <c r="F45" i="8"/>
  <c r="G45" i="8"/>
  <c r="H45" i="8"/>
  <c r="I45" i="8"/>
  <c r="J45" i="8"/>
  <c r="K45" i="8"/>
  <c r="L45" i="8"/>
  <c r="M45" i="8"/>
  <c r="N45" i="8"/>
  <c r="O45" i="8"/>
  <c r="P45" i="8"/>
  <c r="Q45" i="8"/>
  <c r="R45" i="8"/>
  <c r="S45" i="8"/>
  <c r="T45" i="8"/>
  <c r="U45" i="8"/>
  <c r="V45" i="8"/>
  <c r="W45" i="8"/>
  <c r="X45" i="8"/>
  <c r="Y45" i="8"/>
  <c r="Z45" i="8"/>
  <c r="AA45" i="8"/>
  <c r="AB45" i="8"/>
  <c r="D46" i="8"/>
  <c r="E46" i="8"/>
  <c r="F46" i="8"/>
  <c r="G46" i="8"/>
  <c r="H46" i="8"/>
  <c r="I46" i="8"/>
  <c r="J46" i="8"/>
  <c r="K46" i="8"/>
  <c r="L46" i="8"/>
  <c r="M46" i="8"/>
  <c r="N46" i="8"/>
  <c r="O46" i="8"/>
  <c r="P46" i="8"/>
  <c r="Q46" i="8"/>
  <c r="R46" i="8"/>
  <c r="S46" i="8"/>
  <c r="T46" i="8"/>
  <c r="U46" i="8"/>
  <c r="V46" i="8"/>
  <c r="W46" i="8"/>
  <c r="X46" i="8"/>
  <c r="Y46" i="8"/>
  <c r="Z46" i="8"/>
  <c r="AA46" i="8"/>
  <c r="AB46" i="8"/>
  <c r="D47" i="8"/>
  <c r="E47" i="8"/>
  <c r="F47" i="8"/>
  <c r="G47" i="8"/>
  <c r="H47" i="8"/>
  <c r="I47" i="8"/>
  <c r="J47" i="8"/>
  <c r="K47" i="8"/>
  <c r="L47" i="8"/>
  <c r="M47" i="8"/>
  <c r="N47" i="8"/>
  <c r="O47" i="8"/>
  <c r="P47" i="8"/>
  <c r="Q47" i="8"/>
  <c r="R47" i="8"/>
  <c r="S47" i="8"/>
  <c r="T47" i="8"/>
  <c r="U47" i="8"/>
  <c r="V47" i="8"/>
  <c r="W47" i="8"/>
  <c r="X47" i="8"/>
  <c r="Y47" i="8"/>
  <c r="Z47" i="8"/>
  <c r="AA47" i="8"/>
  <c r="AB47" i="8"/>
  <c r="D49" i="8"/>
  <c r="E49" i="8"/>
  <c r="F49" i="8"/>
  <c r="G49" i="8"/>
  <c r="H49" i="8"/>
  <c r="I49" i="8"/>
  <c r="J49" i="8"/>
  <c r="K49" i="8"/>
  <c r="L49" i="8"/>
  <c r="M49" i="8"/>
  <c r="N49" i="8"/>
  <c r="O49" i="8"/>
  <c r="P49" i="8"/>
  <c r="Q49" i="8"/>
  <c r="R49" i="8"/>
  <c r="S49" i="8"/>
  <c r="T49" i="8"/>
  <c r="U49" i="8"/>
  <c r="V49" i="8"/>
  <c r="W49" i="8"/>
  <c r="X49" i="8"/>
  <c r="Y49" i="8"/>
  <c r="Z49" i="8"/>
  <c r="AA49" i="8"/>
  <c r="AB49" i="8"/>
  <c r="D50" i="8"/>
  <c r="E50" i="8"/>
  <c r="F50" i="8"/>
  <c r="G50" i="8"/>
  <c r="H50" i="8"/>
  <c r="I50" i="8"/>
  <c r="J50" i="8"/>
  <c r="K50" i="8"/>
  <c r="L50" i="8"/>
  <c r="M50" i="8"/>
  <c r="N50" i="8"/>
  <c r="O50" i="8"/>
  <c r="P50" i="8"/>
  <c r="Q50" i="8"/>
  <c r="R50" i="8"/>
  <c r="S50" i="8"/>
  <c r="T50" i="8"/>
  <c r="U50" i="8"/>
  <c r="V50" i="8"/>
  <c r="W50" i="8"/>
  <c r="X50" i="8"/>
  <c r="Y50" i="8"/>
  <c r="Z50" i="8"/>
  <c r="AA50" i="8"/>
  <c r="AB50" i="8"/>
  <c r="D52" i="8"/>
  <c r="E52" i="8"/>
  <c r="F52" i="8"/>
  <c r="G52" i="8"/>
  <c r="H52" i="8"/>
  <c r="I52" i="8"/>
  <c r="J52" i="8"/>
  <c r="K52" i="8"/>
  <c r="L52" i="8"/>
  <c r="M52" i="8"/>
  <c r="N52" i="8"/>
  <c r="O52" i="8"/>
  <c r="P52" i="8"/>
  <c r="Q52" i="8"/>
  <c r="R52" i="8"/>
  <c r="S52" i="8"/>
  <c r="T52" i="8"/>
  <c r="U52" i="8"/>
  <c r="V52" i="8"/>
  <c r="W52" i="8"/>
  <c r="X52" i="8"/>
  <c r="Y52" i="8"/>
  <c r="Z52" i="8"/>
  <c r="AA52" i="8"/>
  <c r="AB52" i="8"/>
  <c r="D53" i="8"/>
  <c r="E53" i="8"/>
  <c r="F53" i="8"/>
  <c r="G53" i="8"/>
  <c r="H53" i="8"/>
  <c r="I53" i="8"/>
  <c r="J53" i="8"/>
  <c r="K53" i="8"/>
  <c r="L53" i="8"/>
  <c r="M53" i="8"/>
  <c r="N53" i="8"/>
  <c r="O53" i="8"/>
  <c r="P53" i="8"/>
  <c r="Q53" i="8"/>
  <c r="R53" i="8"/>
  <c r="S53" i="8"/>
  <c r="T53" i="8"/>
  <c r="U53" i="8"/>
  <c r="V53" i="8"/>
  <c r="W53" i="8"/>
  <c r="X53" i="8"/>
  <c r="Y53" i="8"/>
  <c r="Z53" i="8"/>
  <c r="AA53" i="8"/>
  <c r="AB53" i="8"/>
  <c r="D55" i="8"/>
  <c r="E55" i="8"/>
  <c r="F55" i="8"/>
  <c r="G55" i="8"/>
  <c r="H55" i="8"/>
  <c r="I55" i="8"/>
  <c r="J55" i="8"/>
  <c r="K55" i="8"/>
  <c r="L55" i="8"/>
  <c r="M55" i="8"/>
  <c r="N55" i="8"/>
  <c r="O55" i="8"/>
  <c r="P55" i="8"/>
  <c r="Q55" i="8"/>
  <c r="R55" i="8"/>
  <c r="S55" i="8"/>
  <c r="T55" i="8"/>
  <c r="U55" i="8"/>
  <c r="V55" i="8"/>
  <c r="W55" i="8"/>
  <c r="X55" i="8"/>
  <c r="Y55" i="8"/>
  <c r="Z55" i="8"/>
  <c r="AA55" i="8"/>
  <c r="AB55" i="8"/>
  <c r="D60" i="8"/>
  <c r="E60" i="8"/>
  <c r="F60" i="8"/>
  <c r="G60" i="8"/>
  <c r="H60" i="8"/>
  <c r="I60" i="8"/>
  <c r="J60" i="8"/>
  <c r="K60" i="8"/>
  <c r="L60" i="8"/>
  <c r="M60" i="8"/>
  <c r="N60" i="8"/>
  <c r="O60" i="8"/>
  <c r="P60" i="8"/>
  <c r="Q60" i="8"/>
  <c r="R60" i="8"/>
  <c r="S60" i="8"/>
  <c r="T60" i="8"/>
  <c r="U60" i="8"/>
  <c r="V60" i="8"/>
  <c r="W60" i="8"/>
  <c r="X60" i="8"/>
  <c r="Y60" i="8"/>
  <c r="Z60" i="8"/>
  <c r="AA60" i="8"/>
  <c r="AB60" i="8"/>
  <c r="D61" i="8"/>
  <c r="E61" i="8"/>
  <c r="F61" i="8"/>
  <c r="G61" i="8"/>
  <c r="H61" i="8"/>
  <c r="I61" i="8"/>
  <c r="J61" i="8"/>
  <c r="K61" i="8"/>
  <c r="L61" i="8"/>
  <c r="M61" i="8"/>
  <c r="N61" i="8"/>
  <c r="O61" i="8"/>
  <c r="P61" i="8"/>
  <c r="Q61" i="8"/>
  <c r="R61" i="8"/>
  <c r="S61" i="8"/>
  <c r="T61" i="8"/>
  <c r="U61" i="8"/>
  <c r="V61" i="8"/>
  <c r="W61" i="8"/>
  <c r="X61" i="8"/>
  <c r="Y61" i="8"/>
  <c r="Z61" i="8"/>
  <c r="AA61" i="8"/>
  <c r="AB61" i="8"/>
  <c r="D62" i="8"/>
  <c r="E62" i="8"/>
  <c r="F62" i="8"/>
  <c r="G62" i="8"/>
  <c r="H62" i="8"/>
  <c r="I62" i="8"/>
  <c r="J62" i="8"/>
  <c r="K62" i="8"/>
  <c r="L62" i="8"/>
  <c r="M62" i="8"/>
  <c r="N62" i="8"/>
  <c r="O62" i="8"/>
  <c r="P62" i="8"/>
  <c r="Q62" i="8"/>
  <c r="R62" i="8"/>
  <c r="S62" i="8"/>
  <c r="T62" i="8"/>
  <c r="U62" i="8"/>
  <c r="V62" i="8"/>
  <c r="W62" i="8"/>
  <c r="X62" i="8"/>
  <c r="Y62" i="8"/>
  <c r="Z62" i="8"/>
  <c r="AA62" i="8"/>
  <c r="AB62" i="8"/>
  <c r="D64" i="8"/>
  <c r="E64" i="8"/>
  <c r="F64" i="8"/>
  <c r="G64" i="8"/>
  <c r="H64" i="8"/>
  <c r="I64" i="8"/>
  <c r="J64" i="8"/>
  <c r="K64" i="8"/>
  <c r="L64" i="8"/>
  <c r="M64" i="8"/>
  <c r="N64" i="8"/>
  <c r="O64" i="8"/>
  <c r="P64" i="8"/>
  <c r="Q64" i="8"/>
  <c r="R64" i="8"/>
  <c r="S64" i="8"/>
  <c r="T64" i="8"/>
  <c r="U64" i="8"/>
  <c r="V64" i="8"/>
  <c r="W64" i="8"/>
  <c r="X64" i="8"/>
  <c r="Y64" i="8"/>
  <c r="Z64" i="8"/>
  <c r="AA64" i="8"/>
  <c r="AB64" i="8"/>
  <c r="A1" i="15"/>
  <c r="B6" i="15"/>
  <c r="B7" i="15"/>
  <c r="D8" i="15"/>
  <c r="E8" i="15"/>
  <c r="F8" i="15"/>
  <c r="G8" i="15"/>
  <c r="H8" i="15"/>
  <c r="I8" i="15"/>
  <c r="J8" i="15"/>
  <c r="K8" i="15"/>
  <c r="L8" i="15"/>
  <c r="M8" i="15"/>
  <c r="N8" i="15"/>
  <c r="O8" i="15"/>
  <c r="P8" i="15"/>
  <c r="Q8" i="15"/>
  <c r="R8" i="15"/>
  <c r="S8" i="15"/>
  <c r="T8" i="15"/>
  <c r="U8" i="15"/>
  <c r="V8" i="15"/>
  <c r="W8" i="15"/>
  <c r="X8" i="15"/>
  <c r="B9" i="15"/>
  <c r="D9" i="15"/>
  <c r="E9" i="15"/>
  <c r="F9" i="15"/>
  <c r="G9" i="15"/>
  <c r="H9" i="15"/>
  <c r="I9" i="15"/>
  <c r="J9" i="15"/>
  <c r="K9" i="15"/>
  <c r="L9" i="15"/>
  <c r="M9" i="15"/>
  <c r="N9" i="15"/>
  <c r="O9" i="15"/>
  <c r="P9" i="15"/>
  <c r="Q9" i="15"/>
  <c r="R9" i="15"/>
  <c r="S9" i="15"/>
  <c r="T9" i="15"/>
  <c r="U9" i="15"/>
  <c r="V9" i="15"/>
  <c r="W9" i="15"/>
  <c r="X9" i="15"/>
  <c r="B10" i="15"/>
  <c r="D10" i="15"/>
  <c r="E10" i="15"/>
  <c r="F10" i="15"/>
  <c r="G10" i="15"/>
  <c r="H10" i="15"/>
  <c r="I10" i="15"/>
  <c r="J10" i="15"/>
  <c r="K10" i="15"/>
  <c r="L10" i="15"/>
  <c r="M10" i="15"/>
  <c r="N10" i="15"/>
  <c r="O10" i="15"/>
  <c r="P10" i="15"/>
  <c r="Q10" i="15"/>
  <c r="R10" i="15"/>
  <c r="S10" i="15"/>
  <c r="T10" i="15"/>
  <c r="U10" i="15"/>
  <c r="V10" i="15"/>
  <c r="W10" i="15"/>
  <c r="X10" i="15"/>
  <c r="B11" i="15"/>
  <c r="D11" i="15"/>
  <c r="E11" i="15"/>
  <c r="F11" i="15"/>
  <c r="G11" i="15"/>
  <c r="H11" i="15"/>
  <c r="I11" i="15"/>
  <c r="J11" i="15"/>
  <c r="K11" i="15"/>
  <c r="L11" i="15"/>
  <c r="M11" i="15"/>
  <c r="N11" i="15"/>
  <c r="O11" i="15"/>
  <c r="P11" i="15"/>
  <c r="Q11" i="15"/>
  <c r="R11" i="15"/>
  <c r="S11" i="15"/>
  <c r="T11" i="15"/>
  <c r="U11" i="15"/>
  <c r="V11" i="15"/>
  <c r="W11" i="15"/>
  <c r="X11" i="15"/>
  <c r="B12" i="15"/>
  <c r="D12" i="15"/>
  <c r="E12" i="15"/>
  <c r="F12" i="15"/>
  <c r="G12" i="15"/>
  <c r="H12" i="15"/>
  <c r="I12" i="15"/>
  <c r="J12" i="15"/>
  <c r="K12" i="15"/>
  <c r="L12" i="15"/>
  <c r="M12" i="15"/>
  <c r="N12" i="15"/>
  <c r="O12" i="15"/>
  <c r="P12" i="15"/>
  <c r="Q12" i="15"/>
  <c r="R12" i="15"/>
  <c r="S12" i="15"/>
  <c r="T12" i="15"/>
  <c r="U12" i="15"/>
  <c r="V12" i="15"/>
  <c r="W12" i="15"/>
  <c r="X12" i="15"/>
  <c r="B19" i="15"/>
  <c r="C19" i="15"/>
  <c r="B20" i="15"/>
  <c r="C20" i="15"/>
  <c r="B21" i="15"/>
  <c r="C21" i="15"/>
  <c r="B22" i="15"/>
  <c r="C22" i="15"/>
  <c r="B29" i="15"/>
  <c r="C29" i="15"/>
  <c r="B30" i="15"/>
  <c r="C30" i="15"/>
  <c r="B31" i="15"/>
  <c r="C31" i="15"/>
  <c r="B32" i="15"/>
  <c r="C32" i="15"/>
  <c r="B39" i="15"/>
  <c r="C39" i="15"/>
  <c r="B40" i="15"/>
  <c r="C40" i="15"/>
  <c r="B41" i="15"/>
  <c r="C41" i="15"/>
  <c r="B42" i="15"/>
  <c r="C42" i="15"/>
  <c r="B49" i="15"/>
  <c r="C49" i="15"/>
  <c r="B50" i="15"/>
  <c r="C50" i="15"/>
  <c r="B51" i="15"/>
  <c r="C51" i="15"/>
  <c r="B52" i="15"/>
  <c r="C52" i="15"/>
  <c r="B59" i="15"/>
  <c r="C59" i="15"/>
  <c r="B60" i="15"/>
  <c r="C60" i="15"/>
  <c r="B61" i="15"/>
  <c r="C61" i="15"/>
  <c r="B62" i="15"/>
  <c r="C62" i="15"/>
  <c r="B69" i="15"/>
  <c r="C69" i="15"/>
  <c r="B70" i="15"/>
  <c r="C70" i="15"/>
  <c r="B71" i="15"/>
  <c r="C71" i="15"/>
  <c r="B72" i="15"/>
  <c r="C72" i="15"/>
  <c r="B79" i="15"/>
  <c r="C79" i="15"/>
  <c r="B80" i="15"/>
  <c r="C80" i="15"/>
  <c r="B81" i="15"/>
  <c r="C81" i="15"/>
  <c r="B82" i="15"/>
  <c r="C82" i="15"/>
  <c r="B89" i="15"/>
  <c r="C89" i="15"/>
  <c r="B90" i="15"/>
  <c r="C90" i="15"/>
  <c r="B91" i="15"/>
  <c r="C91" i="15"/>
  <c r="B92" i="15"/>
  <c r="C92" i="15"/>
  <c r="B99" i="15"/>
  <c r="C99" i="15"/>
  <c r="B100" i="15"/>
  <c r="C100" i="15"/>
  <c r="B101" i="15"/>
  <c r="C101" i="15"/>
  <c r="B102" i="15"/>
  <c r="C102" i="15"/>
  <c r="B109" i="15"/>
  <c r="C109" i="15"/>
  <c r="B110" i="15"/>
  <c r="C110" i="15"/>
  <c r="B111" i="15"/>
  <c r="C111" i="15"/>
  <c r="B112" i="15"/>
  <c r="C112" i="15"/>
  <c r="B119" i="15"/>
  <c r="C119" i="15"/>
  <c r="B120" i="15"/>
  <c r="C120" i="15"/>
  <c r="B121" i="15"/>
  <c r="C121" i="15"/>
  <c r="B122" i="15"/>
  <c r="C122" i="15"/>
  <c r="B129" i="15"/>
  <c r="C129" i="15"/>
  <c r="B130" i="15"/>
  <c r="C130" i="15"/>
  <c r="B131" i="15"/>
  <c r="C131" i="15"/>
  <c r="B132" i="15"/>
  <c r="C132" i="15"/>
  <c r="B139" i="15"/>
  <c r="C139" i="15"/>
  <c r="B140" i="15"/>
  <c r="C140" i="15"/>
  <c r="B141" i="15"/>
  <c r="C141" i="15"/>
  <c r="B142" i="15"/>
  <c r="C142" i="15"/>
  <c r="B149" i="15"/>
  <c r="C149" i="15"/>
  <c r="B150" i="15"/>
  <c r="C150" i="15"/>
  <c r="B151" i="15"/>
  <c r="C151" i="15"/>
  <c r="B152" i="15"/>
  <c r="C152" i="15"/>
  <c r="B159" i="15"/>
  <c r="C159" i="15"/>
  <c r="B160" i="15"/>
  <c r="C160" i="15"/>
  <c r="B161" i="15"/>
  <c r="C161" i="15"/>
  <c r="B162" i="15"/>
  <c r="C162" i="15"/>
  <c r="B169" i="15"/>
  <c r="C169" i="15"/>
  <c r="B170" i="15"/>
  <c r="C170" i="15"/>
  <c r="B171" i="15"/>
  <c r="C171" i="15"/>
  <c r="B172" i="15"/>
  <c r="C172" i="15"/>
  <c r="B179" i="15"/>
  <c r="C179" i="15"/>
  <c r="B180" i="15"/>
  <c r="C180" i="15"/>
  <c r="B181" i="15"/>
  <c r="C181" i="15"/>
  <c r="B182" i="15"/>
  <c r="C182" i="15"/>
  <c r="B189" i="15"/>
  <c r="C189" i="15"/>
  <c r="B190" i="15"/>
  <c r="C190" i="15"/>
  <c r="B191" i="15"/>
  <c r="C191" i="15"/>
  <c r="B192" i="15"/>
  <c r="C192" i="15"/>
  <c r="B199" i="15"/>
  <c r="C199" i="15"/>
  <c r="B200" i="15"/>
  <c r="C200" i="15"/>
  <c r="B201" i="15"/>
  <c r="C201" i="15"/>
  <c r="B202" i="15"/>
  <c r="C202" i="15"/>
  <c r="B209" i="15"/>
  <c r="C209" i="15"/>
  <c r="B210" i="15"/>
  <c r="C210" i="15"/>
  <c r="B211" i="15"/>
  <c r="C211" i="15"/>
  <c r="B212" i="15"/>
  <c r="C212" i="15"/>
  <c r="B219" i="15"/>
  <c r="C219" i="15"/>
  <c r="B220" i="15"/>
  <c r="C220" i="15"/>
  <c r="B221" i="15"/>
  <c r="C221" i="15"/>
  <c r="B222" i="15"/>
  <c r="C222" i="15"/>
  <c r="B229" i="15"/>
  <c r="C229" i="15"/>
  <c r="B230" i="15"/>
  <c r="C230" i="15"/>
  <c r="B231" i="15"/>
  <c r="C231" i="15"/>
  <c r="B232" i="15"/>
  <c r="C232" i="15"/>
  <c r="B239" i="15"/>
  <c r="C239" i="15"/>
  <c r="B240" i="15"/>
  <c r="C240" i="15"/>
  <c r="B241" i="15"/>
  <c r="C241" i="15"/>
  <c r="B242" i="15"/>
  <c r="C242" i="15"/>
  <c r="B249" i="15"/>
  <c r="C249" i="15"/>
  <c r="B250" i="15"/>
  <c r="C250" i="15"/>
  <c r="B251" i="15"/>
  <c r="C251" i="15"/>
  <c r="B252" i="15"/>
  <c r="C252" i="15"/>
  <c r="B259" i="15"/>
  <c r="C259" i="15"/>
  <c r="B260" i="15"/>
  <c r="C260" i="15"/>
  <c r="B261" i="15"/>
  <c r="C261" i="15"/>
  <c r="B262" i="15"/>
  <c r="C262" i="15"/>
  <c r="B269" i="15"/>
  <c r="C269" i="15"/>
  <c r="B270" i="15"/>
  <c r="C270" i="15"/>
  <c r="B271" i="15"/>
  <c r="C271" i="15"/>
  <c r="B272" i="15"/>
  <c r="C272" i="15"/>
  <c r="B279" i="15"/>
  <c r="C279" i="15"/>
  <c r="B280" i="15"/>
  <c r="C280" i="15"/>
  <c r="B281" i="15"/>
  <c r="C281" i="15"/>
  <c r="B282" i="15"/>
  <c r="C282" i="15"/>
  <c r="B289" i="15"/>
  <c r="C289" i="15"/>
  <c r="B290" i="15"/>
  <c r="C290" i="15"/>
  <c r="B291" i="15"/>
  <c r="C291" i="15"/>
  <c r="B292" i="15"/>
  <c r="C292" i="15"/>
  <c r="B299" i="15"/>
  <c r="C299" i="15"/>
  <c r="B300" i="15"/>
  <c r="C300" i="15"/>
  <c r="B301" i="15"/>
  <c r="C301" i="15"/>
  <c r="B302" i="15"/>
  <c r="C302" i="15"/>
  <c r="B309" i="15"/>
  <c r="C309" i="15"/>
  <c r="B310" i="15"/>
  <c r="C310" i="15"/>
  <c r="B311" i="15"/>
  <c r="C311" i="15"/>
  <c r="B312" i="15"/>
  <c r="C312" i="15"/>
  <c r="B319" i="15"/>
  <c r="C319" i="15"/>
  <c r="B320" i="15"/>
  <c r="C320" i="15"/>
  <c r="B321" i="15"/>
  <c r="C321" i="15"/>
  <c r="B322" i="15"/>
  <c r="C322" i="15"/>
  <c r="B329" i="15"/>
  <c r="C329" i="15"/>
  <c r="B330" i="15"/>
  <c r="C330" i="15"/>
  <c r="B331" i="15"/>
  <c r="C331" i="15"/>
  <c r="B332" i="15"/>
  <c r="C332" i="15"/>
  <c r="B339" i="15"/>
  <c r="C339" i="15"/>
  <c r="B340" i="15"/>
  <c r="C340" i="15"/>
  <c r="B341" i="15"/>
  <c r="C341" i="15"/>
  <c r="B342" i="15"/>
  <c r="C342" i="15"/>
  <c r="B349" i="15"/>
  <c r="C349" i="15"/>
  <c r="B350" i="15"/>
  <c r="C350" i="15"/>
  <c r="B351" i="15"/>
  <c r="C351" i="15"/>
  <c r="B352" i="15"/>
  <c r="C352" i="15"/>
  <c r="B359" i="15"/>
  <c r="C359" i="15"/>
  <c r="B360" i="15"/>
  <c r="C360" i="15"/>
  <c r="B361" i="15"/>
  <c r="C361" i="15"/>
  <c r="B362" i="15"/>
  <c r="C362" i="15"/>
  <c r="B370" i="15"/>
  <c r="B371" i="15"/>
  <c r="B372" i="15"/>
  <c r="B373" i="15"/>
  <c r="B380" i="15"/>
  <c r="C380" i="15"/>
  <c r="B381" i="15"/>
  <c r="C381" i="15"/>
  <c r="B382" i="15"/>
  <c r="C382" i="15"/>
  <c r="B383" i="15"/>
  <c r="C383" i="15"/>
  <c r="B390" i="15"/>
  <c r="C390" i="15"/>
  <c r="B391" i="15"/>
  <c r="C391" i="15"/>
  <c r="B392" i="15"/>
  <c r="C392" i="15"/>
  <c r="B393" i="15"/>
  <c r="C393" i="15"/>
  <c r="B400" i="15"/>
  <c r="C400" i="15"/>
  <c r="B401" i="15"/>
  <c r="C401" i="15"/>
  <c r="B402" i="15"/>
  <c r="C402" i="15"/>
  <c r="B403" i="15"/>
  <c r="C403" i="15"/>
  <c r="B410" i="15"/>
  <c r="C410" i="15"/>
  <c r="B411" i="15"/>
  <c r="C411" i="15"/>
  <c r="B412" i="15"/>
  <c r="C412" i="15"/>
  <c r="B413" i="15"/>
  <c r="C413" i="15"/>
  <c r="B420" i="15"/>
  <c r="C420" i="15"/>
  <c r="B421" i="15"/>
  <c r="C421" i="15"/>
  <c r="B422" i="15"/>
  <c r="C422" i="15"/>
  <c r="B423" i="15"/>
  <c r="C423" i="15"/>
  <c r="B430" i="15"/>
  <c r="C430" i="15"/>
  <c r="B431" i="15"/>
  <c r="C431" i="15"/>
  <c r="B432" i="15"/>
  <c r="C432" i="15"/>
  <c r="B433" i="15"/>
  <c r="C433" i="15"/>
  <c r="B440" i="15"/>
  <c r="C440" i="15"/>
  <c r="B441" i="15"/>
  <c r="C441" i="15"/>
  <c r="B442" i="15"/>
  <c r="C442" i="15"/>
  <c r="B443" i="15"/>
  <c r="C443" i="15"/>
  <c r="B450" i="15"/>
  <c r="C450" i="15"/>
  <c r="B451" i="15"/>
  <c r="C451" i="15"/>
  <c r="B452" i="15"/>
  <c r="C452" i="15"/>
  <c r="B453" i="15"/>
  <c r="C453" i="15"/>
  <c r="B460" i="15"/>
  <c r="C460" i="15"/>
  <c r="B461" i="15"/>
  <c r="C461" i="15"/>
  <c r="B462" i="15"/>
  <c r="C462" i="15"/>
  <c r="B463" i="15"/>
  <c r="C463" i="15"/>
  <c r="B470" i="15"/>
  <c r="C470" i="15"/>
  <c r="B471" i="15"/>
  <c r="C471" i="15"/>
  <c r="B472" i="15"/>
  <c r="C472" i="15"/>
  <c r="B473" i="15"/>
  <c r="C473" i="15"/>
  <c r="B480" i="15"/>
  <c r="C480" i="15"/>
  <c r="B481" i="15"/>
  <c r="C481" i="15"/>
  <c r="B482" i="15"/>
  <c r="C482" i="15"/>
  <c r="B483" i="15"/>
  <c r="C483" i="15"/>
  <c r="B490" i="15"/>
  <c r="C490" i="15"/>
  <c r="B491" i="15"/>
  <c r="C491" i="15"/>
  <c r="B492" i="15"/>
  <c r="C492" i="15"/>
  <c r="B493" i="15"/>
  <c r="C493" i="15"/>
  <c r="B500" i="15"/>
  <c r="C500" i="15"/>
  <c r="B501" i="15"/>
  <c r="C501" i="15"/>
  <c r="B502" i="15"/>
  <c r="C502" i="15"/>
  <c r="B503" i="15"/>
  <c r="C503" i="15"/>
  <c r="B510" i="15"/>
  <c r="C510" i="15"/>
  <c r="B511" i="15"/>
  <c r="C511" i="15"/>
  <c r="B512" i="15"/>
  <c r="C512" i="15"/>
  <c r="B513" i="15"/>
  <c r="C513" i="15"/>
  <c r="B520" i="15"/>
  <c r="C520" i="15"/>
  <c r="B521" i="15"/>
  <c r="C521" i="15"/>
  <c r="B522" i="15"/>
  <c r="C522" i="15"/>
  <c r="B523" i="15"/>
  <c r="C523" i="15"/>
  <c r="B530" i="15"/>
  <c r="C530" i="15"/>
  <c r="B531" i="15"/>
  <c r="C531" i="15"/>
  <c r="B532" i="15"/>
  <c r="C532" i="15"/>
  <c r="B533" i="15"/>
  <c r="C533" i="15"/>
  <c r="B540" i="15"/>
  <c r="C540" i="15"/>
  <c r="B541" i="15"/>
  <c r="C541" i="15"/>
  <c r="B542" i="15"/>
  <c r="C542" i="15"/>
  <c r="B543" i="15"/>
  <c r="C543" i="15"/>
  <c r="B550" i="15"/>
  <c r="C550" i="15"/>
  <c r="B551" i="15"/>
  <c r="C551" i="15"/>
  <c r="B552" i="15"/>
  <c r="C552" i="15"/>
  <c r="B553" i="15"/>
  <c r="C553" i="15"/>
  <c r="B560" i="15"/>
  <c r="C560" i="15"/>
  <c r="B561" i="15"/>
  <c r="C561" i="15"/>
  <c r="B562" i="15"/>
  <c r="C562" i="15"/>
  <c r="B563" i="15"/>
  <c r="C563" i="15"/>
  <c r="B570" i="15"/>
  <c r="C570" i="15"/>
  <c r="B571" i="15"/>
  <c r="C571" i="15"/>
  <c r="B572" i="15"/>
  <c r="C572" i="15"/>
  <c r="B573" i="15"/>
  <c r="C573" i="15"/>
  <c r="B581" i="15"/>
  <c r="C581" i="15"/>
  <c r="B582" i="15"/>
  <c r="C582" i="15"/>
  <c r="B583" i="15"/>
  <c r="C583" i="15"/>
  <c r="B584" i="15"/>
  <c r="C584" i="15"/>
  <c r="B592" i="15"/>
  <c r="C592" i="15"/>
  <c r="B593" i="15"/>
  <c r="C593" i="15"/>
  <c r="B594" i="15"/>
  <c r="C594" i="15"/>
  <c r="B595" i="15"/>
  <c r="C595" i="15"/>
  <c r="B603" i="15"/>
  <c r="C603" i="15"/>
  <c r="B604" i="15"/>
  <c r="C604" i="15"/>
  <c r="B605" i="15"/>
  <c r="C605" i="15"/>
  <c r="B606" i="15"/>
  <c r="C606" i="15"/>
  <c r="B614" i="15"/>
  <c r="C614" i="15"/>
  <c r="B615" i="15"/>
  <c r="C615" i="15"/>
  <c r="B616" i="15"/>
  <c r="C616" i="15"/>
  <c r="B617" i="15"/>
  <c r="C617" i="15"/>
  <c r="B625" i="15"/>
  <c r="C625" i="15"/>
  <c r="B626" i="15"/>
  <c r="C626" i="15"/>
  <c r="B627" i="15"/>
  <c r="C627" i="15"/>
  <c r="B628" i="15"/>
  <c r="C628" i="15"/>
  <c r="B636" i="15"/>
  <c r="C636" i="15"/>
  <c r="B637" i="15"/>
  <c r="C637" i="15"/>
  <c r="B638" i="15"/>
  <c r="C638" i="15"/>
  <c r="B639" i="15"/>
  <c r="C639" i="15"/>
  <c r="B647" i="15"/>
  <c r="C647" i="15"/>
  <c r="B648" i="15"/>
  <c r="C648" i="15"/>
  <c r="B649" i="15"/>
  <c r="C649" i="15"/>
  <c r="B650" i="15"/>
  <c r="C650" i="15"/>
  <c r="B658" i="15"/>
  <c r="C658" i="15"/>
  <c r="B659" i="15"/>
  <c r="C659" i="15"/>
  <c r="B660" i="15"/>
  <c r="C660" i="15"/>
  <c r="B661" i="15"/>
  <c r="C661" i="15"/>
  <c r="B669" i="15"/>
  <c r="C669" i="15"/>
  <c r="B670" i="15"/>
  <c r="C670" i="15"/>
  <c r="B671" i="15"/>
  <c r="C671" i="15"/>
  <c r="B672" i="15"/>
  <c r="C672" i="15"/>
  <c r="B680" i="15"/>
  <c r="C680" i="15"/>
  <c r="B681" i="15"/>
  <c r="C681" i="15"/>
  <c r="B682" i="15"/>
  <c r="C682" i="15"/>
  <c r="B683" i="15"/>
  <c r="C683" i="15"/>
  <c r="B691" i="15"/>
  <c r="C691" i="15"/>
  <c r="B692" i="15"/>
  <c r="C692" i="15"/>
  <c r="B693" i="15"/>
  <c r="C693" i="15"/>
  <c r="B694" i="15"/>
  <c r="C694" i="15"/>
  <c r="B702" i="15"/>
  <c r="C702" i="15"/>
  <c r="B703" i="15"/>
  <c r="C703" i="15"/>
  <c r="B704" i="15"/>
  <c r="C704" i="15"/>
  <c r="B705" i="15"/>
  <c r="C705" i="15"/>
  <c r="B713" i="15"/>
  <c r="C713" i="15"/>
  <c r="B714" i="15"/>
  <c r="C714" i="15"/>
  <c r="B715" i="15"/>
  <c r="C715" i="15"/>
  <c r="B716" i="15"/>
  <c r="C716" i="15"/>
  <c r="B724" i="15"/>
  <c r="C724" i="15"/>
  <c r="B725" i="15"/>
  <c r="C725" i="15"/>
  <c r="B726" i="15"/>
  <c r="C726" i="15"/>
  <c r="B727" i="15"/>
  <c r="C727" i="15"/>
  <c r="A1" i="17"/>
  <c r="C7" i="17"/>
  <c r="C8" i="17"/>
  <c r="C9" i="17"/>
  <c r="C10" i="17"/>
  <c r="C11" i="17"/>
  <c r="C15" i="17"/>
  <c r="C16" i="17"/>
  <c r="C17" i="17"/>
  <c r="C18" i="17"/>
  <c r="C19" i="17"/>
  <c r="C20" i="17"/>
  <c r="C21" i="17"/>
  <c r="D22" i="17"/>
  <c r="E22" i="17"/>
  <c r="F22" i="17"/>
  <c r="G22" i="17"/>
  <c r="H22" i="17"/>
  <c r="I22" i="17"/>
  <c r="J22" i="17"/>
  <c r="K22" i="17"/>
  <c r="L22" i="17"/>
  <c r="M22" i="17"/>
  <c r="N22" i="17"/>
  <c r="O22" i="17"/>
  <c r="P22" i="17"/>
  <c r="Q22" i="17"/>
  <c r="R22" i="17"/>
  <c r="S22" i="17"/>
  <c r="T22" i="17"/>
  <c r="U22" i="17"/>
  <c r="V22" i="17"/>
  <c r="W22" i="17"/>
  <c r="C24" i="17"/>
  <c r="C25" i="17"/>
  <c r="C29" i="17"/>
  <c r="C30" i="17"/>
  <c r="D34" i="17"/>
  <c r="E34" i="17"/>
  <c r="F34" i="17"/>
  <c r="G34" i="17"/>
  <c r="H34" i="17"/>
  <c r="I34" i="17"/>
  <c r="J34" i="17"/>
  <c r="K34" i="17"/>
  <c r="L34" i="17"/>
  <c r="M34" i="17"/>
  <c r="N34" i="17"/>
  <c r="O34" i="17"/>
  <c r="P34" i="17"/>
  <c r="Q34" i="17"/>
  <c r="R34" i="17"/>
  <c r="S34" i="17"/>
  <c r="T34" i="17"/>
  <c r="U34" i="17"/>
  <c r="V34" i="17"/>
  <c r="W34" i="17"/>
  <c r="X34" i="17"/>
  <c r="Y34" i="17"/>
  <c r="C35" i="17"/>
  <c r="D35" i="17"/>
  <c r="E35" i="17"/>
  <c r="F35" i="17"/>
  <c r="G35" i="17"/>
  <c r="H35" i="17"/>
  <c r="I35" i="17"/>
  <c r="J35" i="17"/>
  <c r="K35" i="17"/>
  <c r="L35" i="17"/>
  <c r="M35" i="17"/>
  <c r="N35" i="17"/>
  <c r="O35" i="17"/>
  <c r="P35" i="17"/>
  <c r="Q35" i="17"/>
  <c r="R35" i="17"/>
  <c r="S35" i="17"/>
  <c r="T35" i="17"/>
  <c r="U35" i="17"/>
  <c r="V35" i="17"/>
  <c r="W35" i="17"/>
  <c r="X35" i="17"/>
  <c r="C36" i="17"/>
  <c r="D36" i="17"/>
  <c r="E36" i="17"/>
  <c r="F36" i="17"/>
  <c r="G36" i="17"/>
  <c r="H36" i="17"/>
  <c r="I36" i="17"/>
  <c r="J36" i="17"/>
  <c r="K36" i="17"/>
  <c r="L36" i="17"/>
  <c r="M36" i="17"/>
  <c r="N36" i="17"/>
  <c r="O36" i="17"/>
  <c r="P36" i="17"/>
  <c r="Q36" i="17"/>
  <c r="R36" i="17"/>
  <c r="S36" i="17"/>
  <c r="T36" i="17"/>
  <c r="U36" i="17"/>
  <c r="V36" i="17"/>
  <c r="W36" i="17"/>
  <c r="C37" i="17"/>
  <c r="D37" i="17"/>
  <c r="E37" i="17"/>
  <c r="F37" i="17"/>
  <c r="G37" i="17"/>
  <c r="H37" i="17"/>
  <c r="I37" i="17"/>
  <c r="J37" i="17"/>
  <c r="K37" i="17"/>
  <c r="L37" i="17"/>
  <c r="M37" i="17"/>
  <c r="N37" i="17"/>
  <c r="O37" i="17"/>
  <c r="P37" i="17"/>
  <c r="Q37" i="17"/>
  <c r="R37" i="17"/>
  <c r="S37" i="17"/>
  <c r="T37" i="17"/>
  <c r="U37" i="17"/>
  <c r="V37" i="17"/>
  <c r="W37" i="17"/>
  <c r="X37" i="17"/>
  <c r="Y37" i="17"/>
  <c r="C39" i="17"/>
  <c r="D39" i="17"/>
  <c r="E39" i="17"/>
  <c r="F39" i="17"/>
  <c r="G39" i="17"/>
  <c r="H39" i="17"/>
  <c r="I39" i="17"/>
  <c r="J39" i="17"/>
  <c r="K39" i="17"/>
  <c r="L39" i="17"/>
  <c r="M39" i="17"/>
  <c r="N39" i="17"/>
  <c r="O39" i="17"/>
  <c r="P39" i="17"/>
  <c r="Q39" i="17"/>
  <c r="R39" i="17"/>
  <c r="S39" i="17"/>
  <c r="T39" i="17"/>
  <c r="U39" i="17"/>
  <c r="V39" i="17"/>
  <c r="W39" i="17"/>
  <c r="X39" i="17"/>
  <c r="Y39" i="17"/>
  <c r="C40" i="17"/>
  <c r="D40" i="17"/>
  <c r="E40" i="17"/>
  <c r="F40" i="17"/>
  <c r="G40" i="17"/>
  <c r="H40" i="17"/>
  <c r="I40" i="17"/>
  <c r="J40" i="17"/>
  <c r="K40" i="17"/>
  <c r="L40" i="17"/>
  <c r="M40" i="17"/>
  <c r="N40" i="17"/>
  <c r="O40" i="17"/>
  <c r="P40" i="17"/>
  <c r="Q40" i="17"/>
  <c r="R40" i="17"/>
  <c r="S40" i="17"/>
  <c r="T40" i="17"/>
  <c r="U40" i="17"/>
  <c r="V40" i="17"/>
  <c r="W40" i="17"/>
  <c r="X40" i="17"/>
  <c r="Y40" i="17"/>
  <c r="C41" i="17"/>
  <c r="D41" i="17"/>
  <c r="E41" i="17"/>
  <c r="F41" i="17"/>
  <c r="G41" i="17"/>
  <c r="H41" i="17"/>
  <c r="I41" i="17"/>
  <c r="J41" i="17"/>
  <c r="K41" i="17"/>
  <c r="L41" i="17"/>
  <c r="M41" i="17"/>
  <c r="N41" i="17"/>
  <c r="O41" i="17"/>
  <c r="P41" i="17"/>
  <c r="Q41" i="17"/>
  <c r="R41" i="17"/>
  <c r="S41" i="17"/>
  <c r="T41" i="17"/>
  <c r="U41" i="17"/>
  <c r="V41" i="17"/>
  <c r="W41" i="17"/>
  <c r="X41" i="17"/>
  <c r="Y41" i="17"/>
  <c r="C42" i="17"/>
  <c r="D42" i="17"/>
  <c r="E42" i="17"/>
  <c r="F42" i="17"/>
  <c r="G42" i="17"/>
  <c r="H42" i="17"/>
  <c r="I42" i="17"/>
  <c r="J42" i="17"/>
  <c r="K42" i="17"/>
  <c r="L42" i="17"/>
  <c r="M42" i="17"/>
  <c r="N42" i="17"/>
  <c r="O42" i="17"/>
  <c r="P42" i="17"/>
  <c r="Q42" i="17"/>
  <c r="R42" i="17"/>
  <c r="S42" i="17"/>
  <c r="T42" i="17"/>
  <c r="U42" i="17"/>
  <c r="V42" i="17"/>
  <c r="W42" i="17"/>
  <c r="X42" i="17"/>
  <c r="Y42" i="17"/>
</calcChain>
</file>

<file path=xl/comments1.xml><?xml version="1.0" encoding="utf-8"?>
<comments xmlns="http://schemas.openxmlformats.org/spreadsheetml/2006/main">
  <authors>
    <author>nsainsb</author>
    <author>Bryan Garrett</author>
    <author>Sheetal J Bajoria x3-5692</author>
  </authors>
  <commentList>
    <comment ref="U6" authorId="0" shapeId="0">
      <text>
        <r>
          <rPr>
            <b/>
            <sz val="8"/>
            <color indexed="81"/>
            <rFont val="Tahoma"/>
          </rPr>
          <t xml:space="preserve">Assesed Value Muliplier Property:                                                                                                                                                                                                                                                                                                                                                                                                                                                                                                                                                                                                                                                                                                                                                                                                                                                                                                                                                                                                                                                                                                                                                                                                                                                                                                                                                                                                                                                                                                        
</t>
        </r>
      </text>
    </comment>
    <comment ref="H7" authorId="1" shapeId="0">
      <text>
        <r>
          <rPr>
            <b/>
            <u/>
            <sz val="8"/>
            <color indexed="81"/>
            <rFont val="Tahoma"/>
            <family val="2"/>
          </rPr>
          <t>TYPE OF TURBINE</t>
        </r>
        <r>
          <rPr>
            <sz val="8"/>
            <color indexed="81"/>
            <rFont val="Tahoma"/>
            <family val="2"/>
          </rPr>
          <t xml:space="preserve">
Sheetal: feb 2, changed to GT 501 D5A and D5
</t>
        </r>
        <r>
          <rPr>
            <b/>
            <sz val="8"/>
            <color indexed="81"/>
            <rFont val="Tahoma"/>
          </rPr>
          <t xml:space="preserve">
Bryan Garrett:</t>
        </r>
        <r>
          <rPr>
            <sz val="8"/>
            <color indexed="81"/>
            <rFont val="Tahoma"/>
          </rPr>
          <t xml:space="preserve">
These are the machines that were previously slated for installation at the Fulton site.</t>
        </r>
      </text>
    </comment>
    <comment ref="I7" authorId="1" shapeId="0">
      <text>
        <r>
          <rPr>
            <b/>
            <u/>
            <sz val="8"/>
            <color indexed="81"/>
            <rFont val="Tahoma"/>
            <family val="2"/>
          </rPr>
          <t xml:space="preserve">TYPE OF TURBINE
</t>
        </r>
        <r>
          <rPr>
            <sz val="8"/>
            <color indexed="81"/>
            <rFont val="Tahoma"/>
            <family val="2"/>
          </rPr>
          <t xml:space="preserve">
Sheetal: feb 2, 99changed to GT 501 D5A and D5
</t>
        </r>
        <r>
          <rPr>
            <b/>
            <sz val="8"/>
            <color indexed="81"/>
            <rFont val="Tahoma"/>
          </rPr>
          <t xml:space="preserve">
Bryan Garrett:</t>
        </r>
        <r>
          <rPr>
            <sz val="8"/>
            <color indexed="81"/>
            <rFont val="Tahoma"/>
          </rPr>
          <t xml:space="preserve">
These are the machines that were previously slated for installation at the Fulton site.</t>
        </r>
      </text>
    </comment>
    <comment ref="L7" authorId="0" shapeId="0">
      <text>
        <r>
          <rPr>
            <b/>
            <sz val="8"/>
            <color indexed="81"/>
            <rFont val="Tahoma"/>
          </rPr>
          <t xml:space="preserve">Variable O&amp;M Hours
Neil S-C: 2/16/99
</t>
        </r>
        <r>
          <rPr>
            <sz val="8"/>
            <color indexed="81"/>
            <rFont val="Tahoma"/>
            <family val="2"/>
          </rPr>
          <t>I have left 1200 here as the estimates were done on this run time.  Rodney had asked why this was different than the Operating Hours., which the expense calc's are based on.</t>
        </r>
      </text>
    </comment>
    <comment ref="U7" authorId="2" shapeId="0">
      <text>
        <r>
          <rPr>
            <b/>
            <sz val="8"/>
            <color indexed="81"/>
            <rFont val="Tahoma"/>
          </rPr>
          <t>SCHOOL MILLAGE RATE:
Sheetal J Bajoria x3-5692:
2/10/99
Need verification from Clay Spears</t>
        </r>
        <r>
          <rPr>
            <sz val="8"/>
            <color indexed="81"/>
            <rFont val="Tahoma"/>
          </rPr>
          <t xml:space="preserve">
</t>
        </r>
      </text>
    </comment>
    <comment ref="L8" authorId="2" shapeId="0">
      <text>
        <r>
          <rPr>
            <b/>
            <sz val="8"/>
            <color indexed="81"/>
            <rFont val="Tahoma"/>
          </rPr>
          <t xml:space="preserve">WATER VARIABLE O&amp;M
Sheetal J Bajoria x3-5692, 1/27/99:
</t>
        </r>
        <r>
          <rPr>
            <sz val="8"/>
            <color indexed="81"/>
            <rFont val="Tahoma"/>
            <family val="2"/>
          </rPr>
          <t>SE Peaking power projects, O&amp;M Estimates, D Ehler,  B Scmitt, dated 1/22/99: -Confirmed 746. Rewired to be truly variable with hours and MW</t>
        </r>
      </text>
    </comment>
    <comment ref="M8" authorId="0" shapeId="0">
      <text>
        <r>
          <rPr>
            <b/>
            <sz val="8"/>
            <color indexed="81"/>
            <rFont val="Tahoma"/>
          </rPr>
          <t xml:space="preserve">Variable MW's
Neil S-C: 2/16/99
</t>
        </r>
        <r>
          <rPr>
            <sz val="8"/>
            <color indexed="81"/>
            <rFont val="Tahoma"/>
            <family val="2"/>
          </rPr>
          <t>Directly from the OEC cost estimate.</t>
        </r>
      </text>
    </comment>
    <comment ref="I10" authorId="2" shapeId="0">
      <text>
        <r>
          <rPr>
            <b/>
            <sz val="10"/>
            <color indexed="81"/>
            <rFont val="Tahoma"/>
            <family val="2"/>
          </rPr>
          <t xml:space="preserve">NET MW
</t>
        </r>
        <r>
          <rPr>
            <sz val="10"/>
            <color indexed="81"/>
            <rFont val="Tahoma"/>
            <family val="2"/>
          </rPr>
          <t xml:space="preserve">
Neil S-C, 3/16/99</t>
        </r>
        <r>
          <rPr>
            <b/>
            <sz val="10"/>
            <color indexed="81"/>
            <rFont val="Tahoma"/>
            <family val="2"/>
          </rPr>
          <t xml:space="preserve">
Tom Huntington has spoken with Chris Booth who says the site for each trubine is 118 MW * 4 = 472.
Subtract 1 for Parasitic Loss.
Neil S-C, 2/21/99
</t>
        </r>
        <r>
          <rPr>
            <sz val="10"/>
            <color indexed="81"/>
            <rFont val="Tahoma"/>
            <family val="2"/>
          </rPr>
          <t>Rodney number is 460MW</t>
        </r>
        <r>
          <rPr>
            <b/>
            <sz val="10"/>
            <color indexed="81"/>
            <rFont val="Tahoma"/>
            <family val="2"/>
          </rPr>
          <t xml:space="preserve">
SHEEtal J Bajoria x3-5692 2/2/99:</t>
        </r>
        <r>
          <rPr>
            <sz val="10"/>
            <color indexed="81"/>
            <rFont val="Tahoma"/>
            <family val="2"/>
          </rPr>
          <t xml:space="preserve">
Changed Heat rate from 112461 to 11,344 and   changed MW from 454.
WRT to document from Azim JAvin (EE&amp;CC) dated 2/1/99. 459.88 is the guarantted output by westinghouse.  </t>
        </r>
      </text>
    </comment>
    <comment ref="L10" authorId="2" shapeId="0">
      <text>
        <r>
          <rPr>
            <b/>
            <sz val="8"/>
            <color indexed="81"/>
            <rFont val="Tahoma"/>
          </rPr>
          <t xml:space="preserve">VARIABLE MAINTENANCE
Sheetal J Bajoria x3-5692, 1/27/99:
</t>
        </r>
        <r>
          <rPr>
            <sz val="8"/>
            <color indexed="81"/>
            <rFont val="Tahoma"/>
            <family val="2"/>
          </rPr>
          <t>SE Peaking power projects, O&amp;M Estimates, D Ehler,  B Scmitt, dated 1/22/99: -Confirmed 746. Rewired to be truly variable with hours and MW</t>
        </r>
      </text>
    </comment>
    <comment ref="U10" authorId="2" shapeId="0">
      <text>
        <r>
          <rPr>
            <b/>
            <sz val="8"/>
            <color indexed="81"/>
            <rFont val="Tahoma"/>
          </rPr>
          <t>COUNTY MILLAGE RATE:
Sheetal J Bajoria x3-5692: 2/10/99 NEED VERIFICATION FROM Clay Spears</t>
        </r>
        <r>
          <rPr>
            <sz val="8"/>
            <color indexed="81"/>
            <rFont val="Tahoma"/>
          </rPr>
          <t xml:space="preserve">
</t>
        </r>
      </text>
    </comment>
    <comment ref="I12" authorId="2" shapeId="0">
      <text>
        <r>
          <rPr>
            <b/>
            <sz val="10"/>
            <color indexed="81"/>
            <rFont val="Tahoma"/>
            <family val="2"/>
          </rPr>
          <t>HEAT RATE
Sheetal J Bajoria x3-5692 Feb 2, 99:</t>
        </r>
        <r>
          <rPr>
            <sz val="10"/>
            <color indexed="81"/>
            <rFont val="Tahoma"/>
            <family val="2"/>
          </rPr>
          <t xml:space="preserve">
changed from 11,461 to 11,344 wrt to document from Azim Javin (EE&amp;CC) dated 2/1/99. 11,344 represents the Net Heat Rate, Btu/kWh HHV at a 90 degree ambient temperature.</t>
        </r>
        <r>
          <rPr>
            <sz val="12"/>
            <color indexed="81"/>
            <rFont val="Tahoma"/>
            <family val="2"/>
          </rPr>
          <t xml:space="preserve">
</t>
        </r>
      </text>
    </comment>
    <comment ref="U12" authorId="2" shapeId="0">
      <text>
        <r>
          <rPr>
            <b/>
            <sz val="8"/>
            <color indexed="81"/>
            <rFont val="Tahoma"/>
          </rPr>
          <t>CITY RATE:
Sheetal J Bajoria x3-5692: 2/10/99 NEED VERIFICATION FROM Clay Spears</t>
        </r>
        <r>
          <rPr>
            <sz val="8"/>
            <color indexed="81"/>
            <rFont val="Tahoma"/>
          </rPr>
          <t xml:space="preserve">
</t>
        </r>
      </text>
    </comment>
    <comment ref="A13" authorId="0" shapeId="0">
      <text>
        <r>
          <rPr>
            <b/>
            <sz val="8"/>
            <color indexed="81"/>
            <rFont val="Tahoma"/>
          </rPr>
          <t xml:space="preserve">Uses of Funds:
</t>
        </r>
        <r>
          <rPr>
            <sz val="8"/>
            <color indexed="81"/>
            <rFont val="Tahoma"/>
            <family val="2"/>
          </rPr>
          <t xml:space="preserve">
All cost figures come from the Control Budget put together by the Accounting Dept.</t>
        </r>
      </text>
    </comment>
    <comment ref="G14" authorId="2" shapeId="0">
      <text>
        <r>
          <rPr>
            <b/>
            <sz val="8"/>
            <color indexed="81"/>
            <rFont val="Tahoma"/>
          </rPr>
          <t>ANNUAL PEAK OPERATING HOURS
Sheetal J Bajoria x3-5692:</t>
        </r>
        <r>
          <rPr>
            <sz val="8"/>
            <color indexed="81"/>
            <rFont val="Tahoma"/>
          </rPr>
          <t xml:space="preserve">
Based on document EE&amp;CC, Mike Nanny 12/22/98.  PROBABLY WILL BE MUCH LOWER THAN THIS. PROBABLY IN RANGE OF 750-1200. Unless the permits are changed.
Does not affect NPV</t>
        </r>
      </text>
    </comment>
    <comment ref="U14" authorId="2" shapeId="0">
      <text>
        <r>
          <rPr>
            <b/>
            <sz val="8"/>
            <color indexed="81"/>
            <rFont val="Tahoma"/>
          </rPr>
          <t>PROPERTY TAXES
Sheetal J Bajoria x3-5692:</t>
        </r>
        <r>
          <rPr>
            <sz val="8"/>
            <color indexed="81"/>
            <rFont val="Tahoma"/>
          </rPr>
          <t xml:space="preserve">
per the  "Real Property Lease Agreement" between Brownsville Power I, LLC and the Industrial Development Board of the City of Brownsville, Tennessee. Section  6.02.
This abatement is valid for 15  years.
The calculation after 15 years needs to checked and automated.</t>
        </r>
      </text>
    </comment>
    <comment ref="N21" authorId="2" shapeId="0">
      <text>
        <r>
          <rPr>
            <b/>
            <sz val="12"/>
            <color indexed="81"/>
            <rFont val="Tahoma"/>
            <family val="2"/>
          </rPr>
          <t xml:space="preserve">
PAYROLL AND BURDEN
Sheetal J Bajoria x3-5692, 1/27/99:
SE Peaking power projects, </t>
        </r>
        <r>
          <rPr>
            <sz val="12"/>
            <color indexed="81"/>
            <rFont val="Tahoma"/>
            <family val="2"/>
          </rPr>
          <t>O&amp;M Estimates, D Ehler,  B Scmitt, dated 1/22/99
was 428, now 465.69, based on 454 MW</t>
        </r>
      </text>
    </comment>
    <comment ref="N22" authorId="2" shapeId="0">
      <text>
        <r>
          <rPr>
            <sz val="10"/>
            <color indexed="81"/>
            <rFont val="Tahoma"/>
            <family val="2"/>
          </rPr>
          <t>OTHER O&amp;M EXPENSES
Sheetal J Bajoria x3-5692, 1/27/99:
SE Peaking power projects, O&amp;M Estimates, D Ehler,  B Scmitt, dated 1/22/99
was 230.changed to 235.76, calc based on 454</t>
        </r>
      </text>
    </comment>
    <comment ref="N25" authorId="2" shapeId="0">
      <text>
        <r>
          <rPr>
            <b/>
            <sz val="10"/>
            <color indexed="81"/>
            <rFont val="Tahoma"/>
            <family val="2"/>
          </rPr>
          <t xml:space="preserve">MANAGEMENT FEE
Sheetal J Bajoria x3-5692, 1/27/99:
SE Peaking power projects, </t>
        </r>
        <r>
          <rPr>
            <sz val="10"/>
            <color indexed="81"/>
            <rFont val="Tahoma"/>
            <family val="2"/>
          </rPr>
          <t>O&amp;M Estimates, D Ehler,  B Scmitt, dated 1/22/99
was 429, now 200. Based on 454 MW</t>
        </r>
      </text>
    </comment>
    <comment ref="C28" authorId="2" shapeId="0">
      <text>
        <r>
          <rPr>
            <b/>
            <sz val="8"/>
            <color indexed="81"/>
            <rFont val="Tahoma"/>
            <family val="2"/>
          </rPr>
          <t>SALES OF USE TAX ON EQUIPMENT</t>
        </r>
        <r>
          <rPr>
            <sz val="8"/>
            <color indexed="81"/>
            <rFont val="Tahoma"/>
            <family val="2"/>
          </rPr>
          <t xml:space="preserve">
</t>
        </r>
        <r>
          <rPr>
            <b/>
            <sz val="8"/>
            <color indexed="81"/>
            <rFont val="Tahoma"/>
            <family val="2"/>
          </rPr>
          <t xml:space="preserve">
Neil S-C; 3/31/99</t>
        </r>
        <r>
          <rPr>
            <sz val="8"/>
            <color indexed="81"/>
            <rFont val="Tahoma"/>
            <family val="2"/>
          </rPr>
          <t xml:space="preserve">
The Basis for this tax is all construction and non-manufacturing equipment.  We are assuming that Transformers are non-manufacturing and are abourt 5.8M
Sheetal J Bajoria x3-5692: Jan 29,99
Verified as per Capital Control Budget from Tammy Sheppard, Revision#11: 13,896
</t>
        </r>
      </text>
    </comment>
    <comment ref="I28" authorId="2" shapeId="0">
      <text>
        <r>
          <rPr>
            <b/>
            <sz val="8"/>
            <color indexed="81"/>
            <rFont val="Tahoma"/>
          </rPr>
          <t>2/10/99
Sheetal J Bajoria x3-5692:</t>
        </r>
        <r>
          <rPr>
            <sz val="8"/>
            <color indexed="81"/>
            <rFont val="Tahoma"/>
          </rPr>
          <t xml:space="preserve">
</t>
        </r>
      </text>
    </comment>
    <comment ref="N31" authorId="2" shapeId="0">
      <text>
        <r>
          <rPr>
            <b/>
            <sz val="10"/>
            <color indexed="81"/>
            <rFont val="Tahoma"/>
            <family val="2"/>
          </rPr>
          <t xml:space="preserve">LIABILITY INSURANCE
Sheetal J Bajoria x3-5692, </t>
        </r>
        <r>
          <rPr>
            <sz val="10"/>
            <color indexed="81"/>
            <rFont val="Tahoma"/>
            <family val="2"/>
          </rPr>
          <t>1/29/99:
wrt Email from Paul Clayton, CORP INSR, to Agatha Andraczke on 1/20/99.   Number based on corporate allocation of costs.
Was zero now 10</t>
        </r>
      </text>
    </comment>
    <comment ref="N32" authorId="2" shapeId="0">
      <text>
        <r>
          <rPr>
            <b/>
            <sz val="10"/>
            <color indexed="81"/>
            <rFont val="Tahoma"/>
            <family val="2"/>
          </rPr>
          <t>BUSINESS INTERUPTION INSURANCE
Neil S-C; 3/30/99</t>
        </r>
        <r>
          <rPr>
            <sz val="10"/>
            <color indexed="81"/>
            <rFont val="Tahoma"/>
            <family val="2"/>
          </rPr>
          <t xml:space="preserve">
Increased here a bit to reflect the estimates on the 1999 plants.</t>
        </r>
        <r>
          <rPr>
            <b/>
            <sz val="10"/>
            <color indexed="81"/>
            <rFont val="Tahoma"/>
            <family val="2"/>
          </rPr>
          <t xml:space="preserve">
Sheetal J Bajoria x3-5692, </t>
        </r>
        <r>
          <rPr>
            <sz val="10"/>
            <color indexed="81"/>
            <rFont val="Tahoma"/>
            <family val="2"/>
          </rPr>
          <t>1/29/99:
wrt Email from Paul Clayton, CORP INSR, to Agatha Andraczke on 1/20/99.   Number based on corporate allocation of costs.
Was 77 now 30</t>
        </r>
      </text>
    </comment>
    <comment ref="N33" authorId="2" shapeId="0">
      <text>
        <r>
          <rPr>
            <b/>
            <sz val="10"/>
            <color indexed="81"/>
            <rFont val="Tahoma"/>
            <family val="2"/>
          </rPr>
          <t>OPS. AND MACHINERT INSURANCE
Neil S-C; 3/30/99</t>
        </r>
        <r>
          <rPr>
            <sz val="10"/>
            <color indexed="81"/>
            <rFont val="Tahoma"/>
            <family val="2"/>
          </rPr>
          <t xml:space="preserve">
A small increase here to reflect estimates on the 1999's.  A rate of 0.128% if Replacement Value.</t>
        </r>
        <r>
          <rPr>
            <b/>
            <sz val="10"/>
            <color indexed="81"/>
            <rFont val="Tahoma"/>
            <family val="2"/>
          </rPr>
          <t xml:space="preserve">
Sheetal J Bajoria x3-5692, </t>
        </r>
        <r>
          <rPr>
            <sz val="10"/>
            <color indexed="81"/>
            <rFont val="Tahoma"/>
            <family val="2"/>
          </rPr>
          <t>1/29/99:
wrt Email from Paul Clayton, CORP INSR, to Agatha Andraczke on 1/20/99.   Number based on corporate allocation of costs. Was 125 now 180</t>
        </r>
      </text>
    </comment>
    <comment ref="I34" authorId="0" shapeId="0">
      <text>
        <r>
          <rPr>
            <b/>
            <sz val="8"/>
            <color indexed="81"/>
            <rFont val="Tahoma"/>
          </rPr>
          <t xml:space="preserve">Debt Structure:
</t>
        </r>
        <r>
          <rPr>
            <sz val="8"/>
            <color indexed="81"/>
            <rFont val="Tahoma"/>
            <family val="2"/>
          </rPr>
          <t xml:space="preserve">
The Alernate Strucure is based on the CSFB bond indenture and the Normal Structure is driven of of the Coverage Ratios.</t>
        </r>
      </text>
    </comment>
    <comment ref="N35" authorId="0" shapeId="0">
      <text>
        <r>
          <rPr>
            <b/>
            <sz val="8"/>
            <color indexed="81"/>
            <rFont val="Tahoma"/>
          </rPr>
          <t xml:space="preserve">UTILITIES:
</t>
        </r>
        <r>
          <rPr>
            <sz val="8"/>
            <color indexed="81"/>
            <rFont val="Tahoma"/>
            <family val="2"/>
          </rPr>
          <t xml:space="preserve">
Neil S-C, 3/2/99
Estimation comes from Brownsville.</t>
        </r>
      </text>
    </comment>
    <comment ref="N36" authorId="0" shapeId="0">
      <text>
        <r>
          <rPr>
            <b/>
            <sz val="8"/>
            <color indexed="81"/>
            <rFont val="Tahoma"/>
          </rPr>
          <t xml:space="preserve">UTILITIES:
</t>
        </r>
        <r>
          <rPr>
            <sz val="8"/>
            <color indexed="81"/>
            <rFont val="Tahoma"/>
            <family val="2"/>
          </rPr>
          <t xml:space="preserve">
Neil S-C, 3/2/99
Estimation comes from Brownsville.</t>
        </r>
      </text>
    </comment>
    <comment ref="F38" authorId="0" shapeId="0">
      <text>
        <r>
          <rPr>
            <b/>
            <sz val="8"/>
            <color indexed="81"/>
            <rFont val="Tahoma"/>
          </rPr>
          <t xml:space="preserve">Tranche A:
</t>
        </r>
        <r>
          <rPr>
            <sz val="8"/>
            <color indexed="81"/>
            <rFont val="Tahoma"/>
            <family val="2"/>
          </rPr>
          <t xml:space="preserve">
Used only for the Alternative Structure and is 16.2% of total debt based on the portfolio bond indenture.</t>
        </r>
      </text>
    </comment>
    <comment ref="G38" authorId="0" shapeId="0">
      <text>
        <r>
          <rPr>
            <b/>
            <sz val="8"/>
            <color indexed="81"/>
            <rFont val="Tahoma"/>
          </rPr>
          <t xml:space="preserve">Tranche B:
</t>
        </r>
        <r>
          <rPr>
            <sz val="8"/>
            <color indexed="81"/>
            <rFont val="Tahoma"/>
            <family val="2"/>
          </rPr>
          <t xml:space="preserve">
Used only for the Alternative Debt and is 30% of cost based on the portfolio structure in the consolidated model.</t>
        </r>
      </text>
    </comment>
    <comment ref="H38" authorId="0" shapeId="0">
      <text>
        <r>
          <rPr>
            <b/>
            <sz val="8"/>
            <color indexed="81"/>
            <rFont val="Tahoma"/>
          </rPr>
          <t xml:space="preserve">Tranche C:
</t>
        </r>
        <r>
          <rPr>
            <sz val="8"/>
            <color indexed="81"/>
            <rFont val="Tahoma"/>
            <family val="2"/>
          </rPr>
          <t xml:space="preserve">
Used only for the Alternative Structure and assumes 54.2% of total debt based on portfolio.  See consolidated model.</t>
        </r>
      </text>
    </comment>
    <comment ref="I38" authorId="0" shapeId="0">
      <text>
        <r>
          <rPr>
            <b/>
            <sz val="8"/>
            <color indexed="81"/>
            <rFont val="Tahoma"/>
          </rPr>
          <t xml:space="preserve">Debt:
</t>
        </r>
        <r>
          <rPr>
            <sz val="8"/>
            <color indexed="81"/>
            <rFont val="Tahoma"/>
            <family val="2"/>
          </rPr>
          <t xml:space="preserve">
Backed into this in an attempt to leverage 75% based on the CSFB degt offering.  As project cost changes though this will change.</t>
        </r>
      </text>
    </comment>
    <comment ref="N38" authorId="0" shapeId="0">
      <text>
        <r>
          <rPr>
            <b/>
            <sz val="8"/>
            <color indexed="81"/>
            <rFont val="Tahoma"/>
          </rPr>
          <t>GAS PIPELINE METERING:
Neil S-C:  3/15/99</t>
        </r>
        <r>
          <rPr>
            <sz val="8"/>
            <color indexed="81"/>
            <rFont val="Tahoma"/>
            <family val="2"/>
          </rPr>
          <t xml:space="preserve">
Kevin Presto's Group</t>
        </r>
      </text>
    </comment>
    <comment ref="C40" authorId="0" shapeId="0">
      <text>
        <r>
          <rPr>
            <b/>
            <sz val="8"/>
            <color indexed="81"/>
            <rFont val="Tahoma"/>
          </rPr>
          <t xml:space="preserve">Total Expensed Cost:
</t>
        </r>
        <r>
          <rPr>
            <sz val="8"/>
            <color indexed="81"/>
            <rFont val="Tahoma"/>
            <family val="2"/>
          </rPr>
          <t xml:space="preserve">
This is not capitalized but expensed in the first year.</t>
        </r>
      </text>
    </comment>
    <comment ref="C41" authorId="0" shapeId="0">
      <text>
        <r>
          <rPr>
            <b/>
            <sz val="8"/>
            <color indexed="81"/>
            <rFont val="Tahoma"/>
          </rPr>
          <t>Petersburg Expenses:</t>
        </r>
        <r>
          <rPr>
            <sz val="8"/>
            <color indexed="81"/>
            <rFont val="Tahoma"/>
            <family val="2"/>
          </rPr>
          <t xml:space="preserve">
These are not capitalized and are expensed in the first day.</t>
        </r>
      </text>
    </comment>
    <comment ref="B53" authorId="0" shapeId="0">
      <text>
        <r>
          <rPr>
            <b/>
            <sz val="8"/>
            <color indexed="81"/>
            <rFont val="Tahoma"/>
          </rPr>
          <t xml:space="preserve">IDC Rate:
Neil S-C: 2/16/99
</t>
        </r>
        <r>
          <rPr>
            <sz val="8"/>
            <color indexed="81"/>
            <rFont val="Tahoma"/>
            <family val="2"/>
          </rPr>
          <t xml:space="preserve">
Enron Capital &amp; Trade Resources confirmation memo to Rodney Malcom for Swap Transaction Deal No. M140023</t>
        </r>
      </text>
    </comment>
    <comment ref="C53" authorId="0" shapeId="0">
      <text>
        <r>
          <rPr>
            <b/>
            <sz val="8"/>
            <color indexed="81"/>
            <rFont val="Tahoma"/>
          </rPr>
          <t xml:space="preserve">IDC:
</t>
        </r>
        <r>
          <rPr>
            <sz val="8"/>
            <color indexed="81"/>
            <rFont val="Tahoma"/>
            <family val="2"/>
          </rPr>
          <t xml:space="preserve">
The IDC is not calculated by this model though the model has the capability.  This comes directly from the control budgets and is a sum total of the Interest SWAP, IDC, and Commitment Fee</t>
        </r>
      </text>
    </comment>
    <comment ref="C60" authorId="0" shapeId="0">
      <text>
        <r>
          <rPr>
            <b/>
            <sz val="8"/>
            <color indexed="81"/>
            <rFont val="Tahoma"/>
          </rPr>
          <t>nsainsb:</t>
        </r>
        <r>
          <rPr>
            <sz val="8"/>
            <color indexed="81"/>
            <rFont val="Tahoma"/>
          </rPr>
          <t xml:space="preserve">
</t>
        </r>
      </text>
    </comment>
    <comment ref="N61" authorId="0" shapeId="0">
      <text>
        <r>
          <rPr>
            <b/>
            <sz val="8"/>
            <color indexed="81"/>
            <rFont val="Tahoma"/>
          </rPr>
          <t xml:space="preserve">START-UP FUEL MMBTU
</t>
        </r>
        <r>
          <rPr>
            <sz val="8"/>
            <color indexed="81"/>
            <rFont val="Tahoma"/>
            <family val="2"/>
          </rPr>
          <t xml:space="preserve">
Neil S-C
Same as Brownsville.  The cost is not reflected in the model as it is a true pass through and not reflected in the consolidated model.</t>
        </r>
      </text>
    </comment>
    <comment ref="N65" authorId="2" shapeId="0">
      <text>
        <r>
          <rPr>
            <b/>
            <sz val="8"/>
            <color indexed="81"/>
            <rFont val="Tahoma"/>
          </rPr>
          <t>STATE INCOME TAX RATE
Sheetal J Bajoria x3-5692:</t>
        </r>
        <r>
          <rPr>
            <sz val="8"/>
            <color indexed="81"/>
            <rFont val="Tahoma"/>
          </rPr>
          <t xml:space="preserve">
2/10/99 : PER MEMO From PAT MALOY TO Clay spears dated 6/29/98 wrt. TN taxes. The state income tax rate was changed from 5% (in Bryans model as of 1/25/99) to 6%.</t>
        </r>
      </text>
    </comment>
    <comment ref="N68" authorId="0" shapeId="0">
      <text>
        <r>
          <rPr>
            <b/>
            <sz val="8"/>
            <color indexed="81"/>
            <rFont val="Tahoma"/>
          </rPr>
          <t xml:space="preserve">ADJUSTED GROSS INCOME TAX:
Neil S-C; 3/17/99
</t>
        </r>
        <r>
          <rPr>
            <sz val="8"/>
            <color indexed="81"/>
            <rFont val="Tahoma"/>
            <family val="2"/>
          </rPr>
          <t>This is a liability only if greater than the Gross Receipts Tax.</t>
        </r>
      </text>
    </comment>
    <comment ref="N69" authorId="2" shapeId="0">
      <text>
        <r>
          <rPr>
            <b/>
            <sz val="8"/>
            <color indexed="81"/>
            <rFont val="Tahoma"/>
            <family val="2"/>
          </rPr>
          <t>STATE GROSS RECEIPTS TAX RATE ON GROSS REVENUE</t>
        </r>
        <r>
          <rPr>
            <sz val="8"/>
            <color indexed="81"/>
            <rFont val="Tahoma"/>
            <family val="2"/>
          </rPr>
          <t xml:space="preserve">
</t>
        </r>
        <r>
          <rPr>
            <sz val="8"/>
            <color indexed="81"/>
            <rFont val="Tahoma"/>
          </rPr>
          <t>Neil S-C; 3817/99
This is a Liability only if it is greater than the Adjusted Gross Income Tax.</t>
        </r>
      </text>
    </comment>
    <comment ref="N70" authorId="2" shapeId="0">
      <text>
        <r>
          <rPr>
            <b/>
            <sz val="8"/>
            <color indexed="81"/>
            <rFont val="Tahoma"/>
            <family val="2"/>
          </rPr>
          <t xml:space="preserve">STATE FRANCHISE TAX RATE ON CAPITAL </t>
        </r>
        <r>
          <rPr>
            <sz val="8"/>
            <color indexed="81"/>
            <rFont val="Tahoma"/>
            <family val="2"/>
          </rPr>
          <t xml:space="preserve">
Sheetal J Bajoria x3-5692: 2/2/99:
Per memo from Patrick Maloy to Clay Spears wrt taxes in TN, DATED 6/29/98</t>
        </r>
        <r>
          <rPr>
            <b/>
            <sz val="8"/>
            <color indexed="81"/>
            <rFont val="Tahoma"/>
          </rPr>
          <t xml:space="preserve">
</t>
        </r>
        <r>
          <rPr>
            <sz val="8"/>
            <color indexed="81"/>
            <rFont val="Tahoma"/>
          </rPr>
          <t xml:space="preserve">
Pay greater of 
(state util gross rec) or  (excise util + Franchise ) </t>
        </r>
      </text>
    </comment>
    <comment ref="N71" authorId="2" shapeId="0">
      <text>
        <r>
          <rPr>
            <sz val="8"/>
            <color indexed="81"/>
            <rFont val="Tahoma"/>
            <family val="2"/>
          </rPr>
          <t>STATE SALES AND USE TAS RATE ON FUEL:
Sheetal J Bajoria x3-5692: 2/2/99:
Per memo from Patrick Maloy to Clay Spears wrt taxes in TN, dated 6.29.98.</t>
        </r>
        <r>
          <rPr>
            <b/>
            <sz val="8"/>
            <color indexed="81"/>
            <rFont val="Tahoma"/>
          </rPr>
          <t xml:space="preserve">
Gas used in power production is exempt from Sales and use tax.</t>
        </r>
        <r>
          <rPr>
            <sz val="8"/>
            <color indexed="81"/>
            <rFont val="Tahoma"/>
          </rPr>
          <t xml:space="preserve">
</t>
        </r>
      </text>
    </comment>
  </commentList>
</comments>
</file>

<file path=xl/comments2.xml><?xml version="1.0" encoding="utf-8"?>
<comments xmlns="http://schemas.openxmlformats.org/spreadsheetml/2006/main">
  <authors>
    <author>Bryan Garrett</author>
    <author>Sheetal J Bajoria x3-5692</author>
    <author>nsainsb</author>
  </authors>
  <commentList>
    <comment ref="C22" authorId="0" shapeId="0">
      <text>
        <r>
          <rPr>
            <b/>
            <sz val="8"/>
            <color indexed="81"/>
            <rFont val="Tahoma"/>
          </rPr>
          <t>Bryan Garrett:</t>
        </r>
        <r>
          <rPr>
            <sz val="8"/>
            <color indexed="81"/>
            <rFont val="Tahoma"/>
          </rPr>
          <t xml:space="preserve">
This is lower because you have only a partial year's costs vs a full year's MWh output (this is due to the fact that the plant only runs during summer months.</t>
        </r>
      </text>
    </comment>
    <comment ref="B65" authorId="1" shapeId="0">
      <text>
        <r>
          <rPr>
            <b/>
            <sz val="8"/>
            <color indexed="81"/>
            <rFont val="Tahoma"/>
          </rPr>
          <t xml:space="preserve">
Sheetal J Bajoria x3-5692:</t>
        </r>
        <r>
          <rPr>
            <sz val="8"/>
            <color indexed="81"/>
            <rFont val="Tahoma"/>
          </rPr>
          <t xml:space="preserve">
`</t>
        </r>
      </text>
    </comment>
    <comment ref="A70" authorId="1" shapeId="0">
      <text>
        <r>
          <rPr>
            <b/>
            <sz val="8"/>
            <color indexed="81"/>
            <rFont val="Tahoma"/>
          </rPr>
          <t>Sheetal J Bajoria x3-5692:</t>
        </r>
        <r>
          <rPr>
            <sz val="8"/>
            <color indexed="81"/>
            <rFont val="Tahoma"/>
          </rPr>
          <t xml:space="preserve">
from ICF kaisiser presentationn dated Sept 23, 98, ppage 36,</t>
        </r>
      </text>
    </comment>
    <comment ref="A71" authorId="1" shapeId="0">
      <text>
        <r>
          <rPr>
            <b/>
            <sz val="8"/>
            <color indexed="81"/>
            <rFont val="Tahoma"/>
          </rPr>
          <t>Sheetal J Bajoria x3-5692:</t>
        </r>
        <r>
          <rPr>
            <sz val="8"/>
            <color indexed="81"/>
            <rFont val="Tahoma"/>
          </rPr>
          <t xml:space="preserve">
from ICF kaisiser presentationn dated Sept 23, 98, ppage 36,</t>
        </r>
      </text>
    </comment>
    <comment ref="A79" authorId="2" shapeId="0">
      <text>
        <r>
          <rPr>
            <b/>
            <sz val="8"/>
            <color indexed="81"/>
            <rFont val="Tahoma"/>
          </rPr>
          <t xml:space="preserve">Energy Curve:
Neil S-C, 2/17/99
</t>
        </r>
        <r>
          <rPr>
            <sz val="8"/>
            <color indexed="81"/>
            <rFont val="Tahoma"/>
            <family val="2"/>
          </rPr>
          <t>From the ICF Kaiser Market Assessment of TVA dated 9/23/98</t>
        </r>
      </text>
    </comment>
    <comment ref="A80" authorId="2" shapeId="0">
      <text>
        <r>
          <rPr>
            <b/>
            <sz val="8"/>
            <color indexed="81"/>
            <rFont val="Tahoma"/>
          </rPr>
          <t xml:space="preserve">Energy Curve:
Neil S-C, 2/17/99
</t>
        </r>
        <r>
          <rPr>
            <sz val="8"/>
            <color indexed="81"/>
            <rFont val="Tahoma"/>
            <family val="2"/>
          </rPr>
          <t>From the ICF Kaiser Market Assessment of TVA dated 9/23/98</t>
        </r>
      </text>
    </comment>
  </commentList>
</comments>
</file>

<file path=xl/comments3.xml><?xml version="1.0" encoding="utf-8"?>
<comments xmlns="http://schemas.openxmlformats.org/spreadsheetml/2006/main">
  <authors>
    <author>Bryan Garrett</author>
  </authors>
  <commentList>
    <comment ref="C27" authorId="0" shapeId="0">
      <text>
        <r>
          <rPr>
            <b/>
            <sz val="8"/>
            <color indexed="81"/>
            <rFont val="Tahoma"/>
          </rPr>
          <t>Bryan Garrett:
Must be linked to the dispatch line in the consolidated model or must insert a line for dispatch run hours.</t>
        </r>
        <r>
          <rPr>
            <sz val="8"/>
            <color indexed="81"/>
            <rFont val="Tahoma"/>
          </rPr>
          <t xml:space="preserve">
</t>
        </r>
      </text>
    </comment>
  </commentList>
</comments>
</file>

<file path=xl/comments4.xml><?xml version="1.0" encoding="utf-8"?>
<comments xmlns="http://schemas.openxmlformats.org/spreadsheetml/2006/main">
  <authors>
    <author>Sheetal J Bajoria x3-5692</author>
  </authors>
  <commentList>
    <comment ref="D14" authorId="0" shapeId="0">
      <text>
        <r>
          <rPr>
            <b/>
            <sz val="8"/>
            <color indexed="81"/>
            <rFont val="Tahoma"/>
          </rPr>
          <t>Sheetal J Bajoria x3-5692:</t>
        </r>
        <r>
          <rPr>
            <sz val="8"/>
            <color indexed="81"/>
            <rFont val="Tahoma"/>
          </rPr>
          <t xml:space="preserve">
changed to add interest incomre</t>
        </r>
      </text>
    </comment>
    <comment ref="E14" authorId="0" shapeId="0">
      <text>
        <r>
          <rPr>
            <b/>
            <sz val="8"/>
            <color indexed="81"/>
            <rFont val="Tahoma"/>
          </rPr>
          <t>Sheetal J Bajoria x3-5692:</t>
        </r>
        <r>
          <rPr>
            <sz val="8"/>
            <color indexed="81"/>
            <rFont val="Tahoma"/>
          </rPr>
          <t xml:space="preserve">
changed to add interest incomre</t>
        </r>
      </text>
    </comment>
    <comment ref="F14" authorId="0" shapeId="0">
      <text>
        <r>
          <rPr>
            <b/>
            <sz val="8"/>
            <color indexed="81"/>
            <rFont val="Tahoma"/>
          </rPr>
          <t>Sheetal J Bajoria x3-5692:</t>
        </r>
        <r>
          <rPr>
            <sz val="8"/>
            <color indexed="81"/>
            <rFont val="Tahoma"/>
          </rPr>
          <t xml:space="preserve">
changed to add interest incomre</t>
        </r>
      </text>
    </comment>
    <comment ref="G14" authorId="0" shapeId="0">
      <text>
        <r>
          <rPr>
            <b/>
            <sz val="8"/>
            <color indexed="81"/>
            <rFont val="Tahoma"/>
          </rPr>
          <t>Sheetal J Bajoria x3-5692:</t>
        </r>
        <r>
          <rPr>
            <sz val="8"/>
            <color indexed="81"/>
            <rFont val="Tahoma"/>
          </rPr>
          <t xml:space="preserve">
changed to add interest incomre</t>
        </r>
      </text>
    </comment>
    <comment ref="H14" authorId="0" shapeId="0">
      <text>
        <r>
          <rPr>
            <b/>
            <sz val="8"/>
            <color indexed="81"/>
            <rFont val="Tahoma"/>
          </rPr>
          <t>Sheetal J Bajoria x3-5692:</t>
        </r>
        <r>
          <rPr>
            <sz val="8"/>
            <color indexed="81"/>
            <rFont val="Tahoma"/>
          </rPr>
          <t xml:space="preserve">
changed to add interest incomre</t>
        </r>
      </text>
    </comment>
    <comment ref="I14" authorId="0" shapeId="0">
      <text>
        <r>
          <rPr>
            <b/>
            <sz val="8"/>
            <color indexed="81"/>
            <rFont val="Tahoma"/>
          </rPr>
          <t>Sheetal J Bajoria x3-5692:</t>
        </r>
        <r>
          <rPr>
            <sz val="8"/>
            <color indexed="81"/>
            <rFont val="Tahoma"/>
          </rPr>
          <t xml:space="preserve">
changed to add interest incomre</t>
        </r>
      </text>
    </comment>
    <comment ref="J14" authorId="0" shapeId="0">
      <text>
        <r>
          <rPr>
            <b/>
            <sz val="8"/>
            <color indexed="81"/>
            <rFont val="Tahoma"/>
          </rPr>
          <t>Sheetal J Bajoria x3-5692:</t>
        </r>
        <r>
          <rPr>
            <sz val="8"/>
            <color indexed="81"/>
            <rFont val="Tahoma"/>
          </rPr>
          <t xml:space="preserve">
changed to add interest incomre</t>
        </r>
      </text>
    </comment>
    <comment ref="K14" authorId="0" shapeId="0">
      <text>
        <r>
          <rPr>
            <b/>
            <sz val="8"/>
            <color indexed="81"/>
            <rFont val="Tahoma"/>
          </rPr>
          <t>Sheetal J Bajoria x3-5692:</t>
        </r>
        <r>
          <rPr>
            <sz val="8"/>
            <color indexed="81"/>
            <rFont val="Tahoma"/>
          </rPr>
          <t xml:space="preserve">
changed to add interest incomre</t>
        </r>
      </text>
    </comment>
    <comment ref="L14" authorId="0" shapeId="0">
      <text>
        <r>
          <rPr>
            <b/>
            <sz val="8"/>
            <color indexed="81"/>
            <rFont val="Tahoma"/>
          </rPr>
          <t>Sheetal J Bajoria x3-5692:</t>
        </r>
        <r>
          <rPr>
            <sz val="8"/>
            <color indexed="81"/>
            <rFont val="Tahoma"/>
          </rPr>
          <t xml:space="preserve">
changed to add interest incomre</t>
        </r>
      </text>
    </comment>
    <comment ref="M14" authorId="0" shapeId="0">
      <text>
        <r>
          <rPr>
            <b/>
            <sz val="8"/>
            <color indexed="81"/>
            <rFont val="Tahoma"/>
          </rPr>
          <t>Sheetal J Bajoria x3-5692:</t>
        </r>
        <r>
          <rPr>
            <sz val="8"/>
            <color indexed="81"/>
            <rFont val="Tahoma"/>
          </rPr>
          <t xml:space="preserve">
changed to add interest incomre</t>
        </r>
      </text>
    </comment>
    <comment ref="N14" authorId="0" shapeId="0">
      <text>
        <r>
          <rPr>
            <b/>
            <sz val="8"/>
            <color indexed="81"/>
            <rFont val="Tahoma"/>
          </rPr>
          <t>Sheetal J Bajoria x3-5692:</t>
        </r>
        <r>
          <rPr>
            <sz val="8"/>
            <color indexed="81"/>
            <rFont val="Tahoma"/>
          </rPr>
          <t xml:space="preserve">
changed to add interest incomre</t>
        </r>
      </text>
    </comment>
    <comment ref="O14" authorId="0" shapeId="0">
      <text>
        <r>
          <rPr>
            <b/>
            <sz val="8"/>
            <color indexed="81"/>
            <rFont val="Tahoma"/>
          </rPr>
          <t>Sheetal J Bajoria x3-5692:</t>
        </r>
        <r>
          <rPr>
            <sz val="8"/>
            <color indexed="81"/>
            <rFont val="Tahoma"/>
          </rPr>
          <t xml:space="preserve">
changed to add interest incomre</t>
        </r>
      </text>
    </comment>
    <comment ref="P14" authorId="0" shapeId="0">
      <text>
        <r>
          <rPr>
            <b/>
            <sz val="8"/>
            <color indexed="81"/>
            <rFont val="Tahoma"/>
          </rPr>
          <t>Sheetal J Bajoria x3-5692:</t>
        </r>
        <r>
          <rPr>
            <sz val="8"/>
            <color indexed="81"/>
            <rFont val="Tahoma"/>
          </rPr>
          <t xml:space="preserve">
changed to add interest incomre</t>
        </r>
      </text>
    </comment>
    <comment ref="Q14" authorId="0" shapeId="0">
      <text>
        <r>
          <rPr>
            <b/>
            <sz val="8"/>
            <color indexed="81"/>
            <rFont val="Tahoma"/>
          </rPr>
          <t>Sheetal J Bajoria x3-5692:</t>
        </r>
        <r>
          <rPr>
            <sz val="8"/>
            <color indexed="81"/>
            <rFont val="Tahoma"/>
          </rPr>
          <t xml:space="preserve">
changed to add interest incomre</t>
        </r>
      </text>
    </comment>
    <comment ref="R14" authorId="0" shapeId="0">
      <text>
        <r>
          <rPr>
            <b/>
            <sz val="8"/>
            <color indexed="81"/>
            <rFont val="Tahoma"/>
          </rPr>
          <t>Sheetal J Bajoria x3-5692:</t>
        </r>
        <r>
          <rPr>
            <sz val="8"/>
            <color indexed="81"/>
            <rFont val="Tahoma"/>
          </rPr>
          <t xml:space="preserve">
changed to add interest incomre</t>
        </r>
      </text>
    </comment>
    <comment ref="S14" authorId="0" shapeId="0">
      <text>
        <r>
          <rPr>
            <b/>
            <sz val="8"/>
            <color indexed="81"/>
            <rFont val="Tahoma"/>
          </rPr>
          <t>Sheetal J Bajoria x3-5692:</t>
        </r>
        <r>
          <rPr>
            <sz val="8"/>
            <color indexed="81"/>
            <rFont val="Tahoma"/>
          </rPr>
          <t xml:space="preserve">
changed to add interest incomre</t>
        </r>
      </text>
    </comment>
    <comment ref="T14" authorId="0" shapeId="0">
      <text>
        <r>
          <rPr>
            <b/>
            <sz val="8"/>
            <color indexed="81"/>
            <rFont val="Tahoma"/>
          </rPr>
          <t>Sheetal J Bajoria x3-5692:</t>
        </r>
        <r>
          <rPr>
            <sz val="8"/>
            <color indexed="81"/>
            <rFont val="Tahoma"/>
          </rPr>
          <t xml:space="preserve">
changed to add interest incomre</t>
        </r>
      </text>
    </comment>
    <comment ref="U14" authorId="0" shapeId="0">
      <text>
        <r>
          <rPr>
            <b/>
            <sz val="8"/>
            <color indexed="81"/>
            <rFont val="Tahoma"/>
          </rPr>
          <t>Sheetal J Bajoria x3-5692:</t>
        </r>
        <r>
          <rPr>
            <sz val="8"/>
            <color indexed="81"/>
            <rFont val="Tahoma"/>
          </rPr>
          <t xml:space="preserve">
changed to add interest incomre</t>
        </r>
      </text>
    </comment>
    <comment ref="V14" authorId="0" shapeId="0">
      <text>
        <r>
          <rPr>
            <b/>
            <sz val="8"/>
            <color indexed="81"/>
            <rFont val="Tahoma"/>
          </rPr>
          <t>Sheetal J Bajoria x3-5692:</t>
        </r>
        <r>
          <rPr>
            <sz val="8"/>
            <color indexed="81"/>
            <rFont val="Tahoma"/>
          </rPr>
          <t xml:space="preserve">
changed to add interest incomre</t>
        </r>
      </text>
    </comment>
    <comment ref="W14" authorId="0" shapeId="0">
      <text>
        <r>
          <rPr>
            <b/>
            <sz val="8"/>
            <color indexed="81"/>
            <rFont val="Tahoma"/>
          </rPr>
          <t>Sheetal J Bajoria x3-5692:</t>
        </r>
        <r>
          <rPr>
            <sz val="8"/>
            <color indexed="81"/>
            <rFont val="Tahoma"/>
          </rPr>
          <t xml:space="preserve">
changed to add interest incomre</t>
        </r>
      </text>
    </comment>
    <comment ref="X14" authorId="0" shapeId="0">
      <text>
        <r>
          <rPr>
            <b/>
            <sz val="8"/>
            <color indexed="81"/>
            <rFont val="Tahoma"/>
          </rPr>
          <t>Sheetal J Bajoria x3-5692:</t>
        </r>
        <r>
          <rPr>
            <sz val="8"/>
            <color indexed="81"/>
            <rFont val="Tahoma"/>
          </rPr>
          <t xml:space="preserve">
changed to add interest incomre</t>
        </r>
      </text>
    </comment>
    <comment ref="Y14" authorId="0" shapeId="0">
      <text>
        <r>
          <rPr>
            <b/>
            <sz val="8"/>
            <color indexed="81"/>
            <rFont val="Tahoma"/>
          </rPr>
          <t>Sheetal J Bajoria x3-5692:</t>
        </r>
        <r>
          <rPr>
            <sz val="8"/>
            <color indexed="81"/>
            <rFont val="Tahoma"/>
          </rPr>
          <t xml:space="preserve">
changed to add interest incomre</t>
        </r>
      </text>
    </comment>
    <comment ref="Z14" authorId="0" shapeId="0">
      <text>
        <r>
          <rPr>
            <b/>
            <sz val="8"/>
            <color indexed="81"/>
            <rFont val="Tahoma"/>
          </rPr>
          <t>Sheetal J Bajoria x3-5692:</t>
        </r>
        <r>
          <rPr>
            <sz val="8"/>
            <color indexed="81"/>
            <rFont val="Tahoma"/>
          </rPr>
          <t xml:space="preserve">
changed to add interest incomre</t>
        </r>
      </text>
    </comment>
    <comment ref="AA14" authorId="0" shapeId="0">
      <text>
        <r>
          <rPr>
            <b/>
            <sz val="8"/>
            <color indexed="81"/>
            <rFont val="Tahoma"/>
          </rPr>
          <t>Sheetal J Bajoria x3-5692:</t>
        </r>
        <r>
          <rPr>
            <sz val="8"/>
            <color indexed="81"/>
            <rFont val="Tahoma"/>
          </rPr>
          <t xml:space="preserve">
changed to add interest incomre</t>
        </r>
      </text>
    </comment>
    <comment ref="AB14" authorId="0" shapeId="0">
      <text>
        <r>
          <rPr>
            <b/>
            <sz val="8"/>
            <color indexed="81"/>
            <rFont val="Tahoma"/>
          </rPr>
          <t>Sheetal J Bajoria x3-5692:</t>
        </r>
        <r>
          <rPr>
            <sz val="8"/>
            <color indexed="81"/>
            <rFont val="Tahoma"/>
          </rPr>
          <t xml:space="preserve">
changed to add interest incomre</t>
        </r>
      </text>
    </comment>
    <comment ref="AC14" authorId="0" shapeId="0">
      <text>
        <r>
          <rPr>
            <b/>
            <sz val="8"/>
            <color indexed="81"/>
            <rFont val="Tahoma"/>
          </rPr>
          <t>Sheetal J Bajoria x3-5692:</t>
        </r>
        <r>
          <rPr>
            <sz val="8"/>
            <color indexed="81"/>
            <rFont val="Tahoma"/>
          </rPr>
          <t xml:space="preserve">
changed to add interest incomre</t>
        </r>
      </text>
    </comment>
    <comment ref="AD14" authorId="0" shapeId="0">
      <text>
        <r>
          <rPr>
            <b/>
            <sz val="8"/>
            <color indexed="81"/>
            <rFont val="Tahoma"/>
          </rPr>
          <t>Sheetal J Bajoria x3-5692:</t>
        </r>
        <r>
          <rPr>
            <sz val="8"/>
            <color indexed="81"/>
            <rFont val="Tahoma"/>
          </rPr>
          <t xml:space="preserve">
changed to add interest incomre</t>
        </r>
      </text>
    </comment>
    <comment ref="AE14" authorId="0" shapeId="0">
      <text>
        <r>
          <rPr>
            <b/>
            <sz val="8"/>
            <color indexed="81"/>
            <rFont val="Tahoma"/>
          </rPr>
          <t>Sheetal J Bajoria x3-5692:</t>
        </r>
        <r>
          <rPr>
            <sz val="8"/>
            <color indexed="81"/>
            <rFont val="Tahoma"/>
          </rPr>
          <t xml:space="preserve">
changed to add interest incomre</t>
        </r>
      </text>
    </comment>
    <comment ref="AF14" authorId="0" shapeId="0">
      <text>
        <r>
          <rPr>
            <b/>
            <sz val="8"/>
            <color indexed="81"/>
            <rFont val="Tahoma"/>
          </rPr>
          <t>Sheetal J Bajoria x3-5692:</t>
        </r>
        <r>
          <rPr>
            <sz val="8"/>
            <color indexed="81"/>
            <rFont val="Tahoma"/>
          </rPr>
          <t xml:space="preserve">
changed to add interest incomre</t>
        </r>
      </text>
    </comment>
    <comment ref="AG14" authorId="0" shapeId="0">
      <text>
        <r>
          <rPr>
            <b/>
            <sz val="8"/>
            <color indexed="81"/>
            <rFont val="Tahoma"/>
          </rPr>
          <t>Sheetal J Bajoria x3-5692:</t>
        </r>
        <r>
          <rPr>
            <sz val="8"/>
            <color indexed="81"/>
            <rFont val="Tahoma"/>
          </rPr>
          <t xml:space="preserve">
changed to add interest incomre</t>
        </r>
      </text>
    </comment>
    <comment ref="A20" authorId="0" shapeId="0">
      <text>
        <r>
          <rPr>
            <b/>
            <sz val="8"/>
            <color indexed="81"/>
            <rFont val="Tahoma"/>
          </rPr>
          <t>Sheetal J Bajoria x3-5692:</t>
        </r>
        <r>
          <rPr>
            <sz val="8"/>
            <color indexed="81"/>
            <rFont val="Tahoma"/>
          </rPr>
          <t xml:space="preserve">
CHANGED FORMULA</t>
        </r>
      </text>
    </comment>
    <comment ref="D20" authorId="0" shapeId="0">
      <text>
        <r>
          <rPr>
            <b/>
            <sz val="8"/>
            <color indexed="81"/>
            <rFont val="Tahoma"/>
          </rPr>
          <t>Sheetal J Bajoria x3-5692:</t>
        </r>
        <r>
          <rPr>
            <sz val="8"/>
            <color indexed="81"/>
            <rFont val="Tahoma"/>
          </rPr>
          <t xml:space="preserve">
chca</t>
        </r>
      </text>
    </comment>
  </commentList>
</comments>
</file>

<file path=xl/comments5.xml><?xml version="1.0" encoding="utf-8"?>
<comments xmlns="http://schemas.openxmlformats.org/spreadsheetml/2006/main">
  <authors>
    <author>Sheetal J Bajoria x3-5692</author>
  </authors>
  <commentList>
    <comment ref="A13" authorId="0" shapeId="0">
      <text>
        <r>
          <rPr>
            <b/>
            <sz val="8"/>
            <color indexed="81"/>
            <rFont val="Tahoma"/>
          </rPr>
          <t xml:space="preserve">Sheetal J Bajoria x3-5692:
</t>
        </r>
        <r>
          <rPr>
            <sz val="8"/>
            <color indexed="81"/>
            <rFont val="Tahoma"/>
          </rPr>
          <t xml:space="preserve">
CHANGED FROM GROSS RECEIPTS ON TOTAL REVENUE.</t>
        </r>
      </text>
    </comment>
  </commentList>
</comments>
</file>

<file path=xl/comments6.xml><?xml version="1.0" encoding="utf-8"?>
<comments xmlns="http://schemas.openxmlformats.org/spreadsheetml/2006/main">
  <authors>
    <author>bgarret</author>
    <author>nsainsb</author>
  </authors>
  <commentList>
    <comment ref="B34" authorId="0" shapeId="0">
      <text>
        <r>
          <rPr>
            <b/>
            <sz val="8"/>
            <color indexed="81"/>
            <rFont val="Tahoma"/>
          </rPr>
          <t>bgarret:</t>
        </r>
        <r>
          <rPr>
            <sz val="8"/>
            <color indexed="81"/>
            <rFont val="Tahoma"/>
          </rPr>
          <t xml:space="preserve">
should vary with term of debt.
</t>
        </r>
      </text>
    </comment>
    <comment ref="D49" authorId="1" shapeId="0">
      <text>
        <r>
          <rPr>
            <b/>
            <sz val="8"/>
            <color indexed="81"/>
            <rFont val="Tahoma"/>
          </rPr>
          <t>This is a CWIP rate as this appraisal will be done on 12/99 or mid construction.  Warren Scheck</t>
        </r>
      </text>
    </comment>
    <comment ref="E49" authorId="1" shapeId="0">
      <text>
        <r>
          <rPr>
            <b/>
            <sz val="8"/>
            <color indexed="81"/>
            <rFont val="Tahoma"/>
          </rPr>
          <t>Utilities are given the same consideration under the POOL schedules for the 1st year only.  Warren Schick</t>
        </r>
      </text>
    </comment>
  </commentList>
</comments>
</file>

<file path=xl/comments7.xml><?xml version="1.0" encoding="utf-8"?>
<comments xmlns="http://schemas.openxmlformats.org/spreadsheetml/2006/main">
  <authors>
    <author>nsainsb</author>
  </authors>
  <commentList>
    <comment ref="A12" authorId="0" shapeId="0">
      <text>
        <r>
          <rPr>
            <b/>
            <sz val="8"/>
            <color indexed="81"/>
            <rFont val="Tahoma"/>
          </rPr>
          <t xml:space="preserve">Estimated Maintenance Cost:
</t>
        </r>
        <r>
          <rPr>
            <sz val="8"/>
            <color indexed="81"/>
            <rFont val="Tahoma"/>
            <family val="2"/>
          </rPr>
          <t xml:space="preserve">
This comes directly from the vender recommended repair and replace schedules provided by the OEC</t>
        </r>
      </text>
    </comment>
  </commentList>
</comments>
</file>

<file path=xl/sharedStrings.xml><?xml version="1.0" encoding="utf-8"?>
<sst xmlns="http://schemas.openxmlformats.org/spreadsheetml/2006/main" count="1487" uniqueCount="714">
  <si>
    <t>Years</t>
  </si>
  <si>
    <t>Power Capacity Factor</t>
  </si>
  <si>
    <t>EBITDA</t>
  </si>
  <si>
    <t>EBIT</t>
  </si>
  <si>
    <t>EBT</t>
  </si>
  <si>
    <t>Operations</t>
  </si>
  <si>
    <t>Year</t>
  </si>
  <si>
    <t>Principal</t>
  </si>
  <si>
    <t>Miscellaneous</t>
  </si>
  <si>
    <t>Interconnection Fees</t>
  </si>
  <si>
    <t>ASSUMPTIONS AND SUMMARY</t>
  </si>
  <si>
    <t>PROJECT DESCRIPTION:</t>
  </si>
  <si>
    <t>No. Turbines</t>
  </si>
  <si>
    <t xml:space="preserve">    Equity Capital</t>
  </si>
  <si>
    <t xml:space="preserve">    Permanent Loan</t>
  </si>
  <si>
    <t xml:space="preserve">  Total Sources</t>
  </si>
  <si>
    <t>Project Life (Years)</t>
  </si>
  <si>
    <t>Pre-Tax</t>
  </si>
  <si>
    <t>After-Tax</t>
  </si>
  <si>
    <t>DEBT FINANCING ASSUMPTIONS:</t>
  </si>
  <si>
    <t>Start of Commercial Operation</t>
  </si>
  <si>
    <t>O&amp;M Escalation</t>
  </si>
  <si>
    <t>Operating Cost Escalation</t>
  </si>
  <si>
    <t>No</t>
  </si>
  <si>
    <t>Heat Rate (HHV)</t>
  </si>
  <si>
    <t xml:space="preserve">  Plus Depreciation &amp; Amortization</t>
  </si>
  <si>
    <t xml:space="preserve">  Plus Accrued Prop Tax Expense</t>
  </si>
  <si>
    <t xml:space="preserve">  Less Property Tax Payment</t>
  </si>
  <si>
    <t xml:space="preserve">  Plus Accrued Interest Expense</t>
  </si>
  <si>
    <t xml:space="preserve">  Less Interest Payments</t>
  </si>
  <si>
    <t xml:space="preserve">  Less Principal Payments</t>
  </si>
  <si>
    <t>Pretax Cash Flow</t>
  </si>
  <si>
    <t>After Tax Cash Flow</t>
  </si>
  <si>
    <t>Residual</t>
  </si>
  <si>
    <t>After Tax Book Income</t>
  </si>
  <si>
    <t xml:space="preserve">   Plus Book Depreciation &amp; Amortization</t>
  </si>
  <si>
    <t>Income Statement</t>
  </si>
  <si>
    <t>Date of Cashflow</t>
  </si>
  <si>
    <t>Pre-Tax XIRR</t>
  </si>
  <si>
    <t>XIRR</t>
  </si>
  <si>
    <t>Depreciation and Property Taxes</t>
  </si>
  <si>
    <t>Cash Flow Statement</t>
  </si>
  <si>
    <t>State and Federal Tax Calculation</t>
  </si>
  <si>
    <t>P/E in Year 2000:</t>
  </si>
  <si>
    <t>RETURNS TO EQUITY HOLDERS:</t>
  </si>
  <si>
    <t>Book Depreciation Period</t>
  </si>
  <si>
    <t>Book Residual</t>
  </si>
  <si>
    <t>IDC Calculations</t>
  </si>
  <si>
    <t>Base Rate</t>
  </si>
  <si>
    <t>Term (Months)</t>
  </si>
  <si>
    <t>Monthly Rate</t>
  </si>
  <si>
    <t>Financing Fee (Basis Points)</t>
  </si>
  <si>
    <t>Drawdown Schedule</t>
  </si>
  <si>
    <t xml:space="preserve">   0=Straightline, 1=Custom</t>
  </si>
  <si>
    <t>Calculated IDC</t>
  </si>
  <si>
    <t>Month</t>
  </si>
  <si>
    <t>Turbine Cost</t>
  </si>
  <si>
    <t>MODEL TOGGLES:</t>
  </si>
  <si>
    <t>Total Uses</t>
  </si>
  <si>
    <t xml:space="preserve">  Debt Reserves</t>
  </si>
  <si>
    <t xml:space="preserve">  Working Capital</t>
  </si>
  <si>
    <t>Sources of Funds</t>
  </si>
  <si>
    <t>Uses of Funds</t>
  </si>
  <si>
    <t xml:space="preserve">  Lender's Counsel</t>
  </si>
  <si>
    <t>After-Tax XIRR</t>
  </si>
  <si>
    <t>Pre-Tax XNPV</t>
  </si>
  <si>
    <t>After-Tax XNPV</t>
  </si>
  <si>
    <t>XNPV</t>
  </si>
  <si>
    <t>Required Return on Equity</t>
  </si>
  <si>
    <t>Percent Drawn Down</t>
  </si>
  <si>
    <t>Monthly Interest</t>
  </si>
  <si>
    <t>Cumulative Interest</t>
  </si>
  <si>
    <t>CARRYING COST OF TURBINES, TRANSFORMERS AND CIRCUIT BREAKERS</t>
  </si>
  <si>
    <t>15 Year MACRS Table</t>
  </si>
  <si>
    <t>Half-Year Convention</t>
  </si>
  <si>
    <t>Depr. %</t>
  </si>
  <si>
    <t>20 Year MACRS Table</t>
  </si>
  <si>
    <t>Gas &amp; Power Curves</t>
  </si>
  <si>
    <t xml:space="preserve">   Total Revenue</t>
  </si>
  <si>
    <t xml:space="preserve">   Interconnection Fees</t>
  </si>
  <si>
    <t xml:space="preserve">   Miscellaneous</t>
  </si>
  <si>
    <t xml:space="preserve">   Book Depreciation &amp; Amortization</t>
  </si>
  <si>
    <t xml:space="preserve">   Interest Expense</t>
  </si>
  <si>
    <t xml:space="preserve">   Interest Income</t>
  </si>
  <si>
    <t xml:space="preserve">   Net Interest Expense</t>
  </si>
  <si>
    <t xml:space="preserve">   Degraded Capacity (MW)</t>
  </si>
  <si>
    <t xml:space="preserve">   Peak  Hours</t>
  </si>
  <si>
    <t xml:space="preserve">   Peak Fuel BBtu</t>
  </si>
  <si>
    <t xml:space="preserve">   Fuel $/MWH</t>
  </si>
  <si>
    <t xml:space="preserve">   Taxable Income</t>
  </si>
  <si>
    <t xml:space="preserve">   NOL Carryforward</t>
  </si>
  <si>
    <t xml:space="preserve">   NOL Utilization</t>
  </si>
  <si>
    <t xml:space="preserve">   Pretax Book Income</t>
  </si>
  <si>
    <t xml:space="preserve">   Debt Iss &amp; Loan Fees - SL</t>
  </si>
  <si>
    <t xml:space="preserve">   Capacity Degradation</t>
  </si>
  <si>
    <t xml:space="preserve">   Heat Rate Degradation</t>
  </si>
  <si>
    <t>Annual Peak Operating Hours</t>
  </si>
  <si>
    <t xml:space="preserve">  Beginning Balance</t>
  </si>
  <si>
    <t xml:space="preserve">  Interest </t>
  </si>
  <si>
    <t xml:space="preserve">  Principal</t>
  </si>
  <si>
    <t xml:space="preserve">  Total Debt Service</t>
  </si>
  <si>
    <t xml:space="preserve">  Ending Balance</t>
  </si>
  <si>
    <t>SOURCES AND USES:</t>
  </si>
  <si>
    <t>Hard Costs:</t>
  </si>
  <si>
    <t>Soft Costs:</t>
  </si>
  <si>
    <t>Financing Costs:</t>
  </si>
  <si>
    <t>Capitalized Interest:</t>
  </si>
  <si>
    <t xml:space="preserve">      % of Total MWH Available</t>
  </si>
  <si>
    <t>Tranche A</t>
  </si>
  <si>
    <t xml:space="preserve">  Remaining Debt Outstanding</t>
  </si>
  <si>
    <t xml:space="preserve">  Debt Service, P+I ($MM)</t>
  </si>
  <si>
    <t>Tranche B</t>
  </si>
  <si>
    <t xml:space="preserve">   Ancillary Services</t>
  </si>
  <si>
    <t>Installed Cost ($/kW)</t>
  </si>
  <si>
    <t xml:space="preserve">  Land Acquisition</t>
  </si>
  <si>
    <t>Mileage rate for County Tax</t>
  </si>
  <si>
    <t>Years of School Tax Abatement</t>
  </si>
  <si>
    <t>N/A</t>
  </si>
  <si>
    <t>PROPERTY TAX CALCULATION</t>
  </si>
  <si>
    <t xml:space="preserve">   Major Maintenance Accrual</t>
  </si>
  <si>
    <t>Annual Overhaul Accrual Expense</t>
  </si>
  <si>
    <t>Cumulative Overhaul Accrual Interest Income</t>
  </si>
  <si>
    <t>Annual Overhaul Accrual Interest Income</t>
  </si>
  <si>
    <t>Cumulative Overhaul Accrual Expense</t>
  </si>
  <si>
    <t>Number of Starts per Year</t>
  </si>
  <si>
    <t>Total Cumulative Starts</t>
  </si>
  <si>
    <t>Pre-tax Unlevered XIRR</t>
  </si>
  <si>
    <t>Pre-tax Unlevered XNPV</t>
  </si>
  <si>
    <t>Unlevered Pre-tax Cash Flow</t>
  </si>
  <si>
    <t xml:space="preserve">   Liability Insurance</t>
  </si>
  <si>
    <t xml:space="preserve">   Total Insurance</t>
  </si>
  <si>
    <t xml:space="preserve">  Less Debt Reserve Funding</t>
  </si>
  <si>
    <t xml:space="preserve">Subtotal </t>
  </si>
  <si>
    <t xml:space="preserve">  Plus Release of Debt Reserve</t>
  </si>
  <si>
    <t xml:space="preserve">  Initial Working Capital Adjustment</t>
  </si>
  <si>
    <t xml:space="preserve">  Total Income Tax Expense (Benefit)</t>
  </si>
  <si>
    <t xml:space="preserve">   Maximum Peak Generation (MWh)</t>
  </si>
  <si>
    <t>Number of Hours Called under PPA</t>
  </si>
  <si>
    <t xml:space="preserve">   </t>
  </si>
  <si>
    <t>Months of Year Under PPA</t>
  </si>
  <si>
    <t xml:space="preserve">   Energy ($/MWH)</t>
  </si>
  <si>
    <t xml:space="preserve">   Fees</t>
  </si>
  <si>
    <t xml:space="preserve">   Marginal cost of Generation $/MWh</t>
  </si>
  <si>
    <t>PPA Assumptions and Pricing Summary</t>
  </si>
  <si>
    <t xml:space="preserve">  Debt Payment, P+I ($MM)</t>
  </si>
  <si>
    <t xml:space="preserve">  Debt Service Coverage Ratio (EWG)</t>
  </si>
  <si>
    <t xml:space="preserve">  Debt Reserve</t>
  </si>
  <si>
    <t xml:space="preserve">   Variable O&amp;M $/MWH</t>
  </si>
  <si>
    <t xml:space="preserve">   Total O&amp;M $/kWmo (excluding Debt Service)</t>
  </si>
  <si>
    <t xml:space="preserve">   Debt Service $/kWmo</t>
  </si>
  <si>
    <t xml:space="preserve">   Total O&amp;M $/kWmo (including Debt Service)</t>
  </si>
  <si>
    <t xml:space="preserve">   Total Debt Service</t>
  </si>
  <si>
    <t xml:space="preserve">   Total Annual Expenses</t>
  </si>
  <si>
    <t>Returns Summary</t>
  </si>
  <si>
    <t>Total PPA Capacity (MW)</t>
  </si>
  <si>
    <t xml:space="preserve">   Actual MWh Produced</t>
  </si>
  <si>
    <t xml:space="preserve">   Degraded Peak Heat Rate (Btu/kWh)</t>
  </si>
  <si>
    <t xml:space="preserve">  PPA MWh</t>
  </si>
  <si>
    <t xml:space="preserve">      % of Total MWh Taken</t>
  </si>
  <si>
    <t xml:space="preserve">  Market MWh</t>
  </si>
  <si>
    <t xml:space="preserve">   Peak Fuel Cost $000</t>
  </si>
  <si>
    <t>PPA to Merchant Split</t>
  </si>
  <si>
    <t>Operations &amp; Maintenance Costs</t>
  </si>
  <si>
    <t>Equity Returns Analysis</t>
  </si>
  <si>
    <t>Debt Amounts and Annual Balances</t>
  </si>
  <si>
    <t>Pretax Cashflow</t>
  </si>
  <si>
    <t>After-Tax Cashflow</t>
  </si>
  <si>
    <t>Assumed</t>
  </si>
  <si>
    <t xml:space="preserve">  Sales and Use Tax on Equipment</t>
  </si>
  <si>
    <t xml:space="preserve">   State Income Tax Expense (Benefit)</t>
  </si>
  <si>
    <t>STATE TAXES</t>
  </si>
  <si>
    <t>State Income Taxes</t>
  </si>
  <si>
    <t>State Gross Receipts Taxes</t>
  </si>
  <si>
    <t xml:space="preserve">   Gross Receipts Tax Rate</t>
  </si>
  <si>
    <t xml:space="preserve">   Gross Receipts Tax Liability</t>
  </si>
  <si>
    <t xml:space="preserve">   Less State Tax Depreciation</t>
  </si>
  <si>
    <t xml:space="preserve">   State Income Tax Rate</t>
  </si>
  <si>
    <t>FEDERAL TAXES</t>
  </si>
  <si>
    <t>Yes</t>
  </si>
  <si>
    <t>Allow Residual Capacity Value?</t>
  </si>
  <si>
    <t>Pass through Variable O&amp;M?</t>
  </si>
  <si>
    <t>Tranche C</t>
  </si>
  <si>
    <t>Total</t>
  </si>
  <si>
    <t>Principal Amount</t>
  </si>
  <si>
    <t>Term</t>
  </si>
  <si>
    <t>DSCR</t>
  </si>
  <si>
    <t>State Income Tax Rate</t>
  </si>
  <si>
    <t>Federal Income Tax Rate</t>
  </si>
  <si>
    <t>Effective Income Tax Rate</t>
  </si>
  <si>
    <t>Assumed run hours or dispatched?</t>
  </si>
  <si>
    <t>Fixed Price or Index Gas Curve?</t>
  </si>
  <si>
    <t>Debt Amortization</t>
  </si>
  <si>
    <t>DSCR - Tranche A</t>
  </si>
  <si>
    <t>DSCR - Tranche B</t>
  </si>
  <si>
    <t>DSCR - Tranche C</t>
  </si>
  <si>
    <t>Interest Rate For Period, Tranche A</t>
  </si>
  <si>
    <t>Interest Rate For Period, Tranche B</t>
  </si>
  <si>
    <t>Interest Rate For Period, Tranche C</t>
  </si>
  <si>
    <t>NPV of CFAFDS Tranche A</t>
  </si>
  <si>
    <t>NPV of CFAFDS Tranche B</t>
  </si>
  <si>
    <t>NPV of CFAFDS Tranche C</t>
  </si>
  <si>
    <t>Interest Rate</t>
  </si>
  <si>
    <t>TOTAL ANNUAL DEBT AMORTIZATION</t>
  </si>
  <si>
    <t>NPV of Total CFAFDS</t>
  </si>
  <si>
    <t xml:space="preserve">  Check</t>
  </si>
  <si>
    <t xml:space="preserve">  Average Life (years)</t>
  </si>
  <si>
    <t>Avg. Life (years)</t>
  </si>
  <si>
    <t>Preferred Equity</t>
  </si>
  <si>
    <t>Common Equity</t>
  </si>
  <si>
    <t xml:space="preserve">  Dividends </t>
  </si>
  <si>
    <t xml:space="preserve">  Dividends Paid</t>
  </si>
  <si>
    <t xml:space="preserve">  Ending Principal Amount</t>
  </si>
  <si>
    <t xml:space="preserve">  Cash Flow Available to Preferred Equity</t>
  </si>
  <si>
    <t xml:space="preserve">  Accrued Dividends To Date</t>
  </si>
  <si>
    <t xml:space="preserve">  Cash Flow Available to Common Equity</t>
  </si>
  <si>
    <t>Maximum Term of Carryforward (years)</t>
  </si>
  <si>
    <t xml:space="preserve">   Avg Mid Gas Curve Price ($/MMBtu)</t>
  </si>
  <si>
    <t xml:space="preserve">   Desk Mid Peak Power Curve ($/MWh)</t>
  </si>
  <si>
    <t xml:space="preserve">   Assumed Residual Capacity Value Curve ($/kWmo)</t>
  </si>
  <si>
    <t>Coupon</t>
  </si>
  <si>
    <t>Term (yrs)</t>
  </si>
  <si>
    <t xml:space="preserve">  Lender's Engineer</t>
  </si>
  <si>
    <t>Fund from Operations or Financing?</t>
  </si>
  <si>
    <t>Amount of Reserve Needed (6 mos DS)</t>
  </si>
  <si>
    <t xml:space="preserve">Interest Rate Earned on Outstanding Debt Reserve Balance </t>
  </si>
  <si>
    <t xml:space="preserve">Choose for Tranches B &amp; C </t>
  </si>
  <si>
    <t xml:space="preserve">  Gas Interconnection Costs</t>
  </si>
  <si>
    <t>Allow Merchant Energy Revenue?</t>
  </si>
  <si>
    <t>Residual Capacity Value ($/kWmo)</t>
  </si>
  <si>
    <t>Total Annual CFAFDS</t>
  </si>
  <si>
    <t xml:space="preserve">   Sales Tax Rate</t>
  </si>
  <si>
    <t xml:space="preserve">   Delivered Gas Price</t>
  </si>
  <si>
    <t xml:space="preserve">   Fixed Price ($/MMBtu)</t>
  </si>
  <si>
    <t>Fixed Gas Price</t>
  </si>
  <si>
    <t>Months of Operation</t>
  </si>
  <si>
    <t>Insurance Costs:</t>
  </si>
  <si>
    <t>Total Insurance Cost</t>
  </si>
  <si>
    <t>US FEDERAL TAX DEPRECIATION &amp; AMORTIZATION</t>
  </si>
  <si>
    <t>STATE TAX DEPRECIATION &amp; AMORTIZATION</t>
  </si>
  <si>
    <t xml:space="preserve">   Start-up Costs - SL </t>
  </si>
  <si>
    <t xml:space="preserve">   Amort - Start-up Costs</t>
  </si>
  <si>
    <t xml:space="preserve">   Amort - Debt Iss &amp; Loan Fees</t>
  </si>
  <si>
    <t xml:space="preserve">   Total Annual Depr &amp; Amort </t>
  </si>
  <si>
    <t xml:space="preserve">   Total Beginning Book Value</t>
  </si>
  <si>
    <t xml:space="preserve">   Ending Book Value of Assets</t>
  </si>
  <si>
    <t xml:space="preserve">   Plant and Equipment - MACRS</t>
  </si>
  <si>
    <t xml:space="preserve">   Tax Depr - Plant and Equipment</t>
  </si>
  <si>
    <t xml:space="preserve">   Plant and Equipment - SL</t>
  </si>
  <si>
    <t xml:space="preserve">   Book Depr - Plant and Equipment</t>
  </si>
  <si>
    <t>BOOK DEPRECIATION &amp; AMORTIZATION</t>
  </si>
  <si>
    <t>Number of Starts to Maintenance Draw</t>
  </si>
  <si>
    <t>State Sales and Use Tax Rate on Fuel</t>
  </si>
  <si>
    <t>Capacity Rate Escalation</t>
  </si>
  <si>
    <t>DEBT RESERVE ASSUMPTIONS:</t>
  </si>
  <si>
    <t>PPA ASSUMPTIONS:</t>
  </si>
  <si>
    <t>Type of Turbines</t>
  </si>
  <si>
    <t>STATE &amp; FEDERAL TAX ASSUMPTIONS:</t>
  </si>
  <si>
    <t>PROPERTY TAX ASSUMPTIONS:</t>
  </si>
  <si>
    <t>BOOK INCOME ASSUMPTIONS:</t>
  </si>
  <si>
    <t>Use Normal Debt Structure or Alternate?</t>
  </si>
  <si>
    <t xml:space="preserve">  Min DSCR</t>
  </si>
  <si>
    <t>No City Taxes</t>
  </si>
  <si>
    <t xml:space="preserve">   Total Property Tax (with Abatement)</t>
  </si>
  <si>
    <t>Interest Only</t>
  </si>
  <si>
    <t>Consultant's Capacity Curve</t>
  </si>
  <si>
    <t>Kaiser Mid (Average of Base and Low)</t>
  </si>
  <si>
    <t xml:space="preserve">Kaiser Base </t>
  </si>
  <si>
    <t xml:space="preserve">Kaiser Low </t>
  </si>
  <si>
    <t>Base, Low, Mid or Percentage (1, 2, 3 or 4)</t>
  </si>
  <si>
    <t>Percentage for Option 4</t>
  </si>
  <si>
    <t>Kaiser Percent (Percentage of Low and Mid)</t>
  </si>
  <si>
    <t xml:space="preserve">  Insurance During Construction</t>
  </si>
  <si>
    <t xml:space="preserve">  Environmental Permitting</t>
  </si>
  <si>
    <t xml:space="preserve">  Capitalized Salaries</t>
  </si>
  <si>
    <t xml:space="preserve">Years of County Tax Abatement </t>
  </si>
  <si>
    <t>W/Debt Res.</t>
  </si>
  <si>
    <t>W/O Debt Res.</t>
  </si>
  <si>
    <t xml:space="preserve">  EE&amp;CC Project Management</t>
  </si>
  <si>
    <t xml:space="preserve">  Resale Handling Fee</t>
  </si>
  <si>
    <t>Discount Rate</t>
  </si>
  <si>
    <t>NPV</t>
  </si>
  <si>
    <t>IRR</t>
  </si>
  <si>
    <t>Auction Value</t>
  </si>
  <si>
    <t>Total Value</t>
  </si>
  <si>
    <t>Less Cost</t>
  </si>
  <si>
    <t>Net Value</t>
  </si>
  <si>
    <t>Multiples</t>
  </si>
  <si>
    <t>IPO Value</t>
  </si>
  <si>
    <t xml:space="preserve"> </t>
  </si>
  <si>
    <t>NPV of 2001 Earnings</t>
  </si>
  <si>
    <t>IPO = NPV of 2001 Earnings*Multiple-Equity-Capacity Delta</t>
  </si>
  <si>
    <t>Reit =NPV of 2001  EBT*Multiple-Equity-Capacity Delta</t>
  </si>
  <si>
    <t>*</t>
  </si>
  <si>
    <t>IPO Equity Valuation*</t>
  </si>
  <si>
    <t>REIT Equity  Value**</t>
  </si>
  <si>
    <t>**</t>
  </si>
  <si>
    <t>NPV of 2001 EBTD</t>
  </si>
  <si>
    <t>Major Maintenance</t>
  </si>
  <si>
    <t xml:space="preserve">Tracker </t>
  </si>
  <si>
    <t>This page is designed to track all the changes made to the model to be able to reconcile back to any number that was released.</t>
  </si>
  <si>
    <t>Checked and verified</t>
  </si>
  <si>
    <t>Check with Tax</t>
  </si>
  <si>
    <t>Modelling or Assumption # change needed</t>
  </si>
  <si>
    <t>Need clarication of principle</t>
  </si>
  <si>
    <t>Changed</t>
  </si>
  <si>
    <t>W 501 D5A</t>
  </si>
  <si>
    <t>Capacity Rate Escalation for Kaiser estimates</t>
  </si>
  <si>
    <t>IDC amortized</t>
  </si>
  <si>
    <t>check util</t>
  </si>
  <si>
    <t>TO DO</t>
  </si>
  <si>
    <t>Water Treatment</t>
  </si>
  <si>
    <t>Variable Maintenance</t>
  </si>
  <si>
    <t>Payroll and Burden</t>
  </si>
  <si>
    <t>Other O&amp;M expenses</t>
  </si>
  <si>
    <t xml:space="preserve">   TOTAL FIXED O&amp;M</t>
  </si>
  <si>
    <t xml:space="preserve">   Bus Int Ins.</t>
  </si>
  <si>
    <t xml:space="preserve">   Ops and Mach Ins</t>
  </si>
  <si>
    <t xml:space="preserve">   TOTAL FIXED G&amp;A</t>
  </si>
  <si>
    <t>Capacity Rate</t>
  </si>
  <si>
    <t>Fraction of Yr1</t>
  </si>
  <si>
    <t>Avg Annual Int Rate Earned on EBITDA and Maint Res.</t>
  </si>
  <si>
    <t>State Franchise Tax Rate (Capital or BV of assets)</t>
  </si>
  <si>
    <t>Consultant's Energy Curve</t>
  </si>
  <si>
    <t>Kaiser Peak</t>
  </si>
  <si>
    <t>Kaiser Off peak</t>
  </si>
  <si>
    <t>ECT Peak Curve</t>
  </si>
  <si>
    <t>Marginal Cost Curve</t>
  </si>
  <si>
    <t>Kaiser Capacity Curve</t>
  </si>
  <si>
    <t>Energy Curve Selector</t>
  </si>
  <si>
    <t>Power Pricing Summary</t>
  </si>
  <si>
    <t xml:space="preserve">   All in Power Price $/MWH</t>
  </si>
  <si>
    <t xml:space="preserve">  Development Expenses</t>
  </si>
  <si>
    <t xml:space="preserve">  Mobilization of O&amp;M</t>
  </si>
  <si>
    <t xml:space="preserve">  Legal Expense</t>
  </si>
  <si>
    <t>TVA hours</t>
  </si>
  <si>
    <t xml:space="preserve">  ABB (Transformer and Curcuit Breakers</t>
  </si>
  <si>
    <t xml:space="preserve">  Turbines</t>
  </si>
  <si>
    <t xml:space="preserve">  Spare Parts </t>
  </si>
  <si>
    <t xml:space="preserve">  Financing Fee</t>
  </si>
  <si>
    <t>Major Maintenance Accrual</t>
  </si>
  <si>
    <t xml:space="preserve">   Energy Revenues</t>
  </si>
  <si>
    <t xml:space="preserve">  Capacity Revenues</t>
  </si>
  <si>
    <t>Months of Year Merchant</t>
  </si>
  <si>
    <t>% of Capacity Under PPA</t>
  </si>
  <si>
    <t>Capacity Payment Terms</t>
  </si>
  <si>
    <t xml:space="preserve">   Capacity Escalation Index</t>
  </si>
  <si>
    <t>r</t>
  </si>
  <si>
    <t xml:space="preserve">  NEPCO Scope (Balance of Plant Costs and Construction)</t>
  </si>
  <si>
    <t>End of Commercial Operation</t>
  </si>
  <si>
    <t>Term of ECT PPA (years)</t>
  </si>
  <si>
    <t xml:space="preserve">   Payroll &amp; Burden</t>
  </si>
  <si>
    <t xml:space="preserve">   Other O&amp;M Expenses</t>
  </si>
  <si>
    <t>$/YR</t>
  </si>
  <si>
    <t>$/MWh</t>
  </si>
  <si>
    <t>$/KWm</t>
  </si>
  <si>
    <t>Term Ave</t>
  </si>
  <si>
    <t xml:space="preserve">   Breakout of Total Fixed:</t>
  </si>
  <si>
    <t xml:space="preserve">   Fixed G&amp;A</t>
  </si>
  <si>
    <t>Net Project MW -  Site</t>
  </si>
  <si>
    <t>REAL</t>
  </si>
  <si>
    <t>OEC #'s per 1200 hrs</t>
  </si>
  <si>
    <t xml:space="preserve">   Start up fuel cost for all turbines</t>
  </si>
  <si>
    <t xml:space="preserve">      Total Fuel Cost</t>
  </si>
  <si>
    <t>Avg. Property Tax/ yr.</t>
  </si>
  <si>
    <t>Cumulative Principal</t>
  </si>
  <si>
    <t>MW'hrs</t>
  </si>
  <si>
    <t>Old Kaiser Curve</t>
  </si>
  <si>
    <t>New Kaiser Curve</t>
  </si>
  <si>
    <t>NPV at 15% 20 years After Tax</t>
  </si>
  <si>
    <t>NPV at 15% 20 years Before Tax</t>
  </si>
  <si>
    <t>YEAR</t>
  </si>
  <si>
    <t>Annual Revenues</t>
  </si>
  <si>
    <t>Annual Expenses</t>
  </si>
  <si>
    <t>1.  Models Sent to Banks on 2/23/99 - Neil Sainsbury-Carter</t>
  </si>
  <si>
    <t>Balance Sheet</t>
  </si>
  <si>
    <t>Assets:</t>
  </si>
  <si>
    <t>Cash</t>
  </si>
  <si>
    <t>Accounts Receivable</t>
  </si>
  <si>
    <t>Inventories</t>
  </si>
  <si>
    <t>Other Current Assets</t>
  </si>
  <si>
    <t>Debt Service Reserve</t>
  </si>
  <si>
    <t>Maintenance Reserve</t>
  </si>
  <si>
    <t>Total Current Assets</t>
  </si>
  <si>
    <t>Gross PP&amp;E</t>
  </si>
  <si>
    <t>Accumulated Depreciation</t>
  </si>
  <si>
    <t>Net PP&amp;E</t>
  </si>
  <si>
    <t>Land</t>
  </si>
  <si>
    <t>Other Assets</t>
  </si>
  <si>
    <t>Total Assets</t>
  </si>
  <si>
    <t>Liabilities</t>
  </si>
  <si>
    <t>Accounts Payable</t>
  </si>
  <si>
    <t>Accrued Expenses</t>
  </si>
  <si>
    <t>Deferred Tax Liability</t>
  </si>
  <si>
    <t>Working Capital Revolver</t>
  </si>
  <si>
    <t>Long Term Debt</t>
  </si>
  <si>
    <t>Other Non-Current Liabilities</t>
  </si>
  <si>
    <t>Total Long-term Liabilities</t>
  </si>
  <si>
    <t>Stockholders' Equity</t>
  </si>
  <si>
    <t>Paid-In-Capital</t>
  </si>
  <si>
    <t>Retained earnings</t>
  </si>
  <si>
    <t>Total stockholders' equity</t>
  </si>
  <si>
    <t>Total Liabilities &amp; Equity</t>
  </si>
  <si>
    <t>Proof</t>
  </si>
  <si>
    <r>
      <t xml:space="preserve">   </t>
    </r>
    <r>
      <rPr>
        <b/>
        <u/>
        <sz val="8"/>
        <rFont val="Times New Roman"/>
        <family val="1"/>
      </rPr>
      <t>Annual Costs by Type:</t>
    </r>
  </si>
  <si>
    <r>
      <t xml:space="preserve">   </t>
    </r>
    <r>
      <rPr>
        <b/>
        <u/>
        <sz val="8"/>
        <rFont val="Times New Roman"/>
        <family val="1"/>
      </rPr>
      <t>$/kWmo Costs by Type:</t>
    </r>
  </si>
  <si>
    <r>
      <t xml:space="preserve">   </t>
    </r>
    <r>
      <rPr>
        <b/>
        <u/>
        <sz val="8"/>
        <rFont val="Times New Roman"/>
        <family val="1"/>
      </rPr>
      <t>$/MWh Costs by Type:</t>
    </r>
  </si>
  <si>
    <t>DEFERRED TAX LIABILITY</t>
  </si>
  <si>
    <t>Total Cash Taxes</t>
  </si>
  <si>
    <t>Total Book Taxes</t>
  </si>
  <si>
    <t xml:space="preserve">  Total Deferred Tax Liability</t>
  </si>
  <si>
    <t xml:space="preserve">  Cumulative DTL</t>
  </si>
  <si>
    <t xml:space="preserve">  Contingency on Hard &amp; Soft Costs</t>
  </si>
  <si>
    <t xml:space="preserve">  Contingency on NEPCO</t>
  </si>
  <si>
    <t xml:space="preserve">   Amort - Soft Costs</t>
  </si>
  <si>
    <t>Is the Balance Sheet Balanced?</t>
  </si>
  <si>
    <t>Total Depreciable Base</t>
  </si>
  <si>
    <t>Total Project Cost</t>
  </si>
  <si>
    <t xml:space="preserve">   Undepreciated Cost</t>
  </si>
  <si>
    <t>2.  Contingency Calculation Changed: Was 5% on total cost and is now 3% on Total Hard and Soft Costs and an addition 5% on NEPCO</t>
  </si>
  <si>
    <t>CHECKS:</t>
  </si>
  <si>
    <t xml:space="preserve">   Total Contingency</t>
  </si>
  <si>
    <t>WHEATLAND POWER IN, L.L.C.</t>
  </si>
  <si>
    <t>TOTAL STATE TAXES</t>
  </si>
  <si>
    <t>FERC Fees</t>
  </si>
  <si>
    <t xml:space="preserve">  Water Treatment</t>
  </si>
  <si>
    <t xml:space="preserve">  FERC Fee</t>
  </si>
  <si>
    <t xml:space="preserve">  Variable Maintenance</t>
  </si>
  <si>
    <t>REVENUES</t>
  </si>
  <si>
    <t>EXPENSES</t>
  </si>
  <si>
    <t>Variable Expenses</t>
  </si>
  <si>
    <t>Total Variable Expenses</t>
  </si>
  <si>
    <t xml:space="preserve">   Total Fixed G&amp;A</t>
  </si>
  <si>
    <t>TOTAL EXPENSES</t>
  </si>
  <si>
    <t xml:space="preserve">   EI O&amp;M Mobilization</t>
  </si>
  <si>
    <t>3.  Changed the Depreciation of EI O&amp;M Mobilization to all in the 1st year</t>
  </si>
  <si>
    <t>4.  Increased the Utilities Fee to reflect the new estimates for Brownsville</t>
  </si>
  <si>
    <t>Fuel</t>
  </si>
  <si>
    <t>Debt Service</t>
  </si>
  <si>
    <t>RETURN ON EQUITY:</t>
  </si>
  <si>
    <t>FIXED G&amp;A:</t>
  </si>
  <si>
    <t>OPERATING COST SUMMARY:</t>
  </si>
  <si>
    <t xml:space="preserve">   Adjusted Pretax Income</t>
  </si>
  <si>
    <t xml:space="preserve">   State Taxable Income</t>
  </si>
  <si>
    <t xml:space="preserve">   Beginning NOL's</t>
  </si>
  <si>
    <t xml:space="preserve">   New NOL's</t>
  </si>
  <si>
    <t xml:space="preserve">   Expired NOL's</t>
  </si>
  <si>
    <t xml:space="preserve">   Ending NOL's</t>
  </si>
  <si>
    <t>20 Years</t>
  </si>
  <si>
    <t>Use Fed NOL Carryforward?</t>
  </si>
  <si>
    <t>Use State  NOL Carryforward?</t>
  </si>
  <si>
    <t xml:space="preserve">        Total State Taxes</t>
  </si>
  <si>
    <t xml:space="preserve">   Less: Federal Tax Depreciation</t>
  </si>
  <si>
    <t xml:space="preserve">   Less: State Taxes</t>
  </si>
  <si>
    <t xml:space="preserve">   Federal Tax Rate</t>
  </si>
  <si>
    <t xml:space="preserve">   Federal Tax Expense/ (Benefit)</t>
  </si>
  <si>
    <t xml:space="preserve">   Total Federal Cash Taxes Payable/(Benefit)</t>
  </si>
  <si>
    <t>5.  Changed the order of the Taxes making the Franchise tax a deductible for the State Income Tax and breaking out the State and Fed NOL's.</t>
  </si>
  <si>
    <t>6.  Changed the MACR Tables</t>
  </si>
  <si>
    <t>Gas Pipeline Metering</t>
  </si>
  <si>
    <t xml:space="preserve">   Gas Pipeline Metering</t>
  </si>
  <si>
    <t>7.  Added to the Fixed G&amp;A $30k for Gas Pipeline Metering.</t>
  </si>
  <si>
    <t>Adjusted Gross Income Tax</t>
  </si>
  <si>
    <t>State Gross Income Tax Rate (Gross Rev.)</t>
  </si>
  <si>
    <t>Adjusted Gross Income Tax (EBT)</t>
  </si>
  <si>
    <t xml:space="preserve">   Adjusted Gross Income Rate</t>
  </si>
  <si>
    <t xml:space="preserve">   Less: </t>
  </si>
  <si>
    <t xml:space="preserve">   Greater of Adjusted or Gross Receipts</t>
  </si>
  <si>
    <t>Plus: Supplemental Tax</t>
  </si>
  <si>
    <t>Total NPV</t>
  </si>
  <si>
    <t>Delta</t>
  </si>
  <si>
    <t>8.  New State Income Tax Structure from Pat Maloy.   Changed the Site Capacity from 460 to 471MW's.</t>
  </si>
  <si>
    <t>Current:  Linked to the Model</t>
  </si>
  <si>
    <t>9.  New Drawdown which included an increase in the Costs of the Turbines and Sales and Use Tax.  This alone combined for a $6M increase.</t>
  </si>
  <si>
    <t>1999 $000's</t>
  </si>
  <si>
    <t>4 Yr. Ave.</t>
  </si>
  <si>
    <t xml:space="preserve">  Carrying Interest on Project Costs</t>
  </si>
  <si>
    <t>10.  Increased the Operating Insurance Estimates to reflect the estimates for the 1999 plants.</t>
  </si>
  <si>
    <t>11.  Changed the IDC calculation to include half of the current month Draw.</t>
  </si>
  <si>
    <t>12.  Version 2 of the Control Budget and new Draw Schedules</t>
  </si>
  <si>
    <t>Operating Taxes</t>
  </si>
  <si>
    <t xml:space="preserve">   Franchise Tax</t>
  </si>
  <si>
    <t xml:space="preserve">   Total Operation Taxes</t>
  </si>
  <si>
    <t xml:space="preserve">   State Adjusted Gross Income Tax</t>
  </si>
  <si>
    <t xml:space="preserve">   Fuel </t>
  </si>
  <si>
    <t>Fixed G&amp;A (N/I Property Tax)</t>
  </si>
  <si>
    <t>13.  Made Yr 20 a full year instead of a partial, 5 month year.</t>
  </si>
  <si>
    <t>14.  Rolled the EI Mobilization into the Deprecialble Base and changed Book Income to 30 yr.</t>
  </si>
  <si>
    <t>15.  Changed Interest Income to be 5% of 25% of EBITDA</t>
  </si>
  <si>
    <t>Admin Fee</t>
  </si>
  <si>
    <t>O&amp;M Fee</t>
  </si>
  <si>
    <t xml:space="preserve">   Admin Fee</t>
  </si>
  <si>
    <t xml:space="preserve">   O&amp;M Fee</t>
  </si>
  <si>
    <t>16.  Added an Admin Fee of $1M which is prorated among the projects by MW.</t>
  </si>
  <si>
    <t>17.  Changed the Major Maintenance to the new OEC Matrix for 120 starts.</t>
  </si>
  <si>
    <t xml:space="preserve">   Book Income</t>
  </si>
  <si>
    <t>18.  Changed the Site MW from 471 to 473.5.</t>
  </si>
  <si>
    <t>19.  Changed Start per Yr. To 120 from 115.  This only effects the Start Up fuel cost shich is a pass through.</t>
  </si>
  <si>
    <t>Fixed</t>
  </si>
  <si>
    <t>20.  Made the Gas Price Fixed at 2.5</t>
  </si>
  <si>
    <t>Property Taxes</t>
  </si>
  <si>
    <t>Operation Taxes</t>
  </si>
  <si>
    <t>Startup Fuel Mmbtu/Turbine</t>
  </si>
  <si>
    <t>Base Year =</t>
  </si>
  <si>
    <t>2000-2003 Ave</t>
  </si>
  <si>
    <t xml:space="preserve">   Total Operating Taxes</t>
  </si>
  <si>
    <t xml:space="preserve">   Operating Taxes $/Kwmo</t>
  </si>
  <si>
    <t>Annual Growth of Total Cost</t>
  </si>
  <si>
    <t xml:space="preserve">Sales &amp; Use Tax on Fuel </t>
  </si>
  <si>
    <t>Fuel Price</t>
  </si>
  <si>
    <t>Fuel /Start/Turbine</t>
  </si>
  <si>
    <t>WH501D5A</t>
  </si>
  <si>
    <t>Major Main</t>
  </si>
  <si>
    <t>Total/Start Cost</t>
  </si>
  <si>
    <t>Fuel %</t>
  </si>
  <si>
    <t>Main %</t>
  </si>
  <si>
    <t>NO. of Starts Per Yr.</t>
  </si>
  <si>
    <t xml:space="preserve">   TOTAL VEP</t>
  </si>
  <si>
    <t>COST PER START:</t>
  </si>
  <si>
    <t>No of Starts (By 10's)</t>
  </si>
  <si>
    <t>Cost/Start/Turbine</t>
  </si>
  <si>
    <t>Cost/Start</t>
  </si>
  <si>
    <t>Escalation</t>
  </si>
  <si>
    <t>Start Up Fuel</t>
  </si>
  <si>
    <t>Fixed Expenses:</t>
  </si>
  <si>
    <t>21.  Added a per start payment that causes the Maj. Main to be passes through and reduced the capacity in the PPA to 3.25</t>
  </si>
  <si>
    <t>22.  Version #4 of the Control Budget and took out the Debt Reserve.</t>
  </si>
  <si>
    <t xml:space="preserve">  Mobilization Fuel</t>
  </si>
  <si>
    <t>$/Yr. (000's)</t>
  </si>
  <si>
    <t xml:space="preserve">   Total Operating Costs</t>
  </si>
  <si>
    <t>$/Start</t>
  </si>
  <si>
    <t>Fixed G&amp;A:</t>
  </si>
  <si>
    <t>FIXED OPERATING COSTS:</t>
  </si>
  <si>
    <t>Fixed Operating Costs</t>
  </si>
  <si>
    <t>Variable Operating Costs</t>
  </si>
  <si>
    <t>Start Up Expense:</t>
  </si>
  <si>
    <t>Total Start Up Expense</t>
  </si>
  <si>
    <t xml:space="preserve">   Start-Up Fuel</t>
  </si>
  <si>
    <t xml:space="preserve">   Total Fixed Expenses</t>
  </si>
  <si>
    <t xml:space="preserve">   Total Variable Operations</t>
  </si>
  <si>
    <t xml:space="preserve">   Total Start Up Cost</t>
  </si>
  <si>
    <t xml:space="preserve">   Total Variable Operating Cost</t>
  </si>
  <si>
    <t xml:space="preserve">   Total Fixed (incl G&amp;A)</t>
  </si>
  <si>
    <t xml:space="preserve">   Total Property Tax</t>
  </si>
  <si>
    <t xml:space="preserve">   Fixed Operating Costs</t>
  </si>
  <si>
    <t xml:space="preserve">   Start Up Cost $/KW mo</t>
  </si>
  <si>
    <t xml:space="preserve">   Variable Operating Cost $/kWmo</t>
  </si>
  <si>
    <t xml:space="preserve">   Fixed Operating Cost $/kWmo</t>
  </si>
  <si>
    <t xml:space="preserve">   Total Operating Cost $/kWmo</t>
  </si>
  <si>
    <t xml:space="preserve">   Property Taxes $/KW no</t>
  </si>
  <si>
    <t xml:space="preserve">   Variable Operating Costs $/MWh</t>
  </si>
  <si>
    <t xml:space="preserve">   Fixed Operating Costs $/MWh</t>
  </si>
  <si>
    <t xml:space="preserve">   Total Operating Cost $/MWh</t>
  </si>
  <si>
    <t xml:space="preserve">   Start Up Cost $/MWh</t>
  </si>
  <si>
    <t>Property Taxes ('02 Disc.)</t>
  </si>
  <si>
    <t>Assessed Value Multiplier Equip</t>
  </si>
  <si>
    <t xml:space="preserve">Mileage Rate </t>
  </si>
  <si>
    <t>23.  New Property Tax with a 10 Year Abatement Schedule.</t>
  </si>
  <si>
    <t>VARIABLE PAYMENTS:</t>
  </si>
  <si>
    <t>Variable Energy Payment</t>
  </si>
  <si>
    <t>Start Up Payment</t>
  </si>
  <si>
    <t>VARIABLE OPERATING COSTS:</t>
  </si>
  <si>
    <t>$/ MW h</t>
  </si>
  <si>
    <t>$/Start/ Turbine</t>
  </si>
  <si>
    <t>COPIED TO THE CONSOLIDATED FILE</t>
  </si>
  <si>
    <t>Plant Summary</t>
  </si>
  <si>
    <t>Capacity</t>
  </si>
  <si>
    <t>Heat Rate</t>
  </si>
  <si>
    <t>No. of Turbines</t>
  </si>
  <si>
    <t>Operating Hours</t>
  </si>
  <si>
    <t>Book Income 1999 Costs</t>
  </si>
  <si>
    <t>Fixed Operating Cost</t>
  </si>
  <si>
    <t>Variable Operating Cost</t>
  </si>
  <si>
    <t>Start Fuel</t>
  </si>
  <si>
    <t>Major Main.</t>
  </si>
  <si>
    <t>Insurance</t>
  </si>
  <si>
    <t>SG&amp;A Cost</t>
  </si>
  <si>
    <t>Property Taxes &amp; Other</t>
  </si>
  <si>
    <t>Admin Fees</t>
  </si>
  <si>
    <t>O&amp;M Fees</t>
  </si>
  <si>
    <t>Variable Revenue</t>
  </si>
  <si>
    <t>Start Payment/Turbine</t>
  </si>
  <si>
    <t>24.  Put in the Final Report ICF Capacity Curves</t>
  </si>
  <si>
    <t>25.  Changed the MMBTU's per start to reflect Azim's new estimates on the '99s'.</t>
  </si>
  <si>
    <t>Start Up MMBTU's</t>
  </si>
  <si>
    <t>26.  Capacity confirmed at 470 dowmn from 473.5</t>
  </si>
  <si>
    <t>27.  Capacity Price to 4.00</t>
  </si>
  <si>
    <t>Utility: Start Up Power</t>
  </si>
  <si>
    <t>Utilities : Start Up Power</t>
  </si>
  <si>
    <t>Utilities : Facility Load</t>
  </si>
  <si>
    <t xml:space="preserve">   Utilities: Start Up Power</t>
  </si>
  <si>
    <t xml:space="preserve">   Utilities: Facility Load</t>
  </si>
  <si>
    <t>28.  Broke out the Utility Costs and used Brownsville as a proxy.</t>
  </si>
  <si>
    <t>TRANCHE 1</t>
  </si>
  <si>
    <t>Beginning Prinipal</t>
  </si>
  <si>
    <t>Project Period</t>
  </si>
  <si>
    <t xml:space="preserve">     Beginning Balance</t>
  </si>
  <si>
    <t xml:space="preserve">     Interests</t>
  </si>
  <si>
    <t xml:space="preserve">     Principal Payments</t>
  </si>
  <si>
    <t xml:space="preserve">     Debt Service</t>
  </si>
  <si>
    <t xml:space="preserve">     Ending Balance</t>
  </si>
  <si>
    <t xml:space="preserve">     Average Life (years)</t>
  </si>
  <si>
    <t>Percentage of Principal Repaid</t>
  </si>
  <si>
    <t>TRANCHE 2</t>
  </si>
  <si>
    <t>TRANCHE 3</t>
  </si>
  <si>
    <t>Principal Amount - Alternate</t>
  </si>
  <si>
    <t>29.  New Fuel Quantity for the Start up Fuel and Version #5 of the Control Budget which only had a nominal change for the IDC.</t>
  </si>
  <si>
    <t xml:space="preserve">30.  Moved the Start Date to July 1st for June 1st.  </t>
  </si>
  <si>
    <t>Degraded Capacity</t>
  </si>
  <si>
    <t>On Merchant Hours Only</t>
  </si>
  <si>
    <t>31.  Added a degredation factor of 2% to the Merchant period capacity</t>
  </si>
  <si>
    <t>Marketing Fee (Merchant Only)</t>
  </si>
  <si>
    <t>$/kw-mo</t>
  </si>
  <si>
    <t xml:space="preserve">   Marketing Fee</t>
  </si>
  <si>
    <t>32.  Added a Marketing Fee of .07 /  kw-mo during merchant period</t>
  </si>
  <si>
    <t>Kaiser So. ECAR Base $/kw-year (in 1998 real $)</t>
  </si>
  <si>
    <t>Kaiser So ECAR Base $/kw-year (in 1998 real $)</t>
  </si>
  <si>
    <t>Kaiser Peak as of 1998 ( $ / MWh )</t>
  </si>
  <si>
    <t>Kaiser Off Peak as of 1998 ( $ / MWh )</t>
  </si>
  <si>
    <t>33. New Kaiser Capacity Curve in $1998</t>
  </si>
  <si>
    <t>34.  Revised the Start Up Fuel MMBTU's</t>
  </si>
  <si>
    <t>35.  Control Budget Version # 7</t>
  </si>
  <si>
    <t>36.  Moved the start date up to June 1 giving 7 months to the 1st Yr.</t>
  </si>
  <si>
    <t>Energy Margin</t>
  </si>
  <si>
    <t>Capacity Factor</t>
  </si>
  <si>
    <t xml:space="preserve">   Peak Capacity Sales Rate (MW)</t>
  </si>
  <si>
    <t xml:space="preserve">   Peak Energy Sales (MW)</t>
  </si>
  <si>
    <t xml:space="preserve">   Energy Margin</t>
  </si>
  <si>
    <t>37.  Incorporated the Energy Margin into the Revenue for 2% of the available capacity during the merchant period.</t>
  </si>
  <si>
    <t>38.  Limited the Maj Main in the Block Payment to 1/3 of the expense as Kaiser has incorporated 2/3 into the Capacity Price</t>
  </si>
  <si>
    <t>EGC EITDA</t>
  </si>
  <si>
    <t>Wheatland</t>
  </si>
  <si>
    <t>Plus : L/C</t>
  </si>
  <si>
    <t>Less:  Interest</t>
  </si>
  <si>
    <t>Consolidated Check</t>
  </si>
  <si>
    <t xml:space="preserve">    Difference</t>
  </si>
  <si>
    <t>PPA Plant Output Summary</t>
  </si>
  <si>
    <t>Merchant Plant Output Summary</t>
  </si>
  <si>
    <t xml:space="preserve">  Block Payment</t>
  </si>
  <si>
    <t>39.  Changed the End Date back to 5/30/20</t>
  </si>
  <si>
    <t>State Property Tax Relpacement Credit</t>
  </si>
  <si>
    <t>Fed</t>
  </si>
  <si>
    <t>Pool</t>
  </si>
  <si>
    <t>40.  Property Taxes.  Warren Shick has stated that non local entities can not use the Pooling Deprec. Schedules but instead it must follow Fed Deprec.</t>
  </si>
  <si>
    <t>41.  Changed the escalation for the Marketing Fee making the Yr. 2003 the base.</t>
  </si>
  <si>
    <t>42.  Control Budget Version # 10</t>
  </si>
  <si>
    <t>43.  Control Budget Version # 11</t>
  </si>
  <si>
    <t>44.  The last year of the Block Payment was prorated while the cost was not.</t>
  </si>
  <si>
    <t>45.  Added back in the Start Up Fuel which is not a true pass through due to the Taxes</t>
  </si>
  <si>
    <t xml:space="preserve">   Capacity ($/kw-mo) - Fixed PPA</t>
  </si>
  <si>
    <t xml:space="preserve">   Capacity ($/kw-mo) - Merchant</t>
  </si>
  <si>
    <t>Percentage of Draw at 12/99</t>
  </si>
  <si>
    <t>Mileage Rate</t>
  </si>
  <si>
    <t>Replacement Credit</t>
  </si>
  <si>
    <t xml:space="preserve">   Assessed Value Multiplier</t>
  </si>
  <si>
    <t xml:space="preserve">    Taxable Value</t>
  </si>
  <si>
    <t xml:space="preserve">   Annual Personnal Property Tax Liability</t>
  </si>
  <si>
    <t xml:space="preserve">   Personnal Prop. Abatement Schedule </t>
  </si>
  <si>
    <t xml:space="preserve">   Real Prop. Abatement Schedule</t>
  </si>
  <si>
    <t xml:space="preserve">   Annual Real Property Tax Liability</t>
  </si>
  <si>
    <t xml:space="preserve">   Annual land Tax Liability</t>
  </si>
  <si>
    <t>46.  Property Taxes.  Differentialted between Real and Perconnal Property and added a second abatement schedule</t>
  </si>
  <si>
    <t>20 Yr. Ave</t>
  </si>
  <si>
    <t xml:space="preserve">   Estimated Cost  of Personnal Property</t>
  </si>
  <si>
    <t xml:space="preserve">   Estimated Cost of Real Prop</t>
  </si>
  <si>
    <t xml:space="preserve">   Cost of Land (No Depreciation)</t>
  </si>
  <si>
    <t xml:space="preserve">   True Tax Value of Personnal</t>
  </si>
  <si>
    <t xml:space="preserve">   True Tax Value of Land</t>
  </si>
  <si>
    <t xml:space="preserve">   True Tax Value Percentages  (Year 3 on is Fed Tax Schedule)</t>
  </si>
  <si>
    <t xml:space="preserve">  Water Interconnect</t>
  </si>
  <si>
    <t>47.  Control Budget Version # 12</t>
  </si>
  <si>
    <t/>
  </si>
  <si>
    <t>Alternate</t>
  </si>
  <si>
    <t>48.  Added the CSFB Financing Terms</t>
  </si>
  <si>
    <t xml:space="preserve">  Power Interconnect</t>
  </si>
  <si>
    <t>49.  Control Budget Revision #15</t>
  </si>
  <si>
    <t>Increase in cost if Abatement Schedule moved forward</t>
  </si>
  <si>
    <t xml:space="preserve">  Book Provision for Federal Taxes</t>
  </si>
  <si>
    <t xml:space="preserve">   Gross Receipts </t>
  </si>
  <si>
    <t xml:space="preserve">  Book Provision for State Taxes</t>
  </si>
  <si>
    <t>EBT After State Taxes</t>
  </si>
  <si>
    <t>Pretax Book Income Adj for GRT/ Sup Tax</t>
  </si>
  <si>
    <t>50.  Made the Supplemental tax Fed Tax deductible.</t>
  </si>
  <si>
    <t xml:space="preserve">  Total Expensed Cost</t>
  </si>
  <si>
    <t>51.  Control Budget revision #18</t>
  </si>
  <si>
    <t>ISO Capacity Rating (MW)</t>
  </si>
  <si>
    <t>Plus : GRT</t>
  </si>
  <si>
    <t xml:space="preserve">  Energy Payment</t>
  </si>
  <si>
    <t xml:space="preserve">  Switchyard</t>
  </si>
  <si>
    <t xml:space="preserve">  Union Adders/Others</t>
  </si>
  <si>
    <t xml:space="preserve">  Overheads and Fees - EECC</t>
  </si>
  <si>
    <t xml:space="preserve">  Overheads &amp; Fees - NEPCO</t>
  </si>
  <si>
    <t xml:space="preserve">  Base Fee</t>
  </si>
  <si>
    <t xml:space="preserve">   Land Expense</t>
  </si>
  <si>
    <t>52.  Using the ISO rating capacities for the merchant periods</t>
  </si>
  <si>
    <t>53.  Control Budget Version #20</t>
  </si>
  <si>
    <t>54.  Control Budget Version #21</t>
  </si>
  <si>
    <t xml:space="preserve">  Petersburg Expenses</t>
  </si>
  <si>
    <t>Estimated Cost Schedule for 120 Starts</t>
  </si>
  <si>
    <t xml:space="preserve">   Project Cost Expensed</t>
  </si>
  <si>
    <t xml:space="preserve">  Gross Receipts Tax/Supplemental Inc. Tax</t>
  </si>
  <si>
    <t>55.  Adjusted the debt to be 75%.  The Project Cost has been increasing in the last few Control Budgets so this had sunk to about 70%</t>
  </si>
  <si>
    <t>Start Up Fuel (MMBTU/Turbine)</t>
  </si>
  <si>
    <t>56.  Adjusted the Cash Flow to account for the supplemental income tax.  This has no effect on the consolidated model.</t>
  </si>
  <si>
    <t>58.  Update costs from weekly cost control sheet</t>
  </si>
  <si>
    <t>59.  No changes from control sheet</t>
  </si>
  <si>
    <t>60.  No changes from control sheet</t>
  </si>
  <si>
    <t>61.  No changes from control sheet</t>
  </si>
  <si>
    <t>61.  Changes made to Cintingency with NEPCO and No More Financings Fee</t>
  </si>
  <si>
    <t>62.  Changes made to Cintingency with NEPCO and No More Resale Handling Fee</t>
  </si>
  <si>
    <t>62.  Changes made to ABB with NEPCO, IDC, &amp; Contingency</t>
  </si>
  <si>
    <t>63.  Changes made to ABB with NEPCO, IDC, &amp; Contingency</t>
  </si>
  <si>
    <t>64.  Changes made to ABB with NEPCO, IDC, &amp; Contingency</t>
  </si>
  <si>
    <t>65.  Changes made to ABB with NEPCO, IDC, &amp; Contingency</t>
  </si>
  <si>
    <t>66.  Changes made to nepco, development and switchyard.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</si>
</sst>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7">
    <numFmt numFmtId="5" formatCode="&quot;$&quot;#,##0_);\(&quot;$&quot;#,##0\)"/>
    <numFmt numFmtId="6" formatCode="&quot;$&quot;#,##0_);[Red]\(&quot;$&quot;#,##0\)"/>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6" formatCode="General_)"/>
    <numFmt numFmtId="167" formatCode="0_)"/>
    <numFmt numFmtId="170" formatCode="0.00_)"/>
    <numFmt numFmtId="171" formatCode="0.0%"/>
    <numFmt numFmtId="172" formatCode="#,##0.0_);\(#,##0.0\)"/>
    <numFmt numFmtId="173" formatCode=";;;"/>
    <numFmt numFmtId="174" formatCode="0.000%"/>
    <numFmt numFmtId="176" formatCode="#,##0.000_);\(#,##0.000\)"/>
    <numFmt numFmtId="181" formatCode="#,##0.000_);[Red]\(#,##0.000\)"/>
    <numFmt numFmtId="185" formatCode="#,##0.0000_);[Red]\(#,##0.0000\)"/>
    <numFmt numFmtId="189" formatCode="0.0"/>
    <numFmt numFmtId="190" formatCode="0.000"/>
    <numFmt numFmtId="197" formatCode="&quot;$&quot;#,##0.000_);[Red]\(&quot;$&quot;#,##0.000\)"/>
    <numFmt numFmtId="203" formatCode="_(&quot;$&quot;* #,##0_);_(&quot;$&quot;* \(#,##0\);_(&quot;$&quot;* &quot;-&quot;??_);_(@_)"/>
    <numFmt numFmtId="204" formatCode="0.000_)"/>
    <numFmt numFmtId="205" formatCode="_(* #,##0.0_);_(* \(#,##0.0\);_(* &quot;-&quot;??_);_(@_)"/>
    <numFmt numFmtId="206" formatCode="_(* #,##0_);_(* \(#,##0\);_(* &quot;-&quot;??_);_(@_)"/>
    <numFmt numFmtId="208" formatCode="_(* #,##0.0000_);_(* \(#,##0.0000\);_(* &quot;-&quot;??_);_(@_)"/>
    <numFmt numFmtId="209" formatCode="_(* #,##0.00000_);_(* \(#,##0.00000\);_(* &quot;-&quot;??_);_(@_)"/>
    <numFmt numFmtId="210" formatCode="_(* #,##0.000000_);_(* \(#,##0.000000\);_(* &quot;-&quot;??_);_(@_)"/>
    <numFmt numFmtId="218" formatCode="&quot;$&quot;#,##0.000_);\(&quot;$&quot;#,##0.000\)"/>
    <numFmt numFmtId="222" formatCode="0.0000_)"/>
    <numFmt numFmtId="223" formatCode="&quot;$&quot;#,##0.0000000_);\(&quot;$&quot;#,##0.0000000\)"/>
    <numFmt numFmtId="224" formatCode="0.000000000"/>
    <numFmt numFmtId="225" formatCode="0.0000000000"/>
    <numFmt numFmtId="238" formatCode="0.000000000_)"/>
    <numFmt numFmtId="243" formatCode="mmm\-yy_)"/>
    <numFmt numFmtId="251" formatCode="_(* #,##0.00_);_(* \(#,##0.00\);_(* &quot;-&quot;_);_(@_)"/>
    <numFmt numFmtId="259" formatCode="_(* #,##0.0000000000_);_(* \(#,##0.0000000000\);_(* &quot;-&quot;_);_(@_)"/>
    <numFmt numFmtId="261" formatCode="_(* #,##0.000000000000_);_(* \(#,##0.000000000000\);_(* &quot;-&quot;_);_(@_)"/>
    <numFmt numFmtId="262" formatCode="_(* #,##0.0000000000000_);_(* \(#,##0.0000000000000\);_(* &quot;-&quot;_);_(@_)"/>
    <numFmt numFmtId="263" formatCode="_(* #,##0.00000000000000_);_(* \(#,##0.00000000000000\);_(* &quot;-&quot;_);_(@_)"/>
    <numFmt numFmtId="264" formatCode="_(* #,##0.00000000_);_(* \(#,##0.00000000\);_(* &quot;-&quot;??_);_(@_)"/>
    <numFmt numFmtId="265" formatCode="_(* #,##0.0_);_(* \(#,##0.0\);_(* &quot;-&quot;?_);_(@_)"/>
    <numFmt numFmtId="269" formatCode="0.00_);[Red]\(0.00\)"/>
    <numFmt numFmtId="270" formatCode="0_);[Red]\(0\)"/>
    <numFmt numFmtId="271" formatCode="m/d/yyyy\ h:mm:ss"/>
    <numFmt numFmtId="272" formatCode="_(* #,##0.000_);_(* \(#,##0.000\);_(* &quot;-&quot;???_);_(@_)"/>
    <numFmt numFmtId="273" formatCode="00000"/>
    <numFmt numFmtId="275" formatCode="&quot;$&quot;#,##0.00"/>
    <numFmt numFmtId="299" formatCode="0.00000000000"/>
    <numFmt numFmtId="304" formatCode="0.0000000000000000"/>
    <numFmt numFmtId="305" formatCode="0.00000000000000000"/>
    <numFmt numFmtId="306" formatCode="m"/>
    <numFmt numFmtId="307" formatCode="_(&quot;$&quot;* #,##0.000_);_(&quot;$&quot;* \(#,##0.000\);_(&quot;$&quot;* &quot;-&quot;??_);_(@_)"/>
    <numFmt numFmtId="309" formatCode="_(&quot;$&quot;* #,##0.00000_);_(&quot;$&quot;* \(#,##0.00000\);_(&quot;$&quot;* &quot;-&quot;??_);_(@_)"/>
    <numFmt numFmtId="310" formatCode="_(&quot;$&quot;* #,##0.000000_);_(&quot;$&quot;* \(#,##0.000000\);_(&quot;$&quot;* &quot;-&quot;??_);_(@_)"/>
    <numFmt numFmtId="311" formatCode="_(&quot;$&quot;* #,##0.0000000_);_(&quot;$&quot;* \(#,##0.0000000\);_(&quot;$&quot;* &quot;-&quot;??_);_(@_)"/>
    <numFmt numFmtId="313" formatCode="0.000000000000000000"/>
    <numFmt numFmtId="317" formatCode="&quot;$&quot;#,##0.000"/>
    <numFmt numFmtId="318" formatCode="#,##0.00000000000000000000"/>
    <numFmt numFmtId="319" formatCode="0.000E+00"/>
    <numFmt numFmtId="320" formatCode="0.0000E+00"/>
    <numFmt numFmtId="321" formatCode="&quot;$&quot;#,##0.0000"/>
    <numFmt numFmtId="322" formatCode="&quot;$&quot;#,##0.00000"/>
    <numFmt numFmtId="323" formatCode="0.000000%"/>
    <numFmt numFmtId="324" formatCode="0.0000000%"/>
    <numFmt numFmtId="331" formatCode="0.00000000000000%"/>
    <numFmt numFmtId="332" formatCode="0.000000000000000%"/>
    <numFmt numFmtId="333" formatCode="\£#,##0_);\(\£#,##0\)"/>
    <numFmt numFmtId="334" formatCode="\£#,##0.00_);[Red]\(\£#,##0.00\)"/>
    <numFmt numFmtId="335" formatCode="\£#,##0.0_);[Red]\(\£#,##0.0\)"/>
    <numFmt numFmtId="336" formatCode="\£#,##0_);[Red]\(\£#,##0\)"/>
    <numFmt numFmtId="337" formatCode="##0.000"/>
    <numFmt numFmtId="338" formatCode="\£#,##0.0_);\(\£#,##0.0\)"/>
    <numFmt numFmtId="339" formatCode="\£#,##0.00_);\(\£#,##0.00\)"/>
    <numFmt numFmtId="340" formatCode="\£#,##0.000_);\(\£#,##0.000\)"/>
    <numFmt numFmtId="341" formatCode="\£#,##0.0000_);\(\£#,##0.0000\)"/>
    <numFmt numFmtId="343" formatCode="&quot;$&quot;#,##0;[Red]&quot;$&quot;#,##0"/>
    <numFmt numFmtId="344" formatCode="0.0000000000000000000000"/>
    <numFmt numFmtId="347" formatCode="0.0000000000000000000000000"/>
    <numFmt numFmtId="348" formatCode="0.00000000000000000000000000"/>
    <numFmt numFmtId="349" formatCode="0.000000000000000000000000000"/>
    <numFmt numFmtId="350" formatCode="0.0000000000000000000000000000"/>
    <numFmt numFmtId="352" formatCode="0.000000000000000000000000000000"/>
    <numFmt numFmtId="354" formatCode="0.00000000000000000000000000000000"/>
    <numFmt numFmtId="355" formatCode="0.000000000000000000000000000000000"/>
    <numFmt numFmtId="356" formatCode="0.0000000000000000000000000000000000"/>
    <numFmt numFmtId="357" formatCode="0.00000000000000000000000000000000000"/>
  </numFmts>
  <fonts count="143">
    <font>
      <sz val="10"/>
      <name val="Arial"/>
    </font>
    <font>
      <b/>
      <sz val="10"/>
      <name val="Arial"/>
    </font>
    <font>
      <sz val="10"/>
      <name val="Arial"/>
    </font>
    <font>
      <sz val="12"/>
      <color indexed="8"/>
      <name val="Arial MT"/>
    </font>
    <font>
      <sz val="10"/>
      <name val="MS Sans Serif"/>
    </font>
    <font>
      <sz val="8"/>
      <name val="Arial"/>
    </font>
    <font>
      <sz val="10"/>
      <name val="Courier"/>
    </font>
    <font>
      <sz val="8"/>
      <name val="Arial"/>
      <family val="2"/>
    </font>
    <font>
      <sz val="8"/>
      <color indexed="12"/>
      <name val="Arial"/>
      <family val="2"/>
    </font>
    <font>
      <u/>
      <sz val="8"/>
      <name val="Arial"/>
      <family val="2"/>
    </font>
    <font>
      <sz val="8"/>
      <color indexed="81"/>
      <name val="Tahoma"/>
    </font>
    <font>
      <sz val="10"/>
      <color indexed="12"/>
      <name val="Arial"/>
      <family val="2"/>
    </font>
    <font>
      <sz val="10"/>
      <name val="Arial"/>
      <family val="2"/>
    </font>
    <font>
      <u/>
      <sz val="10"/>
      <color indexed="12"/>
      <name val="Arial"/>
    </font>
    <font>
      <sz val="9"/>
      <name val="Arial"/>
      <family val="2"/>
    </font>
    <font>
      <b/>
      <u/>
      <sz val="8"/>
      <name val="Arial"/>
      <family val="2"/>
    </font>
    <font>
      <u val="singleAccounting"/>
      <sz val="8"/>
      <name val="Arial"/>
    </font>
    <font>
      <sz val="10"/>
      <name val="Times New Roman"/>
    </font>
    <font>
      <sz val="8"/>
      <color indexed="8"/>
      <name val="P-TIMES"/>
    </font>
    <font>
      <sz val="8"/>
      <color indexed="8"/>
      <name val="Arial MT"/>
    </font>
    <font>
      <sz val="8"/>
      <color indexed="12"/>
      <name val="P-TIMES"/>
    </font>
    <font>
      <b/>
      <sz val="8"/>
      <color indexed="81"/>
      <name val="Tahoma"/>
    </font>
    <font>
      <sz val="9"/>
      <name val="Arial"/>
    </font>
    <font>
      <sz val="10"/>
      <color indexed="8"/>
      <name val="Arial"/>
      <family val="2"/>
    </font>
    <font>
      <sz val="12"/>
      <name val="Helv"/>
    </font>
    <font>
      <sz val="10"/>
      <name val="Helv"/>
      <family val="2"/>
    </font>
    <font>
      <sz val="12"/>
      <name val="???"/>
      <family val="1"/>
      <charset val="129"/>
    </font>
    <font>
      <sz val="12"/>
      <name val="???"/>
      <family val="3"/>
      <charset val="129"/>
    </font>
    <font>
      <sz val="10"/>
      <name val="???"/>
      <family val="3"/>
      <charset val="129"/>
    </font>
    <font>
      <sz val="11"/>
      <name val="??"/>
      <family val="3"/>
      <charset val="129"/>
    </font>
    <font>
      <sz val="10"/>
      <name val="MS Sans Serif"/>
      <family val="2"/>
    </font>
    <font>
      <sz val="11"/>
      <name val="???"/>
      <family val="1"/>
      <charset val="129"/>
    </font>
    <font>
      <sz val="11"/>
      <name val="???"/>
      <family val="3"/>
      <charset val="129"/>
    </font>
    <font>
      <sz val="10"/>
      <name val="Geneva"/>
      <family val="2"/>
    </font>
    <font>
      <sz val="10"/>
      <name val="Helv"/>
    </font>
    <font>
      <b/>
      <u/>
      <sz val="11"/>
      <color indexed="37"/>
      <name val="Arial"/>
      <family val="2"/>
    </font>
    <font>
      <u/>
      <sz val="8.4"/>
      <color indexed="12"/>
      <name val="Arial"/>
      <family val="2"/>
    </font>
    <font>
      <sz val="7"/>
      <name val="Small Fonts"/>
    </font>
    <font>
      <b/>
      <i/>
      <sz val="16"/>
      <name val="Helv"/>
    </font>
    <font>
      <sz val="12"/>
      <name val="Arial"/>
      <family val="2"/>
    </font>
    <font>
      <sz val="12"/>
      <name val="Helv"/>
      <family val="2"/>
    </font>
    <font>
      <sz val="12"/>
      <name val="Courier"/>
      <family val="3"/>
    </font>
    <font>
      <sz val="8"/>
      <name val="Courier"/>
      <family val="3"/>
    </font>
    <font>
      <sz val="10"/>
      <name val="Book Antiqua"/>
      <family val="1"/>
    </font>
    <font>
      <sz val="10"/>
      <name val="Times New Roman"/>
      <family val="1"/>
    </font>
    <font>
      <sz val="8"/>
      <name val="Arial"/>
    </font>
    <font>
      <sz val="8"/>
      <name val="MS Sans Serif"/>
      <family val="2"/>
    </font>
    <font>
      <sz val="12"/>
      <name val="Times New Roman"/>
      <family val="1"/>
    </font>
    <font>
      <sz val="10"/>
      <name val="Courier"/>
      <family val="3"/>
    </font>
    <font>
      <sz val="10"/>
      <color indexed="8"/>
      <name val="MS Sans Serif"/>
    </font>
    <font>
      <sz val="10"/>
      <name val="Univers (W1)"/>
    </font>
    <font>
      <sz val="12"/>
      <name val="Times New Roman"/>
    </font>
    <font>
      <sz val="10"/>
      <name val="Univers (W1)"/>
      <family val="2"/>
    </font>
    <font>
      <b/>
      <sz val="14"/>
      <name val="Times New Roman"/>
      <family val="1"/>
    </font>
    <font>
      <b/>
      <sz val="14"/>
      <name val="Times New Roman"/>
    </font>
    <font>
      <sz val="10"/>
      <name val="Geneva"/>
    </font>
    <font>
      <sz val="14"/>
      <name val="AngsanaUPC"/>
      <family val="1"/>
    </font>
    <font>
      <sz val="9"/>
      <name val="Arial Narrow"/>
      <family val="2"/>
    </font>
    <font>
      <sz val="7"/>
      <name val="Arial"/>
      <family val="2"/>
    </font>
    <font>
      <sz val="7"/>
      <name val="Arial"/>
    </font>
    <font>
      <sz val="10"/>
      <name val="Times"/>
    </font>
    <font>
      <sz val="12"/>
      <name val="EucrosiaUPC"/>
      <family val="1"/>
    </font>
    <font>
      <sz val="14"/>
      <name val="CordiaUPC"/>
      <family val="1"/>
    </font>
    <font>
      <sz val="10"/>
      <name val="Advisor SSi"/>
      <family val="1"/>
    </font>
    <font>
      <sz val="14"/>
      <name val="FreesiaUPC"/>
      <family val="1"/>
    </font>
    <font>
      <sz val="12"/>
      <name val="PathWay Access 3.0"/>
      <family val="3"/>
    </font>
    <font>
      <sz val="8.5"/>
      <name val="MS Sans Serif"/>
      <family val="2"/>
    </font>
    <font>
      <sz val="10"/>
      <name val="Arial Narrow"/>
      <family val="2"/>
    </font>
    <font>
      <sz val="11"/>
      <name val="Book Antiqua"/>
      <family val="1"/>
    </font>
    <font>
      <sz val="8"/>
      <name val="Tms Rmn"/>
    </font>
    <font>
      <sz val="10"/>
      <name val="Tms Rmn"/>
    </font>
    <font>
      <sz val="10"/>
      <name val="TimesNewRomanPS"/>
      <family val="1"/>
    </font>
    <font>
      <sz val="8"/>
      <name val="Times New Roman"/>
      <family val="1"/>
    </font>
    <font>
      <sz val="8"/>
      <name val="Times New Roman"/>
    </font>
    <font>
      <sz val="8"/>
      <color indexed="81"/>
      <name val="Tahoma"/>
      <family val="2"/>
    </font>
    <font>
      <sz val="10"/>
      <color indexed="81"/>
      <name val="Tahoma"/>
      <family val="2"/>
    </font>
    <font>
      <b/>
      <sz val="12"/>
      <color indexed="81"/>
      <name val="Tahoma"/>
      <family val="2"/>
    </font>
    <font>
      <sz val="12"/>
      <color indexed="81"/>
      <name val="Tahoma"/>
      <family val="2"/>
    </font>
    <font>
      <b/>
      <sz val="10"/>
      <color indexed="81"/>
      <name val="Tahoma"/>
      <family val="2"/>
    </font>
    <font>
      <b/>
      <u/>
      <sz val="8"/>
      <color indexed="81"/>
      <name val="Tahoma"/>
      <family val="2"/>
    </font>
    <font>
      <b/>
      <sz val="8"/>
      <color indexed="81"/>
      <name val="Tahoma"/>
      <family val="2"/>
    </font>
    <font>
      <b/>
      <sz val="16"/>
      <name val="Times New Roman"/>
      <family val="1"/>
    </font>
    <font>
      <b/>
      <u/>
      <sz val="15"/>
      <color indexed="10"/>
      <name val="Times New Roman"/>
      <family val="1"/>
    </font>
    <font>
      <b/>
      <sz val="8"/>
      <name val="Times New Roman"/>
      <family val="1"/>
    </font>
    <font>
      <b/>
      <sz val="8"/>
      <color indexed="10"/>
      <name val="Times New Roman"/>
      <family val="1"/>
    </font>
    <font>
      <b/>
      <sz val="8"/>
      <color indexed="17"/>
      <name val="Times New Roman"/>
      <family val="1"/>
    </font>
    <font>
      <b/>
      <sz val="8"/>
      <color indexed="16"/>
      <name val="Times New Roman"/>
      <family val="1"/>
    </font>
    <font>
      <b/>
      <sz val="10"/>
      <name val="Times New Roman"/>
      <family val="1"/>
    </font>
    <font>
      <b/>
      <i/>
      <sz val="8"/>
      <name val="Times New Roman"/>
      <family val="1"/>
    </font>
    <font>
      <b/>
      <u/>
      <sz val="8"/>
      <name val="Times New Roman"/>
      <family val="1"/>
    </font>
    <font>
      <u/>
      <sz val="10"/>
      <name val="Times New Roman"/>
      <family val="1"/>
    </font>
    <font>
      <sz val="9"/>
      <name val="Times New Roman"/>
      <family val="1"/>
    </font>
    <font>
      <u/>
      <sz val="9"/>
      <name val="Times New Roman"/>
      <family val="1"/>
    </font>
    <font>
      <u/>
      <sz val="8"/>
      <name val="Times New Roman"/>
      <family val="1"/>
    </font>
    <font>
      <b/>
      <i/>
      <sz val="8"/>
      <color indexed="8"/>
      <name val="Times New Roman"/>
      <family val="1"/>
    </font>
    <font>
      <sz val="8"/>
      <color indexed="8"/>
      <name val="Times New Roman"/>
      <family val="1"/>
    </font>
    <font>
      <b/>
      <sz val="8"/>
      <color indexed="8"/>
      <name val="Times New Roman"/>
      <family val="1"/>
    </font>
    <font>
      <b/>
      <sz val="8"/>
      <color indexed="12"/>
      <name val="Times New Roman"/>
      <family val="1"/>
    </font>
    <font>
      <sz val="8"/>
      <color indexed="12"/>
      <name val="Times New Roman"/>
      <family val="1"/>
    </font>
    <font>
      <i/>
      <sz val="8"/>
      <name val="Times New Roman"/>
      <family val="1"/>
    </font>
    <font>
      <u val="singleAccounting"/>
      <sz val="8"/>
      <name val="Times New Roman"/>
      <family val="1"/>
    </font>
    <font>
      <b/>
      <sz val="12"/>
      <name val="Times New Roman"/>
      <family val="1"/>
    </font>
    <font>
      <b/>
      <i/>
      <u/>
      <sz val="8"/>
      <name val="Times New Roman"/>
      <family val="1"/>
    </font>
    <font>
      <u val="doubleAccounting"/>
      <sz val="8"/>
      <name val="Times New Roman"/>
      <family val="1"/>
    </font>
    <font>
      <sz val="8"/>
      <color indexed="9"/>
      <name val="Times New Roman"/>
      <family val="1"/>
    </font>
    <font>
      <b/>
      <u/>
      <sz val="12"/>
      <name val="Times New Roman"/>
      <family val="1"/>
    </font>
    <font>
      <sz val="10"/>
      <color indexed="12"/>
      <name val="Times New Roman"/>
      <family val="1"/>
    </font>
    <font>
      <u val="singleAccounting"/>
      <sz val="10"/>
      <name val="Times New Roman"/>
      <family val="1"/>
    </font>
    <font>
      <sz val="8"/>
      <color indexed="10"/>
      <name val="Times New Roman"/>
      <family val="1"/>
    </font>
    <font>
      <sz val="11"/>
      <name val="Times New Roman"/>
      <family val="1"/>
    </font>
    <font>
      <sz val="9"/>
      <color indexed="12"/>
      <name val="Times New Roman"/>
      <family val="1"/>
    </font>
    <font>
      <sz val="9"/>
      <color indexed="9"/>
      <name val="Times New Roman"/>
      <family val="1"/>
    </font>
    <font>
      <sz val="9"/>
      <color indexed="8"/>
      <name val="Times New Roman"/>
      <family val="1"/>
    </font>
    <font>
      <u/>
      <sz val="11"/>
      <name val="Times New Roman"/>
      <family val="1"/>
    </font>
    <font>
      <b/>
      <u/>
      <sz val="10"/>
      <name val="Times New Roman"/>
      <family val="1"/>
    </font>
    <font>
      <u/>
      <sz val="9"/>
      <color indexed="8"/>
      <name val="Times New Roman"/>
      <family val="1"/>
    </font>
    <font>
      <b/>
      <u/>
      <sz val="9"/>
      <name val="Times New Roman"/>
      <family val="1"/>
    </font>
    <font>
      <u val="singleAccounting"/>
      <sz val="9"/>
      <color indexed="12"/>
      <name val="Times New Roman"/>
      <family val="1"/>
    </font>
    <font>
      <b/>
      <sz val="9"/>
      <color indexed="8"/>
      <name val="Times New Roman"/>
      <family val="1"/>
    </font>
    <font>
      <b/>
      <sz val="9"/>
      <name val="Times New Roman"/>
      <family val="1"/>
    </font>
    <font>
      <b/>
      <sz val="9"/>
      <color indexed="10"/>
      <name val="Times New Roman"/>
      <family val="1"/>
    </font>
    <font>
      <i/>
      <sz val="9"/>
      <name val="Times New Roman"/>
      <family val="1"/>
    </font>
    <font>
      <u/>
      <sz val="9"/>
      <color indexed="9"/>
      <name val="Times New Roman"/>
      <family val="1"/>
    </font>
    <font>
      <u/>
      <sz val="9"/>
      <color indexed="12"/>
      <name val="Times New Roman"/>
      <family val="1"/>
    </font>
    <font>
      <sz val="9"/>
      <color indexed="56"/>
      <name val="Times New Roman"/>
      <family val="1"/>
    </font>
    <font>
      <u val="singleAccounting"/>
      <sz val="9"/>
      <name val="Times New Roman"/>
      <family val="1"/>
    </font>
    <font>
      <sz val="9"/>
      <color indexed="10"/>
      <name val="Times New Roman"/>
      <family val="1"/>
    </font>
    <font>
      <b/>
      <sz val="9"/>
      <color indexed="12"/>
      <name val="Times New Roman"/>
      <family val="1"/>
    </font>
    <font>
      <u val="singleAccounting"/>
      <sz val="8"/>
      <color indexed="12"/>
      <name val="Times New Roman"/>
      <family val="1"/>
    </font>
    <font>
      <b/>
      <u/>
      <sz val="12"/>
      <color indexed="8"/>
      <name val="Times New Roman"/>
      <family val="1"/>
    </font>
    <font>
      <sz val="12"/>
      <color indexed="12"/>
      <name val="Times New Roman"/>
      <family val="1"/>
    </font>
    <font>
      <sz val="10"/>
      <color indexed="12"/>
      <name val="Arial"/>
    </font>
    <font>
      <b/>
      <u/>
      <sz val="9"/>
      <name val="Arial"/>
    </font>
    <font>
      <b/>
      <u/>
      <sz val="9"/>
      <color indexed="12"/>
      <name val="Times New Roman"/>
      <family val="1"/>
    </font>
    <font>
      <sz val="16"/>
      <name val="Times New Roman"/>
      <family val="1"/>
    </font>
    <font>
      <b/>
      <u val="singleAccounting"/>
      <sz val="8"/>
      <name val="Times New Roman"/>
      <family val="1"/>
    </font>
    <font>
      <b/>
      <u val="singleAccounting"/>
      <sz val="9"/>
      <color indexed="12"/>
      <name val="Times New Roman"/>
      <family val="1"/>
    </font>
    <font>
      <b/>
      <sz val="10"/>
      <name val="Arial"/>
      <family val="2"/>
    </font>
    <font>
      <b/>
      <u/>
      <sz val="10"/>
      <name val="Arial"/>
      <family val="2"/>
    </font>
    <font>
      <u/>
      <sz val="10"/>
      <color indexed="8"/>
      <name val="Times New Roman"/>
      <family val="1"/>
    </font>
    <font>
      <sz val="10"/>
      <color indexed="8"/>
      <name val="Times New Roman"/>
      <family val="1"/>
    </font>
    <font>
      <u/>
      <sz val="10"/>
      <name val="Arial"/>
    </font>
    <font>
      <u/>
      <sz val="8"/>
      <color indexed="12"/>
      <name val="Times New Roman"/>
      <family val="1"/>
    </font>
  </fonts>
  <fills count="17">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22"/>
        <bgColor indexed="64"/>
      </patternFill>
    </fill>
    <fill>
      <patternFill patternType="solid">
        <fgColor indexed="26"/>
        <bgColor indexed="64"/>
      </patternFill>
    </fill>
    <fill>
      <patternFill patternType="solid">
        <fgColor indexed="58"/>
        <bgColor indexed="64"/>
      </patternFill>
    </fill>
    <fill>
      <patternFill patternType="solid">
        <fgColor indexed="9"/>
        <bgColor indexed="9"/>
      </patternFill>
    </fill>
    <fill>
      <patternFill patternType="solid">
        <fgColor indexed="43"/>
        <bgColor indexed="64"/>
      </patternFill>
    </fill>
    <fill>
      <patternFill patternType="solid">
        <fgColor indexed="14"/>
        <bgColor indexed="64"/>
      </patternFill>
    </fill>
    <fill>
      <patternFill patternType="solid">
        <fgColor indexed="40"/>
        <bgColor indexed="64"/>
      </patternFill>
    </fill>
    <fill>
      <patternFill patternType="solid">
        <fgColor indexed="42"/>
        <bgColor indexed="64"/>
      </patternFill>
    </fill>
    <fill>
      <patternFill patternType="solid">
        <fgColor indexed="47"/>
        <bgColor indexed="64"/>
      </patternFill>
    </fill>
    <fill>
      <patternFill patternType="solid">
        <fgColor indexed="46"/>
        <bgColor indexed="64"/>
      </patternFill>
    </fill>
    <fill>
      <patternFill patternType="solid">
        <fgColor indexed="41"/>
        <bgColor indexed="64"/>
      </patternFill>
    </fill>
    <fill>
      <patternFill patternType="solid">
        <fgColor indexed="9"/>
        <bgColor indexed="64"/>
      </patternFill>
    </fill>
    <fill>
      <patternFill patternType="solid">
        <fgColor indexed="13"/>
        <bgColor indexed="64"/>
      </patternFill>
    </fill>
  </fills>
  <borders count="32">
    <border>
      <left/>
      <right/>
      <top/>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thin">
        <color indexed="64"/>
      </left>
      <right/>
      <top style="thin">
        <color indexed="64"/>
      </top>
      <bottom style="thin">
        <color indexed="64"/>
      </bottom>
      <diagonal/>
    </border>
    <border>
      <left/>
      <right/>
      <top style="thin">
        <color indexed="64"/>
      </top>
      <bottom style="medium">
        <color indexed="64"/>
      </bottom>
      <diagonal/>
    </border>
  </borders>
  <cellStyleXfs count="35">
    <xf numFmtId="0" fontId="0" fillId="0" borderId="0"/>
    <xf numFmtId="0" fontId="26" fillId="0" borderId="0"/>
    <xf numFmtId="299" fontId="2" fillId="2" borderId="1">
      <alignment horizontal="center" vertical="center"/>
    </xf>
    <xf numFmtId="43" fontId="2" fillId="0" borderId="0" applyFont="0" applyFill="0" applyBorder="0" applyAlignment="0" applyProtection="0"/>
    <xf numFmtId="40" fontId="2" fillId="3" borderId="0" applyFont="0" applyBorder="0" applyAlignment="0" applyProtection="0"/>
    <xf numFmtId="44" fontId="2" fillId="0" borderId="0" applyFont="0" applyFill="0" applyBorder="0" applyAlignment="0" applyProtection="0"/>
    <xf numFmtId="8" fontId="2" fillId="0" borderId="0" applyFont="0" applyFill="0" applyBorder="0" applyAlignment="0" applyProtection="0"/>
    <xf numFmtId="8" fontId="7" fillId="0" borderId="0" applyFont="0" applyFill="0" applyBorder="0" applyAlignment="0" applyProtection="0">
      <protection locked="0"/>
    </xf>
    <xf numFmtId="6" fontId="29" fillId="0" borderId="0">
      <protection locked="0"/>
    </xf>
    <xf numFmtId="223" fontId="2" fillId="0" borderId="0" applyFont="0" applyFill="0" applyBorder="0" applyAlignment="0" applyProtection="0"/>
    <xf numFmtId="225" fontId="2" fillId="0" borderId="0" applyFont="0" applyFill="0" applyBorder="0" applyAlignment="0" applyProtection="0"/>
    <xf numFmtId="313" fontId="2" fillId="0" borderId="0">
      <protection locked="0"/>
    </xf>
    <xf numFmtId="38" fontId="7" fillId="4" borderId="0" applyNumberFormat="0" applyBorder="0" applyAlignment="0" applyProtection="0"/>
    <xf numFmtId="0" fontId="35" fillId="0" borderId="0" applyNumberFormat="0" applyFill="0" applyBorder="0" applyAlignment="0" applyProtection="0"/>
    <xf numFmtId="14" fontId="2" fillId="0" borderId="0">
      <protection locked="0"/>
    </xf>
    <xf numFmtId="14" fontId="2" fillId="0" borderId="0">
      <protection locked="0"/>
    </xf>
    <xf numFmtId="0" fontId="11" fillId="0" borderId="2" applyNumberFormat="0" applyFill="0" applyAlignment="0" applyProtection="0"/>
    <xf numFmtId="10" fontId="7" fillId="5" borderId="3" applyNumberFormat="0" applyBorder="0" applyAlignment="0" applyProtection="0"/>
    <xf numFmtId="37" fontId="37" fillId="0" borderId="0"/>
    <xf numFmtId="170" fontId="38" fillId="0" borderId="0"/>
    <xf numFmtId="0" fontId="3" fillId="0" borderId="0"/>
    <xf numFmtId="37" fontId="5" fillId="0" borderId="0" applyBorder="0" applyAlignment="0" applyProtection="0">
      <alignment horizontal="center"/>
    </xf>
    <xf numFmtId="0" fontId="3" fillId="0" borderId="0"/>
    <xf numFmtId="9" fontId="2" fillId="0" borderId="0" applyFont="0" applyFill="0" applyBorder="0" applyAlignment="0" applyProtection="0"/>
    <xf numFmtId="10" fontId="2" fillId="0" borderId="0" applyFont="0" applyFill="0" applyBorder="0" applyAlignment="0" applyProtection="0"/>
    <xf numFmtId="0" fontId="2" fillId="6" borderId="0"/>
    <xf numFmtId="14" fontId="2" fillId="0" borderId="5">
      <protection locked="0"/>
    </xf>
    <xf numFmtId="333" fontId="7" fillId="0" borderId="0"/>
    <xf numFmtId="38" fontId="7" fillId="8" borderId="0" applyNumberFormat="0" applyBorder="0" applyAlignment="0" applyProtection="0"/>
    <xf numFmtId="37" fontId="7" fillId="8" borderId="0" applyNumberFormat="0" applyBorder="0" applyAlignment="0" applyProtection="0"/>
    <xf numFmtId="37" fontId="5" fillId="0" borderId="0"/>
    <xf numFmtId="37" fontId="5" fillId="4" borderId="0" applyNumberFormat="0" applyBorder="0" applyAlignment="0" applyProtection="0"/>
    <xf numFmtId="3" fontId="8" fillId="9" borderId="2" applyProtection="0"/>
    <xf numFmtId="0" fontId="2" fillId="0" borderId="0" applyFont="0" applyFill="0" applyBorder="0" applyAlignment="0" applyProtection="0"/>
    <xf numFmtId="0" fontId="2" fillId="0" borderId="0" applyFont="0" applyFill="0" applyBorder="0" applyAlignment="0" applyProtection="0"/>
  </cellStyleXfs>
  <cellXfs count="1080">
    <xf numFmtId="0" fontId="0" fillId="0" borderId="0" xfId="0"/>
    <xf numFmtId="37" fontId="5" fillId="0" borderId="0" xfId="21" applyAlignment="1"/>
    <xf numFmtId="37" fontId="5" fillId="0" borderId="0" xfId="21" applyAlignment="1">
      <alignment horizontal="right"/>
    </xf>
    <xf numFmtId="37" fontId="5" fillId="0" borderId="0" xfId="21" applyFont="1" applyAlignment="1"/>
    <xf numFmtId="37" fontId="5" fillId="0" borderId="0" xfId="21" applyFill="1" applyAlignment="1"/>
    <xf numFmtId="37" fontId="5" fillId="0" borderId="0" xfId="21" applyFont="1" applyFill="1" applyAlignment="1"/>
    <xf numFmtId="39" fontId="5" fillId="0" borderId="0" xfId="21" applyNumberFormat="1" applyAlignment="1"/>
    <xf numFmtId="43" fontId="0" fillId="0" borderId="0" xfId="0" applyNumberFormat="1"/>
    <xf numFmtId="0" fontId="7" fillId="0" borderId="0" xfId="0" applyFont="1"/>
    <xf numFmtId="0" fontId="7" fillId="0" borderId="0" xfId="0" applyFont="1" applyBorder="1" applyAlignment="1" applyProtection="1">
      <alignment horizontal="right"/>
    </xf>
    <xf numFmtId="9" fontId="7" fillId="0" borderId="0" xfId="0" applyNumberFormat="1" applyFont="1" applyProtection="1"/>
    <xf numFmtId="0" fontId="7" fillId="0" borderId="0" xfId="0" applyFont="1" applyProtection="1"/>
    <xf numFmtId="0" fontId="7" fillId="0" borderId="0" xfId="0" applyFont="1" applyBorder="1" applyProtection="1"/>
    <xf numFmtId="243" fontId="7" fillId="0" borderId="0" xfId="0" applyNumberFormat="1" applyFont="1" applyProtection="1"/>
    <xf numFmtId="10" fontId="7" fillId="0" borderId="0" xfId="0" applyNumberFormat="1" applyFont="1" applyProtection="1"/>
    <xf numFmtId="0" fontId="7" fillId="0" borderId="0" xfId="0" applyFont="1" applyBorder="1"/>
    <xf numFmtId="243" fontId="7" fillId="0" borderId="0" xfId="0" applyNumberFormat="1" applyFont="1" applyBorder="1" applyProtection="1"/>
    <xf numFmtId="206" fontId="7" fillId="0" borderId="0" xfId="3" applyNumberFormat="1" applyFont="1"/>
    <xf numFmtId="206" fontId="7" fillId="0" borderId="0" xfId="3" applyNumberFormat="1" applyFont="1" applyProtection="1"/>
    <xf numFmtId="206" fontId="7" fillId="0" borderId="0" xfId="3" applyNumberFormat="1" applyFont="1" applyBorder="1" applyProtection="1"/>
    <xf numFmtId="0" fontId="14" fillId="0" borderId="0" xfId="0" applyFont="1"/>
    <xf numFmtId="37" fontId="7" fillId="0" borderId="0" xfId="21" applyFont="1" applyAlignment="1"/>
    <xf numFmtId="167" fontId="9" fillId="0" borderId="0" xfId="0" applyNumberFormat="1" applyFont="1" applyProtection="1">
      <protection locked="0"/>
    </xf>
    <xf numFmtId="0" fontId="8" fillId="0" borderId="0" xfId="0" applyFont="1" applyAlignment="1" applyProtection="1">
      <alignment horizontal="center"/>
      <protection locked="0"/>
    </xf>
    <xf numFmtId="176" fontId="7" fillId="0" borderId="0" xfId="0" applyNumberFormat="1" applyFont="1" applyProtection="1"/>
    <xf numFmtId="39" fontId="7" fillId="0" borderId="0" xfId="0" applyNumberFormat="1" applyFont="1" applyProtection="1"/>
    <xf numFmtId="203" fontId="7" fillId="0" borderId="0" xfId="5" applyNumberFormat="1" applyFont="1"/>
    <xf numFmtId="37" fontId="7" fillId="0" borderId="0" xfId="0" applyNumberFormat="1" applyFont="1" applyProtection="1"/>
    <xf numFmtId="203" fontId="7" fillId="0" borderId="0" xfId="5" applyNumberFormat="1" applyFont="1" applyBorder="1" applyProtection="1"/>
    <xf numFmtId="203" fontId="7" fillId="0" borderId="0" xfId="5" applyNumberFormat="1" applyFont="1" applyProtection="1"/>
    <xf numFmtId="206" fontId="7" fillId="0" borderId="0" xfId="3" applyNumberFormat="1" applyFont="1" applyBorder="1"/>
    <xf numFmtId="167" fontId="15" fillId="0" borderId="0" xfId="0" applyNumberFormat="1" applyFont="1" applyProtection="1"/>
    <xf numFmtId="1" fontId="7" fillId="0" borderId="0" xfId="0" applyNumberFormat="1" applyFont="1" applyBorder="1"/>
    <xf numFmtId="0" fontId="18" fillId="0" borderId="0" xfId="22" applyFont="1"/>
    <xf numFmtId="0" fontId="19" fillId="0" borderId="0" xfId="22" applyFont="1"/>
    <xf numFmtId="0" fontId="18" fillId="0" borderId="0" xfId="22" applyFont="1" applyBorder="1"/>
    <xf numFmtId="171" fontId="18" fillId="0" borderId="0" xfId="22" applyNumberFormat="1" applyFont="1" applyBorder="1"/>
    <xf numFmtId="171" fontId="20" fillId="0" borderId="0" xfId="22" applyNumberFormat="1" applyFont="1" applyBorder="1"/>
    <xf numFmtId="5" fontId="18" fillId="0" borderId="0" xfId="22" applyNumberFormat="1" applyFont="1" applyBorder="1"/>
    <xf numFmtId="173" fontId="19" fillId="0" borderId="0" xfId="22" applyNumberFormat="1" applyFont="1"/>
    <xf numFmtId="10" fontId="7" fillId="0" borderId="0" xfId="23" applyNumberFormat="1" applyFont="1" applyProtection="1"/>
    <xf numFmtId="0" fontId="5" fillId="0" borderId="0" xfId="0" applyFont="1"/>
    <xf numFmtId="206" fontId="16" fillId="0" borderId="0" xfId="3" applyNumberFormat="1" applyFont="1" applyProtection="1"/>
    <xf numFmtId="203" fontId="5" fillId="0" borderId="0" xfId="5" applyNumberFormat="1" applyFont="1" applyProtection="1"/>
    <xf numFmtId="0" fontId="5" fillId="0" borderId="0" xfId="0" applyFont="1" applyBorder="1"/>
    <xf numFmtId="0" fontId="22" fillId="0" borderId="0" xfId="0" applyFont="1"/>
    <xf numFmtId="203" fontId="5" fillId="0" borderId="0" xfId="5" applyNumberFormat="1" applyFont="1"/>
    <xf numFmtId="0" fontId="12" fillId="0" borderId="0" xfId="0" applyFont="1" applyFill="1"/>
    <xf numFmtId="0" fontId="12" fillId="0" borderId="0" xfId="0" applyFont="1"/>
    <xf numFmtId="176" fontId="5" fillId="0" borderId="0" xfId="21" applyNumberFormat="1" applyFill="1" applyAlignment="1"/>
    <xf numFmtId="37" fontId="12" fillId="0" borderId="0" xfId="21" applyFont="1" applyAlignment="1"/>
    <xf numFmtId="43" fontId="7" fillId="0" borderId="0" xfId="3" applyFont="1"/>
    <xf numFmtId="10" fontId="8" fillId="0" borderId="0" xfId="23" applyNumberFormat="1" applyFont="1" applyProtection="1"/>
    <xf numFmtId="0" fontId="2" fillId="0" borderId="0" xfId="0" applyFont="1"/>
    <xf numFmtId="0" fontId="8" fillId="0" borderId="0" xfId="0" applyFont="1"/>
    <xf numFmtId="203" fontId="8" fillId="0" borderId="0" xfId="5" applyNumberFormat="1" applyFont="1"/>
    <xf numFmtId="206" fontId="8" fillId="0" borderId="0" xfId="3" applyNumberFormat="1" applyFont="1"/>
    <xf numFmtId="43" fontId="8" fillId="0" borderId="0" xfId="3" applyFont="1"/>
    <xf numFmtId="0" fontId="5" fillId="0" borderId="0" xfId="0" applyFont="1" applyFill="1" applyBorder="1"/>
    <xf numFmtId="9" fontId="81" fillId="0" borderId="0" xfId="23" applyFont="1" applyAlignment="1">
      <alignment horizontal="left"/>
    </xf>
    <xf numFmtId="0" fontId="44" fillId="0" borderId="0" xfId="0" applyFont="1"/>
    <xf numFmtId="0" fontId="82" fillId="0" borderId="0" xfId="0" applyFont="1" applyAlignment="1">
      <alignment vertical="top" wrapText="1"/>
    </xf>
    <xf numFmtId="0" fontId="83" fillId="0" borderId="0" xfId="0" applyFont="1" applyAlignment="1">
      <alignment vertical="top" wrapText="1"/>
    </xf>
    <xf numFmtId="0" fontId="84" fillId="0" borderId="0" xfId="0" applyFont="1" applyAlignment="1">
      <alignment vertical="top" wrapText="1"/>
    </xf>
    <xf numFmtId="0" fontId="85" fillId="0" borderId="6" xfId="0" applyFont="1" applyBorder="1"/>
    <xf numFmtId="5" fontId="86" fillId="0" borderId="7" xfId="0" applyNumberFormat="1" applyFont="1" applyBorder="1"/>
    <xf numFmtId="0" fontId="85" fillId="0" borderId="8" xfId="0" applyFont="1" applyBorder="1"/>
    <xf numFmtId="5" fontId="86" fillId="0" borderId="9" xfId="0" applyNumberFormat="1" applyFont="1" applyBorder="1"/>
    <xf numFmtId="0" fontId="85" fillId="0" borderId="0" xfId="0" applyFont="1" applyBorder="1"/>
    <xf numFmtId="0" fontId="87" fillId="0" borderId="0" xfId="0" applyFont="1"/>
    <xf numFmtId="0" fontId="85" fillId="0" borderId="0" xfId="0" applyFont="1"/>
    <xf numFmtId="0" fontId="83" fillId="0" borderId="0" xfId="0" applyFont="1"/>
    <xf numFmtId="0" fontId="72" fillId="0" borderId="0" xfId="0" applyFont="1"/>
    <xf numFmtId="0" fontId="72" fillId="0" borderId="0" xfId="0" applyFont="1" applyAlignment="1">
      <alignment vertical="top" wrapText="1"/>
    </xf>
    <xf numFmtId="0" fontId="88" fillId="0" borderId="0" xfId="0" applyFont="1"/>
    <xf numFmtId="38" fontId="44" fillId="0" borderId="0" xfId="0" applyNumberFormat="1" applyFont="1"/>
    <xf numFmtId="37" fontId="72" fillId="0" borderId="0" xfId="0" applyNumberFormat="1" applyFont="1"/>
    <xf numFmtId="206" fontId="72" fillId="0" borderId="0" xfId="3" applyNumberFormat="1" applyFont="1"/>
    <xf numFmtId="37" fontId="44" fillId="0" borderId="0" xfId="0" applyNumberFormat="1" applyFont="1"/>
    <xf numFmtId="0" fontId="72" fillId="0" borderId="0" xfId="0" applyFont="1" applyBorder="1"/>
    <xf numFmtId="206" fontId="83" fillId="0" borderId="0" xfId="3" applyNumberFormat="1" applyFont="1" applyBorder="1"/>
    <xf numFmtId="0" fontId="44" fillId="0" borderId="10" xfId="0" applyFont="1" applyBorder="1"/>
    <xf numFmtId="38" fontId="44" fillId="0" borderId="10" xfId="0" applyNumberFormat="1" applyFont="1" applyBorder="1"/>
    <xf numFmtId="0" fontId="91" fillId="0" borderId="0" xfId="0" applyFont="1"/>
    <xf numFmtId="167" fontId="92" fillId="0" borderId="0" xfId="0" applyNumberFormat="1" applyFont="1" applyProtection="1"/>
    <xf numFmtId="37" fontId="72" fillId="0" borderId="0" xfId="21" applyFont="1" applyAlignment="1"/>
    <xf numFmtId="37" fontId="72" fillId="0" borderId="0" xfId="21" applyFont="1" applyAlignment="1">
      <alignment horizontal="right"/>
    </xf>
    <xf numFmtId="167" fontId="89" fillId="0" borderId="0" xfId="0" applyNumberFormat="1" applyFont="1" applyProtection="1"/>
    <xf numFmtId="0" fontId="72" fillId="0" borderId="0" xfId="0" applyFont="1" applyFill="1"/>
    <xf numFmtId="9" fontId="72" fillId="0" borderId="0" xfId="23" applyFont="1"/>
    <xf numFmtId="205" fontId="72" fillId="0" borderId="0" xfId="0" applyNumberFormat="1" applyFont="1"/>
    <xf numFmtId="6" fontId="72" fillId="0" borderId="0" xfId="0" applyNumberFormat="1" applyFont="1"/>
    <xf numFmtId="1" fontId="72" fillId="0" borderId="0" xfId="0" applyNumberFormat="1" applyFont="1"/>
    <xf numFmtId="0" fontId="94" fillId="0" borderId="0" xfId="22" applyFont="1"/>
    <xf numFmtId="0" fontId="94" fillId="0" borderId="0" xfId="22" applyFont="1" applyAlignment="1">
      <alignment horizontal="center"/>
    </xf>
    <xf numFmtId="0" fontId="95" fillId="0" borderId="0" xfId="22" applyFont="1"/>
    <xf numFmtId="0" fontId="87" fillId="0" borderId="0" xfId="0" applyFont="1" applyBorder="1"/>
    <xf numFmtId="0" fontId="96" fillId="0" borderId="0" xfId="22" applyFont="1" applyBorder="1"/>
    <xf numFmtId="0" fontId="94" fillId="0" borderId="0" xfId="22" applyFont="1" applyBorder="1"/>
    <xf numFmtId="0" fontId="96" fillId="0" borderId="0" xfId="22" applyFont="1" applyAlignment="1">
      <alignment horizontal="center"/>
    </xf>
    <xf numFmtId="0" fontId="96" fillId="0" borderId="6" xfId="22" applyFont="1" applyBorder="1"/>
    <xf numFmtId="0" fontId="95" fillId="0" borderId="11" xfId="22" applyFont="1" applyBorder="1"/>
    <xf numFmtId="5" fontId="97" fillId="0" borderId="7" xfId="22" applyNumberFormat="1" applyFont="1" applyBorder="1"/>
    <xf numFmtId="5" fontId="96" fillId="0" borderId="0" xfId="22" applyNumberFormat="1" applyFont="1" applyBorder="1"/>
    <xf numFmtId="0" fontId="96" fillId="0" borderId="12" xfId="22" applyFont="1" applyBorder="1"/>
    <xf numFmtId="0" fontId="95" fillId="0" borderId="0" xfId="22" applyFont="1" applyBorder="1"/>
    <xf numFmtId="10" fontId="96" fillId="0" borderId="13" xfId="22" applyNumberFormat="1" applyFont="1" applyBorder="1"/>
    <xf numFmtId="10" fontId="96" fillId="0" borderId="0" xfId="22" applyNumberFormat="1" applyFont="1" applyBorder="1"/>
    <xf numFmtId="6" fontId="96" fillId="0" borderId="0" xfId="7" applyNumberFormat="1" applyFont="1" applyBorder="1" applyProtection="1"/>
    <xf numFmtId="37" fontId="97" fillId="0" borderId="13" xfId="22" applyNumberFormat="1" applyFont="1" applyBorder="1"/>
    <xf numFmtId="37" fontId="96" fillId="0" borderId="0" xfId="22" applyNumberFormat="1" applyFont="1" applyBorder="1"/>
    <xf numFmtId="0" fontId="96" fillId="0" borderId="0" xfId="22" applyFont="1"/>
    <xf numFmtId="0" fontId="95" fillId="0" borderId="12" xfId="22" applyFont="1" applyBorder="1"/>
    <xf numFmtId="0" fontId="95" fillId="0" borderId="13" xfId="22" applyFont="1" applyBorder="1"/>
    <xf numFmtId="10" fontId="97" fillId="0" borderId="13" xfId="22" applyNumberFormat="1" applyFont="1" applyBorder="1"/>
    <xf numFmtId="6" fontId="96" fillId="0" borderId="0" xfId="22" applyNumberFormat="1" applyFont="1"/>
    <xf numFmtId="37" fontId="97" fillId="0" borderId="13" xfId="22" applyNumberFormat="1" applyFont="1" applyFill="1" applyBorder="1"/>
    <xf numFmtId="37" fontId="96" fillId="0" borderId="0" xfId="22" applyNumberFormat="1" applyFont="1" applyFill="1" applyBorder="1"/>
    <xf numFmtId="10" fontId="95" fillId="0" borderId="0" xfId="22" applyNumberFormat="1" applyFont="1"/>
    <xf numFmtId="0" fontId="95" fillId="0" borderId="8" xfId="22" applyFont="1" applyBorder="1"/>
    <xf numFmtId="0" fontId="95" fillId="0" borderId="4" xfId="22" applyFont="1" applyBorder="1"/>
    <xf numFmtId="0" fontId="96" fillId="0" borderId="9" xfId="22" applyFont="1" applyBorder="1"/>
    <xf numFmtId="0" fontId="96" fillId="0" borderId="14" xfId="22" applyFont="1" applyBorder="1"/>
    <xf numFmtId="0" fontId="95" fillId="0" borderId="15" xfId="22" applyFont="1" applyBorder="1"/>
    <xf numFmtId="5" fontId="96" fillId="0" borderId="16" xfId="22" applyNumberFormat="1" applyFont="1" applyBorder="1"/>
    <xf numFmtId="173" fontId="95" fillId="0" borderId="0" xfId="22" applyNumberFormat="1" applyFont="1"/>
    <xf numFmtId="0" fontId="96" fillId="0" borderId="3" xfId="22" applyFont="1" applyBorder="1" applyAlignment="1">
      <alignment horizontal="center"/>
    </xf>
    <xf numFmtId="0" fontId="96" fillId="0" borderId="17" xfId="22" applyFont="1" applyBorder="1" applyAlignment="1">
      <alignment horizontal="center"/>
    </xf>
    <xf numFmtId="0" fontId="95" fillId="0" borderId="18" xfId="22" applyFont="1" applyBorder="1"/>
    <xf numFmtId="0" fontId="96" fillId="0" borderId="18" xfId="22" applyFont="1" applyBorder="1"/>
    <xf numFmtId="0" fontId="96" fillId="0" borderId="13" xfId="22" applyFont="1" applyBorder="1"/>
    <xf numFmtId="0" fontId="95" fillId="0" borderId="18" xfId="22" applyFont="1" applyBorder="1" applyAlignment="1">
      <alignment horizontal="center"/>
    </xf>
    <xf numFmtId="171" fontId="95" fillId="0" borderId="18" xfId="22" applyNumberFormat="1" applyFont="1" applyBorder="1"/>
    <xf numFmtId="5" fontId="98" fillId="0" borderId="18" xfId="22" applyNumberFormat="1" applyFont="1" applyBorder="1"/>
    <xf numFmtId="3" fontId="95" fillId="0" borderId="18" xfId="22" applyNumberFormat="1" applyFont="1" applyBorder="1"/>
    <xf numFmtId="5" fontId="95" fillId="0" borderId="13" xfId="22" applyNumberFormat="1" applyFont="1" applyBorder="1"/>
    <xf numFmtId="5" fontId="95" fillId="0" borderId="18" xfId="22" applyNumberFormat="1" applyFont="1" applyBorder="1"/>
    <xf numFmtId="0" fontId="95" fillId="0" borderId="19" xfId="22" applyFont="1" applyBorder="1" applyAlignment="1">
      <alignment horizontal="center"/>
    </xf>
    <xf numFmtId="171" fontId="95" fillId="0" borderId="19" xfId="22" applyNumberFormat="1" applyFont="1" applyBorder="1"/>
    <xf numFmtId="5" fontId="95" fillId="0" borderId="19" xfId="22" applyNumberFormat="1" applyFont="1" applyBorder="1"/>
    <xf numFmtId="3" fontId="95" fillId="0" borderId="19" xfId="22" applyNumberFormat="1" applyFont="1" applyBorder="1"/>
    <xf numFmtId="5" fontId="95" fillId="0" borderId="9" xfId="22" applyNumberFormat="1" applyFont="1" applyBorder="1"/>
    <xf numFmtId="171" fontId="95" fillId="0" borderId="0" xfId="22" applyNumberFormat="1" applyFont="1" applyBorder="1"/>
    <xf numFmtId="171" fontId="98" fillId="0" borderId="0" xfId="22" applyNumberFormat="1" applyFont="1" applyBorder="1"/>
    <xf numFmtId="5" fontId="95" fillId="0" borderId="0" xfId="22" applyNumberFormat="1" applyFont="1"/>
    <xf numFmtId="5" fontId="95" fillId="0" borderId="0" xfId="22" applyNumberFormat="1" applyFont="1" applyBorder="1"/>
    <xf numFmtId="41" fontId="72" fillId="0" borderId="0" xfId="6" applyNumberFormat="1" applyFont="1" applyFill="1"/>
    <xf numFmtId="37" fontId="72" fillId="0" borderId="0" xfId="21" applyFont="1" applyFill="1" applyAlignment="1"/>
    <xf numFmtId="37" fontId="72" fillId="0" borderId="0" xfId="21" applyNumberFormat="1" applyFont="1" applyAlignment="1"/>
    <xf numFmtId="0" fontId="72" fillId="0" borderId="0" xfId="0" applyFont="1" applyAlignment="1" applyProtection="1">
      <alignment horizontal="left"/>
    </xf>
    <xf numFmtId="172" fontId="98" fillId="0" borderId="0" xfId="0" applyNumberFormat="1" applyFont="1" applyProtection="1">
      <protection locked="0"/>
    </xf>
    <xf numFmtId="0" fontId="72" fillId="0" borderId="0" xfId="0" applyFont="1" applyProtection="1"/>
    <xf numFmtId="203" fontId="72" fillId="0" borderId="0" xfId="5" applyNumberFormat="1" applyFont="1"/>
    <xf numFmtId="206" fontId="72" fillId="0" borderId="0" xfId="3" applyNumberFormat="1" applyFont="1" applyProtection="1"/>
    <xf numFmtId="203" fontId="72" fillId="0" borderId="0" xfId="5" applyNumberFormat="1" applyFont="1" applyProtection="1"/>
    <xf numFmtId="0" fontId="87" fillId="0" borderId="0" xfId="0" applyFont="1" applyAlignment="1"/>
    <xf numFmtId="0" fontId="44" fillId="0" borderId="0" xfId="0" applyFont="1" applyAlignment="1">
      <alignment horizontal="centerContinuous"/>
    </xf>
    <xf numFmtId="10" fontId="44" fillId="0" borderId="0" xfId="23" applyNumberFormat="1" applyFont="1"/>
    <xf numFmtId="37" fontId="101" fillId="0" borderId="0" xfId="21" applyFont="1" applyAlignment="1">
      <alignment horizontal="left"/>
    </xf>
    <xf numFmtId="39" fontId="72" fillId="0" borderId="0" xfId="21" applyNumberFormat="1" applyFont="1" applyAlignment="1"/>
    <xf numFmtId="37" fontId="83" fillId="0" borderId="0" xfId="21" applyFont="1" applyAlignment="1"/>
    <xf numFmtId="203" fontId="72" fillId="0" borderId="0" xfId="5" applyNumberFormat="1" applyFont="1" applyBorder="1" applyProtection="1"/>
    <xf numFmtId="0" fontId="72" fillId="0" borderId="0" xfId="0" applyFont="1" applyBorder="1" applyProtection="1"/>
    <xf numFmtId="41" fontId="100" fillId="0" borderId="0" xfId="0" applyNumberFormat="1" applyFont="1" applyBorder="1" applyProtection="1"/>
    <xf numFmtId="41" fontId="72" fillId="0" borderId="0" xfId="0" applyNumberFormat="1" applyFont="1" applyBorder="1" applyProtection="1"/>
    <xf numFmtId="206" fontId="72" fillId="0" borderId="0" xfId="3" applyNumberFormat="1" applyFont="1" applyBorder="1" applyProtection="1"/>
    <xf numFmtId="1" fontId="72" fillId="0" borderId="0" xfId="0" applyNumberFormat="1" applyFont="1" applyBorder="1"/>
    <xf numFmtId="41" fontId="100" fillId="0" borderId="0" xfId="0" applyNumberFormat="1" applyFont="1" applyBorder="1"/>
    <xf numFmtId="37" fontId="72" fillId="0" borderId="0" xfId="0" applyNumberFormat="1" applyFont="1" applyBorder="1" applyProtection="1"/>
    <xf numFmtId="10" fontId="93" fillId="0" borderId="0" xfId="0" applyNumberFormat="1" applyFont="1" applyBorder="1"/>
    <xf numFmtId="41" fontId="72" fillId="0" borderId="0" xfId="0" applyNumberFormat="1" applyFont="1" applyBorder="1"/>
    <xf numFmtId="0" fontId="72" fillId="0" borderId="0" xfId="0" applyFont="1" applyBorder="1" applyAlignment="1" applyProtection="1">
      <alignment horizontal="left"/>
    </xf>
    <xf numFmtId="203" fontId="72" fillId="0" borderId="0" xfId="0" applyNumberFormat="1" applyFont="1" applyBorder="1" applyProtection="1"/>
    <xf numFmtId="206" fontId="72" fillId="0" borderId="0" xfId="3" applyNumberFormat="1" applyFont="1" applyBorder="1"/>
    <xf numFmtId="0" fontId="98" fillId="0" borderId="0" xfId="0" applyFont="1" applyBorder="1" applyProtection="1">
      <protection locked="0"/>
    </xf>
    <xf numFmtId="0" fontId="44" fillId="0" borderId="0" xfId="0" applyFont="1" applyBorder="1"/>
    <xf numFmtId="37" fontId="72" fillId="0" borderId="0" xfId="0" applyNumberFormat="1" applyFont="1" applyBorder="1"/>
    <xf numFmtId="0" fontId="104" fillId="0" borderId="0" xfId="0" applyFont="1" applyBorder="1" applyProtection="1"/>
    <xf numFmtId="206" fontId="100" fillId="0" borderId="0" xfId="3" applyNumberFormat="1" applyFont="1" applyBorder="1" applyProtection="1"/>
    <xf numFmtId="0" fontId="83" fillId="0" borderId="0" xfId="0" applyFont="1" applyBorder="1"/>
    <xf numFmtId="8" fontId="72" fillId="0" borderId="0" xfId="0" applyNumberFormat="1" applyFont="1"/>
    <xf numFmtId="43" fontId="72" fillId="0" borderId="0" xfId="3" applyFont="1"/>
    <xf numFmtId="5" fontId="44" fillId="0" borderId="0" xfId="0" applyNumberFormat="1" applyFont="1"/>
    <xf numFmtId="172" fontId="72" fillId="0" borderId="0" xfId="21" applyNumberFormat="1" applyFont="1" applyAlignment="1"/>
    <xf numFmtId="37" fontId="83" fillId="0" borderId="0" xfId="21" applyFont="1" applyAlignment="1">
      <alignment horizontal="left"/>
    </xf>
    <xf numFmtId="37" fontId="72" fillId="0" borderId="0" xfId="21" applyFont="1" applyAlignment="1">
      <alignment horizontal="left"/>
    </xf>
    <xf numFmtId="203" fontId="72" fillId="0" borderId="0" xfId="5" applyNumberFormat="1" applyFont="1" applyFill="1"/>
    <xf numFmtId="206" fontId="100" fillId="0" borderId="0" xfId="6" applyNumberFormat="1" applyFont="1" applyFill="1"/>
    <xf numFmtId="206" fontId="72" fillId="0" borderId="0" xfId="6" applyNumberFormat="1" applyFont="1" applyFill="1"/>
    <xf numFmtId="41" fontId="100" fillId="0" borderId="0" xfId="6" applyNumberFormat="1" applyFont="1" applyFill="1"/>
    <xf numFmtId="43" fontId="100" fillId="0" borderId="0" xfId="3" applyFont="1" applyFill="1"/>
    <xf numFmtId="42" fontId="72" fillId="0" borderId="0" xfId="6" applyNumberFormat="1" applyFont="1" applyFill="1"/>
    <xf numFmtId="15" fontId="72" fillId="0" borderId="0" xfId="6" applyNumberFormat="1" applyFont="1" applyFill="1"/>
    <xf numFmtId="251" fontId="72" fillId="0" borderId="0" xfId="6" applyNumberFormat="1" applyFont="1" applyFill="1"/>
    <xf numFmtId="6" fontId="44" fillId="0" borderId="0" xfId="0" applyNumberFormat="1" applyFont="1"/>
    <xf numFmtId="171" fontId="72" fillId="0" borderId="0" xfId="23" applyNumberFormat="1" applyFont="1"/>
    <xf numFmtId="203" fontId="72" fillId="0" borderId="0" xfId="5" applyNumberFormat="1" applyFont="1" applyBorder="1"/>
    <xf numFmtId="43" fontId="72" fillId="0" borderId="0" xfId="3" applyNumberFormat="1" applyFont="1"/>
    <xf numFmtId="7" fontId="44" fillId="0" borderId="0" xfId="0" applyNumberFormat="1" applyFont="1"/>
    <xf numFmtId="7" fontId="72" fillId="0" borderId="0" xfId="3" applyNumberFormat="1" applyFont="1" applyBorder="1"/>
    <xf numFmtId="0" fontId="101" fillId="0" borderId="0" xfId="0" applyFont="1" applyBorder="1"/>
    <xf numFmtId="40" fontId="72" fillId="0" borderId="0" xfId="4" applyFont="1" applyFill="1"/>
    <xf numFmtId="7" fontId="72" fillId="0" borderId="0" xfId="3" applyNumberFormat="1" applyFont="1" applyBorder="1" applyAlignment="1">
      <alignment horizontal="right"/>
    </xf>
    <xf numFmtId="37" fontId="44" fillId="0" borderId="0" xfId="21" applyFont="1" applyAlignment="1"/>
    <xf numFmtId="0" fontId="44" fillId="0" borderId="0" xfId="0" applyFont="1" applyFill="1"/>
    <xf numFmtId="43" fontId="106" fillId="0" borderId="0" xfId="3" applyFont="1" applyFill="1"/>
    <xf numFmtId="206" fontId="44" fillId="0" borderId="0" xfId="3" applyNumberFormat="1" applyFont="1" applyFill="1"/>
    <xf numFmtId="206" fontId="44" fillId="0" borderId="0" xfId="3" applyNumberFormat="1" applyFont="1"/>
    <xf numFmtId="206" fontId="44" fillId="0" borderId="0" xfId="0" applyNumberFormat="1" applyFont="1"/>
    <xf numFmtId="43" fontId="44" fillId="0" borderId="0" xfId="3" applyNumberFormat="1" applyFont="1"/>
    <xf numFmtId="10" fontId="72" fillId="0" borderId="0" xfId="23" applyNumberFormat="1" applyFont="1" applyFill="1"/>
    <xf numFmtId="43" fontId="44" fillId="0" borderId="0" xfId="0" applyNumberFormat="1" applyFont="1" applyFill="1"/>
    <xf numFmtId="210" fontId="44" fillId="0" borderId="0" xfId="3" applyNumberFormat="1" applyFont="1"/>
    <xf numFmtId="43" fontId="44" fillId="0" borderId="0" xfId="0" applyNumberFormat="1" applyFont="1"/>
    <xf numFmtId="39" fontId="87" fillId="0" borderId="0" xfId="21" applyNumberFormat="1" applyFont="1" applyFill="1" applyAlignment="1"/>
    <xf numFmtId="176" fontId="72" fillId="0" borderId="0" xfId="21" applyNumberFormat="1" applyFont="1" applyFill="1" applyAlignment="1"/>
    <xf numFmtId="37" fontId="108" fillId="0" borderId="0" xfId="21" applyFont="1" applyAlignment="1"/>
    <xf numFmtId="171" fontId="98" fillId="8" borderId="0" xfId="23" applyNumberFormat="1" applyFont="1" applyFill="1"/>
    <xf numFmtId="38" fontId="98" fillId="0" borderId="0" xfId="0" applyNumberFormat="1" applyFont="1"/>
    <xf numFmtId="38" fontId="72" fillId="0" borderId="0" xfId="0" applyNumberFormat="1" applyFont="1"/>
    <xf numFmtId="171" fontId="93" fillId="0" borderId="0" xfId="23" applyNumberFormat="1" applyFont="1"/>
    <xf numFmtId="37" fontId="93" fillId="0" borderId="0" xfId="21" applyFont="1" applyFill="1" applyAlignment="1"/>
    <xf numFmtId="0" fontId="72" fillId="0" borderId="0" xfId="0" applyFont="1" applyFill="1" applyBorder="1"/>
    <xf numFmtId="8" fontId="98" fillId="0" borderId="0" xfId="6" applyFont="1" applyFill="1"/>
    <xf numFmtId="8" fontId="72" fillId="0" borderId="0" xfId="6" applyFont="1" applyFill="1"/>
    <xf numFmtId="208" fontId="44" fillId="0" borderId="0" xfId="0" applyNumberFormat="1" applyFont="1"/>
    <xf numFmtId="43" fontId="98" fillId="0" borderId="0" xfId="3" applyFont="1" applyBorder="1" applyAlignment="1">
      <alignment horizontal="right"/>
    </xf>
    <xf numFmtId="43" fontId="72" fillId="0" borderId="0" xfId="3" applyFont="1" applyFill="1" applyBorder="1" applyAlignment="1">
      <alignment horizontal="right"/>
    </xf>
    <xf numFmtId="7" fontId="98" fillId="0" borderId="0" xfId="3" applyNumberFormat="1" applyFont="1" applyBorder="1"/>
    <xf numFmtId="9" fontId="98" fillId="0" borderId="0" xfId="3" applyNumberFormat="1" applyFont="1" applyBorder="1"/>
    <xf numFmtId="9" fontId="72" fillId="0" borderId="0" xfId="3" applyNumberFormat="1" applyFont="1" applyBorder="1"/>
    <xf numFmtId="41" fontId="72" fillId="0" borderId="20" xfId="0" applyNumberFormat="1" applyFont="1" applyBorder="1"/>
    <xf numFmtId="41" fontId="72" fillId="0" borderId="18" xfId="0" applyNumberFormat="1" applyFont="1" applyBorder="1"/>
    <xf numFmtId="41" fontId="72" fillId="0" borderId="19" xfId="0" applyNumberFormat="1" applyFont="1" applyBorder="1"/>
    <xf numFmtId="43" fontId="72" fillId="0" borderId="20" xfId="3" applyFont="1" applyBorder="1"/>
    <xf numFmtId="44" fontId="72" fillId="0" borderId="0" xfId="5" applyFont="1"/>
    <xf numFmtId="43" fontId="93" fillId="0" borderId="18" xfId="3" applyFont="1" applyBorder="1"/>
    <xf numFmtId="43" fontId="72" fillId="0" borderId="18" xfId="3" applyFont="1" applyBorder="1"/>
    <xf numFmtId="0" fontId="72" fillId="0" borderId="18" xfId="0" applyFont="1" applyBorder="1"/>
    <xf numFmtId="43" fontId="72" fillId="0" borderId="19" xfId="3" applyFont="1" applyBorder="1"/>
    <xf numFmtId="43" fontId="72" fillId="0" borderId="19" xfId="0" applyNumberFormat="1" applyFont="1" applyBorder="1"/>
    <xf numFmtId="44" fontId="72" fillId="0" borderId="0" xfId="5" applyNumberFormat="1" applyFont="1"/>
    <xf numFmtId="7" fontId="97" fillId="0" borderId="0" xfId="3" applyNumberFormat="1" applyFont="1" applyBorder="1"/>
    <xf numFmtId="0" fontId="110" fillId="0" borderId="0" xfId="0" applyFont="1" applyAlignment="1">
      <alignment horizontal="right"/>
    </xf>
    <xf numFmtId="0" fontId="112" fillId="0" borderId="0" xfId="0" applyFont="1"/>
    <xf numFmtId="0" fontId="91" fillId="0" borderId="0" xfId="0" applyFont="1" applyAlignment="1">
      <alignment horizontal="center"/>
    </xf>
    <xf numFmtId="0" fontId="91" fillId="0" borderId="12" xfId="0" applyFont="1" applyBorder="1" applyAlignment="1" applyProtection="1">
      <alignment horizontal="left"/>
    </xf>
    <xf numFmtId="171" fontId="91" fillId="0" borderId="0" xfId="0" applyNumberFormat="1" applyFont="1" applyBorder="1" applyAlignment="1" applyProtection="1">
      <alignment horizontal="center"/>
    </xf>
    <xf numFmtId="203" fontId="91" fillId="0" borderId="13" xfId="0" applyNumberFormat="1" applyFont="1" applyBorder="1" applyProtection="1"/>
    <xf numFmtId="0" fontId="91" fillId="0" borderId="0" xfId="0" applyFont="1" applyBorder="1"/>
    <xf numFmtId="206" fontId="110" fillId="0" borderId="0" xfId="3" applyNumberFormat="1" applyFont="1" applyFill="1" applyBorder="1" applyProtection="1">
      <protection locked="0"/>
    </xf>
    <xf numFmtId="0" fontId="112" fillId="0" borderId="12" xfId="0" applyFont="1" applyBorder="1" applyAlignment="1" applyProtection="1">
      <alignment horizontal="left"/>
    </xf>
    <xf numFmtId="3" fontId="110" fillId="0" borderId="0" xfId="0" applyNumberFormat="1" applyFont="1" applyBorder="1"/>
    <xf numFmtId="197" fontId="91" fillId="0" borderId="0" xfId="0" applyNumberFormat="1" applyFont="1" applyBorder="1" applyAlignment="1">
      <alignment horizontal="right"/>
    </xf>
    <xf numFmtId="6" fontId="91" fillId="0" borderId="0" xfId="0" applyNumberFormat="1" applyFont="1" applyBorder="1"/>
    <xf numFmtId="43" fontId="110" fillId="0" borderId="0" xfId="3" applyNumberFormat="1" applyFont="1" applyFill="1" applyBorder="1" applyAlignment="1">
      <alignment horizontal="right"/>
    </xf>
    <xf numFmtId="197" fontId="92" fillId="0" borderId="0" xfId="0" applyNumberFormat="1" applyFont="1" applyBorder="1"/>
    <xf numFmtId="6" fontId="92" fillId="0" borderId="0" xfId="0" applyNumberFormat="1" applyFont="1" applyBorder="1"/>
    <xf numFmtId="0" fontId="91" fillId="0" borderId="12" xfId="0" applyFont="1" applyBorder="1" applyAlignment="1" applyProtection="1"/>
    <xf numFmtId="0" fontId="91" fillId="0" borderId="0" xfId="0" applyFont="1" applyBorder="1" applyAlignment="1">
      <alignment horizontal="center"/>
    </xf>
    <xf numFmtId="0" fontId="91" fillId="0" borderId="13" xfId="0" applyFont="1" applyBorder="1" applyAlignment="1" applyProtection="1"/>
    <xf numFmtId="206" fontId="110" fillId="0" borderId="0" xfId="3" applyNumberFormat="1" applyFont="1" applyBorder="1" applyProtection="1">
      <protection locked="0"/>
    </xf>
    <xf numFmtId="0" fontId="118" fillId="0" borderId="8" xfId="0" applyFont="1" applyBorder="1" applyAlignment="1" applyProtection="1">
      <alignment horizontal="left"/>
    </xf>
    <xf numFmtId="203" fontId="119" fillId="0" borderId="4" xfId="5" applyNumberFormat="1" applyFont="1" applyBorder="1" applyProtection="1">
      <protection locked="0"/>
    </xf>
    <xf numFmtId="0" fontId="112" fillId="0" borderId="4" xfId="0" applyFont="1" applyBorder="1"/>
    <xf numFmtId="317" fontId="119" fillId="0" borderId="4" xfId="0" applyNumberFormat="1" applyFont="1" applyBorder="1"/>
    <xf numFmtId="6" fontId="119" fillId="0" borderId="4" xfId="0" applyNumberFormat="1" applyFont="1" applyBorder="1"/>
    <xf numFmtId="0" fontId="91" fillId="0" borderId="12" xfId="0" applyFont="1" applyBorder="1" applyAlignment="1">
      <alignment horizontal="left"/>
    </xf>
    <xf numFmtId="206" fontId="110" fillId="0" borderId="0" xfId="3" applyNumberFormat="1" applyFont="1" applyBorder="1" applyAlignment="1">
      <alignment horizontal="right"/>
    </xf>
    <xf numFmtId="38" fontId="91" fillId="0" borderId="0" xfId="0" applyNumberFormat="1" applyFont="1" applyAlignment="1">
      <alignment horizontal="right"/>
    </xf>
    <xf numFmtId="0" fontId="91" fillId="0" borderId="12" xfId="0" applyFont="1" applyBorder="1" applyAlignment="1">
      <alignment horizontal="center"/>
    </xf>
    <xf numFmtId="0" fontId="91" fillId="0" borderId="13" xfId="0" applyFont="1" applyBorder="1"/>
    <xf numFmtId="0" fontId="91" fillId="0" borderId="12" xfId="0" applyFont="1" applyBorder="1"/>
    <xf numFmtId="206" fontId="110" fillId="0" borderId="13" xfId="3" applyNumberFormat="1" applyFont="1" applyBorder="1" applyProtection="1">
      <protection locked="0"/>
    </xf>
    <xf numFmtId="0" fontId="112" fillId="0" borderId="0" xfId="0" applyFont="1" applyBorder="1"/>
    <xf numFmtId="317" fontId="91" fillId="0" borderId="0" xfId="0" applyNumberFormat="1" applyFont="1" applyBorder="1"/>
    <xf numFmtId="38" fontId="91" fillId="0" borderId="13" xfId="0" applyNumberFormat="1" applyFont="1" applyBorder="1"/>
    <xf numFmtId="0" fontId="113" fillId="0" borderId="12" xfId="0" applyFont="1" applyBorder="1" applyAlignment="1" applyProtection="1">
      <alignment horizontal="left"/>
    </xf>
    <xf numFmtId="206" fontId="120" fillId="0" borderId="13" xfId="3" applyNumberFormat="1" applyFont="1" applyBorder="1" applyProtection="1">
      <protection locked="0"/>
    </xf>
    <xf numFmtId="0" fontId="121" fillId="0" borderId="12" xfId="0" applyFont="1" applyBorder="1" applyAlignment="1" applyProtection="1">
      <alignment horizontal="left"/>
    </xf>
    <xf numFmtId="15" fontId="110" fillId="0" borderId="0" xfId="0" applyNumberFormat="1" applyFont="1" applyBorder="1" applyProtection="1">
      <protection locked="0"/>
    </xf>
    <xf numFmtId="9" fontId="91" fillId="0" borderId="13" xfId="23" applyFont="1" applyBorder="1"/>
    <xf numFmtId="0" fontId="91" fillId="0" borderId="8" xfId="0" applyFont="1" applyBorder="1"/>
    <xf numFmtId="0" fontId="91" fillId="0" borderId="4" xfId="0" applyFont="1" applyBorder="1" applyAlignment="1">
      <alignment horizontal="right"/>
    </xf>
    <xf numFmtId="5" fontId="91" fillId="0" borderId="3" xfId="5" applyNumberFormat="1" applyFont="1" applyBorder="1" applyAlignment="1">
      <alignment horizontal="center"/>
    </xf>
    <xf numFmtId="10" fontId="110" fillId="0" borderId="4" xfId="23" applyNumberFormat="1" applyFont="1" applyBorder="1"/>
    <xf numFmtId="0" fontId="91" fillId="0" borderId="4" xfId="0" applyFont="1" applyBorder="1"/>
    <xf numFmtId="38" fontId="91" fillId="0" borderId="9" xfId="0" applyNumberFormat="1" applyFont="1" applyBorder="1"/>
    <xf numFmtId="0" fontId="91" fillId="0" borderId="0" xfId="0" applyFont="1" applyAlignment="1" applyProtection="1">
      <alignment horizontal="left"/>
    </xf>
    <xf numFmtId="0" fontId="92" fillId="0" borderId="0" xfId="0" applyFont="1" applyAlignment="1" applyProtection="1">
      <alignment horizontal="center"/>
    </xf>
    <xf numFmtId="0" fontId="122" fillId="0" borderId="0" xfId="0" applyFont="1" applyAlignment="1" applyProtection="1">
      <alignment horizontal="center"/>
    </xf>
    <xf numFmtId="0" fontId="122" fillId="0" borderId="0" xfId="0" applyFont="1" applyAlignment="1">
      <alignment horizontal="centerContinuous"/>
    </xf>
    <xf numFmtId="0" fontId="112" fillId="0" borderId="0" xfId="0" applyFont="1" applyAlignment="1" applyProtection="1">
      <alignment horizontal="left"/>
    </xf>
    <xf numFmtId="203" fontId="91" fillId="0" borderId="0" xfId="5" applyNumberFormat="1" applyFont="1" applyProtection="1">
      <protection locked="0"/>
    </xf>
    <xf numFmtId="38" fontId="91" fillId="0" borderId="0" xfId="0" applyNumberFormat="1" applyFont="1"/>
    <xf numFmtId="37" fontId="91" fillId="0" borderId="12" xfId="21" applyFont="1" applyBorder="1" applyAlignment="1">
      <alignment horizontal="left"/>
    </xf>
    <xf numFmtId="0" fontId="110" fillId="0" borderId="13" xfId="0" applyFont="1" applyBorder="1"/>
    <xf numFmtId="0" fontId="115" fillId="0" borderId="12" xfId="0" applyFont="1" applyBorder="1" applyAlignment="1" applyProtection="1">
      <alignment horizontal="left"/>
    </xf>
    <xf numFmtId="37" fontId="91" fillId="0" borderId="13" xfId="0" applyNumberFormat="1" applyFont="1" applyBorder="1" applyProtection="1"/>
    <xf numFmtId="0" fontId="91" fillId="0" borderId="12" xfId="0" applyNumberFormat="1" applyFont="1" applyBorder="1"/>
    <xf numFmtId="0" fontId="91" fillId="0" borderId="0" xfId="0" applyNumberFormat="1" applyFont="1" applyBorder="1"/>
    <xf numFmtId="206" fontId="91" fillId="0" borderId="13" xfId="3" applyNumberFormat="1" applyFont="1" applyBorder="1"/>
    <xf numFmtId="10" fontId="110" fillId="0" borderId="0" xfId="23" applyNumberFormat="1" applyFont="1" applyBorder="1" applyAlignment="1">
      <alignment horizontal="center"/>
    </xf>
    <xf numFmtId="218" fontId="98" fillId="0" borderId="13" xfId="3" applyNumberFormat="1" applyFont="1" applyBorder="1" applyAlignment="1">
      <alignment horizontal="right"/>
    </xf>
    <xf numFmtId="10" fontId="98" fillId="0" borderId="13" xfId="23" applyNumberFormat="1" applyFont="1" applyBorder="1" applyAlignment="1">
      <alignment horizontal="right"/>
    </xf>
    <xf numFmtId="10" fontId="110" fillId="0" borderId="0" xfId="23" applyNumberFormat="1" applyFont="1" applyBorder="1"/>
    <xf numFmtId="203" fontId="91" fillId="0" borderId="0" xfId="5" applyNumberFormat="1" applyFont="1" applyBorder="1"/>
    <xf numFmtId="206" fontId="91" fillId="0" borderId="0" xfId="0" applyNumberFormat="1" applyFont="1" applyBorder="1" applyAlignment="1">
      <alignment horizontal="center"/>
    </xf>
    <xf numFmtId="10" fontId="98" fillId="0" borderId="9" xfId="23" applyNumberFormat="1" applyFont="1" applyBorder="1" applyAlignment="1">
      <alignment horizontal="right"/>
    </xf>
    <xf numFmtId="206" fontId="91" fillId="0" borderId="0" xfId="0" applyNumberFormat="1" applyFont="1" applyBorder="1"/>
    <xf numFmtId="203" fontId="110" fillId="0" borderId="0" xfId="5" applyNumberFormat="1" applyFont="1" applyBorder="1" applyProtection="1">
      <protection locked="0"/>
    </xf>
    <xf numFmtId="203" fontId="110" fillId="0" borderId="0" xfId="5" applyNumberFormat="1" applyFont="1" applyBorder="1"/>
    <xf numFmtId="206" fontId="91" fillId="0" borderId="0" xfId="3" applyNumberFormat="1" applyFont="1"/>
    <xf numFmtId="206" fontId="110" fillId="0" borderId="0" xfId="3" applyNumberFormat="1" applyFont="1" applyBorder="1"/>
    <xf numFmtId="0" fontId="110" fillId="0" borderId="13" xfId="0" applyFont="1" applyBorder="1" applyAlignment="1">
      <alignment horizontal="right"/>
    </xf>
    <xf numFmtId="203" fontId="117" fillId="0" borderId="0" xfId="5" applyNumberFormat="1" applyFont="1" applyBorder="1"/>
    <xf numFmtId="0" fontId="118" fillId="0" borderId="12" xfId="0" applyFont="1" applyBorder="1" applyAlignment="1" applyProtection="1">
      <alignment horizontal="left"/>
    </xf>
    <xf numFmtId="0" fontId="112" fillId="0" borderId="0" xfId="0" applyFont="1" applyBorder="1" applyAlignment="1">
      <alignment horizontal="center"/>
    </xf>
    <xf numFmtId="0" fontId="116" fillId="0" borderId="0" xfId="0" applyFont="1" applyBorder="1" applyAlignment="1" applyProtection="1">
      <alignment horizontal="center"/>
    </xf>
    <xf numFmtId="0" fontId="116" fillId="0" borderId="13" xfId="0" applyFont="1" applyBorder="1" applyAlignment="1" applyProtection="1">
      <alignment horizontal="center"/>
    </xf>
    <xf numFmtId="203" fontId="91" fillId="0" borderId="0" xfId="5" applyNumberFormat="1" applyFont="1" applyFill="1" applyBorder="1" applyProtection="1"/>
    <xf numFmtId="203" fontId="91" fillId="0" borderId="0" xfId="5" applyNumberFormat="1" applyFont="1" applyBorder="1" applyProtection="1"/>
    <xf numFmtId="203" fontId="120" fillId="0" borderId="13" xfId="0" applyNumberFormat="1" applyFont="1" applyFill="1" applyBorder="1" applyAlignment="1">
      <alignment horizontal="right"/>
    </xf>
    <xf numFmtId="0" fontId="112" fillId="0" borderId="12" xfId="0" applyFont="1" applyBorder="1"/>
    <xf numFmtId="10" fontId="110" fillId="0" borderId="0" xfId="0" applyNumberFormat="1" applyFont="1" applyBorder="1"/>
    <xf numFmtId="0" fontId="110" fillId="0" borderId="0" xfId="0" applyFont="1" applyBorder="1" applyProtection="1"/>
    <xf numFmtId="0" fontId="110" fillId="0" borderId="0" xfId="0" applyFont="1" applyFill="1" applyBorder="1" applyProtection="1"/>
    <xf numFmtId="0" fontId="112" fillId="0" borderId="8" xfId="0" applyFont="1" applyBorder="1"/>
    <xf numFmtId="0" fontId="91" fillId="0" borderId="12" xfId="0" applyFont="1" applyFill="1" applyBorder="1" applyAlignment="1" applyProtection="1"/>
    <xf numFmtId="10" fontId="110" fillId="0" borderId="0" xfId="23" applyNumberFormat="1" applyFont="1" applyFill="1" applyBorder="1" applyProtection="1"/>
    <xf numFmtId="10" fontId="91" fillId="0" borderId="13" xfId="0" applyNumberFormat="1" applyFont="1" applyBorder="1"/>
    <xf numFmtId="10" fontId="110" fillId="0" borderId="0" xfId="23" applyNumberFormat="1" applyFont="1"/>
    <xf numFmtId="2" fontId="110" fillId="0" borderId="0" xfId="0" applyNumberFormat="1" applyFont="1" applyFill="1" applyBorder="1" applyProtection="1"/>
    <xf numFmtId="2" fontId="110" fillId="0" borderId="0" xfId="0" applyNumberFormat="1" applyFont="1" applyFill="1" applyBorder="1" applyAlignment="1" applyProtection="1">
      <alignment horizontal="right"/>
    </xf>
    <xf numFmtId="2" fontId="91" fillId="0" borderId="13" xfId="0" applyNumberFormat="1" applyFont="1" applyBorder="1"/>
    <xf numFmtId="9" fontId="110" fillId="0" borderId="0" xfId="23" applyFont="1" applyBorder="1"/>
    <xf numFmtId="189" fontId="91" fillId="0" borderId="13" xfId="0" applyNumberFormat="1" applyFont="1" applyBorder="1"/>
    <xf numFmtId="0" fontId="91" fillId="0" borderId="8" xfId="0" applyFont="1" applyBorder="1" applyAlignment="1" applyProtection="1"/>
    <xf numFmtId="2" fontId="112" fillId="0" borderId="4" xfId="0" applyNumberFormat="1" applyFont="1" applyBorder="1" applyProtection="1"/>
    <xf numFmtId="2" fontId="112" fillId="0" borderId="4" xfId="0" applyNumberFormat="1" applyFont="1" applyBorder="1" applyAlignment="1" applyProtection="1">
      <alignment horizontal="right"/>
    </xf>
    <xf numFmtId="2" fontId="91" fillId="0" borderId="9" xfId="0" applyNumberFormat="1" applyFont="1" applyBorder="1"/>
    <xf numFmtId="43" fontId="91" fillId="0" borderId="0" xfId="0" applyNumberFormat="1" applyFont="1" applyBorder="1"/>
    <xf numFmtId="10" fontId="91" fillId="0" borderId="0" xfId="23" applyNumberFormat="1" applyFont="1" applyBorder="1"/>
    <xf numFmtId="5" fontId="91" fillId="0" borderId="0" xfId="0" applyNumberFormat="1" applyFont="1" applyProtection="1"/>
    <xf numFmtId="2" fontId="110" fillId="0" borderId="13" xfId="0" applyNumberFormat="1" applyFont="1" applyBorder="1" applyAlignment="1" applyProtection="1">
      <alignment horizontal="right"/>
    </xf>
    <xf numFmtId="206" fontId="91" fillId="0" borderId="13" xfId="3" applyNumberFormat="1" applyFont="1" applyBorder="1" applyAlignment="1" applyProtection="1">
      <alignment horizontal="right"/>
    </xf>
    <xf numFmtId="43" fontId="92" fillId="0" borderId="0" xfId="0" applyNumberFormat="1" applyFont="1" applyBorder="1"/>
    <xf numFmtId="0" fontId="91" fillId="0" borderId="8" xfId="0" applyFont="1" applyBorder="1" applyAlignment="1" applyProtection="1">
      <alignment horizontal="left"/>
    </xf>
    <xf numFmtId="5" fontId="110" fillId="0" borderId="4" xfId="0" applyNumberFormat="1" applyFont="1" applyBorder="1"/>
    <xf numFmtId="171" fontId="110" fillId="0" borderId="9" xfId="0" applyNumberFormat="1" applyFont="1" applyBorder="1"/>
    <xf numFmtId="0" fontId="91" fillId="0" borderId="4" xfId="0" applyFont="1" applyBorder="1" applyAlignment="1">
      <alignment horizontal="center"/>
    </xf>
    <xf numFmtId="171" fontId="91" fillId="0" borderId="0" xfId="0" applyNumberFormat="1" applyFont="1" applyBorder="1" applyAlignment="1">
      <alignment horizontal="center"/>
    </xf>
    <xf numFmtId="206" fontId="125" fillId="0" borderId="13" xfId="3" applyNumberFormat="1" applyFont="1" applyBorder="1"/>
    <xf numFmtId="171" fontId="110" fillId="0" borderId="13" xfId="0" applyNumberFormat="1" applyFont="1" applyBorder="1"/>
    <xf numFmtId="206" fontId="124" fillId="0" borderId="13" xfId="3" applyNumberFormat="1" applyFont="1" applyBorder="1"/>
    <xf numFmtId="206" fontId="110" fillId="0" borderId="9" xfId="0" applyNumberFormat="1" applyFont="1" applyBorder="1"/>
    <xf numFmtId="206" fontId="110" fillId="0" borderId="0" xfId="0" applyNumberFormat="1" applyFont="1" applyBorder="1"/>
    <xf numFmtId="0" fontId="91" fillId="0" borderId="9" xfId="0" applyFont="1" applyBorder="1"/>
    <xf numFmtId="0" fontId="112" fillId="0" borderId="0" xfId="0" quotePrefix="1" applyFont="1"/>
    <xf numFmtId="171" fontId="110" fillId="0" borderId="0" xfId="23" applyNumberFormat="1" applyFont="1"/>
    <xf numFmtId="171" fontId="110" fillId="0" borderId="0" xfId="23" applyNumberFormat="1" applyFont="1" applyBorder="1" applyAlignment="1" applyProtection="1">
      <alignment horizontal="center"/>
      <protection locked="0"/>
    </xf>
    <xf numFmtId="10" fontId="110" fillId="0" borderId="0" xfId="0" applyNumberFormat="1" applyFont="1" applyBorder="1" applyProtection="1">
      <protection locked="0"/>
    </xf>
    <xf numFmtId="171" fontId="110" fillId="0" borderId="0" xfId="23" applyNumberFormat="1" applyFont="1" applyBorder="1" applyAlignment="1">
      <alignment horizontal="center"/>
    </xf>
    <xf numFmtId="0" fontId="119" fillId="0" borderId="0" xfId="0" applyFont="1" applyBorder="1" applyAlignment="1" applyProtection="1">
      <alignment horizontal="center"/>
    </xf>
    <xf numFmtId="0" fontId="119" fillId="0" borderId="13" xfId="0" applyFont="1" applyBorder="1" applyAlignment="1" applyProtection="1">
      <alignment horizontal="center"/>
    </xf>
    <xf numFmtId="0" fontId="116" fillId="0" borderId="12" xfId="0" applyFont="1" applyBorder="1" applyAlignment="1" applyProtection="1">
      <alignment horizontal="center"/>
    </xf>
    <xf numFmtId="0" fontId="92" fillId="0" borderId="0" xfId="0" applyFont="1" applyBorder="1"/>
    <xf numFmtId="10" fontId="112" fillId="0" borderId="0" xfId="20" applyNumberFormat="1" applyFont="1" applyBorder="1" applyProtection="1">
      <protection locked="0"/>
    </xf>
    <xf numFmtId="0" fontId="112" fillId="0" borderId="4" xfId="0" applyFont="1" applyBorder="1" applyAlignment="1">
      <alignment horizontal="center"/>
    </xf>
    <xf numFmtId="0" fontId="91" fillId="0" borderId="12" xfId="0" applyFont="1" applyBorder="1" applyAlignment="1" applyProtection="1">
      <alignment horizontal="center"/>
    </xf>
    <xf numFmtId="10" fontId="91" fillId="0" borderId="0" xfId="0" applyNumberFormat="1" applyFont="1" applyBorder="1" applyAlignment="1" applyProtection="1">
      <alignment horizontal="center"/>
    </xf>
    <xf numFmtId="10" fontId="91" fillId="0" borderId="13" xfId="0" applyNumberFormat="1" applyFont="1" applyBorder="1" applyAlignment="1" applyProtection="1">
      <alignment horizontal="center"/>
    </xf>
    <xf numFmtId="203" fontId="110" fillId="0" borderId="0" xfId="0" applyNumberFormat="1" applyFont="1" applyAlignment="1">
      <alignment horizontal="right"/>
    </xf>
    <xf numFmtId="275" fontId="110" fillId="0" borderId="13" xfId="0" applyNumberFormat="1" applyFont="1" applyBorder="1" applyAlignment="1">
      <alignment horizontal="right"/>
    </xf>
    <xf numFmtId="5" fontId="91" fillId="0" borderId="0" xfId="23" applyNumberFormat="1" applyFont="1" applyBorder="1" applyAlignment="1" applyProtection="1">
      <alignment horizontal="center"/>
    </xf>
    <xf numFmtId="5" fontId="91" fillId="0" borderId="13" xfId="23" applyNumberFormat="1" applyFont="1" applyBorder="1" applyAlignment="1" applyProtection="1">
      <alignment horizontal="center"/>
    </xf>
    <xf numFmtId="174" fontId="110" fillId="0" borderId="13" xfId="0" applyNumberFormat="1" applyFont="1" applyBorder="1" applyProtection="1">
      <protection locked="0"/>
    </xf>
    <xf numFmtId="0" fontId="91" fillId="0" borderId="8" xfId="0" applyFont="1" applyBorder="1" applyAlignment="1" applyProtection="1">
      <alignment horizontal="center"/>
    </xf>
    <xf numFmtId="5" fontId="91" fillId="0" borderId="4" xfId="23" applyNumberFormat="1" applyFont="1" applyBorder="1" applyAlignment="1" applyProtection="1">
      <alignment horizontal="center"/>
    </xf>
    <xf numFmtId="5" fontId="91" fillId="0" borderId="9" xfId="23" applyNumberFormat="1" applyFont="1" applyBorder="1" applyAlignment="1" applyProtection="1">
      <alignment horizontal="center"/>
    </xf>
    <xf numFmtId="0" fontId="91" fillId="0" borderId="0" xfId="0" applyFont="1" applyAlignment="1" applyProtection="1">
      <alignment horizontal="center"/>
    </xf>
    <xf numFmtId="5" fontId="91" fillId="0" borderId="0" xfId="23" applyNumberFormat="1" applyFont="1" applyAlignment="1" applyProtection="1">
      <alignment horizontal="center"/>
    </xf>
    <xf numFmtId="275" fontId="110" fillId="0" borderId="13" xfId="0" applyNumberFormat="1" applyFont="1" applyBorder="1"/>
    <xf numFmtId="2" fontId="91" fillId="0" borderId="12" xfId="21" applyNumberFormat="1" applyFont="1" applyBorder="1" applyAlignment="1">
      <alignment horizontal="left"/>
    </xf>
    <xf numFmtId="2" fontId="91" fillId="0" borderId="0" xfId="0" applyNumberFormat="1" applyFont="1" applyBorder="1"/>
    <xf numFmtId="0" fontId="119" fillId="0" borderId="12" xfId="0" applyFont="1" applyBorder="1"/>
    <xf numFmtId="42" fontId="91" fillId="0" borderId="13" xfId="0" applyNumberFormat="1" applyFont="1" applyBorder="1"/>
    <xf numFmtId="1" fontId="98" fillId="0" borderId="13" xfId="3" applyNumberFormat="1" applyFont="1" applyBorder="1" applyAlignment="1">
      <alignment horizontal="right"/>
    </xf>
    <xf numFmtId="2" fontId="91" fillId="0" borderId="8" xfId="21" applyNumberFormat="1" applyFont="1" applyBorder="1" applyAlignment="1">
      <alignment horizontal="left"/>
    </xf>
    <xf numFmtId="2" fontId="91" fillId="0" borderId="4" xfId="0" applyNumberFormat="1" applyFont="1" applyBorder="1"/>
    <xf numFmtId="1" fontId="110" fillId="0" borderId="4" xfId="0" applyNumberFormat="1" applyFont="1" applyBorder="1" applyAlignment="1">
      <alignment horizontal="center"/>
    </xf>
    <xf numFmtId="9" fontId="110" fillId="0" borderId="13" xfId="23" applyFont="1" applyBorder="1"/>
    <xf numFmtId="0" fontId="91" fillId="0" borderId="13" xfId="0" applyFont="1" applyBorder="1" applyAlignment="1">
      <alignment horizontal="right"/>
    </xf>
    <xf numFmtId="0" fontId="110" fillId="0" borderId="9" xfId="0" applyFont="1" applyBorder="1" applyAlignment="1">
      <alignment horizontal="right"/>
    </xf>
    <xf numFmtId="37" fontId="91" fillId="0" borderId="0" xfId="0" applyNumberFormat="1" applyFont="1"/>
    <xf numFmtId="0" fontId="108" fillId="10" borderId="0" xfId="0" applyFont="1" applyFill="1" applyAlignment="1">
      <alignment vertical="top" wrapText="1"/>
    </xf>
    <xf numFmtId="0" fontId="101" fillId="0" borderId="21" xfId="0" applyFont="1" applyBorder="1"/>
    <xf numFmtId="0" fontId="91" fillId="0" borderId="22" xfId="0" applyFont="1" applyBorder="1"/>
    <xf numFmtId="0" fontId="91" fillId="0" borderId="23" xfId="0" applyFont="1" applyBorder="1"/>
    <xf numFmtId="0" fontId="110" fillId="0" borderId="0" xfId="0" applyFont="1" applyProtection="1"/>
    <xf numFmtId="0" fontId="91" fillId="11" borderId="0" xfId="0" applyFont="1" applyFill="1"/>
    <xf numFmtId="0" fontId="91" fillId="0" borderId="24" xfId="0" applyFont="1" applyBorder="1"/>
    <xf numFmtId="0" fontId="91" fillId="0" borderId="25" xfId="0" applyFont="1" applyBorder="1"/>
    <xf numFmtId="0" fontId="110" fillId="0" borderId="0" xfId="0" applyFont="1" applyProtection="1">
      <protection locked="0"/>
    </xf>
    <xf numFmtId="275" fontId="91" fillId="12" borderId="0" xfId="0" applyNumberFormat="1" applyFont="1" applyFill="1" applyAlignment="1">
      <alignment horizontal="right"/>
    </xf>
    <xf numFmtId="203" fontId="91" fillId="0" borderId="0" xfId="0" applyNumberFormat="1" applyFont="1" applyBorder="1"/>
    <xf numFmtId="0" fontId="91" fillId="13" borderId="0" xfId="0" applyFont="1" applyFill="1"/>
    <xf numFmtId="203" fontId="91" fillId="0" borderId="26" xfId="0" applyNumberFormat="1" applyFont="1" applyBorder="1"/>
    <xf numFmtId="0" fontId="91" fillId="8" borderId="0" xfId="0" applyFont="1" applyFill="1"/>
    <xf numFmtId="0" fontId="91" fillId="0" borderId="27" xfId="0" applyFont="1" applyBorder="1" applyAlignment="1" applyProtection="1">
      <alignment horizontal="left"/>
    </xf>
    <xf numFmtId="206" fontId="91" fillId="0" borderId="26" xfId="0" applyNumberFormat="1" applyFont="1" applyBorder="1"/>
    <xf numFmtId="0" fontId="91" fillId="0" borderId="26" xfId="0" applyFont="1" applyBorder="1"/>
    <xf numFmtId="0" fontId="91" fillId="0" borderId="28" xfId="0" applyFont="1" applyBorder="1"/>
    <xf numFmtId="0" fontId="91" fillId="14" borderId="0" xfId="0" applyFont="1" applyFill="1"/>
    <xf numFmtId="203" fontId="91" fillId="0" borderId="0" xfId="0" applyNumberFormat="1" applyFont="1"/>
    <xf numFmtId="0" fontId="101" fillId="0" borderId="29" xfId="0" applyFont="1" applyBorder="1" applyAlignment="1" applyProtection="1">
      <alignment horizontal="center"/>
    </xf>
    <xf numFmtId="0" fontId="101" fillId="0" borderId="23" xfId="0" applyFont="1" applyBorder="1" applyAlignment="1" applyProtection="1">
      <alignment horizontal="center"/>
    </xf>
    <xf numFmtId="203" fontId="101" fillId="0" borderId="29" xfId="0" applyNumberFormat="1" applyFont="1" applyBorder="1" applyAlignment="1">
      <alignment horizontal="center"/>
    </xf>
    <xf numFmtId="203" fontId="101" fillId="0" borderId="23" xfId="0" applyNumberFormat="1" applyFont="1" applyBorder="1" applyAlignment="1">
      <alignment horizontal="center"/>
    </xf>
    <xf numFmtId="206" fontId="101" fillId="0" borderId="22" xfId="3" applyNumberFormat="1" applyFont="1" applyBorder="1" applyAlignment="1">
      <alignment horizontal="center"/>
    </xf>
    <xf numFmtId="206" fontId="101" fillId="0" borderId="23" xfId="3" applyNumberFormat="1" applyFont="1" applyBorder="1" applyAlignment="1">
      <alignment horizontal="center"/>
    </xf>
    <xf numFmtId="43" fontId="44" fillId="0" borderId="21" xfId="5" applyNumberFormat="1" applyFont="1" applyBorder="1" applyAlignment="1" applyProtection="1">
      <alignment horizontal="center"/>
    </xf>
    <xf numFmtId="203" fontId="44" fillId="0" borderId="21" xfId="5" applyNumberFormat="1" applyFont="1" applyBorder="1" applyAlignment="1">
      <alignment horizontal="center"/>
    </xf>
    <xf numFmtId="0" fontId="91" fillId="0" borderId="0" xfId="0" applyFont="1" applyAlignment="1">
      <alignment horizontal="right"/>
    </xf>
    <xf numFmtId="0" fontId="91" fillId="0" borderId="0" xfId="0" applyFont="1" applyAlignment="1" applyProtection="1"/>
    <xf numFmtId="0" fontId="92" fillId="0" borderId="0" xfId="0" applyFont="1"/>
    <xf numFmtId="2" fontId="91" fillId="0" borderId="0" xfId="0" applyNumberFormat="1" applyFont="1"/>
    <xf numFmtId="0" fontId="126" fillId="0" borderId="0" xfId="0" applyFont="1" applyBorder="1" applyAlignment="1">
      <alignment horizontal="center"/>
    </xf>
    <xf numFmtId="38" fontId="91" fillId="0" borderId="0" xfId="0" applyNumberFormat="1" applyFont="1" applyBorder="1"/>
    <xf numFmtId="0" fontId="92" fillId="0" borderId="12" xfId="0" applyFont="1" applyBorder="1"/>
    <xf numFmtId="38" fontId="92" fillId="0" borderId="0" xfId="0" applyNumberFormat="1" applyFont="1" applyBorder="1"/>
    <xf numFmtId="38" fontId="126" fillId="0" borderId="0" xfId="0" applyNumberFormat="1" applyFont="1" applyBorder="1"/>
    <xf numFmtId="206" fontId="126" fillId="0" borderId="0" xfId="0" applyNumberFormat="1" applyFont="1" applyBorder="1"/>
    <xf numFmtId="206" fontId="110" fillId="15" borderId="13" xfId="3" applyNumberFormat="1" applyFont="1" applyFill="1" applyBorder="1"/>
    <xf numFmtId="206" fontId="123" fillId="15" borderId="13" xfId="3" applyNumberFormat="1" applyFont="1" applyFill="1" applyBorder="1"/>
    <xf numFmtId="206" fontId="91" fillId="15" borderId="13" xfId="3" applyNumberFormat="1" applyFont="1" applyFill="1" applyBorder="1" applyProtection="1"/>
    <xf numFmtId="206" fontId="124" fillId="15" borderId="13" xfId="3" applyNumberFormat="1" applyFont="1" applyFill="1" applyBorder="1" applyProtection="1"/>
    <xf numFmtId="206" fontId="91" fillId="15" borderId="13" xfId="3" applyNumberFormat="1" applyFont="1" applyFill="1" applyBorder="1"/>
    <xf numFmtId="0" fontId="91" fillId="15" borderId="13" xfId="0" applyFont="1" applyFill="1" applyBorder="1"/>
    <xf numFmtId="0" fontId="114" fillId="0" borderId="12" xfId="0" applyFont="1" applyBorder="1"/>
    <xf numFmtId="0" fontId="115" fillId="0" borderId="0" xfId="0" applyFont="1" applyBorder="1" applyAlignment="1">
      <alignment horizontal="center" wrapText="1"/>
    </xf>
    <xf numFmtId="0" fontId="92" fillId="0" borderId="0" xfId="0" applyFont="1" applyBorder="1" applyAlignment="1">
      <alignment horizontal="center"/>
    </xf>
    <xf numFmtId="14" fontId="83" fillId="0" borderId="0" xfId="0" applyNumberFormat="1" applyFont="1"/>
    <xf numFmtId="0" fontId="110" fillId="0" borderId="4" xfId="0" applyFont="1" applyBorder="1"/>
    <xf numFmtId="0" fontId="105" fillId="0" borderId="12" xfId="0" applyFont="1" applyBorder="1" applyAlignment="1" applyProtection="1">
      <alignment horizontal="left"/>
    </xf>
    <xf numFmtId="5" fontId="91" fillId="0" borderId="13" xfId="0" applyNumberFormat="1" applyFont="1" applyBorder="1" applyProtection="1"/>
    <xf numFmtId="0" fontId="105" fillId="4" borderId="6" xfId="0" applyFont="1" applyFill="1" applyBorder="1" applyAlignment="1" applyProtection="1">
      <alignment horizontal="left"/>
    </xf>
    <xf numFmtId="0" fontId="91" fillId="4" borderId="11" xfId="0" applyFont="1" applyFill="1" applyBorder="1"/>
    <xf numFmtId="0" fontId="91" fillId="4" borderId="7" xfId="0" applyFont="1" applyFill="1" applyBorder="1"/>
    <xf numFmtId="0" fontId="105" fillId="4" borderId="6" xfId="0" applyFont="1" applyFill="1" applyBorder="1"/>
    <xf numFmtId="0" fontId="119" fillId="0" borderId="0" xfId="0" applyFont="1" applyBorder="1"/>
    <xf numFmtId="9" fontId="127" fillId="0" borderId="13" xfId="23" applyFont="1" applyBorder="1" applyAlignment="1">
      <alignment horizontal="center"/>
    </xf>
    <xf numFmtId="2" fontId="110" fillId="4" borderId="7" xfId="0" applyNumberFormat="1" applyFont="1" applyFill="1" applyBorder="1" applyProtection="1"/>
    <xf numFmtId="166" fontId="91" fillId="4" borderId="11" xfId="0" applyNumberFormat="1" applyFont="1" applyFill="1" applyBorder="1" applyProtection="1"/>
    <xf numFmtId="0" fontId="110" fillId="4" borderId="7" xfId="0" applyFont="1" applyFill="1" applyBorder="1" applyProtection="1"/>
    <xf numFmtId="206" fontId="110" fillId="0" borderId="0" xfId="3" applyNumberFormat="1" applyFont="1" applyFill="1" applyBorder="1" applyAlignment="1">
      <alignment horizontal="right"/>
    </xf>
    <xf numFmtId="9" fontId="111" fillId="4" borderId="7" xfId="23" applyFont="1" applyFill="1" applyBorder="1"/>
    <xf numFmtId="0" fontId="112" fillId="4" borderId="11" xfId="0" applyFont="1" applyFill="1" applyBorder="1"/>
    <xf numFmtId="0" fontId="91" fillId="4" borderId="7" xfId="0" applyFont="1" applyFill="1" applyBorder="1" applyAlignment="1">
      <alignment horizontal="center"/>
    </xf>
    <xf numFmtId="38" fontId="91" fillId="4" borderId="7" xfId="0" applyNumberFormat="1" applyFont="1" applyFill="1" applyBorder="1" applyAlignment="1">
      <alignment horizontal="right"/>
    </xf>
    <xf numFmtId="203" fontId="91" fillId="4" borderId="11" xfId="5" applyNumberFormat="1" applyFont="1" applyFill="1" applyBorder="1" applyProtection="1">
      <protection locked="0"/>
    </xf>
    <xf numFmtId="38" fontId="91" fillId="4" borderId="7" xfId="0" applyNumberFormat="1" applyFont="1" applyFill="1" applyBorder="1"/>
    <xf numFmtId="0" fontId="129" fillId="4" borderId="6" xfId="0" applyFont="1" applyFill="1" applyBorder="1"/>
    <xf numFmtId="0" fontId="47" fillId="4" borderId="11" xfId="0" applyFont="1" applyFill="1" applyBorder="1"/>
    <xf numFmtId="10" fontId="130" fillId="4" borderId="11" xfId="23" applyNumberFormat="1" applyFont="1" applyFill="1" applyBorder="1"/>
    <xf numFmtId="38" fontId="47" fillId="4" borderId="7" xfId="0" applyNumberFormat="1" applyFont="1" applyFill="1" applyBorder="1"/>
    <xf numFmtId="10" fontId="110" fillId="14" borderId="4" xfId="0" applyNumberFormat="1" applyFont="1" applyFill="1" applyBorder="1" applyProtection="1">
      <protection locked="0"/>
    </xf>
    <xf numFmtId="10" fontId="110" fillId="0" borderId="9" xfId="23" applyNumberFormat="1" applyFont="1" applyBorder="1" applyAlignment="1">
      <alignment horizontal="right"/>
    </xf>
    <xf numFmtId="203" fontId="83" fillId="0" borderId="0" xfId="5" applyNumberFormat="1" applyFont="1" applyBorder="1" applyProtection="1"/>
    <xf numFmtId="38" fontId="72" fillId="0" borderId="0" xfId="5" applyNumberFormat="1" applyFont="1" applyBorder="1" applyProtection="1"/>
    <xf numFmtId="203" fontId="72" fillId="0" borderId="0" xfId="5" applyNumberFormat="1" applyFont="1" applyBorder="1" applyAlignment="1" applyProtection="1">
      <alignment horizontal="center"/>
    </xf>
    <xf numFmtId="206" fontId="98" fillId="0" borderId="30" xfId="3" applyNumberFormat="1" applyFont="1" applyBorder="1" applyProtection="1"/>
    <xf numFmtId="206" fontId="98" fillId="0" borderId="10" xfId="3" applyNumberFormat="1" applyFont="1" applyBorder="1" applyProtection="1"/>
    <xf numFmtId="206" fontId="98" fillId="0" borderId="17" xfId="3" applyNumberFormat="1" applyFont="1" applyBorder="1" applyProtection="1"/>
    <xf numFmtId="206" fontId="83" fillId="0" borderId="0" xfId="3" applyNumberFormat="1" applyFont="1" applyBorder="1" applyProtection="1"/>
    <xf numFmtId="41" fontId="83" fillId="0" borderId="0" xfId="0" applyNumberFormat="1" applyFont="1" applyBorder="1" applyProtection="1"/>
    <xf numFmtId="0" fontId="83" fillId="0" borderId="30" xfId="0" applyFont="1" applyBorder="1"/>
    <xf numFmtId="37" fontId="83" fillId="0" borderId="10" xfId="21" applyFont="1" applyBorder="1" applyAlignment="1"/>
    <xf numFmtId="0" fontId="83" fillId="0" borderId="10" xfId="0" applyFont="1" applyBorder="1"/>
    <xf numFmtId="206" fontId="83" fillId="0" borderId="10" xfId="3" quotePrefix="1" applyNumberFormat="1" applyFont="1" applyBorder="1" applyProtection="1"/>
    <xf numFmtId="206" fontId="83" fillId="0" borderId="17" xfId="3" quotePrefix="1" applyNumberFormat="1" applyFont="1" applyBorder="1" applyProtection="1"/>
    <xf numFmtId="0" fontId="72" fillId="0" borderId="10" xfId="0" applyFont="1" applyBorder="1"/>
    <xf numFmtId="203" fontId="83" fillId="0" borderId="10" xfId="0" applyNumberFormat="1" applyFont="1" applyBorder="1"/>
    <xf numFmtId="203" fontId="83" fillId="0" borderId="17" xfId="0" applyNumberFormat="1" applyFont="1" applyBorder="1"/>
    <xf numFmtId="174" fontId="131" fillId="0" borderId="0" xfId="23" applyNumberFormat="1" applyFont="1"/>
    <xf numFmtId="174" fontId="13" fillId="0" borderId="0" xfId="23" applyNumberFormat="1" applyFont="1"/>
    <xf numFmtId="174" fontId="72" fillId="0" borderId="0" xfId="0" applyNumberFormat="1" applyFont="1"/>
    <xf numFmtId="10" fontId="110" fillId="14" borderId="4" xfId="0" quotePrefix="1" applyNumberFormat="1" applyFont="1" applyFill="1" applyBorder="1" applyAlignment="1" applyProtection="1">
      <alignment horizontal="right"/>
      <protection locked="0"/>
    </xf>
    <xf numFmtId="10" fontId="110" fillId="14" borderId="0" xfId="23" applyNumberFormat="1" applyFont="1" applyFill="1" applyBorder="1"/>
    <xf numFmtId="10" fontId="110" fillId="14" borderId="0" xfId="0" applyNumberFormat="1" applyFont="1" applyFill="1" applyBorder="1" applyProtection="1">
      <protection locked="0"/>
    </xf>
    <xf numFmtId="37" fontId="83" fillId="0" borderId="0" xfId="21" applyFont="1" applyBorder="1" applyAlignment="1"/>
    <xf numFmtId="206" fontId="83" fillId="0" borderId="0" xfId="3" quotePrefix="1" applyNumberFormat="1" applyFont="1" applyBorder="1" applyProtection="1"/>
    <xf numFmtId="10" fontId="110" fillId="14" borderId="0" xfId="23" applyNumberFormat="1" applyFont="1" applyFill="1" applyBorder="1" applyAlignment="1" applyProtection="1">
      <alignment horizontal="center"/>
      <protection locked="0"/>
    </xf>
    <xf numFmtId="171" fontId="110" fillId="14" borderId="0" xfId="23" applyNumberFormat="1" applyFont="1" applyFill="1" applyBorder="1" applyAlignment="1">
      <alignment horizontal="center"/>
    </xf>
    <xf numFmtId="10" fontId="110" fillId="14" borderId="0" xfId="23" applyNumberFormat="1" applyFont="1" applyFill="1"/>
    <xf numFmtId="0" fontId="83" fillId="0" borderId="3" xfId="0" applyFont="1" applyBorder="1" applyAlignment="1">
      <alignment horizontal="center"/>
    </xf>
    <xf numFmtId="38" fontId="72" fillId="0" borderId="3" xfId="0" applyNumberFormat="1" applyFont="1" applyBorder="1"/>
    <xf numFmtId="0" fontId="87" fillId="0" borderId="6" xfId="0" applyFont="1" applyBorder="1"/>
    <xf numFmtId="0" fontId="87" fillId="0" borderId="11" xfId="0" applyFont="1" applyBorder="1"/>
    <xf numFmtId="0" fontId="87" fillId="0" borderId="7" xfId="0" applyFont="1" applyBorder="1"/>
    <xf numFmtId="38" fontId="44" fillId="0" borderId="12" xfId="0" applyNumberFormat="1" applyFont="1" applyBorder="1"/>
    <xf numFmtId="38" fontId="44" fillId="0" borderId="0" xfId="0" applyNumberFormat="1" applyFont="1" applyBorder="1"/>
    <xf numFmtId="38" fontId="44" fillId="0" borderId="13" xfId="0" applyNumberFormat="1" applyFont="1" applyBorder="1"/>
    <xf numFmtId="38" fontId="44" fillId="0" borderId="8" xfId="0" applyNumberFormat="1" applyFont="1" applyBorder="1"/>
    <xf numFmtId="38" fontId="44" fillId="0" borderId="4" xfId="0" applyNumberFormat="1" applyFont="1" applyBorder="1"/>
    <xf numFmtId="38" fontId="44" fillId="0" borderId="9" xfId="0" applyNumberFormat="1" applyFont="1" applyBorder="1"/>
    <xf numFmtId="0" fontId="87" fillId="0" borderId="0" xfId="0" applyFont="1" applyAlignment="1">
      <alignment vertical="top" wrapText="1"/>
    </xf>
    <xf numFmtId="203" fontId="119" fillId="0" borderId="0" xfId="5" applyNumberFormat="1" applyFont="1" applyBorder="1"/>
    <xf numFmtId="0" fontId="114" fillId="0" borderId="0" xfId="0" applyFont="1" applyBorder="1" applyAlignment="1">
      <alignment horizontal="center"/>
    </xf>
    <xf numFmtId="1" fontId="114" fillId="0" borderId="0" xfId="23" applyNumberFormat="1" applyFont="1" applyBorder="1" applyAlignment="1">
      <alignment horizontal="center"/>
    </xf>
    <xf numFmtId="38" fontId="132" fillId="0" borderId="13" xfId="0" applyNumberFormat="1" applyFont="1" applyBorder="1"/>
    <xf numFmtId="40" fontId="91" fillId="0" borderId="13" xfId="0" applyNumberFormat="1" applyFont="1" applyBorder="1"/>
    <xf numFmtId="40" fontId="92" fillId="0" borderId="13" xfId="0" applyNumberFormat="1" applyFont="1" applyBorder="1"/>
    <xf numFmtId="41" fontId="91" fillId="0" borderId="13" xfId="0" applyNumberFormat="1" applyFont="1" applyBorder="1"/>
    <xf numFmtId="203" fontId="127" fillId="14" borderId="13" xfId="5" applyNumberFormat="1" applyFont="1" applyFill="1" applyBorder="1" applyProtection="1"/>
    <xf numFmtId="206" fontId="133" fillId="14" borderId="13" xfId="3" applyNumberFormat="1" applyFont="1" applyFill="1" applyBorder="1"/>
    <xf numFmtId="206" fontId="127" fillId="14" borderId="13" xfId="3" applyNumberFormat="1" applyFont="1" applyFill="1" applyBorder="1"/>
    <xf numFmtId="206" fontId="127" fillId="14" borderId="13" xfId="3" applyNumberFormat="1" applyFont="1" applyFill="1" applyBorder="1" applyProtection="1"/>
    <xf numFmtId="206" fontId="127" fillId="8" borderId="13" xfId="3" applyNumberFormat="1" applyFont="1" applyFill="1" applyBorder="1" applyProtection="1"/>
    <xf numFmtId="5" fontId="84" fillId="0" borderId="0" xfId="22" applyNumberFormat="1" applyFont="1" applyBorder="1"/>
    <xf numFmtId="5" fontId="98" fillId="0" borderId="19" xfId="22" applyNumberFormat="1" applyFont="1" applyBorder="1"/>
    <xf numFmtId="37" fontId="83" fillId="0" borderId="12" xfId="21" applyFont="1" applyBorder="1" applyAlignment="1">
      <alignment horizontal="left"/>
    </xf>
    <xf numFmtId="37" fontId="72" fillId="0" borderId="12" xfId="21" applyFont="1" applyBorder="1" applyAlignment="1">
      <alignment horizontal="left"/>
    </xf>
    <xf numFmtId="0" fontId="44" fillId="0" borderId="7" xfId="0" applyFont="1" applyBorder="1"/>
    <xf numFmtId="0" fontId="44" fillId="0" borderId="9" xfId="0" applyFont="1" applyBorder="1"/>
    <xf numFmtId="9" fontId="81" fillId="2" borderId="6" xfId="23" applyFont="1" applyFill="1" applyBorder="1" applyAlignment="1">
      <alignment horizontal="left"/>
    </xf>
    <xf numFmtId="0" fontId="44" fillId="2" borderId="7" xfId="0" applyFont="1" applyFill="1" applyBorder="1"/>
    <xf numFmtId="0" fontId="87" fillId="2" borderId="8" xfId="0" applyFont="1" applyFill="1" applyBorder="1"/>
    <xf numFmtId="0" fontId="44" fillId="2" borderId="9" xfId="0" applyFont="1" applyFill="1" applyBorder="1"/>
    <xf numFmtId="0" fontId="44" fillId="0" borderId="6" xfId="0" applyFont="1" applyBorder="1"/>
    <xf numFmtId="0" fontId="72" fillId="0" borderId="11" xfId="0" applyFont="1" applyBorder="1"/>
    <xf numFmtId="167" fontId="89" fillId="2" borderId="11" xfId="0" applyNumberFormat="1" applyFont="1" applyFill="1" applyBorder="1" applyProtection="1"/>
    <xf numFmtId="167" fontId="89" fillId="2" borderId="7" xfId="0" applyNumberFormat="1" applyFont="1" applyFill="1" applyBorder="1" applyProtection="1"/>
    <xf numFmtId="37" fontId="87" fillId="0" borderId="12" xfId="21" applyFont="1" applyBorder="1" applyAlignment="1">
      <alignment horizontal="left"/>
    </xf>
    <xf numFmtId="205" fontId="72" fillId="0" borderId="0" xfId="3" applyNumberFormat="1" applyFont="1" applyFill="1" applyBorder="1"/>
    <xf numFmtId="172" fontId="72" fillId="0" borderId="0" xfId="21" applyNumberFormat="1" applyFont="1" applyBorder="1" applyAlignment="1"/>
    <xf numFmtId="172" fontId="98" fillId="0" borderId="0" xfId="21" applyNumberFormat="1" applyFont="1" applyBorder="1" applyAlignment="1"/>
    <xf numFmtId="172" fontId="72" fillId="0" borderId="13" xfId="21" applyNumberFormat="1" applyFont="1" applyBorder="1" applyAlignment="1"/>
    <xf numFmtId="37" fontId="87" fillId="0" borderId="12" xfId="21" applyFont="1" applyBorder="1" applyAlignment="1"/>
    <xf numFmtId="9" fontId="72" fillId="0" borderId="0" xfId="23" applyFont="1" applyBorder="1" applyAlignment="1">
      <alignment horizontal="center"/>
    </xf>
    <xf numFmtId="9" fontId="72" fillId="0" borderId="13" xfId="23" applyFont="1" applyBorder="1" applyAlignment="1">
      <alignment horizontal="center"/>
    </xf>
    <xf numFmtId="37" fontId="87" fillId="0" borderId="8" xfId="21" applyFont="1" applyBorder="1" applyAlignment="1"/>
    <xf numFmtId="7" fontId="72" fillId="0" borderId="4" xfId="0" applyNumberFormat="1" applyFont="1" applyBorder="1"/>
    <xf numFmtId="172" fontId="72" fillId="0" borderId="4" xfId="21" applyNumberFormat="1" applyFont="1" applyBorder="1" applyAlignment="1">
      <alignment horizontal="center"/>
    </xf>
    <xf numFmtId="172" fontId="72" fillId="0" borderId="9" xfId="21" applyNumberFormat="1" applyFont="1" applyBorder="1" applyAlignment="1">
      <alignment horizontal="center"/>
    </xf>
    <xf numFmtId="7" fontId="72" fillId="0" borderId="11" xfId="3" applyNumberFormat="1" applyFont="1" applyBorder="1" applyAlignment="1">
      <alignment horizontal="right"/>
    </xf>
    <xf numFmtId="7" fontId="72" fillId="0" borderId="7" xfId="3" applyNumberFormat="1" applyFont="1" applyBorder="1" applyAlignment="1">
      <alignment horizontal="right"/>
    </xf>
    <xf numFmtId="0" fontId="44" fillId="0" borderId="12" xfId="0" applyFont="1" applyBorder="1"/>
    <xf numFmtId="7" fontId="72" fillId="0" borderId="13" xfId="3" applyNumberFormat="1" applyFont="1" applyBorder="1" applyAlignment="1">
      <alignment horizontal="right"/>
    </xf>
    <xf numFmtId="6" fontId="72" fillId="0" borderId="0" xfId="0" applyNumberFormat="1" applyFont="1" applyBorder="1"/>
    <xf numFmtId="43" fontId="72" fillId="0" borderId="13" xfId="3" applyFont="1" applyFill="1" applyBorder="1" applyAlignment="1">
      <alignment horizontal="right"/>
    </xf>
    <xf numFmtId="10" fontId="72" fillId="0" borderId="0" xfId="0" applyNumberFormat="1" applyFont="1" applyBorder="1"/>
    <xf numFmtId="7" fontId="72" fillId="0" borderId="13" xfId="3" applyNumberFormat="1" applyFont="1" applyBorder="1"/>
    <xf numFmtId="0" fontId="72" fillId="0" borderId="12" xfId="0" applyFont="1" applyBorder="1"/>
    <xf numFmtId="9" fontId="72" fillId="0" borderId="13" xfId="3" applyNumberFormat="1" applyFont="1" applyBorder="1"/>
    <xf numFmtId="0" fontId="105" fillId="0" borderId="12" xfId="0" applyFont="1" applyBorder="1"/>
    <xf numFmtId="0" fontId="72" fillId="0" borderId="13" xfId="0" applyFont="1" applyBorder="1"/>
    <xf numFmtId="37" fontId="72" fillId="0" borderId="0" xfId="21" applyFont="1" applyFill="1" applyBorder="1" applyAlignment="1"/>
    <xf numFmtId="8" fontId="72" fillId="0" borderId="0" xfId="4" applyNumberFormat="1" applyFont="1" applyFill="1" applyBorder="1"/>
    <xf numFmtId="8" fontId="72" fillId="0" borderId="13" xfId="4" applyNumberFormat="1" applyFont="1" applyFill="1" applyBorder="1"/>
    <xf numFmtId="37" fontId="72" fillId="0" borderId="12" xfId="21" applyFont="1" applyFill="1" applyBorder="1" applyAlignment="1"/>
    <xf numFmtId="275" fontId="72" fillId="0" borderId="0" xfId="4" applyNumberFormat="1" applyFont="1" applyFill="1" applyBorder="1"/>
    <xf numFmtId="275" fontId="72" fillId="0" borderId="13" xfId="4" applyNumberFormat="1" applyFont="1" applyFill="1" applyBorder="1"/>
    <xf numFmtId="275" fontId="93" fillId="0" borderId="0" xfId="4" applyNumberFormat="1" applyFont="1" applyFill="1" applyBorder="1"/>
    <xf numFmtId="37" fontId="72" fillId="0" borderId="8" xfId="21" applyFont="1" applyBorder="1" applyAlignment="1">
      <alignment horizontal="left"/>
    </xf>
    <xf numFmtId="37" fontId="72" fillId="0" borderId="4" xfId="21" applyFont="1" applyFill="1" applyBorder="1" applyAlignment="1"/>
    <xf numFmtId="275" fontId="72" fillId="0" borderId="4" xfId="4" applyNumberFormat="1" applyFont="1" applyFill="1" applyBorder="1"/>
    <xf numFmtId="275" fontId="72" fillId="0" borderId="9" xfId="4" applyNumberFormat="1" applyFont="1" applyFill="1" applyBorder="1"/>
    <xf numFmtId="0" fontId="105" fillId="0" borderId="6" xfId="0" applyFont="1" applyBorder="1"/>
    <xf numFmtId="0" fontId="83" fillId="0" borderId="11" xfId="0" applyFont="1" applyBorder="1"/>
    <xf numFmtId="0" fontId="83" fillId="0" borderId="7" xfId="0" applyFont="1" applyBorder="1"/>
    <xf numFmtId="0" fontId="83" fillId="0" borderId="12" xfId="0" applyFont="1" applyBorder="1"/>
    <xf numFmtId="0" fontId="83" fillId="0" borderId="13" xfId="0" applyFont="1" applyBorder="1"/>
    <xf numFmtId="203" fontId="72" fillId="0" borderId="0" xfId="5" applyNumberFormat="1" applyFont="1" applyFill="1" applyBorder="1"/>
    <xf numFmtId="203" fontId="72" fillId="0" borderId="13" xfId="5" applyNumberFormat="1" applyFont="1" applyFill="1" applyBorder="1"/>
    <xf numFmtId="41" fontId="72" fillId="0" borderId="0" xfId="6" applyNumberFormat="1" applyFont="1" applyFill="1" applyBorder="1"/>
    <xf numFmtId="41" fontId="72" fillId="0" borderId="13" xfId="6" applyNumberFormat="1" applyFont="1" applyFill="1" applyBorder="1"/>
    <xf numFmtId="41" fontId="100" fillId="0" borderId="0" xfId="6" applyNumberFormat="1" applyFont="1" applyFill="1" applyBorder="1"/>
    <xf numFmtId="41" fontId="100" fillId="0" borderId="13" xfId="6" applyNumberFormat="1" applyFont="1" applyFill="1" applyBorder="1"/>
    <xf numFmtId="0" fontId="89" fillId="0" borderId="12" xfId="0" applyFont="1" applyBorder="1"/>
    <xf numFmtId="0" fontId="44" fillId="0" borderId="13" xfId="0" applyFont="1" applyBorder="1"/>
    <xf numFmtId="44" fontId="72" fillId="0" borderId="0" xfId="5" applyFont="1" applyBorder="1"/>
    <xf numFmtId="44" fontId="72" fillId="0" borderId="13" xfId="5" applyFont="1" applyBorder="1"/>
    <xf numFmtId="43" fontId="100" fillId="0" borderId="0" xfId="3" applyNumberFormat="1" applyFont="1" applyBorder="1"/>
    <xf numFmtId="43" fontId="100" fillId="0" borderId="13" xfId="3" applyNumberFormat="1" applyFont="1" applyBorder="1"/>
    <xf numFmtId="38" fontId="72" fillId="0" borderId="0" xfId="0" applyNumberFormat="1" applyFont="1" applyBorder="1"/>
    <xf numFmtId="38" fontId="72" fillId="0" borderId="13" xfId="0" applyNumberFormat="1" applyFont="1" applyBorder="1"/>
    <xf numFmtId="40" fontId="72" fillId="0" borderId="0" xfId="0" applyNumberFormat="1" applyFont="1" applyBorder="1"/>
    <xf numFmtId="40" fontId="72" fillId="0" borderId="13" xfId="0" applyNumberFormat="1" applyFont="1" applyBorder="1"/>
    <xf numFmtId="0" fontId="72" fillId="0" borderId="8" xfId="0" applyFont="1" applyBorder="1"/>
    <xf numFmtId="44" fontId="72" fillId="0" borderId="4" xfId="5" applyNumberFormat="1" applyFont="1" applyBorder="1"/>
    <xf numFmtId="44" fontId="72" fillId="0" borderId="4" xfId="5" applyFont="1" applyBorder="1"/>
    <xf numFmtId="44" fontId="72" fillId="0" borderId="9" xfId="5" applyFont="1" applyBorder="1"/>
    <xf numFmtId="0" fontId="44" fillId="0" borderId="11" xfId="0" applyFont="1" applyBorder="1"/>
    <xf numFmtId="10" fontId="72" fillId="0" borderId="0" xfId="23" applyNumberFormat="1" applyFont="1" applyFill="1" applyBorder="1"/>
    <xf numFmtId="0" fontId="106" fillId="0" borderId="0" xfId="0" applyFont="1" applyBorder="1"/>
    <xf numFmtId="0" fontId="98" fillId="0" borderId="12" xfId="0" applyFont="1" applyBorder="1"/>
    <xf numFmtId="40" fontId="72" fillId="0" borderId="0" xfId="4" applyFont="1" applyFill="1" applyBorder="1"/>
    <xf numFmtId="40" fontId="72" fillId="0" borderId="13" xfId="4" applyFont="1" applyFill="1" applyBorder="1"/>
    <xf numFmtId="39" fontId="72" fillId="0" borderId="0" xfId="21" applyNumberFormat="1" applyFont="1" applyFill="1" applyBorder="1" applyAlignment="1"/>
    <xf numFmtId="37" fontId="98" fillId="0" borderId="12" xfId="21" applyFont="1" applyBorder="1" applyAlignment="1">
      <alignment horizontal="left"/>
    </xf>
    <xf numFmtId="40" fontId="98" fillId="0" borderId="0" xfId="4" applyFont="1" applyFill="1" applyBorder="1"/>
    <xf numFmtId="7" fontId="44" fillId="0" borderId="0" xfId="0" applyNumberFormat="1" applyFont="1" applyBorder="1"/>
    <xf numFmtId="0" fontId="72" fillId="0" borderId="0" xfId="0" applyFont="1" applyBorder="1" applyAlignment="1">
      <alignment horizontal="center"/>
    </xf>
    <xf numFmtId="0" fontId="44" fillId="0" borderId="8" xfId="0" applyFont="1" applyBorder="1"/>
    <xf numFmtId="0" fontId="44" fillId="0" borderId="4" xfId="0" applyFont="1" applyBorder="1"/>
    <xf numFmtId="9" fontId="44" fillId="0" borderId="4" xfId="23" applyFont="1" applyBorder="1"/>
    <xf numFmtId="0" fontId="44" fillId="2" borderId="11" xfId="0" applyFont="1" applyFill="1" applyBorder="1"/>
    <xf numFmtId="0" fontId="44" fillId="2" borderId="4" xfId="0" applyFont="1" applyFill="1" applyBorder="1"/>
    <xf numFmtId="37" fontId="83" fillId="0" borderId="6" xfId="21" applyFont="1" applyBorder="1" applyAlignment="1"/>
    <xf numFmtId="37" fontId="72" fillId="0" borderId="11" xfId="21" applyFont="1" applyBorder="1" applyAlignment="1"/>
    <xf numFmtId="37" fontId="72" fillId="0" borderId="0" xfId="21" applyFont="1" applyBorder="1" applyAlignment="1"/>
    <xf numFmtId="171" fontId="98" fillId="8" borderId="0" xfId="23" applyNumberFormat="1" applyFont="1" applyFill="1" applyBorder="1"/>
    <xf numFmtId="171" fontId="98" fillId="8" borderId="13" xfId="23" applyNumberFormat="1" applyFont="1" applyFill="1" applyBorder="1"/>
    <xf numFmtId="37" fontId="72" fillId="0" borderId="13" xfId="21" applyFont="1" applyFill="1" applyBorder="1" applyAlignment="1"/>
    <xf numFmtId="37" fontId="72" fillId="0" borderId="4" xfId="21" applyFont="1" applyBorder="1" applyAlignment="1"/>
    <xf numFmtId="41" fontId="72" fillId="0" borderId="4" xfId="6" applyNumberFormat="1" applyFont="1" applyFill="1" applyBorder="1"/>
    <xf numFmtId="203" fontId="72" fillId="0" borderId="11" xfId="5" applyNumberFormat="1" applyFont="1" applyFill="1" applyBorder="1"/>
    <xf numFmtId="203" fontId="72" fillId="0" borderId="7" xfId="5" applyNumberFormat="1" applyFont="1" applyFill="1" applyBorder="1"/>
    <xf numFmtId="171" fontId="72" fillId="0" borderId="0" xfId="23" applyNumberFormat="1" applyFont="1" applyBorder="1"/>
    <xf numFmtId="171" fontId="72" fillId="0" borderId="13" xfId="23" applyNumberFormat="1" applyFont="1" applyBorder="1"/>
    <xf numFmtId="171" fontId="93" fillId="0" borderId="0" xfId="23" applyNumberFormat="1" applyFont="1" applyBorder="1"/>
    <xf numFmtId="171" fontId="93" fillId="0" borderId="13" xfId="23" applyNumberFormat="1" applyFont="1" applyBorder="1"/>
    <xf numFmtId="37" fontId="93" fillId="0" borderId="0" xfId="21" applyFont="1" applyFill="1" applyBorder="1" applyAlignment="1"/>
    <xf numFmtId="37" fontId="93" fillId="0" borderId="13" xfId="21" applyFont="1" applyFill="1" applyBorder="1" applyAlignment="1"/>
    <xf numFmtId="206" fontId="93" fillId="0" borderId="0" xfId="3" applyNumberFormat="1" applyFont="1" applyBorder="1"/>
    <xf numFmtId="206" fontId="93" fillId="0" borderId="13" xfId="3" applyNumberFormat="1" applyFont="1" applyBorder="1"/>
    <xf numFmtId="206" fontId="44" fillId="0" borderId="4" xfId="3" applyNumberFormat="1" applyFont="1" applyBorder="1"/>
    <xf numFmtId="206" fontId="44" fillId="0" borderId="9" xfId="3" applyNumberFormat="1" applyFont="1" applyBorder="1"/>
    <xf numFmtId="0" fontId="72" fillId="0" borderId="7" xfId="0" applyFont="1" applyBorder="1"/>
    <xf numFmtId="8" fontId="98" fillId="16" borderId="0" xfId="6" applyFont="1" applyFill="1" applyBorder="1"/>
    <xf numFmtId="8" fontId="98" fillId="16" borderId="13" xfId="6" applyFont="1" applyFill="1" applyBorder="1"/>
    <xf numFmtId="8" fontId="98" fillId="0" borderId="0" xfId="6" applyFont="1" applyFill="1" applyBorder="1"/>
    <xf numFmtId="8" fontId="98" fillId="0" borderId="13" xfId="6" applyFont="1" applyFill="1" applyBorder="1"/>
    <xf numFmtId="10" fontId="72" fillId="0" borderId="13" xfId="23" applyNumberFormat="1" applyFont="1" applyFill="1" applyBorder="1"/>
    <xf numFmtId="8" fontId="72" fillId="0" borderId="0" xfId="6" applyFont="1" applyFill="1" applyBorder="1"/>
    <xf numFmtId="8" fontId="72" fillId="0" borderId="13" xfId="6" applyFont="1" applyFill="1" applyBorder="1"/>
    <xf numFmtId="8" fontId="98" fillId="0" borderId="4" xfId="6" applyFont="1" applyFill="1" applyBorder="1"/>
    <xf numFmtId="8" fontId="98" fillId="0" borderId="9" xfId="6" applyFont="1" applyFill="1" applyBorder="1"/>
    <xf numFmtId="37" fontId="83" fillId="0" borderId="11" xfId="21" applyFont="1" applyBorder="1" applyAlignment="1"/>
    <xf numFmtId="1" fontId="89" fillId="2" borderId="11" xfId="0" applyNumberFormat="1" applyFont="1" applyFill="1" applyBorder="1" applyAlignment="1" applyProtection="1">
      <alignment horizontal="center"/>
    </xf>
    <xf numFmtId="1" fontId="89" fillId="2" borderId="7" xfId="0" applyNumberFormat="1" applyFont="1" applyFill="1" applyBorder="1" applyAlignment="1" applyProtection="1">
      <alignment horizontal="center"/>
    </xf>
    <xf numFmtId="37" fontId="44" fillId="0" borderId="0" xfId="21" applyFont="1" applyBorder="1" applyAlignment="1">
      <alignment horizontal="left"/>
    </xf>
    <xf numFmtId="37" fontId="44" fillId="0" borderId="0" xfId="21" applyFont="1" applyBorder="1" applyAlignment="1"/>
    <xf numFmtId="203" fontId="44" fillId="0" borderId="0" xfId="5" applyNumberFormat="1" applyFont="1" applyFill="1" applyBorder="1"/>
    <xf numFmtId="203" fontId="44" fillId="0" borderId="13" xfId="5" applyNumberFormat="1" applyFont="1" applyFill="1" applyBorder="1"/>
    <xf numFmtId="176" fontId="72" fillId="0" borderId="0" xfId="21" applyNumberFormat="1" applyFont="1" applyBorder="1" applyAlignment="1"/>
    <xf numFmtId="37" fontId="72" fillId="0" borderId="13" xfId="21" applyFont="1" applyBorder="1" applyAlignment="1"/>
    <xf numFmtId="0" fontId="44" fillId="0" borderId="12" xfId="0" applyFont="1" applyFill="1" applyBorder="1"/>
    <xf numFmtId="0" fontId="44" fillId="0" borderId="0" xfId="0" applyFont="1" applyFill="1" applyBorder="1"/>
    <xf numFmtId="43" fontId="44" fillId="0" borderId="0" xfId="3" applyFont="1" applyFill="1" applyBorder="1"/>
    <xf numFmtId="43" fontId="44" fillId="0" borderId="13" xfId="3" applyFont="1" applyFill="1" applyBorder="1"/>
    <xf numFmtId="10" fontId="44" fillId="0" borderId="0" xfId="23" applyNumberFormat="1" applyFont="1" applyFill="1" applyBorder="1"/>
    <xf numFmtId="10" fontId="44" fillId="0" borderId="13" xfId="23" applyNumberFormat="1" applyFont="1" applyFill="1" applyBorder="1"/>
    <xf numFmtId="206" fontId="44" fillId="0" borderId="0" xfId="3" applyNumberFormat="1" applyFont="1" applyFill="1" applyBorder="1"/>
    <xf numFmtId="0" fontId="44" fillId="0" borderId="13" xfId="0" applyFont="1" applyFill="1" applyBorder="1"/>
    <xf numFmtId="0" fontId="87" fillId="0" borderId="12" xfId="0" applyFont="1" applyFill="1" applyBorder="1"/>
    <xf numFmtId="206" fontId="44" fillId="0" borderId="13" xfId="3" applyNumberFormat="1" applyFont="1" applyFill="1" applyBorder="1"/>
    <xf numFmtId="14" fontId="89" fillId="0" borderId="0" xfId="0" applyNumberFormat="1" applyFont="1" applyBorder="1" applyProtection="1"/>
    <xf numFmtId="203" fontId="44" fillId="0" borderId="0" xfId="5" applyNumberFormat="1" applyFont="1" applyBorder="1"/>
    <xf numFmtId="206" fontId="107" fillId="0" borderId="0" xfId="3" applyNumberFormat="1" applyFont="1" applyFill="1" applyBorder="1"/>
    <xf numFmtId="0" fontId="87" fillId="0" borderId="8" xfId="0" applyFont="1" applyFill="1" applyBorder="1"/>
    <xf numFmtId="203" fontId="87" fillId="0" borderId="4" xfId="5" applyNumberFormat="1" applyFont="1" applyFill="1" applyBorder="1"/>
    <xf numFmtId="206" fontId="87" fillId="0" borderId="4" xfId="3" applyNumberFormat="1" applyFont="1" applyFill="1" applyBorder="1"/>
    <xf numFmtId="0" fontId="44" fillId="0" borderId="4" xfId="0" applyFont="1" applyFill="1" applyBorder="1"/>
    <xf numFmtId="206" fontId="44" fillId="0" borderId="4" xfId="0" applyNumberFormat="1" applyFont="1" applyFill="1" applyBorder="1"/>
    <xf numFmtId="206" fontId="44" fillId="0" borderId="9" xfId="0" applyNumberFormat="1" applyFont="1" applyFill="1" applyBorder="1"/>
    <xf numFmtId="38" fontId="106" fillId="0" borderId="11" xfId="0" applyNumberFormat="1" applyFont="1" applyBorder="1"/>
    <xf numFmtId="206" fontId="44" fillId="0" borderId="11" xfId="3" applyNumberFormat="1" applyFont="1" applyBorder="1"/>
    <xf numFmtId="43" fontId="106" fillId="0" borderId="0" xfId="3" applyFont="1" applyBorder="1"/>
    <xf numFmtId="10" fontId="106" fillId="0" borderId="0" xfId="23" applyNumberFormat="1" applyFont="1" applyBorder="1"/>
    <xf numFmtId="206" fontId="44" fillId="0" borderId="0" xfId="3" applyNumberFormat="1" applyFont="1" applyBorder="1"/>
    <xf numFmtId="206" fontId="44" fillId="0" borderId="13" xfId="3" applyNumberFormat="1" applyFont="1" applyBorder="1"/>
    <xf numFmtId="43" fontId="44" fillId="0" borderId="4" xfId="3" applyNumberFormat="1" applyFont="1" applyBorder="1"/>
    <xf numFmtId="9" fontId="106" fillId="0" borderId="0" xfId="23" applyNumberFormat="1" applyFont="1" applyBorder="1"/>
    <xf numFmtId="0" fontId="44" fillId="0" borderId="8" xfId="0" applyFont="1" applyFill="1" applyBorder="1"/>
    <xf numFmtId="10" fontId="72" fillId="0" borderId="4" xfId="23" applyNumberFormat="1" applyFont="1" applyFill="1" applyBorder="1"/>
    <xf numFmtId="43" fontId="44" fillId="0" borderId="4" xfId="0" applyNumberFormat="1" applyFont="1" applyFill="1" applyBorder="1"/>
    <xf numFmtId="0" fontId="87" fillId="0" borderId="6" xfId="0" applyFont="1" applyFill="1" applyBorder="1"/>
    <xf numFmtId="38" fontId="106" fillId="0" borderId="11" xfId="0" applyNumberFormat="1" applyFont="1" applyFill="1" applyBorder="1"/>
    <xf numFmtId="206" fontId="44" fillId="0" borderId="11" xfId="3" applyNumberFormat="1" applyFont="1" applyFill="1" applyBorder="1"/>
    <xf numFmtId="0" fontId="44" fillId="0" borderId="11" xfId="0" applyFont="1" applyFill="1" applyBorder="1"/>
    <xf numFmtId="209" fontId="44" fillId="0" borderId="11" xfId="3" applyNumberFormat="1" applyFont="1" applyFill="1" applyBorder="1"/>
    <xf numFmtId="0" fontId="44" fillId="0" borderId="7" xfId="0" applyFont="1" applyFill="1" applyBorder="1"/>
    <xf numFmtId="43" fontId="106" fillId="0" borderId="0" xfId="3" applyFont="1" applyFill="1" applyBorder="1"/>
    <xf numFmtId="10" fontId="106" fillId="0" borderId="0" xfId="23" applyNumberFormat="1" applyFont="1" applyFill="1" applyBorder="1"/>
    <xf numFmtId="9" fontId="44" fillId="0" borderId="0" xfId="23" applyNumberFormat="1" applyFont="1" applyBorder="1"/>
    <xf numFmtId="206" fontId="44" fillId="0" borderId="0" xfId="0" applyNumberFormat="1" applyFont="1" applyFill="1" applyBorder="1"/>
    <xf numFmtId="206" fontId="44" fillId="0" borderId="13" xfId="0" applyNumberFormat="1" applyFont="1" applyFill="1" applyBorder="1"/>
    <xf numFmtId="0" fontId="87" fillId="0" borderId="29" xfId="0" applyFont="1" applyBorder="1"/>
    <xf numFmtId="0" fontId="44" fillId="0" borderId="22" xfId="0" applyFont="1" applyFill="1" applyBorder="1"/>
    <xf numFmtId="206" fontId="44" fillId="0" borderId="22" xfId="3" applyNumberFormat="1" applyFont="1" applyFill="1" applyBorder="1"/>
    <xf numFmtId="206" fontId="44" fillId="0" borderId="23" xfId="3" applyNumberFormat="1" applyFont="1" applyFill="1" applyBorder="1"/>
    <xf numFmtId="0" fontId="44" fillId="0" borderId="24" xfId="0" applyFont="1" applyFill="1" applyBorder="1"/>
    <xf numFmtId="203" fontId="44" fillId="0" borderId="25" xfId="5" applyNumberFormat="1" applyFont="1" applyFill="1" applyBorder="1"/>
    <xf numFmtId="206" fontId="44" fillId="0" borderId="25" xfId="3" applyNumberFormat="1" applyFont="1" applyFill="1" applyBorder="1"/>
    <xf numFmtId="38" fontId="106" fillId="0" borderId="0" xfId="0" applyNumberFormat="1" applyFont="1" applyFill="1" applyBorder="1"/>
    <xf numFmtId="43" fontId="44" fillId="0" borderId="0" xfId="3" applyNumberFormat="1" applyFont="1" applyFill="1" applyBorder="1"/>
    <xf numFmtId="0" fontId="44" fillId="0" borderId="24" xfId="0" applyFont="1" applyBorder="1"/>
    <xf numFmtId="10" fontId="44" fillId="0" borderId="0" xfId="23" applyNumberFormat="1" applyFont="1" applyBorder="1"/>
    <xf numFmtId="43" fontId="44" fillId="0" borderId="0" xfId="0" applyNumberFormat="1" applyFont="1" applyBorder="1"/>
    <xf numFmtId="43" fontId="44" fillId="0" borderId="25" xfId="0" applyNumberFormat="1" applyFont="1" applyBorder="1"/>
    <xf numFmtId="0" fontId="44" fillId="0" borderId="27" xfId="0" applyFont="1" applyBorder="1"/>
    <xf numFmtId="10" fontId="44" fillId="0" borderId="26" xfId="23" applyNumberFormat="1" applyFont="1" applyBorder="1"/>
    <xf numFmtId="0" fontId="44" fillId="0" borderId="26" xfId="0" applyFont="1" applyBorder="1"/>
    <xf numFmtId="206" fontId="44" fillId="0" borderId="26" xfId="0" applyNumberFormat="1" applyFont="1" applyBorder="1"/>
    <xf numFmtId="206" fontId="44" fillId="0" borderId="28" xfId="0" applyNumberFormat="1" applyFont="1" applyBorder="1"/>
    <xf numFmtId="14" fontId="89" fillId="0" borderId="0" xfId="0" applyNumberFormat="1" applyFont="1" applyBorder="1"/>
    <xf numFmtId="14" fontId="89" fillId="0" borderId="13" xfId="0" applyNumberFormat="1" applyFont="1" applyBorder="1"/>
    <xf numFmtId="203" fontId="72" fillId="0" borderId="13" xfId="5" applyNumberFormat="1" applyFont="1" applyBorder="1"/>
    <xf numFmtId="9" fontId="72" fillId="0" borderId="0" xfId="0" applyNumberFormat="1" applyFont="1" applyBorder="1"/>
    <xf numFmtId="9" fontId="72" fillId="0" borderId="13" xfId="0" applyNumberFormat="1" applyFont="1" applyBorder="1"/>
    <xf numFmtId="42" fontId="72" fillId="0" borderId="0" xfId="0" applyNumberFormat="1" applyFont="1" applyBorder="1" applyProtection="1"/>
    <xf numFmtId="42" fontId="72" fillId="0" borderId="13" xfId="0" applyNumberFormat="1" applyFont="1" applyBorder="1" applyProtection="1"/>
    <xf numFmtId="9" fontId="72" fillId="0" borderId="0" xfId="23" applyFont="1" applyBorder="1"/>
    <xf numFmtId="6" fontId="44" fillId="0" borderId="0" xfId="0" applyNumberFormat="1" applyFont="1" applyBorder="1"/>
    <xf numFmtId="42" fontId="44" fillId="0" borderId="0" xfId="0" applyNumberFormat="1" applyFont="1" applyBorder="1"/>
    <xf numFmtId="2" fontId="72" fillId="0" borderId="0" xfId="0" applyNumberFormat="1" applyFont="1" applyBorder="1" applyAlignment="1">
      <alignment horizontal="right"/>
    </xf>
    <xf numFmtId="2" fontId="72" fillId="0" borderId="13" xfId="0" applyNumberFormat="1" applyFont="1" applyBorder="1" applyAlignment="1">
      <alignment horizontal="right"/>
    </xf>
    <xf numFmtId="2" fontId="72" fillId="0" borderId="0" xfId="0" applyNumberFormat="1" applyFont="1" applyBorder="1"/>
    <xf numFmtId="2" fontId="72" fillId="0" borderId="13" xfId="0" applyNumberFormat="1" applyFont="1" applyBorder="1"/>
    <xf numFmtId="43" fontId="72" fillId="0" borderId="0" xfId="0" applyNumberFormat="1" applyFont="1" applyBorder="1" applyAlignment="1">
      <alignment horizontal="right"/>
    </xf>
    <xf numFmtId="43" fontId="72" fillId="0" borderId="13" xfId="0" applyNumberFormat="1" applyFont="1" applyBorder="1" applyAlignment="1">
      <alignment horizontal="right"/>
    </xf>
    <xf numFmtId="9" fontId="72" fillId="0" borderId="13" xfId="23" applyFont="1" applyBorder="1"/>
    <xf numFmtId="0" fontId="72" fillId="0" borderId="4" xfId="0" applyFont="1" applyBorder="1"/>
    <xf numFmtId="9" fontId="72" fillId="0" borderId="4" xfId="23" applyFont="1" applyBorder="1"/>
    <xf numFmtId="9" fontId="72" fillId="0" borderId="9" xfId="23" applyFont="1" applyBorder="1"/>
    <xf numFmtId="37" fontId="72" fillId="0" borderId="7" xfId="21" applyFont="1" applyBorder="1" applyAlignment="1"/>
    <xf numFmtId="37" fontId="72" fillId="2" borderId="7" xfId="21" applyFont="1" applyFill="1" applyBorder="1" applyAlignment="1"/>
    <xf numFmtId="9" fontId="72" fillId="2" borderId="9" xfId="23" applyFont="1" applyFill="1" applyBorder="1"/>
    <xf numFmtId="172" fontId="83" fillId="0" borderId="12" xfId="21" applyNumberFormat="1" applyFont="1" applyBorder="1" applyAlignment="1"/>
    <xf numFmtId="172" fontId="83" fillId="0" borderId="8" xfId="21" applyNumberFormat="1" applyFont="1" applyBorder="1" applyAlignment="1"/>
    <xf numFmtId="172" fontId="72" fillId="0" borderId="4" xfId="21" applyNumberFormat="1" applyFont="1" applyBorder="1" applyAlignment="1"/>
    <xf numFmtId="172" fontId="72" fillId="0" borderId="9" xfId="21" applyNumberFormat="1" applyFont="1" applyBorder="1" applyAlignment="1"/>
    <xf numFmtId="37" fontId="83" fillId="0" borderId="6" xfId="21" applyFont="1" applyBorder="1" applyAlignment="1">
      <alignment horizontal="left"/>
    </xf>
    <xf numFmtId="37" fontId="72" fillId="0" borderId="11" xfId="21" applyFont="1" applyFill="1" applyBorder="1" applyAlignment="1"/>
    <xf numFmtId="205" fontId="98" fillId="0" borderId="11" xfId="3" applyNumberFormat="1" applyFont="1" applyFill="1" applyBorder="1"/>
    <xf numFmtId="205" fontId="98" fillId="0" borderId="7" xfId="3" applyNumberFormat="1" applyFont="1" applyFill="1" applyBorder="1"/>
    <xf numFmtId="41" fontId="72" fillId="0" borderId="12" xfId="6" applyNumberFormat="1" applyFont="1" applyFill="1" applyBorder="1"/>
    <xf numFmtId="7" fontId="72" fillId="0" borderId="0" xfId="6" applyNumberFormat="1" applyFont="1" applyFill="1" applyBorder="1"/>
    <xf numFmtId="7" fontId="72" fillId="0" borderId="13" xfId="6" applyNumberFormat="1" applyFont="1" applyFill="1" applyBorder="1"/>
    <xf numFmtId="7" fontId="93" fillId="0" borderId="0" xfId="6" applyNumberFormat="1" applyFont="1" applyFill="1" applyBorder="1"/>
    <xf numFmtId="7" fontId="93" fillId="0" borderId="13" xfId="6" applyNumberFormat="1" applyFont="1" applyFill="1" applyBorder="1"/>
    <xf numFmtId="37" fontId="83" fillId="0" borderId="8" xfId="21" applyFont="1" applyBorder="1" applyAlignment="1">
      <alignment horizontal="left"/>
    </xf>
    <xf numFmtId="203" fontId="72" fillId="0" borderId="4" xfId="5" applyNumberFormat="1" applyFont="1" applyFill="1" applyBorder="1"/>
    <xf numFmtId="203" fontId="72" fillId="0" borderId="9" xfId="5" applyNumberFormat="1" applyFont="1" applyFill="1" applyBorder="1"/>
    <xf numFmtId="37" fontId="83" fillId="0" borderId="31" xfId="21" applyFont="1" applyBorder="1" applyAlignment="1">
      <alignment horizontal="left"/>
    </xf>
    <xf numFmtId="37" fontId="72" fillId="0" borderId="31" xfId="21" applyFont="1" applyBorder="1" applyAlignment="1"/>
    <xf numFmtId="203" fontId="72" fillId="0" borderId="31" xfId="5" applyNumberFormat="1" applyFont="1" applyFill="1" applyBorder="1"/>
    <xf numFmtId="41" fontId="72" fillId="0" borderId="11" xfId="6" applyNumberFormat="1" applyFont="1" applyFill="1" applyBorder="1"/>
    <xf numFmtId="41" fontId="72" fillId="0" borderId="7" xfId="6" applyNumberFormat="1" applyFont="1" applyFill="1" applyBorder="1"/>
    <xf numFmtId="0" fontId="95" fillId="0" borderId="12" xfId="0" applyFont="1" applyBorder="1" applyAlignment="1" applyProtection="1">
      <alignment horizontal="left"/>
    </xf>
    <xf numFmtId="206" fontId="93" fillId="11" borderId="0" xfId="6" applyNumberFormat="1" applyFont="1" applyFill="1" applyBorder="1"/>
    <xf numFmtId="206" fontId="93" fillId="15" borderId="0" xfId="6" applyNumberFormat="1" applyFont="1" applyFill="1" applyBorder="1"/>
    <xf numFmtId="206" fontId="93" fillId="15" borderId="13" xfId="6" applyNumberFormat="1" applyFont="1" applyFill="1" applyBorder="1"/>
    <xf numFmtId="206" fontId="72" fillId="0" borderId="0" xfId="6" applyNumberFormat="1" applyFont="1" applyFill="1" applyBorder="1"/>
    <xf numFmtId="206" fontId="72" fillId="0" borderId="13" xfId="6" applyNumberFormat="1" applyFont="1" applyFill="1" applyBorder="1"/>
    <xf numFmtId="37" fontId="100" fillId="0" borderId="0" xfId="6" applyNumberFormat="1" applyFont="1" applyFill="1" applyBorder="1"/>
    <xf numFmtId="37" fontId="100" fillId="0" borderId="13" xfId="6" applyNumberFormat="1" applyFont="1" applyFill="1" applyBorder="1"/>
    <xf numFmtId="203" fontId="100" fillId="0" borderId="0" xfId="5" applyNumberFormat="1" applyFont="1" applyFill="1" applyBorder="1"/>
    <xf numFmtId="203" fontId="100" fillId="0" borderId="31" xfId="5" applyNumberFormat="1" applyFont="1" applyFill="1" applyBorder="1"/>
    <xf numFmtId="203" fontId="100" fillId="0" borderId="13" xfId="5" applyNumberFormat="1" applyFont="1" applyFill="1" applyBorder="1"/>
    <xf numFmtId="37" fontId="72" fillId="0" borderId="12" xfId="21" applyFont="1" applyBorder="1" applyAlignment="1"/>
    <xf numFmtId="42" fontId="103" fillId="0" borderId="4" xfId="6" applyNumberFormat="1" applyFont="1" applyFill="1" applyBorder="1"/>
    <xf numFmtId="42" fontId="103" fillId="0" borderId="9" xfId="6" applyNumberFormat="1" applyFont="1" applyFill="1" applyBorder="1"/>
    <xf numFmtId="0" fontId="72" fillId="2" borderId="11" xfId="0" applyFont="1" applyFill="1" applyBorder="1"/>
    <xf numFmtId="0" fontId="72" fillId="2" borderId="7" xfId="0" applyFont="1" applyFill="1" applyBorder="1"/>
    <xf numFmtId="0" fontId="72" fillId="2" borderId="4" xfId="0" applyFont="1" applyFill="1" applyBorder="1"/>
    <xf numFmtId="0" fontId="72" fillId="2" borderId="9" xfId="0" applyFont="1" applyFill="1" applyBorder="1"/>
    <xf numFmtId="167" fontId="89" fillId="0" borderId="11" xfId="0" applyNumberFormat="1" applyFont="1" applyBorder="1" applyProtection="1"/>
    <xf numFmtId="0" fontId="72" fillId="0" borderId="0" xfId="0" applyFont="1" applyBorder="1" applyAlignment="1" applyProtection="1">
      <alignment horizontal="right"/>
    </xf>
    <xf numFmtId="0" fontId="72" fillId="0" borderId="13" xfId="0" applyFont="1" applyBorder="1" applyAlignment="1" applyProtection="1">
      <alignment horizontal="right"/>
    </xf>
    <xf numFmtId="0" fontId="83" fillId="0" borderId="12" xfId="0" applyFont="1" applyBorder="1" applyAlignment="1" applyProtection="1">
      <alignment horizontal="left"/>
    </xf>
    <xf numFmtId="37" fontId="104" fillId="0" borderId="0" xfId="0" applyNumberFormat="1" applyFont="1" applyBorder="1"/>
    <xf numFmtId="0" fontId="72" fillId="0" borderId="12" xfId="0" applyFont="1" applyBorder="1" applyAlignment="1" applyProtection="1">
      <alignment horizontal="left"/>
    </xf>
    <xf numFmtId="41" fontId="72" fillId="0" borderId="13" xfId="0" applyNumberFormat="1" applyFont="1" applyBorder="1" applyProtection="1"/>
    <xf numFmtId="206" fontId="72" fillId="0" borderId="13" xfId="3" applyNumberFormat="1" applyFont="1" applyBorder="1" applyProtection="1"/>
    <xf numFmtId="37" fontId="72" fillId="0" borderId="13" xfId="0" applyNumberFormat="1" applyFont="1" applyBorder="1" applyProtection="1"/>
    <xf numFmtId="37" fontId="93" fillId="0" borderId="0" xfId="0" applyNumberFormat="1" applyFont="1" applyBorder="1" applyProtection="1"/>
    <xf numFmtId="37" fontId="93" fillId="0" borderId="13" xfId="0" applyNumberFormat="1" applyFont="1" applyBorder="1" applyProtection="1"/>
    <xf numFmtId="0" fontId="104" fillId="0" borderId="0" xfId="0" applyFont="1" applyBorder="1"/>
    <xf numFmtId="206" fontId="104" fillId="0" borderId="0" xfId="3" applyNumberFormat="1" applyFont="1" applyBorder="1"/>
    <xf numFmtId="206" fontId="100" fillId="0" borderId="13" xfId="3" applyNumberFormat="1" applyFont="1" applyBorder="1" applyProtection="1"/>
    <xf numFmtId="0" fontId="83" fillId="0" borderId="8" xfId="0" applyFont="1" applyBorder="1"/>
    <xf numFmtId="203" fontId="72" fillId="0" borderId="4" xfId="5" applyNumberFormat="1" applyFont="1" applyBorder="1"/>
    <xf numFmtId="203" fontId="104" fillId="0" borderId="4" xfId="5" applyNumberFormat="1" applyFont="1" applyBorder="1" applyProtection="1"/>
    <xf numFmtId="203" fontId="103" fillId="0" borderId="4" xfId="5" applyNumberFormat="1" applyFont="1" applyBorder="1" applyProtection="1"/>
    <xf numFmtId="203" fontId="103" fillId="0" borderId="9" xfId="5" applyNumberFormat="1" applyFont="1" applyBorder="1" applyProtection="1"/>
    <xf numFmtId="0" fontId="83" fillId="0" borderId="6" xfId="0" applyFont="1" applyBorder="1"/>
    <xf numFmtId="8" fontId="72" fillId="0" borderId="11" xfId="0" applyNumberFormat="1" applyFont="1" applyBorder="1"/>
    <xf numFmtId="8" fontId="72" fillId="0" borderId="0" xfId="0" applyNumberFormat="1" applyFont="1" applyBorder="1"/>
    <xf numFmtId="6" fontId="72" fillId="0" borderId="13" xfId="0" applyNumberFormat="1" applyFont="1" applyBorder="1"/>
    <xf numFmtId="6" fontId="72" fillId="0" borderId="0" xfId="23" applyNumberFormat="1" applyFont="1" applyBorder="1"/>
    <xf numFmtId="43" fontId="72" fillId="0" borderId="0" xfId="3" applyFont="1" applyBorder="1"/>
    <xf numFmtId="206" fontId="72" fillId="0" borderId="0" xfId="0" applyNumberFormat="1" applyFont="1" applyBorder="1"/>
    <xf numFmtId="206" fontId="72" fillId="0" borderId="13" xfId="0" applyNumberFormat="1" applyFont="1" applyBorder="1"/>
    <xf numFmtId="206" fontId="72" fillId="0" borderId="13" xfId="3" applyNumberFormat="1" applyFont="1" applyBorder="1"/>
    <xf numFmtId="206" fontId="72" fillId="0" borderId="4" xfId="3" applyNumberFormat="1" applyFont="1" applyBorder="1"/>
    <xf numFmtId="206" fontId="72" fillId="0" borderId="4" xfId="0" applyNumberFormat="1" applyFont="1" applyBorder="1"/>
    <xf numFmtId="206" fontId="72" fillId="0" borderId="9" xfId="0" applyNumberFormat="1" applyFont="1" applyBorder="1"/>
    <xf numFmtId="0" fontId="89" fillId="2" borderId="11" xfId="0" applyFont="1" applyFill="1" applyBorder="1"/>
    <xf numFmtId="0" fontId="89" fillId="2" borderId="7" xfId="0" applyFont="1" applyFill="1" applyBorder="1"/>
    <xf numFmtId="206" fontId="87" fillId="0" borderId="12" xfId="3" applyNumberFormat="1" applyFont="1" applyBorder="1"/>
    <xf numFmtId="37" fontId="44" fillId="0" borderId="0" xfId="0" applyNumberFormat="1" applyFont="1" applyBorder="1"/>
    <xf numFmtId="37" fontId="44" fillId="0" borderId="13" xfId="0" applyNumberFormat="1" applyFont="1" applyBorder="1"/>
    <xf numFmtId="41" fontId="90" fillId="0" borderId="0" xfId="0" applyNumberFormat="1" applyFont="1" applyBorder="1"/>
    <xf numFmtId="41" fontId="90" fillId="0" borderId="13" xfId="0" applyNumberFormat="1" applyFont="1" applyBorder="1"/>
    <xf numFmtId="206" fontId="72" fillId="0" borderId="12" xfId="3" applyNumberFormat="1" applyFont="1" applyBorder="1"/>
    <xf numFmtId="38" fontId="90" fillId="0" borderId="0" xfId="0" applyNumberFormat="1" applyFont="1" applyBorder="1"/>
    <xf numFmtId="38" fontId="90" fillId="0" borderId="13" xfId="0" applyNumberFormat="1" applyFont="1" applyBorder="1"/>
    <xf numFmtId="206" fontId="83" fillId="0" borderId="8" xfId="3" applyNumberFormat="1" applyFont="1" applyBorder="1"/>
    <xf numFmtId="206" fontId="87" fillId="0" borderId="6" xfId="3" applyNumberFormat="1" applyFont="1" applyBorder="1"/>
    <xf numFmtId="41" fontId="44" fillId="0" borderId="0" xfId="0" applyNumberFormat="1" applyFont="1" applyBorder="1"/>
    <xf numFmtId="41" fontId="44" fillId="0" borderId="13" xfId="0" applyNumberFormat="1" applyFont="1" applyBorder="1"/>
    <xf numFmtId="206" fontId="83" fillId="0" borderId="12" xfId="3" applyNumberFormat="1" applyFont="1" applyBorder="1"/>
    <xf numFmtId="42" fontId="44" fillId="0" borderId="13" xfId="0" applyNumberFormat="1" applyFont="1" applyBorder="1"/>
    <xf numFmtId="206" fontId="83" fillId="0" borderId="30" xfId="3" applyNumberFormat="1" applyFont="1" applyBorder="1"/>
    <xf numFmtId="38" fontId="44" fillId="0" borderId="17" xfId="0" applyNumberFormat="1" applyFont="1" applyBorder="1"/>
    <xf numFmtId="9" fontId="101" fillId="2" borderId="11" xfId="23" applyFont="1" applyFill="1" applyBorder="1" applyAlignment="1">
      <alignment horizontal="left"/>
    </xf>
    <xf numFmtId="167" fontId="89" fillId="0" borderId="7" xfId="0" applyNumberFormat="1" applyFont="1" applyBorder="1" applyProtection="1"/>
    <xf numFmtId="0" fontId="89" fillId="0" borderId="12" xfId="0" applyFont="1" applyBorder="1" applyAlignment="1" applyProtection="1">
      <alignment horizontal="left"/>
    </xf>
    <xf numFmtId="0" fontId="102" fillId="0" borderId="12" xfId="0" applyFont="1" applyBorder="1" applyAlignment="1" applyProtection="1">
      <alignment horizontal="left"/>
    </xf>
    <xf numFmtId="203" fontId="72" fillId="0" borderId="13" xfId="5" applyNumberFormat="1" applyFont="1" applyBorder="1" applyProtection="1"/>
    <xf numFmtId="10" fontId="93" fillId="0" borderId="13" xfId="0" applyNumberFormat="1" applyFont="1" applyBorder="1"/>
    <xf numFmtId="203" fontId="83" fillId="0" borderId="13" xfId="5" applyNumberFormat="1" applyFont="1" applyBorder="1" applyProtection="1"/>
    <xf numFmtId="0" fontId="72" fillId="0" borderId="13" xfId="0" applyFont="1" applyBorder="1" applyAlignment="1" applyProtection="1">
      <alignment horizontal="left"/>
    </xf>
    <xf numFmtId="41" fontId="72" fillId="0" borderId="13" xfId="0" applyNumberFormat="1" applyFont="1" applyBorder="1"/>
    <xf numFmtId="203" fontId="93" fillId="0" borderId="0" xfId="5" applyNumberFormat="1" applyFont="1" applyBorder="1" applyProtection="1"/>
    <xf numFmtId="203" fontId="93" fillId="0" borderId="13" xfId="5" applyNumberFormat="1" applyFont="1" applyBorder="1" applyProtection="1"/>
    <xf numFmtId="41" fontId="100" fillId="0" borderId="13" xfId="0" applyNumberFormat="1" applyFont="1" applyBorder="1"/>
    <xf numFmtId="1" fontId="72" fillId="0" borderId="13" xfId="0" applyNumberFormat="1" applyFont="1" applyBorder="1"/>
    <xf numFmtId="38" fontId="72" fillId="0" borderId="13" xfId="5" applyNumberFormat="1" applyFont="1" applyBorder="1" applyProtection="1"/>
    <xf numFmtId="206" fontId="93" fillId="0" borderId="0" xfId="3" applyNumberFormat="1" applyFont="1" applyBorder="1" applyProtection="1"/>
    <xf numFmtId="206" fontId="93" fillId="0" borderId="13" xfId="3" applyNumberFormat="1" applyFont="1" applyBorder="1" applyProtection="1"/>
    <xf numFmtId="42" fontId="72" fillId="0" borderId="0" xfId="0" applyNumberFormat="1" applyFont="1" applyBorder="1"/>
    <xf numFmtId="42" fontId="72" fillId="0" borderId="13" xfId="0" applyNumberFormat="1" applyFont="1" applyBorder="1"/>
    <xf numFmtId="203" fontId="93" fillId="0" borderId="0" xfId="0" applyNumberFormat="1" applyFont="1" applyBorder="1"/>
    <xf numFmtId="203" fontId="93" fillId="0" borderId="13" xfId="0" applyNumberFormat="1" applyFont="1" applyBorder="1"/>
    <xf numFmtId="0" fontId="89" fillId="0" borderId="6" xfId="0" applyFont="1" applyBorder="1" applyAlignment="1" applyProtection="1">
      <alignment horizontal="left"/>
    </xf>
    <xf numFmtId="203" fontId="72" fillId="0" borderId="13" xfId="0" applyNumberFormat="1" applyFont="1" applyBorder="1" applyProtection="1"/>
    <xf numFmtId="41" fontId="100" fillId="0" borderId="13" xfId="0" applyNumberFormat="1" applyFont="1" applyBorder="1" applyProtection="1"/>
    <xf numFmtId="41" fontId="83" fillId="0" borderId="13" xfId="0" applyNumberFormat="1" applyFont="1" applyBorder="1" applyProtection="1"/>
    <xf numFmtId="10" fontId="72" fillId="0" borderId="13" xfId="0" applyNumberFormat="1" applyFont="1" applyBorder="1"/>
    <xf numFmtId="38" fontId="93" fillId="0" borderId="0" xfId="0" applyNumberFormat="1" applyFont="1" applyBorder="1"/>
    <xf numFmtId="38" fontId="93" fillId="0" borderId="13" xfId="0" applyNumberFormat="1" applyFont="1" applyBorder="1"/>
    <xf numFmtId="38" fontId="72" fillId="0" borderId="4" xfId="0" applyNumberFormat="1" applyFont="1" applyBorder="1"/>
    <xf numFmtId="38" fontId="72" fillId="0" borderId="9" xfId="0" applyNumberFormat="1" applyFont="1" applyBorder="1"/>
    <xf numFmtId="37" fontId="72" fillId="2" borderId="11" xfId="21" applyFont="1" applyFill="1" applyBorder="1" applyAlignment="1"/>
    <xf numFmtId="37" fontId="99" fillId="2" borderId="7" xfId="21" applyFont="1" applyFill="1" applyBorder="1" applyAlignment="1">
      <alignment horizontal="right"/>
    </xf>
    <xf numFmtId="37" fontId="72" fillId="2" borderId="4" xfId="21" applyFont="1" applyFill="1" applyBorder="1" applyAlignment="1"/>
    <xf numFmtId="37" fontId="72" fillId="2" borderId="9" xfId="21" applyFont="1" applyFill="1" applyBorder="1" applyAlignment="1"/>
    <xf numFmtId="0" fontId="96" fillId="0" borderId="6" xfId="0" applyFont="1" applyBorder="1" applyAlignment="1" applyProtection="1">
      <alignment horizontal="left"/>
      <protection locked="0"/>
    </xf>
    <xf numFmtId="167" fontId="93" fillId="0" borderId="11" xfId="0" applyNumberFormat="1" applyFont="1" applyBorder="1" applyProtection="1">
      <protection locked="0"/>
    </xf>
    <xf numFmtId="170" fontId="98" fillId="0" borderId="0" xfId="0" applyNumberFormat="1" applyFont="1" applyBorder="1" applyProtection="1">
      <protection locked="0"/>
    </xf>
    <xf numFmtId="170" fontId="72" fillId="0" borderId="0" xfId="0" applyNumberFormat="1" applyFont="1" applyBorder="1" applyProtection="1"/>
    <xf numFmtId="172" fontId="98" fillId="0" borderId="0" xfId="0" applyNumberFormat="1" applyFont="1" applyBorder="1" applyProtection="1">
      <protection locked="0"/>
    </xf>
    <xf numFmtId="10" fontId="72" fillId="0" borderId="0" xfId="23" applyNumberFormat="1" applyFont="1" applyBorder="1" applyProtection="1"/>
    <xf numFmtId="10" fontId="72" fillId="0" borderId="13" xfId="23" applyNumberFormat="1" applyFont="1" applyBorder="1" applyProtection="1"/>
    <xf numFmtId="172" fontId="72" fillId="0" borderId="0" xfId="0" applyNumberFormat="1" applyFont="1" applyBorder="1" applyProtection="1"/>
    <xf numFmtId="204" fontId="98" fillId="0" borderId="0" xfId="0" applyNumberFormat="1" applyFont="1" applyBorder="1" applyProtection="1">
      <protection locked="0"/>
    </xf>
    <xf numFmtId="206" fontId="128" fillId="0" borderId="0" xfId="3" applyNumberFormat="1" applyFont="1" applyBorder="1" applyProtection="1"/>
    <xf numFmtId="206" fontId="128" fillId="0" borderId="13" xfId="3" applyNumberFormat="1" applyFont="1" applyBorder="1" applyProtection="1"/>
    <xf numFmtId="0" fontId="72" fillId="0" borderId="8" xfId="0" applyFont="1" applyBorder="1" applyAlignment="1" applyProtection="1">
      <alignment horizontal="left"/>
    </xf>
    <xf numFmtId="0" fontId="72" fillId="0" borderId="4" xfId="0" applyFont="1" applyBorder="1" applyProtection="1"/>
    <xf numFmtId="203" fontId="72" fillId="0" borderId="9" xfId="5" applyNumberFormat="1" applyFont="1" applyBorder="1"/>
    <xf numFmtId="0" fontId="96" fillId="0" borderId="12" xfId="0" applyFont="1" applyBorder="1" applyAlignment="1" applyProtection="1">
      <alignment horizontal="left"/>
      <protection locked="0"/>
    </xf>
    <xf numFmtId="176" fontId="72" fillId="0" borderId="0" xfId="0" applyNumberFormat="1" applyFont="1" applyBorder="1" applyProtection="1"/>
    <xf numFmtId="0" fontId="7" fillId="0" borderId="12" xfId="0" applyFont="1" applyBorder="1"/>
    <xf numFmtId="10" fontId="98" fillId="0" borderId="0" xfId="23" applyNumberFormat="1" applyFont="1" applyBorder="1" applyProtection="1"/>
    <xf numFmtId="10" fontId="98" fillId="0" borderId="13" xfId="23" applyNumberFormat="1" applyFont="1" applyBorder="1" applyProtection="1"/>
    <xf numFmtId="9" fontId="98" fillId="0" borderId="0" xfId="23" applyFont="1" applyBorder="1" applyProtection="1"/>
    <xf numFmtId="0" fontId="72" fillId="0" borderId="11" xfId="0" applyFont="1" applyBorder="1" applyAlignment="1" applyProtection="1">
      <alignment horizontal="right"/>
    </xf>
    <xf numFmtId="37" fontId="72" fillId="0" borderId="11" xfId="21" applyFont="1" applyBorder="1" applyAlignment="1">
      <alignment horizontal="right"/>
    </xf>
    <xf numFmtId="203" fontId="72" fillId="0" borderId="4" xfId="5" applyNumberFormat="1" applyFont="1" applyBorder="1" applyProtection="1"/>
    <xf numFmtId="203" fontId="72" fillId="0" borderId="9" xfId="5" applyNumberFormat="1" applyFont="1" applyBorder="1" applyProtection="1"/>
    <xf numFmtId="0" fontId="94" fillId="2" borderId="11" xfId="22" applyFont="1" applyFill="1" applyBorder="1"/>
    <xf numFmtId="0" fontId="94" fillId="2" borderId="7" xfId="22" applyFont="1" applyFill="1" applyBorder="1"/>
    <xf numFmtId="0" fontId="94" fillId="2" borderId="4" xfId="22" applyFont="1" applyFill="1" applyBorder="1"/>
    <xf numFmtId="0" fontId="94" fillId="2" borderId="9" xfId="22" applyFont="1" applyFill="1" applyBorder="1"/>
    <xf numFmtId="0" fontId="72" fillId="0" borderId="6" xfId="0" applyFont="1" applyBorder="1"/>
    <xf numFmtId="176" fontId="72" fillId="0" borderId="0" xfId="0" applyNumberFormat="1" applyFont="1" applyBorder="1"/>
    <xf numFmtId="37" fontId="72" fillId="0" borderId="0" xfId="6" applyNumberFormat="1" applyFont="1" applyFill="1" applyBorder="1"/>
    <xf numFmtId="37" fontId="72" fillId="0" borderId="13" xfId="6" applyNumberFormat="1" applyFont="1" applyFill="1" applyBorder="1"/>
    <xf numFmtId="171" fontId="110" fillId="0" borderId="9" xfId="23" applyNumberFormat="1" applyFont="1" applyBorder="1"/>
    <xf numFmtId="37" fontId="72" fillId="0" borderId="20" xfId="21" applyFont="1" applyBorder="1" applyAlignment="1"/>
    <xf numFmtId="37" fontId="72" fillId="0" borderId="18" xfId="21" applyFont="1" applyBorder="1" applyAlignment="1"/>
    <xf numFmtId="37" fontId="93" fillId="0" borderId="18" xfId="21" applyFont="1" applyBorder="1" applyAlignment="1"/>
    <xf numFmtId="203" fontId="72" fillId="0" borderId="18" xfId="5" applyNumberFormat="1" applyFont="1" applyFill="1" applyBorder="1"/>
    <xf numFmtId="37" fontId="72" fillId="0" borderId="19" xfId="21" applyFont="1" applyBorder="1" applyAlignment="1"/>
    <xf numFmtId="0" fontId="118" fillId="0" borderId="30" xfId="0" applyFont="1" applyBorder="1" applyAlignment="1">
      <alignment horizontal="right"/>
    </xf>
    <xf numFmtId="0" fontId="127" fillId="0" borderId="17" xfId="0" applyFont="1" applyBorder="1" applyAlignment="1">
      <alignment horizontal="left"/>
    </xf>
    <xf numFmtId="0" fontId="116" fillId="0" borderId="13" xfId="0" applyFont="1" applyBorder="1" applyAlignment="1">
      <alignment horizontal="center" wrapText="1"/>
    </xf>
    <xf numFmtId="42" fontId="92" fillId="0" borderId="13" xfId="0" applyNumberFormat="1" applyFont="1" applyBorder="1"/>
    <xf numFmtId="42" fontId="119" fillId="0" borderId="9" xfId="0" applyNumberFormat="1" applyFont="1" applyBorder="1"/>
    <xf numFmtId="206" fontId="110" fillId="0" borderId="0" xfId="3" applyNumberFormat="1" applyFont="1" applyFill="1" applyBorder="1"/>
    <xf numFmtId="203" fontId="110" fillId="0" borderId="0" xfId="5" applyNumberFormat="1" applyFont="1" applyFill="1" applyBorder="1"/>
    <xf numFmtId="203" fontId="117" fillId="0" borderId="0" xfId="5" applyNumberFormat="1" applyFont="1" applyFill="1" applyBorder="1"/>
    <xf numFmtId="42" fontId="119" fillId="0" borderId="13" xfId="0" applyNumberFormat="1" applyFont="1" applyBorder="1"/>
    <xf numFmtId="203" fontId="93" fillId="0" borderId="0" xfId="5" applyNumberFormat="1" applyFont="1" applyFill="1" applyBorder="1"/>
    <xf numFmtId="43" fontId="72" fillId="0" borderId="0" xfId="3" applyNumberFormat="1" applyFont="1" applyBorder="1"/>
    <xf numFmtId="203" fontId="119" fillId="0" borderId="0" xfId="5" applyNumberFormat="1" applyFont="1" applyFill="1" applyBorder="1" applyProtection="1">
      <protection locked="0"/>
    </xf>
    <xf numFmtId="171" fontId="0" fillId="0" borderId="0" xfId="23" applyNumberFormat="1" applyFont="1"/>
    <xf numFmtId="0" fontId="1" fillId="0" borderId="6" xfId="0" applyFont="1" applyBorder="1" applyAlignment="1">
      <alignment wrapText="1"/>
    </xf>
    <xf numFmtId="10" fontId="0" fillId="0" borderId="7" xfId="23" applyNumberFormat="1" applyFont="1" applyBorder="1"/>
    <xf numFmtId="0" fontId="1" fillId="0" borderId="12" xfId="0" applyFont="1" applyBorder="1" applyAlignment="1">
      <alignment wrapText="1"/>
    </xf>
    <xf numFmtId="8" fontId="0" fillId="0" borderId="13" xfId="23" applyNumberFormat="1" applyFont="1" applyBorder="1"/>
    <xf numFmtId="0" fontId="1" fillId="0" borderId="12" xfId="0" applyFont="1" applyBorder="1"/>
    <xf numFmtId="0" fontId="0" fillId="0" borderId="13" xfId="0" applyBorder="1"/>
    <xf numFmtId="0" fontId="1" fillId="0" borderId="8" xfId="0" applyFont="1" applyBorder="1"/>
    <xf numFmtId="0" fontId="0" fillId="0" borderId="9" xfId="0" applyBorder="1"/>
    <xf numFmtId="0" fontId="1" fillId="0" borderId="11" xfId="0" applyFont="1" applyBorder="1" applyAlignment="1">
      <alignment wrapText="1" shrinkToFit="1"/>
    </xf>
    <xf numFmtId="0" fontId="1" fillId="0" borderId="11" xfId="0" applyFont="1" applyBorder="1"/>
    <xf numFmtId="0" fontId="1" fillId="0" borderId="11" xfId="0" applyFont="1" applyBorder="1" applyAlignment="1">
      <alignment wrapText="1"/>
    </xf>
    <xf numFmtId="0" fontId="1" fillId="0" borderId="7" xfId="0" applyFont="1" applyBorder="1"/>
    <xf numFmtId="0" fontId="0" fillId="0" borderId="12" xfId="0" applyBorder="1"/>
    <xf numFmtId="0" fontId="0" fillId="0" borderId="0" xfId="0" applyBorder="1"/>
    <xf numFmtId="38" fontId="0" fillId="0" borderId="0" xfId="0" applyNumberFormat="1" applyBorder="1"/>
    <xf numFmtId="10" fontId="0" fillId="0" borderId="0" xfId="23" applyNumberFormat="1" applyFont="1" applyBorder="1"/>
    <xf numFmtId="10" fontId="0" fillId="0" borderId="13" xfId="23" applyNumberFormat="1" applyFont="1" applyBorder="1"/>
    <xf numFmtId="0" fontId="0" fillId="0" borderId="8" xfId="0" applyBorder="1"/>
    <xf numFmtId="38" fontId="0" fillId="0" borderId="4" xfId="0" applyNumberFormat="1" applyBorder="1"/>
    <xf numFmtId="10" fontId="0" fillId="0" borderId="4" xfId="23" applyNumberFormat="1" applyFont="1" applyBorder="1"/>
    <xf numFmtId="10" fontId="0" fillId="0" borderId="9" xfId="23" applyNumberFormat="1" applyFont="1" applyBorder="1"/>
    <xf numFmtId="0" fontId="129" fillId="4" borderId="6" xfId="0" applyFont="1" applyFill="1" applyBorder="1" applyAlignment="1" applyProtection="1">
      <alignment horizontal="left"/>
    </xf>
    <xf numFmtId="203" fontId="119" fillId="4" borderId="11" xfId="5" applyNumberFormat="1" applyFont="1" applyFill="1" applyBorder="1" applyProtection="1">
      <protection locked="0"/>
    </xf>
    <xf numFmtId="317" fontId="119" fillId="4" borderId="11" xfId="0" applyNumberFormat="1" applyFont="1" applyFill="1" applyBorder="1"/>
    <xf numFmtId="6" fontId="119" fillId="4" borderId="11" xfId="0" applyNumberFormat="1" applyFont="1" applyFill="1" applyBorder="1"/>
    <xf numFmtId="42" fontId="119" fillId="4" borderId="7" xfId="0" applyNumberFormat="1" applyFont="1" applyFill="1" applyBorder="1"/>
    <xf numFmtId="38" fontId="110" fillId="0" borderId="0" xfId="5" applyNumberFormat="1" applyFont="1" applyBorder="1" applyProtection="1">
      <protection locked="0"/>
    </xf>
    <xf numFmtId="42" fontId="91" fillId="0" borderId="0" xfId="0" applyNumberFormat="1" applyFont="1" applyBorder="1"/>
    <xf numFmtId="171" fontId="91" fillId="0" borderId="13" xfId="23" applyNumberFormat="1" applyFont="1" applyBorder="1"/>
    <xf numFmtId="42" fontId="92" fillId="0" borderId="0" xfId="0" applyNumberFormat="1" applyFont="1" applyBorder="1"/>
    <xf numFmtId="9" fontId="119" fillId="0" borderId="13" xfId="23" applyFont="1" applyBorder="1"/>
    <xf numFmtId="0" fontId="112" fillId="0" borderId="8" xfId="0" applyFont="1" applyBorder="1" applyAlignment="1" applyProtection="1">
      <alignment horizontal="left"/>
    </xf>
    <xf numFmtId="42" fontId="91" fillId="0" borderId="4" xfId="0" applyNumberFormat="1" applyFont="1" applyBorder="1"/>
    <xf numFmtId="203" fontId="83" fillId="0" borderId="0" xfId="5" applyNumberFormat="1" applyFont="1" applyFill="1" applyBorder="1"/>
    <xf numFmtId="203" fontId="93" fillId="0" borderId="13" xfId="5" applyNumberFormat="1" applyFont="1" applyFill="1" applyBorder="1"/>
    <xf numFmtId="203" fontId="83" fillId="0" borderId="13" xfId="5" applyNumberFormat="1" applyFont="1" applyFill="1" applyBorder="1"/>
    <xf numFmtId="37" fontId="83" fillId="0" borderId="0" xfId="21" applyFont="1" applyFill="1" applyBorder="1" applyAlignment="1"/>
    <xf numFmtId="37" fontId="83" fillId="0" borderId="13" xfId="21" applyFont="1" applyFill="1" applyBorder="1" applyAlignment="1"/>
    <xf numFmtId="37" fontId="135" fillId="0" borderId="0" xfId="6" applyNumberFormat="1" applyFont="1" applyFill="1" applyBorder="1"/>
    <xf numFmtId="37" fontId="135" fillId="0" borderId="13" xfId="6" applyNumberFormat="1" applyFont="1" applyFill="1" applyBorder="1"/>
    <xf numFmtId="206" fontId="136" fillId="0" borderId="13" xfId="3" applyNumberFormat="1" applyFont="1" applyBorder="1"/>
    <xf numFmtId="203" fontId="119" fillId="0" borderId="0" xfId="5" applyNumberFormat="1" applyFont="1" applyBorder="1" applyAlignment="1" applyProtection="1">
      <alignment horizontal="center" wrapText="1"/>
      <protection locked="0"/>
    </xf>
    <xf numFmtId="317" fontId="119" fillId="0" borderId="0" xfId="0" applyNumberFormat="1" applyFont="1" applyBorder="1" applyAlignment="1">
      <alignment horizontal="center" wrapText="1"/>
    </xf>
    <xf numFmtId="0" fontId="119" fillId="0" borderId="0" xfId="0" applyFont="1" applyBorder="1" applyAlignment="1">
      <alignment horizontal="center"/>
    </xf>
    <xf numFmtId="6" fontId="119" fillId="0" borderId="0" xfId="0" applyNumberFormat="1" applyFont="1" applyBorder="1" applyAlignment="1">
      <alignment horizontal="center" wrapText="1"/>
    </xf>
    <xf numFmtId="6" fontId="91" fillId="0" borderId="4" xfId="0" applyNumberFormat="1" applyFont="1" applyBorder="1"/>
    <xf numFmtId="203" fontId="92" fillId="0" borderId="0" xfId="0" applyNumberFormat="1" applyFont="1" applyBorder="1"/>
    <xf numFmtId="203" fontId="91" fillId="0" borderId="13" xfId="0" applyNumberFormat="1" applyFont="1" applyBorder="1"/>
    <xf numFmtId="203" fontId="92" fillId="0" borderId="13" xfId="0" applyNumberFormat="1" applyFont="1" applyBorder="1"/>
    <xf numFmtId="203" fontId="119" fillId="0" borderId="0" xfId="0" applyNumberFormat="1" applyFont="1" applyBorder="1"/>
    <xf numFmtId="43" fontId="119" fillId="0" borderId="0" xfId="0" applyNumberFormat="1" applyFont="1" applyBorder="1"/>
    <xf numFmtId="0" fontId="118" fillId="0" borderId="30" xfId="0" applyFont="1" applyBorder="1"/>
    <xf numFmtId="0" fontId="91" fillId="0" borderId="10" xfId="0" applyFont="1" applyBorder="1" applyAlignment="1">
      <alignment horizontal="center"/>
    </xf>
    <xf numFmtId="43" fontId="91" fillId="0" borderId="10" xfId="0" applyNumberFormat="1" applyFont="1" applyBorder="1"/>
    <xf numFmtId="10" fontId="91" fillId="0" borderId="10" xfId="23" applyNumberFormat="1" applyFont="1" applyBorder="1"/>
    <xf numFmtId="40" fontId="91" fillId="0" borderId="17" xfId="0" applyNumberFormat="1" applyFont="1" applyBorder="1"/>
    <xf numFmtId="203" fontId="119" fillId="0" borderId="10" xfId="0" applyNumberFormat="1" applyFont="1" applyBorder="1"/>
    <xf numFmtId="10" fontId="110" fillId="0" borderId="13" xfId="23" applyNumberFormat="1" applyFont="1" applyBorder="1" applyAlignment="1">
      <alignment horizontal="right"/>
    </xf>
    <xf numFmtId="9" fontId="110" fillId="0" borderId="13" xfId="0" applyNumberFormat="1" applyFont="1" applyBorder="1" applyProtection="1">
      <protection locked="0"/>
    </xf>
    <xf numFmtId="206" fontId="91" fillId="0" borderId="9" xfId="3" applyNumberFormat="1" applyFont="1" applyBorder="1"/>
    <xf numFmtId="41" fontId="83" fillId="0" borderId="0" xfId="6" applyNumberFormat="1" applyFont="1" applyFill="1" applyBorder="1"/>
    <xf numFmtId="41" fontId="83" fillId="0" borderId="13" xfId="6" applyNumberFormat="1" applyFont="1" applyFill="1" applyBorder="1"/>
    <xf numFmtId="37" fontId="72" fillId="0" borderId="3" xfId="21" applyFont="1" applyBorder="1" applyAlignment="1"/>
    <xf numFmtId="203" fontId="83" fillId="0" borderId="4" xfId="5" applyNumberFormat="1" applyFont="1" applyFill="1" applyBorder="1"/>
    <xf numFmtId="10" fontId="98" fillId="0" borderId="0" xfId="23" applyNumberFormat="1" applyFont="1" applyFill="1" applyBorder="1" applyProtection="1"/>
    <xf numFmtId="0" fontId="91" fillId="4" borderId="11" xfId="0" applyFont="1" applyFill="1" applyBorder="1" applyAlignment="1">
      <alignment horizontal="right"/>
    </xf>
    <xf numFmtId="5" fontId="91" fillId="4" borderId="11" xfId="5" applyNumberFormat="1" applyFont="1" applyFill="1" applyBorder="1" applyAlignment="1">
      <alignment horizontal="center"/>
    </xf>
    <xf numFmtId="5" fontId="91" fillId="4" borderId="7" xfId="5" applyNumberFormat="1" applyFont="1" applyFill="1" applyBorder="1" applyAlignment="1">
      <alignment horizontal="center"/>
    </xf>
    <xf numFmtId="0" fontId="91" fillId="0" borderId="0" xfId="0" applyFont="1" applyBorder="1" applyAlignment="1">
      <alignment horizontal="right"/>
    </xf>
    <xf numFmtId="5" fontId="91" fillId="0" borderId="0" xfId="5" applyNumberFormat="1" applyFont="1" applyBorder="1" applyAlignment="1">
      <alignment horizontal="center"/>
    </xf>
    <xf numFmtId="5" fontId="91" fillId="0" borderId="4" xfId="5" applyNumberFormat="1" applyFont="1" applyBorder="1" applyAlignment="1">
      <alignment horizontal="center"/>
    </xf>
    <xf numFmtId="10" fontId="91" fillId="0" borderId="13" xfId="23" applyNumberFormat="1" applyFont="1" applyBorder="1" applyAlignment="1">
      <alignment horizontal="center"/>
    </xf>
    <xf numFmtId="9" fontId="1" fillId="0" borderId="0" xfId="0" applyNumberFormat="1" applyFont="1"/>
    <xf numFmtId="0" fontId="1" fillId="0" borderId="0" xfId="0" applyFont="1"/>
    <xf numFmtId="0" fontId="137" fillId="0" borderId="0" xfId="0" applyFont="1"/>
    <xf numFmtId="38" fontId="0" fillId="0" borderId="0" xfId="0" applyNumberFormat="1"/>
    <xf numFmtId="0" fontId="138" fillId="0" borderId="0" xfId="0" applyFont="1"/>
    <xf numFmtId="190" fontId="0" fillId="0" borderId="0" xfId="0" applyNumberFormat="1"/>
    <xf numFmtId="38" fontId="44" fillId="0" borderId="7" xfId="0" applyNumberFormat="1" applyFont="1" applyBorder="1"/>
    <xf numFmtId="10" fontId="44" fillId="0" borderId="13" xfId="0" applyNumberFormat="1" applyFont="1" applyBorder="1"/>
    <xf numFmtId="37" fontId="87" fillId="0" borderId="0" xfId="0" applyNumberFormat="1" applyFont="1"/>
    <xf numFmtId="37" fontId="139" fillId="0" borderId="0" xfId="21" applyFont="1" applyAlignment="1">
      <alignment horizontal="left"/>
    </xf>
    <xf numFmtId="37" fontId="139" fillId="0" borderId="0" xfId="21" applyFont="1" applyFill="1" applyAlignment="1"/>
    <xf numFmtId="37" fontId="140" fillId="0" borderId="0" xfId="21" applyFont="1" applyFill="1" applyAlignment="1"/>
    <xf numFmtId="203" fontId="44" fillId="0" borderId="0" xfId="5" applyNumberFormat="1" applyFont="1"/>
    <xf numFmtId="203" fontId="140" fillId="0" borderId="0" xfId="5" applyNumberFormat="1" applyFont="1"/>
    <xf numFmtId="203" fontId="140" fillId="0" borderId="3" xfId="5" applyNumberFormat="1" applyFont="1" applyFill="1" applyBorder="1"/>
    <xf numFmtId="203" fontId="140" fillId="0" borderId="0" xfId="5" applyNumberFormat="1" applyFont="1" applyFill="1"/>
    <xf numFmtId="10" fontId="140" fillId="0" borderId="0" xfId="23" applyNumberFormat="1" applyFont="1"/>
    <xf numFmtId="203" fontId="140" fillId="8" borderId="0" xfId="5" applyNumberFormat="1" applyFont="1" applyFill="1"/>
    <xf numFmtId="203" fontId="139" fillId="0" borderId="0" xfId="5" applyNumberFormat="1" applyFont="1" applyFill="1"/>
    <xf numFmtId="43" fontId="140" fillId="0" borderId="0" xfId="3" applyNumberFormat="1" applyFont="1" applyFill="1"/>
    <xf numFmtId="10" fontId="140" fillId="0" borderId="0" xfId="23" applyNumberFormat="1" applyFont="1" applyFill="1"/>
    <xf numFmtId="0" fontId="44" fillId="0" borderId="0" xfId="0" applyFont="1" applyAlignment="1">
      <alignment horizontal="right"/>
    </xf>
    <xf numFmtId="9" fontId="44" fillId="0" borderId="0" xfId="23" applyFont="1"/>
    <xf numFmtId="10" fontId="106" fillId="0" borderId="0" xfId="23" applyNumberFormat="1" applyFont="1"/>
    <xf numFmtId="43" fontId="140" fillId="0" borderId="0" xfId="3" applyFont="1" applyFill="1"/>
    <xf numFmtId="1" fontId="87" fillId="0" borderId="0" xfId="0" applyNumberFormat="1" applyFont="1"/>
    <xf numFmtId="0" fontId="140" fillId="0" borderId="0" xfId="3" applyNumberFormat="1" applyFont="1" applyFill="1"/>
    <xf numFmtId="275" fontId="93" fillId="0" borderId="13" xfId="4" applyNumberFormat="1" applyFont="1" applyFill="1" applyBorder="1"/>
    <xf numFmtId="43" fontId="72" fillId="0" borderId="13" xfId="3" applyNumberFormat="1" applyFont="1" applyBorder="1"/>
    <xf numFmtId="171" fontId="110" fillId="0" borderId="0" xfId="0" applyNumberFormat="1" applyFont="1" applyBorder="1"/>
    <xf numFmtId="172" fontId="112" fillId="0" borderId="13" xfId="0" applyNumberFormat="1" applyFont="1" applyFill="1" applyBorder="1" applyProtection="1">
      <protection locked="0"/>
    </xf>
    <xf numFmtId="171" fontId="95" fillId="8" borderId="0" xfId="23" applyNumberFormat="1" applyFont="1" applyFill="1" applyBorder="1"/>
    <xf numFmtId="171" fontId="95" fillId="8" borderId="13" xfId="23" applyNumberFormat="1" applyFont="1" applyFill="1" applyBorder="1"/>
    <xf numFmtId="275" fontId="110" fillId="0" borderId="0" xfId="0" applyNumberFormat="1" applyFont="1" applyBorder="1"/>
    <xf numFmtId="203" fontId="118" fillId="0" borderId="9" xfId="5" applyNumberFormat="1" applyFont="1" applyBorder="1"/>
    <xf numFmtId="9" fontId="111" fillId="0" borderId="13" xfId="23" applyFont="1" applyFill="1" applyBorder="1"/>
    <xf numFmtId="206" fontId="110" fillId="0" borderId="13" xfId="3" applyNumberFormat="1" applyFont="1" applyFill="1" applyBorder="1" applyAlignment="1">
      <alignment horizontal="right"/>
    </xf>
    <xf numFmtId="206" fontId="110" fillId="0" borderId="13" xfId="3" applyNumberFormat="1" applyFont="1" applyFill="1" applyBorder="1" applyProtection="1">
      <protection locked="0"/>
    </xf>
    <xf numFmtId="206" fontId="110" fillId="0" borderId="13" xfId="3" applyNumberFormat="1" applyFont="1" applyFill="1" applyBorder="1"/>
    <xf numFmtId="171" fontId="91" fillId="0" borderId="13" xfId="23" applyNumberFormat="1" applyFont="1" applyFill="1" applyBorder="1" applyProtection="1">
      <protection locked="0"/>
    </xf>
    <xf numFmtId="38" fontId="116" fillId="0" borderId="13" xfId="0" applyNumberFormat="1" applyFont="1" applyBorder="1"/>
    <xf numFmtId="42" fontId="91" fillId="0" borderId="0" xfId="0" applyNumberFormat="1" applyFont="1" applyBorder="1" applyAlignment="1">
      <alignment horizontal="right"/>
    </xf>
    <xf numFmtId="42" fontId="110" fillId="0" borderId="4" xfId="0" applyNumberFormat="1" applyFont="1" applyBorder="1" applyAlignment="1">
      <alignment horizontal="right"/>
    </xf>
    <xf numFmtId="9" fontId="110" fillId="0" borderId="9" xfId="23" applyFont="1" applyBorder="1" applyAlignment="1">
      <alignment horizontal="left"/>
    </xf>
    <xf numFmtId="5" fontId="91" fillId="0" borderId="13" xfId="5" applyNumberFormat="1" applyFont="1" applyBorder="1" applyAlignment="1">
      <alignment horizontal="center"/>
    </xf>
    <xf numFmtId="0" fontId="1" fillId="0" borderId="6" xfId="0" applyFont="1" applyBorder="1"/>
    <xf numFmtId="0" fontId="0" fillId="0" borderId="11" xfId="0" applyBorder="1"/>
    <xf numFmtId="0" fontId="0" fillId="0" borderId="7" xfId="0" applyBorder="1"/>
    <xf numFmtId="0" fontId="1" fillId="0" borderId="0" xfId="0" applyFont="1" applyBorder="1"/>
    <xf numFmtId="0" fontId="1" fillId="0" borderId="13" xfId="0" applyFont="1" applyBorder="1"/>
    <xf numFmtId="38" fontId="141" fillId="0" borderId="0" xfId="0" applyNumberFormat="1" applyFont="1" applyBorder="1"/>
    <xf numFmtId="38" fontId="0" fillId="0" borderId="13" xfId="0" applyNumberFormat="1" applyBorder="1"/>
    <xf numFmtId="0" fontId="1" fillId="0" borderId="4" xfId="0" applyFont="1" applyBorder="1"/>
    <xf numFmtId="38" fontId="1" fillId="0" borderId="4" xfId="0" applyNumberFormat="1" applyFont="1" applyBorder="1"/>
    <xf numFmtId="38" fontId="1" fillId="0" borderId="9" xfId="0" applyNumberFormat="1" applyFont="1" applyBorder="1"/>
    <xf numFmtId="37" fontId="72" fillId="0" borderId="0" xfId="21" applyFont="1" applyBorder="1" applyAlignment="1">
      <alignment horizontal="left"/>
    </xf>
    <xf numFmtId="172" fontId="110" fillId="0" borderId="13" xfId="0" applyNumberFormat="1" applyFont="1" applyFill="1" applyBorder="1" applyProtection="1">
      <protection locked="0"/>
    </xf>
    <xf numFmtId="10" fontId="72" fillId="0" borderId="0" xfId="0" applyNumberFormat="1" applyFont="1" applyProtection="1"/>
    <xf numFmtId="10" fontId="72" fillId="0" borderId="0" xfId="0" applyNumberFormat="1" applyFont="1"/>
    <xf numFmtId="203" fontId="72" fillId="0" borderId="0" xfId="0" applyNumberFormat="1" applyFont="1"/>
    <xf numFmtId="41" fontId="72" fillId="0" borderId="9" xfId="6" applyNumberFormat="1" applyFont="1" applyFill="1" applyBorder="1"/>
    <xf numFmtId="9" fontId="72" fillId="0" borderId="0" xfId="23" applyFont="1" applyBorder="1" applyProtection="1"/>
    <xf numFmtId="9" fontId="93" fillId="0" borderId="0" xfId="23" applyFont="1" applyBorder="1" applyProtection="1"/>
    <xf numFmtId="38" fontId="72" fillId="0" borderId="0" xfId="23" applyNumberFormat="1" applyFont="1" applyBorder="1" applyProtection="1"/>
    <xf numFmtId="0" fontId="72" fillId="0" borderId="6" xfId="0" applyFont="1" applyBorder="1" applyAlignment="1" applyProtection="1">
      <alignment horizontal="center" wrapText="1"/>
    </xf>
    <xf numFmtId="0" fontId="72" fillId="0" borderId="7" xfId="0" applyFont="1" applyBorder="1" applyAlignment="1">
      <alignment horizontal="center" wrapText="1"/>
    </xf>
    <xf numFmtId="10" fontId="72" fillId="0" borderId="8" xfId="23" applyNumberFormat="1" applyFont="1" applyBorder="1" applyAlignment="1" applyProtection="1">
      <alignment horizontal="center"/>
      <protection locked="0"/>
    </xf>
    <xf numFmtId="10" fontId="72" fillId="0" borderId="9" xfId="23" applyNumberFormat="1" applyFont="1" applyBorder="1" applyAlignment="1">
      <alignment horizontal="center"/>
    </xf>
    <xf numFmtId="10" fontId="72" fillId="0" borderId="12" xfId="23" applyNumberFormat="1" applyFont="1" applyBorder="1" applyAlignment="1" applyProtection="1">
      <alignment horizontal="center"/>
      <protection locked="0"/>
    </xf>
    <xf numFmtId="10" fontId="72" fillId="0" borderId="13" xfId="23" applyNumberFormat="1" applyFont="1" applyBorder="1" applyAlignment="1">
      <alignment horizontal="center"/>
    </xf>
    <xf numFmtId="203" fontId="93" fillId="0" borderId="0" xfId="5" applyNumberFormat="1" applyFont="1" applyBorder="1"/>
    <xf numFmtId="44" fontId="72" fillId="0" borderId="0" xfId="5" applyNumberFormat="1" applyFont="1" applyBorder="1"/>
    <xf numFmtId="44" fontId="93" fillId="0" borderId="0" xfId="5" applyNumberFormat="1" applyFont="1" applyBorder="1"/>
    <xf numFmtId="2" fontId="7" fillId="0" borderId="13" xfId="0" applyNumberFormat="1" applyFont="1" applyBorder="1"/>
    <xf numFmtId="2" fontId="98" fillId="0" borderId="13" xfId="23" applyNumberFormat="1" applyFont="1" applyBorder="1" applyProtection="1"/>
    <xf numFmtId="2" fontId="72" fillId="0" borderId="13" xfId="5" applyNumberFormat="1" applyFont="1" applyBorder="1" applyProtection="1"/>
    <xf numFmtId="2" fontId="72" fillId="0" borderId="13" xfId="0" applyNumberFormat="1" applyFont="1" applyBorder="1" applyProtection="1"/>
    <xf numFmtId="2" fontId="72" fillId="0" borderId="13" xfId="5" applyNumberFormat="1" applyFont="1" applyBorder="1"/>
    <xf numFmtId="2" fontId="93" fillId="0" borderId="13" xfId="5" applyNumberFormat="1" applyFont="1" applyBorder="1"/>
    <xf numFmtId="9" fontId="97" fillId="0" borderId="20" xfId="23" applyFont="1" applyBorder="1" applyAlignment="1" applyProtection="1">
      <alignment horizontal="center"/>
      <protection locked="0"/>
    </xf>
    <xf numFmtId="203" fontId="83" fillId="0" borderId="19" xfId="0" applyNumberFormat="1" applyFont="1" applyBorder="1" applyAlignment="1">
      <alignment horizontal="center"/>
    </xf>
    <xf numFmtId="203" fontId="98" fillId="0" borderId="0" xfId="5" applyNumberFormat="1" applyFont="1" applyBorder="1"/>
    <xf numFmtId="203" fontId="142" fillId="0" borderId="0" xfId="5" applyNumberFormat="1" applyFont="1" applyBorder="1"/>
    <xf numFmtId="0" fontId="5" fillId="0" borderId="8" xfId="0" applyFont="1" applyBorder="1"/>
    <xf numFmtId="0" fontId="91" fillId="0" borderId="0" xfId="0" quotePrefix="1" applyFont="1"/>
    <xf numFmtId="203" fontId="110" fillId="0" borderId="0" xfId="5" applyNumberFormat="1" applyFont="1" applyFill="1" applyBorder="1" applyProtection="1">
      <protection locked="0"/>
    </xf>
    <xf numFmtId="203" fontId="117" fillId="0" borderId="0" xfId="5" applyNumberFormat="1" applyFont="1" applyFill="1" applyBorder="1" applyProtection="1">
      <protection locked="0"/>
    </xf>
    <xf numFmtId="206" fontId="110" fillId="0" borderId="13" xfId="3" applyNumberFormat="1" applyFont="1" applyBorder="1"/>
    <xf numFmtId="37" fontId="72" fillId="0" borderId="0" xfId="21" applyNumberFormat="1" applyFont="1" applyFill="1" applyBorder="1" applyAlignment="1"/>
    <xf numFmtId="37" fontId="72" fillId="0" borderId="13" xfId="21" applyNumberFormat="1" applyFont="1" applyFill="1" applyBorder="1" applyAlignment="1"/>
    <xf numFmtId="37" fontId="93" fillId="0" borderId="0" xfId="21" applyNumberFormat="1" applyFont="1" applyFill="1" applyBorder="1" applyAlignment="1"/>
    <xf numFmtId="37" fontId="93" fillId="0" borderId="13" xfId="21" applyNumberFormat="1" applyFont="1" applyFill="1" applyBorder="1" applyAlignment="1"/>
    <xf numFmtId="203" fontId="83" fillId="0" borderId="9" xfId="5" applyNumberFormat="1" applyFont="1" applyFill="1" applyBorder="1"/>
    <xf numFmtId="205" fontId="110" fillId="0" borderId="13" xfId="3" applyNumberFormat="1" applyFont="1" applyFill="1" applyBorder="1"/>
    <xf numFmtId="38" fontId="12" fillId="0" borderId="0" xfId="0" applyNumberFormat="1" applyFont="1" applyBorder="1"/>
    <xf numFmtId="38" fontId="12" fillId="0" borderId="13" xfId="0" applyNumberFormat="1" applyFont="1" applyBorder="1"/>
    <xf numFmtId="38" fontId="141" fillId="0" borderId="13" xfId="0" applyNumberFormat="1" applyFont="1" applyBorder="1"/>
    <xf numFmtId="206" fontId="123" fillId="0" borderId="13" xfId="3" applyNumberFormat="1" applyFont="1" applyBorder="1"/>
    <xf numFmtId="0" fontId="5" fillId="0" borderId="12" xfId="0" applyFont="1" applyBorder="1"/>
    <xf numFmtId="203" fontId="128" fillId="0" borderId="0" xfId="5" applyNumberFormat="1" applyFont="1" applyFill="1" applyBorder="1"/>
    <xf numFmtId="41" fontId="110" fillId="0" borderId="0" xfId="5" applyNumberFormat="1" applyFont="1" applyBorder="1" applyProtection="1"/>
    <xf numFmtId="0" fontId="83" fillId="0" borderId="0" xfId="0" applyFont="1" applyAlignment="1">
      <alignment horizontal="left"/>
    </xf>
    <xf numFmtId="206" fontId="110" fillId="0" borderId="0" xfId="5" applyNumberFormat="1" applyFont="1" applyFill="1" applyBorder="1" applyProtection="1"/>
    <xf numFmtId="0" fontId="72" fillId="0" borderId="0" xfId="0" applyFont="1" applyAlignment="1">
      <alignment horizontal="center"/>
    </xf>
    <xf numFmtId="0" fontId="134" fillId="2" borderId="0" xfId="0" applyFont="1" applyFill="1" applyAlignment="1">
      <alignment horizontal="center"/>
    </xf>
    <xf numFmtId="0" fontId="109" fillId="0" borderId="0" xfId="0" applyFont="1" applyAlignment="1">
      <alignment horizontal="center"/>
    </xf>
  </cellXfs>
  <cellStyles count="35">
    <cellStyle name="??_?.????" xfId="1"/>
    <cellStyle name="Actual Date" xfId="2"/>
    <cellStyle name="Comma" xfId="3" builtinId="3"/>
    <cellStyle name="Comma_Curve_Economics" xfId="4"/>
    <cellStyle name="Currency" xfId="5" builtinId="4"/>
    <cellStyle name="Currency_Curve_Economics" xfId="6"/>
    <cellStyle name="Currency_ScreeningModel" xfId="7"/>
    <cellStyle name="Date" xfId="8"/>
    <cellStyle name="Dezimal [0]_Compiling Utility Macros" xfId="9"/>
    <cellStyle name="Dezimal_Compiling Utility Macros" xfId="10"/>
    <cellStyle name="Fixed" xfId="11"/>
    <cellStyle name="Grey" xfId="12"/>
    <cellStyle name="HEADER" xfId="13"/>
    <cellStyle name="Heading1" xfId="14"/>
    <cellStyle name="Heading2" xfId="15"/>
    <cellStyle name="HIGHLIGHT" xfId="16"/>
    <cellStyle name="Input [yellow]" xfId="17"/>
    <cellStyle name="no dec" xfId="18"/>
    <cellStyle name="Normal" xfId="0" builtinId="0"/>
    <cellStyle name="Normal - Style1" xfId="19"/>
    <cellStyle name="Normal_A" xfId="20"/>
    <cellStyle name="Normal_Curve_Economics" xfId="21"/>
    <cellStyle name="Normal_H" xfId="22"/>
    <cellStyle name="Percent" xfId="23" builtinId="5"/>
    <cellStyle name="Percent [2]" xfId="24"/>
    <cellStyle name="Standard_Anpassen der Amortisation" xfId="25"/>
    <cellStyle name="Total" xfId="26" builtinId="25" customBuiltin="1"/>
    <cellStyle name="uk" xfId="27"/>
    <cellStyle name="Un" xfId="28"/>
    <cellStyle name="Unprot" xfId="29"/>
    <cellStyle name="Unprot$" xfId="30"/>
    <cellStyle name="Unprot_CurrencySKorea" xfId="31"/>
    <cellStyle name="Unprotect" xfId="32"/>
    <cellStyle name="Währung [0]_Compiling Utility Macros" xfId="33"/>
    <cellStyle name="Währung_Compiling Utility Macros" xfId="3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45720</xdr:colOff>
          <xdr:row>0</xdr:row>
          <xdr:rowOff>45720</xdr:rowOff>
        </xdr:from>
        <xdr:to>
          <xdr:col>0</xdr:col>
          <xdr:colOff>1501140</xdr:colOff>
          <xdr:row>3</xdr:row>
          <xdr:rowOff>22860</xdr:rowOff>
        </xdr:to>
        <xdr:sp macro="" textlink="">
          <xdr:nvSpPr>
            <xdr:cNvPr id="10747" name="Button 507" hidden="1">
              <a:extLst>
                <a:ext uri="{63B3BB69-23CF-44E3-9099-C40C66FF867C}">
                  <a14:compatExt spid="_x0000_s10747"/>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1000" b="0" i="0" u="none" strike="noStrike" baseline="0">
                  <a:solidFill>
                    <a:srgbClr val="000000"/>
                  </a:solidFill>
                  <a:latin typeface="Arial"/>
                  <a:cs typeface="Arial"/>
                </a:rPr>
                <a:t>PRINT</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NAES\GenSvcs\Genco\Financing\Control\Wheatland,I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NAES\GenSvcs\Genco\Financing\Old%20Files\Brownsville042199bku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NAES\GenSvcs\Genco\Financing\Control\Consoliated-Model-Chec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MP/IRRModelOctStart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
      <sheetName val="Tracker"/>
      <sheetName val="ProjAssm"/>
      <sheetName val="PPA Assu&amp;Sum"/>
      <sheetName val="Oper"/>
      <sheetName val="Debt Amort"/>
      <sheetName val="Returns"/>
      <sheetName val="BK IS"/>
      <sheetName val="CF"/>
      <sheetName val="Tax"/>
      <sheetName val="Depr"/>
      <sheetName val="IDC"/>
      <sheetName val="Monthly Model"/>
      <sheetName val="MaintRes"/>
      <sheetName val="Debt Graph"/>
    </sheetNames>
    <sheetDataSet>
      <sheetData sheetId="0" refreshError="1"/>
      <sheetData sheetId="1" refreshError="1"/>
      <sheetData sheetId="2" refreshError="1"/>
      <sheetData sheetId="3" refreshError="1">
        <row r="5">
          <cell r="A5" t="str">
            <v>Months of Operation</v>
          </cell>
        </row>
        <row r="6">
          <cell r="A6" t="str">
            <v>Months of Year Under PPA</v>
          </cell>
        </row>
        <row r="7">
          <cell r="A7" t="str">
            <v>Months of Year Merchant</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ci"/>
      <sheetName val="Tracking sheet"/>
      <sheetName val="Value"/>
      <sheetName val="Project Assumptions"/>
      <sheetName val="PPA Assumptions &amp;Summary"/>
      <sheetName val="Operations"/>
      <sheetName val="Debt Amortization"/>
      <sheetName val="Returns Summary"/>
      <sheetName val="Book Income Statement"/>
      <sheetName val="Cash Flow Statement"/>
      <sheetName val="BS"/>
      <sheetName val="Tax Calculations"/>
      <sheetName val="Depreciation"/>
      <sheetName val="Interest During Construction"/>
      <sheetName val="Maintenance Reserves"/>
    </sheetNames>
    <sheetDataSet>
      <sheetData sheetId="0" refreshError="1"/>
      <sheetData sheetId="1" refreshError="1"/>
      <sheetData sheetId="2" refreshError="1"/>
      <sheetData sheetId="3">
        <row r="40">
          <cell r="F40">
            <v>2</v>
          </cell>
          <cell r="G40">
            <v>4</v>
          </cell>
          <cell r="H40">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able of Content"/>
      <sheetName val="Consolidated Model Assumptions"/>
      <sheetName val="Consolidated Summary"/>
      <sheetName val="IS"/>
      <sheetName val="DSCR"/>
      <sheetName val="CF"/>
      <sheetName val="Depreciation"/>
      <sheetName val="Tax Calcula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set Scenarios"/>
      <sheetName val="Assumptions"/>
      <sheetName val="Power Price Assumption"/>
      <sheetName val="IS"/>
      <sheetName val="CF"/>
      <sheetName val="IRR"/>
      <sheetName val="Exposure"/>
      <sheetName val="Debt"/>
      <sheetName val="Depreciation"/>
      <sheetName val="Tax"/>
      <sheetName val="Brownsville"/>
      <sheetName val="Caledonia"/>
      <sheetName val="New Albany"/>
      <sheetName val="Calvert"/>
      <sheetName val="Wheatland"/>
      <sheetName val="Wilton"/>
      <sheetName val="EGC Start Charge Matrix"/>
      <sheetName val="Alloc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9">
          <cell r="F19">
            <v>141.23125695336634</v>
          </cell>
          <cell r="G19">
            <v>245.47164354789081</v>
          </cell>
          <cell r="H19">
            <v>243.46526896377219</v>
          </cell>
          <cell r="I19">
            <v>332.31786337591763</v>
          </cell>
          <cell r="J19">
            <v>407.63961802974086</v>
          </cell>
          <cell r="K19">
            <v>419.06931395513539</v>
          </cell>
          <cell r="L19">
            <v>422.84607567746747</v>
          </cell>
          <cell r="M19">
            <v>426.32263804083107</v>
          </cell>
          <cell r="N19">
            <v>430.1931342307584</v>
          </cell>
          <cell r="O19">
            <v>434.76798159889807</v>
          </cell>
          <cell r="P19">
            <v>439.39382687852026</v>
          </cell>
          <cell r="Q19">
            <v>441.97082698988038</v>
          </cell>
          <cell r="R19">
            <v>446.40437452140122</v>
          </cell>
          <cell r="S19">
            <v>441.40674273255746</v>
          </cell>
          <cell r="T19">
            <v>445.210263507712</v>
          </cell>
          <cell r="U19">
            <v>448.84905631735774</v>
          </cell>
          <cell r="V19">
            <v>452.37071313640485</v>
          </cell>
          <cell r="W19">
            <v>455.83590131113488</v>
          </cell>
          <cell r="X19">
            <v>458.77261423739219</v>
          </cell>
          <cell r="Y19">
            <v>450.47530283907463</v>
          </cell>
          <cell r="Z19">
            <v>463.2558550998574</v>
          </cell>
        </row>
        <row r="32">
          <cell r="F32">
            <v>124.94367693157854</v>
          </cell>
          <cell r="G32">
            <v>214.18916045413465</v>
          </cell>
          <cell r="H32">
            <v>214.18916045413465</v>
          </cell>
          <cell r="I32">
            <v>214.18916045413465</v>
          </cell>
          <cell r="J32">
            <v>202.90363293576459</v>
          </cell>
          <cell r="K32">
            <v>202.90363293576459</v>
          </cell>
          <cell r="L32">
            <v>202.90363293576459</v>
          </cell>
          <cell r="M32">
            <v>202.90363293576459</v>
          </cell>
          <cell r="N32">
            <v>202.90363293576459</v>
          </cell>
          <cell r="O32">
            <v>202.90363293576459</v>
          </cell>
          <cell r="P32">
            <v>182.42398472903594</v>
          </cell>
          <cell r="Q32">
            <v>173.85930445264518</v>
          </cell>
          <cell r="R32">
            <v>165.4919363117296</v>
          </cell>
          <cell r="S32">
            <v>157.1367057079903</v>
          </cell>
          <cell r="T32">
            <v>153.87277608557633</v>
          </cell>
          <cell r="U32">
            <v>150.10205821656322</v>
          </cell>
          <cell r="V32">
            <v>140.91744210252145</v>
          </cell>
          <cell r="W32">
            <v>111.7182114379754</v>
          </cell>
          <cell r="X32">
            <v>104.21191981593451</v>
          </cell>
          <cell r="Y32">
            <v>84.108254466257392</v>
          </cell>
          <cell r="Z32">
            <v>84.108254466257392</v>
          </cell>
        </row>
        <row r="39">
          <cell r="F39">
            <v>11439.731813222674</v>
          </cell>
          <cell r="G39">
            <v>19883.203127379154</v>
          </cell>
          <cell r="H39">
            <v>19720.686786065547</v>
          </cell>
          <cell r="I39">
            <v>26917.746933449325</v>
          </cell>
          <cell r="J39">
            <v>33018.809060409003</v>
          </cell>
          <cell r="K39">
            <v>33944.614430365968</v>
          </cell>
          <cell r="L39">
            <v>34250.53212987486</v>
          </cell>
          <cell r="M39">
            <v>34532.133681307314</v>
          </cell>
          <cell r="N39">
            <v>34845.643872691428</v>
          </cell>
          <cell r="O39">
            <v>35216.206509510739</v>
          </cell>
          <cell r="P39">
            <v>35590.899977160137</v>
          </cell>
          <cell r="Q39">
            <v>35799.63698618031</v>
          </cell>
          <cell r="R39">
            <v>36158.754336233498</v>
          </cell>
          <cell r="S39">
            <v>35753.946161337153</v>
          </cell>
          <cell r="T39">
            <v>36062.031344124669</v>
          </cell>
          <cell r="U39">
            <v>36356.773561705973</v>
          </cell>
          <cell r="V39">
            <v>36642.027764048791</v>
          </cell>
          <cell r="W39">
            <v>36922.708006201923</v>
          </cell>
          <cell r="X39">
            <v>37160.581753228762</v>
          </cell>
          <cell r="Y39">
            <v>36488.499529965047</v>
          </cell>
          <cell r="Z39">
            <v>37523.72426308845</v>
          </cell>
        </row>
      </sheetData>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printerSettings" Target="../printerSettings/printerSettings31.bin"/><Relationship Id="rId1" Type="http://schemas.openxmlformats.org/officeDocument/2006/relationships/printerSettings" Target="../printerSettings/printerSettings3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5.bin"/><Relationship Id="rId7" Type="http://schemas.openxmlformats.org/officeDocument/2006/relationships/comments" Target="../comments1.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6" Type="http://schemas.openxmlformats.org/officeDocument/2006/relationships/ctrlProp" Target="../ctrlProps/ctrlProp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comments" Target="../comments4.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V727"/>
  <sheetViews>
    <sheetView tabSelected="1" topLeftCell="A698" zoomScale="95" zoomScaleNormal="95" zoomScaleSheetLayoutView="85" workbookViewId="0">
      <selection activeCell="D724" sqref="D724"/>
    </sheetView>
  </sheetViews>
  <sheetFormatPr defaultColWidth="9.33203125" defaultRowHeight="10.8" outlineLevelRow="1"/>
  <cols>
    <col min="1" max="1" width="43" style="72" customWidth="1"/>
    <col min="2" max="2" width="10.109375" style="73" customWidth="1"/>
    <col min="3" max="3" width="10.109375" style="72" customWidth="1"/>
    <col min="4" max="4" width="11.5546875" style="74" bestFit="1" customWidth="1"/>
    <col min="5" max="5" width="12.88671875" style="72" bestFit="1" customWidth="1"/>
    <col min="6" max="6" width="10.33203125" style="72" bestFit="1" customWidth="1"/>
    <col min="7" max="7" width="13.88671875" style="72" customWidth="1"/>
    <col min="8" max="19" width="10.33203125" style="72" bestFit="1" customWidth="1"/>
    <col min="20" max="30" width="9.33203125" style="72" bestFit="1" customWidth="1"/>
    <col min="31" max="255" width="9.33203125" style="8" bestFit="1" customWidth="1"/>
    <col min="256" max="16384" width="9.33203125" style="8"/>
  </cols>
  <sheetData>
    <row r="1" spans="1:31" ht="20.399999999999999">
      <c r="A1" s="59" t="str">
        <f>'Project Assumtions'!$A$2</f>
        <v>WHEATLAND POWER IN, L.L.C.</v>
      </c>
      <c r="B1" s="60"/>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c r="AE1"/>
    </row>
    <row r="2" spans="1:31" ht="22.5" customHeight="1">
      <c r="A2" s="61" t="s">
        <v>298</v>
      </c>
      <c r="B2" s="62"/>
      <c r="C2" s="60"/>
      <c r="D2" s="60"/>
      <c r="E2" s="60"/>
      <c r="F2" s="60"/>
      <c r="G2" s="60"/>
      <c r="H2" s="60"/>
      <c r="I2" s="60"/>
      <c r="J2" s="60"/>
      <c r="K2" s="60"/>
      <c r="L2" s="60"/>
      <c r="M2" s="60"/>
      <c r="N2" s="60"/>
      <c r="O2" s="60"/>
      <c r="P2" s="60"/>
      <c r="Q2" s="60"/>
      <c r="R2" s="60"/>
      <c r="S2" s="60"/>
      <c r="T2" s="60"/>
      <c r="U2" s="60"/>
      <c r="V2" s="60"/>
      <c r="W2" s="60"/>
      <c r="X2" s="60"/>
      <c r="Y2" s="60"/>
      <c r="Z2" s="60"/>
      <c r="AA2" s="60"/>
      <c r="AB2" s="60"/>
      <c r="AC2" s="60"/>
      <c r="AD2" s="60"/>
      <c r="AE2"/>
    </row>
    <row r="3" spans="1:31" ht="35.25" customHeight="1">
      <c r="A3" s="63" t="s">
        <v>299</v>
      </c>
      <c r="B3" s="62"/>
      <c r="C3" s="60"/>
      <c r="D3" s="60"/>
      <c r="E3" s="60"/>
      <c r="F3" s="60"/>
      <c r="G3" s="60"/>
      <c r="H3" s="60"/>
      <c r="I3" s="60"/>
      <c r="J3" s="60"/>
      <c r="K3" s="60"/>
      <c r="L3" s="60"/>
      <c r="M3" s="60"/>
      <c r="N3" s="60"/>
      <c r="O3" s="60"/>
      <c r="P3" s="60"/>
      <c r="Q3" s="60"/>
      <c r="R3" s="60"/>
      <c r="S3" s="60"/>
      <c r="T3" s="60"/>
      <c r="U3" s="60"/>
      <c r="V3" s="60"/>
      <c r="W3" s="60"/>
      <c r="X3" s="60"/>
      <c r="Y3" s="60"/>
      <c r="Z3" s="60"/>
      <c r="AA3" s="60"/>
      <c r="AB3" s="60"/>
      <c r="AC3" s="60"/>
      <c r="AD3" s="60"/>
      <c r="AE3"/>
    </row>
    <row r="4" spans="1:31" ht="13.2">
      <c r="A4" s="63"/>
      <c r="B4" s="62"/>
      <c r="C4" s="60"/>
      <c r="D4" s="60"/>
      <c r="E4" s="60"/>
      <c r="F4" s="60"/>
      <c r="G4" s="60"/>
      <c r="H4" s="60"/>
      <c r="I4" s="60"/>
      <c r="J4" s="60"/>
      <c r="K4" s="60"/>
      <c r="L4" s="60"/>
      <c r="M4" s="60"/>
      <c r="N4" s="60"/>
      <c r="O4" s="60"/>
      <c r="P4" s="60"/>
      <c r="Q4" s="60"/>
      <c r="R4" s="60"/>
      <c r="S4" s="60"/>
      <c r="T4" s="60"/>
      <c r="U4" s="60"/>
      <c r="V4" s="60"/>
      <c r="W4" s="60"/>
      <c r="X4" s="60"/>
      <c r="Y4" s="60"/>
      <c r="Z4" s="60"/>
      <c r="AA4" s="60"/>
      <c r="AB4" s="60"/>
      <c r="AC4" s="60"/>
      <c r="AD4" s="60"/>
      <c r="AE4"/>
    </row>
    <row r="5" spans="1:31" ht="13.2">
      <c r="A5" s="506" t="s">
        <v>471</v>
      </c>
      <c r="B5" s="62"/>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row>
    <row r="6" spans="1:31" ht="13.2">
      <c r="A6" s="64" t="s">
        <v>368</v>
      </c>
      <c r="B6" s="65">
        <f>'Project Assumtions'!I67</f>
        <v>49424.393934144253</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row>
    <row r="7" spans="1:31" ht="13.2">
      <c r="A7" s="66" t="s">
        <v>369</v>
      </c>
      <c r="B7" s="67">
        <f>'Project Assumtions'!G67</f>
        <v>91246.394576740553</v>
      </c>
      <c r="C7" s="60"/>
      <c r="D7" s="60"/>
      <c r="E7" s="60"/>
      <c r="F7" s="60"/>
      <c r="G7" s="60"/>
      <c r="H7" s="60"/>
      <c r="I7" s="60"/>
      <c r="J7" s="60"/>
      <c r="K7" s="60"/>
      <c r="L7" s="60"/>
      <c r="M7" s="60"/>
      <c r="N7" s="60"/>
      <c r="O7" s="60"/>
      <c r="P7" s="60"/>
      <c r="Q7" s="60"/>
      <c r="R7" s="60"/>
      <c r="S7" s="60"/>
      <c r="T7" s="60"/>
      <c r="U7" s="60"/>
      <c r="V7" s="60"/>
      <c r="W7" s="60"/>
      <c r="X7" s="60"/>
      <c r="Y7" s="60"/>
      <c r="Z7" s="60"/>
      <c r="AA7" s="60"/>
      <c r="AB7" s="60"/>
      <c r="AC7" s="60"/>
      <c r="AD7" s="60"/>
      <c r="AE7"/>
    </row>
    <row r="8" spans="1:31" ht="13.2">
      <c r="A8" s="68" t="s">
        <v>370</v>
      </c>
      <c r="B8" s="495" t="s">
        <v>468</v>
      </c>
      <c r="C8" s="495" t="s">
        <v>469</v>
      </c>
      <c r="D8" s="497">
        <f>'PPA Assumptions &amp;Summary'!C4</f>
        <v>2000</v>
      </c>
      <c r="E8" s="498">
        <f>'PPA Assumptions &amp;Summary'!D4</f>
        <v>2001</v>
      </c>
      <c r="F8" s="498">
        <f>'PPA Assumptions &amp;Summary'!E4</f>
        <v>2002</v>
      </c>
      <c r="G8" s="498">
        <f>'PPA Assumptions &amp;Summary'!F4</f>
        <v>2003</v>
      </c>
      <c r="H8" s="498">
        <f>'PPA Assumptions &amp;Summary'!G4</f>
        <v>2004</v>
      </c>
      <c r="I8" s="498">
        <f>'PPA Assumptions &amp;Summary'!H4</f>
        <v>2005</v>
      </c>
      <c r="J8" s="498">
        <f>'PPA Assumptions &amp;Summary'!I4</f>
        <v>2006</v>
      </c>
      <c r="K8" s="498">
        <f>'PPA Assumptions &amp;Summary'!J4</f>
        <v>2007</v>
      </c>
      <c r="L8" s="498">
        <f>'PPA Assumptions &amp;Summary'!K4</f>
        <v>2008</v>
      </c>
      <c r="M8" s="498">
        <f>'PPA Assumptions &amp;Summary'!L4</f>
        <v>2009</v>
      </c>
      <c r="N8" s="499">
        <f>'PPA Assumptions &amp;Summary'!M4</f>
        <v>2010</v>
      </c>
      <c r="O8" s="69">
        <f>'PPA Assumptions &amp;Summary'!N4</f>
        <v>2011</v>
      </c>
      <c r="P8" s="69">
        <f>'PPA Assumptions &amp;Summary'!O4</f>
        <v>2012</v>
      </c>
      <c r="Q8" s="69">
        <f>'PPA Assumptions &amp;Summary'!P4</f>
        <v>2013</v>
      </c>
      <c r="R8" s="69">
        <f>'PPA Assumptions &amp;Summary'!Q4</f>
        <v>2014</v>
      </c>
      <c r="S8" s="69">
        <f>'PPA Assumptions &amp;Summary'!R4</f>
        <v>2015</v>
      </c>
      <c r="T8" s="69">
        <f>'PPA Assumptions &amp;Summary'!S4</f>
        <v>2016</v>
      </c>
      <c r="U8" s="69">
        <f>'PPA Assumptions &amp;Summary'!T4</f>
        <v>2017</v>
      </c>
      <c r="V8" s="69">
        <f>'PPA Assumptions &amp;Summary'!U4</f>
        <v>2018</v>
      </c>
      <c r="W8" s="69">
        <f>'PPA Assumptions &amp;Summary'!V4</f>
        <v>2019</v>
      </c>
      <c r="X8" s="69">
        <f>'PPA Assumptions &amp;Summary'!W4</f>
        <v>2020</v>
      </c>
      <c r="Y8"/>
      <c r="Z8"/>
      <c r="AA8"/>
      <c r="AB8" s="60"/>
      <c r="AC8" s="60"/>
      <c r="AD8" s="60"/>
      <c r="AE8"/>
    </row>
    <row r="9" spans="1:31" ht="13.2" outlineLevel="1">
      <c r="A9" s="68" t="s">
        <v>371</v>
      </c>
      <c r="B9" s="496">
        <f>NPV(0.1,D9:Y9)</f>
        <v>457195.72312395548</v>
      </c>
      <c r="C9" s="496">
        <v>0</v>
      </c>
      <c r="D9" s="500">
        <f>'Book Income Statement'!D17</f>
        <v>25347.056333333334</v>
      </c>
      <c r="E9" s="501">
        <f>'Book Income Statement'!E17</f>
        <v>42007.487139999997</v>
      </c>
      <c r="F9" s="501">
        <f>'Book Income Statement'!F17</f>
        <v>42094.521254200001</v>
      </c>
      <c r="G9" s="501">
        <f>'Book Income Statement'!G17</f>
        <v>50668.657660713434</v>
      </c>
      <c r="H9" s="501">
        <f>'Book Income Statement'!H17</f>
        <v>57743.893261455611</v>
      </c>
      <c r="I9" s="501">
        <f>'Book Income Statement'!I17</f>
        <v>58943.222063339272</v>
      </c>
      <c r="J9" s="501">
        <f>'Book Income Statement'!J17</f>
        <v>59552.465288799118</v>
      </c>
      <c r="K9" s="501">
        <f>'Book Income Statement'!K17</f>
        <v>60161.203847808363</v>
      </c>
      <c r="L9" s="501">
        <f>'Book Income Statement'!L17</f>
        <v>60768.85914147702</v>
      </c>
      <c r="M9" s="501">
        <f>'Book Income Statement'!M17</f>
        <v>61374.818309181566</v>
      </c>
      <c r="N9" s="502">
        <f>'Book Income Statement'!N17</f>
        <v>61978.432693599862</v>
      </c>
      <c r="O9" s="75">
        <f>'Book Income Statement'!O17</f>
        <v>62579.016244483784</v>
      </c>
      <c r="P9" s="75">
        <f>'Book Income Statement'!P17</f>
        <v>63175.843858875312</v>
      </c>
      <c r="Q9" s="75">
        <f>'Book Income Statement'!Q17</f>
        <v>62998.168132096616</v>
      </c>
      <c r="R9" s="75">
        <f>'Book Income Statement'!R17</f>
        <v>63562.044211108274</v>
      </c>
      <c r="S9" s="75">
        <f>'Book Income Statement'!S17</f>
        <v>64119.044143420528</v>
      </c>
      <c r="T9" s="75">
        <f>'Book Income Statement'!T17</f>
        <v>64668.247871760315</v>
      </c>
      <c r="U9" s="75">
        <f>'Book Income Statement'!U17</f>
        <v>65208.686323950235</v>
      </c>
      <c r="V9" s="75">
        <f>'Book Income Statement'!V17</f>
        <v>65739.339300065752</v>
      </c>
      <c r="W9" s="75">
        <f>'Book Income Statement'!W17</f>
        <v>65339.735070763163</v>
      </c>
      <c r="X9" s="75">
        <f>'Book Income Statement'!X17</f>
        <v>39294.512599893416</v>
      </c>
      <c r="Y9"/>
      <c r="Z9"/>
      <c r="AA9"/>
      <c r="AB9" s="60"/>
      <c r="AC9" s="60"/>
      <c r="AD9" s="60"/>
      <c r="AE9"/>
    </row>
    <row r="10" spans="1:31" ht="13.2" outlineLevel="1">
      <c r="A10" s="70" t="s">
        <v>372</v>
      </c>
      <c r="B10" s="496">
        <f>NPV(0.1,D10:Y10)</f>
        <v>204145.8833211952</v>
      </c>
      <c r="C10" s="496">
        <v>0</v>
      </c>
      <c r="D10" s="500">
        <f>'Book Income Statement'!D60</f>
        <v>13735.271874132448</v>
      </c>
      <c r="E10" s="501">
        <f>'Book Income Statement'!E60</f>
        <v>21850.0328500346</v>
      </c>
      <c r="F10" s="501">
        <f>'Book Income Statement'!F60</f>
        <v>22096.53252159369</v>
      </c>
      <c r="G10" s="501">
        <f>'Book Income Statement'!G60</f>
        <v>23413.601741481685</v>
      </c>
      <c r="H10" s="501">
        <f>'Book Income Statement'!H60</f>
        <v>24271.789190606411</v>
      </c>
      <c r="I10" s="501">
        <f>'Book Income Statement'!I60</f>
        <v>24506.506554867738</v>
      </c>
      <c r="J10" s="501">
        <f>'Book Income Statement'!J60</f>
        <v>24787.300713664747</v>
      </c>
      <c r="K10" s="501">
        <f>'Book Income Statement'!K60</f>
        <v>25095.823285374754</v>
      </c>
      <c r="L10" s="501">
        <f>'Book Income Statement'!L60</f>
        <v>25370.703072846401</v>
      </c>
      <c r="M10" s="501">
        <f>'Book Income Statement'!M60</f>
        <v>25576.150475946626</v>
      </c>
      <c r="N10" s="502">
        <f>'Book Income Statement'!N60</f>
        <v>25789.810925993592</v>
      </c>
      <c r="O10" s="75">
        <f>'Book Income Statement'!O60</f>
        <v>26181.589008353592</v>
      </c>
      <c r="P10" s="75">
        <f>'Book Income Statement'!P60</f>
        <v>26413.896379185117</v>
      </c>
      <c r="Q10" s="75">
        <f>'Book Income Statement'!Q60</f>
        <v>26653.172971141583</v>
      </c>
      <c r="R10" s="75">
        <f>'Book Income Statement'!R60</f>
        <v>26899.627860856748</v>
      </c>
      <c r="S10" s="75">
        <f>'Book Income Statement'!S60</f>
        <v>27153.476397263359</v>
      </c>
      <c r="T10" s="75">
        <f>'Book Income Statement'!T60</f>
        <v>27414.940389762178</v>
      </c>
      <c r="U10" s="75">
        <f>'Book Income Statement'!U60</f>
        <v>27684.248302035958</v>
      </c>
      <c r="V10" s="75">
        <f>'Book Income Statement'!V60</f>
        <v>27961.635451677954</v>
      </c>
      <c r="W10" s="75">
        <f>'Book Income Statement'!W60</f>
        <v>28247.344215809204</v>
      </c>
      <c r="X10" s="75">
        <f>'Book Income Statement'!X60</f>
        <v>25770.43099873039</v>
      </c>
      <c r="Y10"/>
      <c r="Z10"/>
      <c r="AA10"/>
      <c r="AB10" s="60"/>
      <c r="AC10" s="60"/>
      <c r="AD10" s="60"/>
      <c r="AE10"/>
    </row>
    <row r="11" spans="1:31" ht="13.2" outlineLevel="1">
      <c r="A11" s="70" t="s">
        <v>34</v>
      </c>
      <c r="B11" s="496">
        <f>NPV(0.1,D11:Y11)</f>
        <v>95563.556479199731</v>
      </c>
      <c r="C11" s="496">
        <v>0</v>
      </c>
      <c r="D11" s="500">
        <f>'Book Income Statement'!D81</f>
        <v>-319.61887626921509</v>
      </c>
      <c r="E11" s="501">
        <f>'Book Income Statement'!E81</f>
        <v>3711.4355777824067</v>
      </c>
      <c r="F11" s="501">
        <f>'Book Income Statement'!F81</f>
        <v>3812.0388791063674</v>
      </c>
      <c r="G11" s="501">
        <f>'Book Income Statement'!G81</f>
        <v>8543.5568730264495</v>
      </c>
      <c r="H11" s="501">
        <f>'Book Income Statement'!H81</f>
        <v>12670.191324528416</v>
      </c>
      <c r="I11" s="501">
        <f>'Book Income Statement'!I81</f>
        <v>13601.29191953076</v>
      </c>
      <c r="J11" s="501">
        <f>'Book Income Statement'!J81</f>
        <v>14112.878928321021</v>
      </c>
      <c r="K11" s="501">
        <f>'Book Income Statement'!K81</f>
        <v>14554.454151022692</v>
      </c>
      <c r="L11" s="501">
        <f>'Book Income Statement'!L81</f>
        <v>15015.764776662367</v>
      </c>
      <c r="M11" s="501">
        <f>'Book Income Statement'!M81</f>
        <v>15682.074552615448</v>
      </c>
      <c r="N11" s="502">
        <f>'Book Income Statement'!N81</f>
        <v>16455.843327372724</v>
      </c>
      <c r="O11" s="75">
        <f>'Book Income Statement'!O81</f>
        <v>16709.95711561403</v>
      </c>
      <c r="P11" s="75">
        <f>'Book Income Statement'!P81</f>
        <v>17090.342256328571</v>
      </c>
      <c r="Q11" s="75">
        <f>'Book Income Statement'!Q81</f>
        <v>16997.050990757391</v>
      </c>
      <c r="R11" s="75">
        <f>'Book Income Statement'!R81</f>
        <v>17348.887834526649</v>
      </c>
      <c r="S11" s="75">
        <f>'Book Income Statement'!S81</f>
        <v>17692.075283834805</v>
      </c>
      <c r="T11" s="75">
        <f>'Book Income Statement'!T81</f>
        <v>18025.921215466529</v>
      </c>
      <c r="U11" s="75">
        <f>'Book Income Statement'!U81</f>
        <v>18509.137109628347</v>
      </c>
      <c r="V11" s="75">
        <f>'Book Income Statement'!V81</f>
        <v>19045.299547747873</v>
      </c>
      <c r="W11" s="75">
        <f>'Book Income Statement'!W81</f>
        <v>19108.220680513994</v>
      </c>
      <c r="X11" s="75">
        <f>'Book Income Statement'!X81</f>
        <v>5364.7747191704493</v>
      </c>
      <c r="Y11"/>
      <c r="Z11"/>
      <c r="AA11"/>
      <c r="AB11" s="60"/>
      <c r="AC11" s="60"/>
      <c r="AD11" s="60"/>
      <c r="AE11"/>
    </row>
    <row r="12" spans="1:31" ht="13.2" outlineLevel="1">
      <c r="A12" s="70" t="s">
        <v>32</v>
      </c>
      <c r="B12" s="496">
        <f>NPV(0.1,D12:Y12)</f>
        <v>101564.5727550013</v>
      </c>
      <c r="C12" s="496">
        <v>0</v>
      </c>
      <c r="D12" s="503">
        <f>'Cash Flow Statement'!D22</f>
        <v>-2224.2854081544224</v>
      </c>
      <c r="E12" s="504">
        <f>'Cash Flow Statement'!E22</f>
        <v>6094.6843923892866</v>
      </c>
      <c r="F12" s="504">
        <f>'Cash Flow Statement'!F22</f>
        <v>4682.1668253145435</v>
      </c>
      <c r="G12" s="504">
        <f>'Cash Flow Statement'!G22</f>
        <v>10491.520869769944</v>
      </c>
      <c r="H12" s="504">
        <f>'Cash Flow Statement'!H22</f>
        <v>17513.471683212319</v>
      </c>
      <c r="I12" s="504">
        <f>'Cash Flow Statement'!I22</f>
        <v>15532.55171794369</v>
      </c>
      <c r="J12" s="504">
        <f>'Cash Flow Statement'!J22</f>
        <v>15094.356971876303</v>
      </c>
      <c r="K12" s="504">
        <f>'Cash Flow Statement'!K22</f>
        <v>15563.805624312117</v>
      </c>
      <c r="L12" s="504">
        <f>'Cash Flow Statement'!L22</f>
        <v>12361.874189556111</v>
      </c>
      <c r="M12" s="504">
        <f>'Cash Flow Statement'!M22</f>
        <v>10498.569112428822</v>
      </c>
      <c r="N12" s="505">
        <f>'Cash Flow Statement'!N22</f>
        <v>20312.206317253527</v>
      </c>
      <c r="O12" s="75">
        <f>'Cash Flow Statement'!O22</f>
        <v>20092.681139980268</v>
      </c>
      <c r="P12" s="75">
        <f>'Cash Flow Statement'!P22</f>
        <v>20300.847705269822</v>
      </c>
      <c r="Q12" s="75">
        <f>'Cash Flow Statement'!Q22</f>
        <v>20213.538069493268</v>
      </c>
      <c r="R12" s="75">
        <f>'Cash Flow Statement'!R22</f>
        <v>20559.393283467893</v>
      </c>
      <c r="S12" s="75">
        <f>'Cash Flow Statement'!S22</f>
        <v>19137.999943361683</v>
      </c>
      <c r="T12" s="75">
        <f>'Cash Flow Statement'!T22</f>
        <v>14451.41974407903</v>
      </c>
      <c r="U12" s="75">
        <f>'Cash Flow Statement'!U22</f>
        <v>13632.297501640847</v>
      </c>
      <c r="V12" s="75">
        <f>'Cash Flow Statement'!V22</f>
        <v>12214.952734860373</v>
      </c>
      <c r="W12" s="75">
        <f>'Cash Flow Statement'!W22</f>
        <v>10975.535731026492</v>
      </c>
      <c r="X12" s="75">
        <f>'Cash Flow Statement'!X22</f>
        <v>8702.4880599523931</v>
      </c>
      <c r="Y12"/>
      <c r="Z12"/>
      <c r="AA12"/>
      <c r="AB12" s="60"/>
      <c r="AC12" s="60"/>
      <c r="AD12" s="60"/>
      <c r="AE12"/>
    </row>
    <row r="13" spans="1:31" ht="13.2" outlineLevel="1">
      <c r="A13" s="71"/>
      <c r="B13" s="62"/>
      <c r="D13" s="60"/>
      <c r="E13" s="60"/>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c r="AE13"/>
    </row>
    <row r="14" spans="1:31" ht="13.2" outlineLevel="1">
      <c r="A14" s="71" t="s">
        <v>373</v>
      </c>
      <c r="B14" s="62"/>
      <c r="D14" s="60"/>
      <c r="E14" s="60"/>
      <c r="F14" s="60"/>
      <c r="G14" s="60"/>
      <c r="H14" s="60"/>
      <c r="I14" s="60"/>
      <c r="J14" s="60"/>
      <c r="K14" s="60"/>
      <c r="L14" s="60"/>
      <c r="M14" s="60"/>
      <c r="N14" s="60"/>
      <c r="O14" s="60"/>
      <c r="P14" s="60"/>
      <c r="Q14" s="60"/>
      <c r="R14" s="60"/>
      <c r="S14" s="60"/>
      <c r="T14" s="60"/>
      <c r="U14" s="60"/>
      <c r="V14" s="60"/>
      <c r="W14" s="60"/>
      <c r="X14" s="60"/>
      <c r="Y14" s="60"/>
      <c r="Z14" s="60"/>
      <c r="AA14" s="60"/>
      <c r="AB14" s="60"/>
      <c r="AC14" s="60"/>
      <c r="AD14" s="60"/>
      <c r="AE14"/>
    </row>
    <row r="15" spans="1:31" ht="13.2" outlineLevel="1">
      <c r="A15" s="60"/>
      <c r="B15" s="60"/>
      <c r="D15" s="60"/>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row>
    <row r="16" spans="1:31" ht="13.2" outlineLevel="1">
      <c r="A16" s="64" t="s">
        <v>368</v>
      </c>
      <c r="B16" s="65">
        <v>58097.59366738009</v>
      </c>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row>
    <row r="17" spans="1:255" ht="13.2" outlineLevel="1">
      <c r="A17" s="66" t="s">
        <v>369</v>
      </c>
      <c r="B17" s="67">
        <v>89310.320611380477</v>
      </c>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row>
    <row r="18" spans="1:255" ht="13.2" outlineLevel="1">
      <c r="A18" s="68" t="s">
        <v>370</v>
      </c>
      <c r="B18" s="495" t="s">
        <v>468</v>
      </c>
      <c r="C18" s="495" t="s">
        <v>469</v>
      </c>
      <c r="D18" s="497">
        <v>2000</v>
      </c>
      <c r="E18" s="498">
        <v>2001</v>
      </c>
      <c r="F18" s="498">
        <v>2002</v>
      </c>
      <c r="G18" s="498">
        <v>2003</v>
      </c>
      <c r="H18" s="498">
        <v>2004</v>
      </c>
      <c r="I18" s="498">
        <v>2005</v>
      </c>
      <c r="J18" s="498">
        <v>2006</v>
      </c>
      <c r="K18" s="498">
        <v>2007</v>
      </c>
      <c r="L18" s="498">
        <v>2008</v>
      </c>
      <c r="M18" s="498">
        <v>2009</v>
      </c>
      <c r="N18" s="499">
        <v>2010</v>
      </c>
      <c r="O18" s="69">
        <v>2011</v>
      </c>
      <c r="P18" s="69">
        <v>2012</v>
      </c>
      <c r="Q18" s="69">
        <v>2013</v>
      </c>
      <c r="R18" s="69">
        <v>2014</v>
      </c>
      <c r="S18" s="69">
        <v>2015</v>
      </c>
      <c r="T18" s="69">
        <v>2016</v>
      </c>
      <c r="U18" s="69">
        <v>2017</v>
      </c>
      <c r="V18" s="69">
        <v>2018</v>
      </c>
      <c r="W18" s="69">
        <v>2019</v>
      </c>
      <c r="X18" s="69">
        <v>2020</v>
      </c>
      <c r="Y18" s="60"/>
      <c r="Z18" s="60"/>
      <c r="AA18" s="60"/>
      <c r="AB18" s="60"/>
      <c r="AC18" s="60"/>
      <c r="AD18" s="60"/>
      <c r="AE18"/>
    </row>
    <row r="19" spans="1:255" ht="13.2" outlineLevel="1">
      <c r="A19" s="68" t="s">
        <v>371</v>
      </c>
      <c r="B19" s="496">
        <f>NPV(0.1,D19:Y19)</f>
        <v>428097.64566429093</v>
      </c>
      <c r="C19" s="496">
        <f>B19-B9</f>
        <v>-29098.07745966455</v>
      </c>
      <c r="D19" s="500">
        <v>24591.638250399999</v>
      </c>
      <c r="E19" s="501">
        <v>34540.522766400005</v>
      </c>
      <c r="F19" s="501">
        <v>34802.796280800001</v>
      </c>
      <c r="G19" s="501">
        <v>44456.182643309628</v>
      </c>
      <c r="H19" s="501">
        <v>52301.149094810535</v>
      </c>
      <c r="I19" s="501">
        <v>53478.371891430266</v>
      </c>
      <c r="J19" s="501">
        <v>54490.16498678254</v>
      </c>
      <c r="K19" s="501">
        <v>55603.473073719419</v>
      </c>
      <c r="L19" s="501">
        <v>56816.359729219592</v>
      </c>
      <c r="M19" s="501">
        <v>58132.828166066014</v>
      </c>
      <c r="N19" s="502">
        <v>59578.538941149309</v>
      </c>
      <c r="O19" s="75">
        <v>61017.90784261145</v>
      </c>
      <c r="P19" s="75">
        <v>62581.466044832348</v>
      </c>
      <c r="Q19" s="75">
        <v>64208.768640484304</v>
      </c>
      <c r="R19" s="75">
        <v>65893.529434824479</v>
      </c>
      <c r="S19" s="75">
        <v>67605.02510097374</v>
      </c>
      <c r="T19" s="75">
        <v>69188.600316769443</v>
      </c>
      <c r="U19" s="75">
        <v>70936.028786368857</v>
      </c>
      <c r="V19" s="75">
        <v>72457.166651484775</v>
      </c>
      <c r="W19" s="75">
        <v>73973.746533671438</v>
      </c>
      <c r="X19" s="75">
        <v>18312.086909030786</v>
      </c>
      <c r="Y19" s="60"/>
      <c r="Z19" s="60"/>
      <c r="AA19" s="60"/>
      <c r="AB19" s="60"/>
      <c r="AC19" s="60"/>
      <c r="AD19" s="60"/>
      <c r="AE19"/>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26"/>
      <c r="CM19" s="26"/>
      <c r="CN19" s="26"/>
      <c r="CO19" s="26"/>
      <c r="CP19" s="26"/>
      <c r="CQ19" s="26"/>
      <c r="CR19" s="26"/>
      <c r="CS19" s="26"/>
      <c r="CT19" s="26"/>
      <c r="CU19" s="26"/>
      <c r="CV19" s="26"/>
      <c r="CW19" s="26"/>
      <c r="CX19" s="26"/>
      <c r="CY19" s="26"/>
      <c r="CZ19" s="26"/>
      <c r="DA19" s="26"/>
      <c r="DB19" s="26"/>
      <c r="DC19" s="26"/>
      <c r="DD19" s="26"/>
      <c r="DE19" s="26"/>
      <c r="DF19" s="26"/>
      <c r="DG19" s="26"/>
      <c r="DH19" s="26"/>
      <c r="DI19" s="26"/>
      <c r="DJ19" s="26"/>
      <c r="DK19" s="26"/>
      <c r="DL19" s="26"/>
      <c r="DM19" s="26"/>
      <c r="DN19" s="26"/>
      <c r="DO19" s="26"/>
      <c r="DP19" s="26"/>
      <c r="DQ19" s="26"/>
      <c r="DR19" s="26"/>
      <c r="DS19" s="26"/>
      <c r="DT19" s="26"/>
      <c r="DU19" s="26"/>
      <c r="DV19" s="26"/>
      <c r="DW19" s="26"/>
      <c r="DX19" s="26"/>
      <c r="DY19" s="26"/>
      <c r="DZ19" s="26"/>
      <c r="EA19" s="26"/>
      <c r="EB19" s="26"/>
      <c r="EC19" s="26"/>
      <c r="ED19" s="26"/>
      <c r="EE19" s="26"/>
      <c r="EF19" s="26"/>
      <c r="EG19" s="26"/>
      <c r="EH19" s="26"/>
      <c r="EI19" s="26"/>
      <c r="EJ19" s="26"/>
      <c r="EK19" s="26"/>
      <c r="EL19" s="26"/>
      <c r="EM19" s="26"/>
      <c r="EN19" s="26"/>
      <c r="EO19" s="26"/>
      <c r="EP19" s="26"/>
      <c r="EQ19" s="26"/>
      <c r="ER19" s="26"/>
      <c r="ES19" s="26"/>
      <c r="ET19" s="26"/>
      <c r="EU19" s="26"/>
      <c r="EV19" s="26"/>
      <c r="EW19" s="26"/>
      <c r="EX19" s="26"/>
      <c r="EY19" s="26"/>
      <c r="EZ19" s="26"/>
      <c r="FA19" s="26"/>
      <c r="FB19" s="26"/>
      <c r="FC19" s="26"/>
      <c r="FD19" s="26"/>
      <c r="FE19" s="26"/>
      <c r="FF19" s="26"/>
      <c r="FG19" s="26"/>
      <c r="FH19" s="26"/>
      <c r="FI19" s="26"/>
      <c r="FJ19" s="26"/>
      <c r="FK19" s="26"/>
      <c r="FL19" s="26"/>
      <c r="FM19" s="26"/>
      <c r="FN19" s="26"/>
      <c r="FO19" s="26"/>
      <c r="FP19" s="26"/>
      <c r="FQ19" s="26"/>
      <c r="FR19" s="26"/>
      <c r="FS19" s="26"/>
      <c r="FT19" s="26"/>
      <c r="FU19" s="26"/>
      <c r="FV19" s="26"/>
      <c r="FW19" s="26"/>
      <c r="FX19" s="26"/>
      <c r="FY19" s="26"/>
      <c r="FZ19" s="26"/>
      <c r="GA19" s="26"/>
      <c r="GB19" s="26"/>
      <c r="GC19" s="26"/>
      <c r="GD19" s="26"/>
      <c r="GE19" s="26"/>
      <c r="GF19" s="26"/>
      <c r="GG19" s="26"/>
      <c r="GH19" s="26"/>
      <c r="GI19" s="26"/>
      <c r="GJ19" s="26"/>
      <c r="GK19" s="26"/>
      <c r="GL19" s="26"/>
      <c r="GM19" s="26"/>
      <c r="GN19" s="26"/>
      <c r="GO19" s="26"/>
      <c r="GP19" s="26"/>
      <c r="GQ19" s="26"/>
      <c r="GR19" s="26"/>
      <c r="GS19" s="26"/>
      <c r="GT19" s="26"/>
      <c r="GU19" s="26"/>
      <c r="GV19" s="26"/>
      <c r="GW19" s="26"/>
      <c r="GX19" s="26"/>
      <c r="GY19" s="26"/>
      <c r="GZ19" s="26"/>
      <c r="HA19" s="26"/>
      <c r="HB19" s="26"/>
      <c r="HC19" s="26"/>
      <c r="HD19" s="26"/>
      <c r="HE19" s="26"/>
      <c r="HF19" s="26"/>
      <c r="HG19" s="26"/>
      <c r="HH19" s="26"/>
      <c r="HI19" s="26"/>
      <c r="HJ19" s="26"/>
      <c r="HK19" s="26"/>
      <c r="HL19" s="26"/>
      <c r="HM19" s="26"/>
      <c r="HN19" s="26"/>
      <c r="HO19" s="26"/>
      <c r="HP19" s="26"/>
      <c r="HQ19" s="26"/>
      <c r="HR19" s="26"/>
      <c r="HS19" s="26"/>
      <c r="HT19" s="26"/>
      <c r="HU19" s="26"/>
      <c r="HV19" s="26"/>
      <c r="HW19" s="26"/>
      <c r="HX19" s="26"/>
      <c r="HY19" s="26"/>
      <c r="HZ19" s="26"/>
      <c r="IA19" s="26"/>
      <c r="IB19" s="26"/>
      <c r="IC19" s="26"/>
      <c r="ID19" s="26"/>
      <c r="IE19" s="26"/>
      <c r="IF19" s="26"/>
      <c r="IG19" s="26"/>
      <c r="IH19" s="26"/>
      <c r="II19" s="26"/>
      <c r="IJ19" s="26"/>
      <c r="IK19" s="26"/>
      <c r="IL19" s="26"/>
      <c r="IM19" s="26"/>
      <c r="IN19" s="26"/>
      <c r="IO19" s="26"/>
      <c r="IP19" s="26"/>
      <c r="IQ19" s="26"/>
      <c r="IR19" s="26"/>
      <c r="IS19" s="26"/>
      <c r="IT19" s="26"/>
      <c r="IU19" s="26"/>
    </row>
    <row r="20" spans="1:255" ht="13.2" outlineLevel="1">
      <c r="A20" s="70" t="s">
        <v>372</v>
      </c>
      <c r="B20" s="496">
        <f>NPV(0.1,D20:Y20)</f>
        <v>191902.03152231078</v>
      </c>
      <c r="C20" s="496">
        <f>B20-B10</f>
        <v>-12243.851798884425</v>
      </c>
      <c r="D20" s="500">
        <v>15341.639917066666</v>
      </c>
      <c r="E20" s="501">
        <v>19350.268566399998</v>
      </c>
      <c r="F20" s="501">
        <v>19696.544454800001</v>
      </c>
      <c r="G20" s="501">
        <v>19981.128798299997</v>
      </c>
      <c r="H20" s="501">
        <v>20330.260116456993</v>
      </c>
      <c r="I20" s="501">
        <v>20749.644509550708</v>
      </c>
      <c r="J20" s="501">
        <v>21237.067011045234</v>
      </c>
      <c r="K20" s="501">
        <v>21824.800223136586</v>
      </c>
      <c r="L20" s="501">
        <v>22513.34669947868</v>
      </c>
      <c r="M20" s="501">
        <v>23305.175151983047</v>
      </c>
      <c r="N20" s="502">
        <v>24763.439355390539</v>
      </c>
      <c r="O20" s="75">
        <v>25790.410280916254</v>
      </c>
      <c r="P20" s="75">
        <v>26950.438518271745</v>
      </c>
      <c r="Q20" s="75">
        <v>28187.050198971887</v>
      </c>
      <c r="R20" s="75">
        <v>29493.978648237055</v>
      </c>
      <c r="S20" s="75">
        <v>30841.570575204154</v>
      </c>
      <c r="T20" s="75">
        <v>32241.455556764282</v>
      </c>
      <c r="U20" s="75">
        <v>33832.392287147202</v>
      </c>
      <c r="V20" s="75">
        <v>35224.920138977628</v>
      </c>
      <c r="W20" s="75">
        <v>36642.532379930955</v>
      </c>
      <c r="X20" s="75">
        <v>0</v>
      </c>
      <c r="Y20" s="60"/>
      <c r="Z20" s="60"/>
      <c r="AA20" s="60"/>
      <c r="AB20" s="60"/>
      <c r="AC20" s="60"/>
      <c r="AD20" s="60"/>
      <c r="AE20"/>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c r="DJ20" s="26"/>
      <c r="DK20" s="26"/>
      <c r="DL20" s="26"/>
      <c r="DM20" s="26"/>
      <c r="DN20" s="26"/>
      <c r="DO20" s="26"/>
      <c r="DP20" s="26"/>
      <c r="DQ20" s="26"/>
      <c r="DR20" s="26"/>
      <c r="DS20" s="26"/>
      <c r="DT20" s="26"/>
      <c r="DU20" s="26"/>
      <c r="DV20" s="26"/>
      <c r="DW20" s="26"/>
      <c r="DX20" s="26"/>
      <c r="DY20" s="26"/>
      <c r="DZ20" s="26"/>
      <c r="EA20" s="26"/>
      <c r="EB20" s="26"/>
      <c r="EC20" s="26"/>
      <c r="ED20" s="26"/>
      <c r="EE20" s="26"/>
      <c r="EF20" s="26"/>
      <c r="EG20" s="26"/>
      <c r="EH20" s="26"/>
      <c r="EI20" s="26"/>
      <c r="EJ20" s="26"/>
      <c r="EK20" s="26"/>
      <c r="EL20" s="26"/>
      <c r="EM20" s="26"/>
      <c r="EN20" s="26"/>
      <c r="EO20" s="26"/>
      <c r="EP20" s="26"/>
      <c r="EQ20" s="26"/>
      <c r="ER20" s="26"/>
      <c r="ES20" s="26"/>
      <c r="ET20" s="26"/>
      <c r="EU20" s="26"/>
      <c r="EV20" s="26"/>
      <c r="EW20" s="26"/>
      <c r="EX20" s="26"/>
      <c r="EY20" s="26"/>
      <c r="EZ20" s="26"/>
      <c r="FA20" s="26"/>
      <c r="FB20" s="26"/>
      <c r="FC20" s="26"/>
      <c r="FD20" s="26"/>
      <c r="FE20" s="26"/>
      <c r="FF20" s="26"/>
      <c r="FG20" s="26"/>
      <c r="FH20" s="26"/>
      <c r="FI20" s="26"/>
      <c r="FJ20" s="26"/>
      <c r="FK20" s="26"/>
      <c r="FL20" s="26"/>
      <c r="FM20" s="26"/>
      <c r="FN20" s="26"/>
      <c r="FO20" s="26"/>
      <c r="FP20" s="26"/>
      <c r="FQ20" s="26"/>
      <c r="FR20" s="26"/>
      <c r="FS20" s="26"/>
      <c r="FT20" s="26"/>
      <c r="FU20" s="26"/>
      <c r="FV20" s="26"/>
      <c r="FW20" s="26"/>
      <c r="FX20" s="26"/>
      <c r="FY20" s="26"/>
      <c r="FZ20" s="26"/>
      <c r="GA20" s="26"/>
      <c r="GB20" s="26"/>
      <c r="GC20" s="26"/>
      <c r="GD20" s="26"/>
      <c r="GE20" s="26"/>
      <c r="GF20" s="26"/>
      <c r="GG20" s="26"/>
      <c r="GH20" s="26"/>
      <c r="GI20" s="26"/>
      <c r="GJ20" s="26"/>
      <c r="GK20" s="26"/>
      <c r="GL20" s="26"/>
      <c r="GM20" s="26"/>
      <c r="GN20" s="26"/>
      <c r="GO20" s="26"/>
      <c r="GP20" s="26"/>
      <c r="GQ20" s="26"/>
      <c r="GR20" s="26"/>
      <c r="GS20" s="26"/>
      <c r="GT20" s="26"/>
      <c r="GU20" s="26"/>
      <c r="GV20" s="26"/>
      <c r="GW20" s="26"/>
      <c r="GX20" s="26"/>
      <c r="GY20" s="26"/>
      <c r="GZ20" s="26"/>
      <c r="HA20" s="26"/>
      <c r="HB20" s="26"/>
      <c r="HC20" s="26"/>
      <c r="HD20" s="26"/>
      <c r="HE20" s="26"/>
      <c r="HF20" s="26"/>
      <c r="HG20" s="26"/>
      <c r="HH20" s="26"/>
      <c r="HI20" s="26"/>
      <c r="HJ20" s="26"/>
      <c r="HK20" s="26"/>
      <c r="HL20" s="26"/>
      <c r="HM20" s="26"/>
      <c r="HN20" s="26"/>
      <c r="HO20" s="26"/>
      <c r="HP20" s="26"/>
      <c r="HQ20" s="26"/>
      <c r="HR20" s="26"/>
      <c r="HS20" s="26"/>
      <c r="HT20" s="26"/>
      <c r="HU20" s="26"/>
      <c r="HV20" s="26"/>
      <c r="HW20" s="26"/>
      <c r="HX20" s="26"/>
      <c r="HY20" s="26"/>
      <c r="HZ20" s="26"/>
      <c r="IA20" s="26"/>
      <c r="IB20" s="26"/>
      <c r="IC20" s="26"/>
      <c r="ID20" s="26"/>
      <c r="IE20" s="26"/>
      <c r="IF20" s="26"/>
      <c r="IG20" s="26"/>
      <c r="IH20" s="26"/>
      <c r="II20" s="26"/>
      <c r="IJ20" s="26"/>
      <c r="IK20" s="26"/>
      <c r="IL20" s="26"/>
      <c r="IM20" s="26"/>
      <c r="IN20" s="26"/>
      <c r="IO20" s="26"/>
      <c r="IP20" s="26"/>
      <c r="IQ20" s="26"/>
      <c r="IR20" s="26"/>
      <c r="IS20" s="26"/>
      <c r="IT20" s="26"/>
      <c r="IU20" s="26"/>
    </row>
    <row r="21" spans="1:255" ht="13.2" outlineLevel="1">
      <c r="A21" s="70" t="s">
        <v>34</v>
      </c>
      <c r="B21" s="496">
        <f>NPV(0.1,D21:Y21)</f>
        <v>76332.118144907974</v>
      </c>
      <c r="C21" s="496">
        <f>B21-B11</f>
        <v>-19231.438334291757</v>
      </c>
      <c r="D21" s="500">
        <v>68.470991207738138</v>
      </c>
      <c r="E21" s="501">
        <v>-229.80953197958607</v>
      </c>
      <c r="F21" s="501">
        <v>-190.95341458243456</v>
      </c>
      <c r="G21" s="501">
        <v>5653.4125637766119</v>
      </c>
      <c r="H21" s="501">
        <v>10295.070619924687</v>
      </c>
      <c r="I21" s="501">
        <v>11114.339648145462</v>
      </c>
      <c r="J21" s="501">
        <v>11762.315691650154</v>
      </c>
      <c r="K21" s="501">
        <v>12240.432203850589</v>
      </c>
      <c r="L21" s="501">
        <v>12804.050049153007</v>
      </c>
      <c r="M21" s="501">
        <v>13396.574917213511</v>
      </c>
      <c r="N21" s="502">
        <v>13688.383638854852</v>
      </c>
      <c r="O21" s="75">
        <v>14198.332284585484</v>
      </c>
      <c r="P21" s="75">
        <v>14802.951241122963</v>
      </c>
      <c r="Q21" s="75">
        <v>15435.121199265397</v>
      </c>
      <c r="R21" s="75">
        <v>16097.386841800193</v>
      </c>
      <c r="S21" s="75">
        <v>16716.316886712062</v>
      </c>
      <c r="T21" s="75">
        <v>17343.250435085436</v>
      </c>
      <c r="U21" s="75">
        <v>17997.052549916116</v>
      </c>
      <c r="V21" s="75">
        <v>18680.225590779068</v>
      </c>
      <c r="W21" s="75">
        <v>19147.469927804632</v>
      </c>
      <c r="X21" s="75">
        <v>0</v>
      </c>
      <c r="Y21" s="60"/>
      <c r="Z21" s="60"/>
      <c r="AA21" s="60"/>
      <c r="AB21" s="60"/>
      <c r="AC21" s="60"/>
      <c r="AD21" s="60"/>
      <c r="AE21"/>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26"/>
      <c r="CM21" s="26"/>
      <c r="CN21" s="26"/>
      <c r="CO21" s="26"/>
      <c r="CP21" s="26"/>
      <c r="CQ21" s="26"/>
      <c r="CR21" s="26"/>
      <c r="CS21" s="26"/>
      <c r="CT21" s="26"/>
      <c r="CU21" s="26"/>
      <c r="CV21" s="26"/>
      <c r="CW21" s="26"/>
      <c r="CX21" s="26"/>
      <c r="CY21" s="26"/>
      <c r="CZ21" s="26"/>
      <c r="DA21" s="26"/>
      <c r="DB21" s="26"/>
      <c r="DC21" s="26"/>
      <c r="DD21" s="26"/>
      <c r="DE21" s="26"/>
      <c r="DF21" s="26"/>
      <c r="DG21" s="26"/>
      <c r="DH21" s="26"/>
      <c r="DI21" s="26"/>
      <c r="DJ21" s="26"/>
      <c r="DK21" s="26"/>
      <c r="DL21" s="26"/>
      <c r="DM21" s="26"/>
      <c r="DN21" s="26"/>
      <c r="DO21" s="26"/>
      <c r="DP21" s="26"/>
      <c r="DQ21" s="26"/>
      <c r="DR21" s="26"/>
      <c r="DS21" s="26"/>
      <c r="DT21" s="26"/>
      <c r="DU21" s="26"/>
      <c r="DV21" s="26"/>
      <c r="DW21" s="26"/>
      <c r="DX21" s="26"/>
      <c r="DY21" s="26"/>
      <c r="DZ21" s="26"/>
      <c r="EA21" s="26"/>
      <c r="EB21" s="26"/>
      <c r="EC21" s="26"/>
      <c r="ED21" s="26"/>
      <c r="EE21" s="26"/>
      <c r="EF21" s="26"/>
      <c r="EG21" s="26"/>
      <c r="EH21" s="26"/>
      <c r="EI21" s="26"/>
      <c r="EJ21" s="26"/>
      <c r="EK21" s="26"/>
      <c r="EL21" s="26"/>
      <c r="EM21" s="26"/>
      <c r="EN21" s="26"/>
      <c r="EO21" s="26"/>
      <c r="EP21" s="26"/>
      <c r="EQ21" s="26"/>
      <c r="ER21" s="26"/>
      <c r="ES21" s="26"/>
      <c r="ET21" s="26"/>
      <c r="EU21" s="26"/>
      <c r="EV21" s="26"/>
      <c r="EW21" s="26"/>
      <c r="EX21" s="26"/>
      <c r="EY21" s="26"/>
      <c r="EZ21" s="26"/>
      <c r="FA21" s="26"/>
      <c r="FB21" s="26"/>
      <c r="FC21" s="26"/>
      <c r="FD21" s="26"/>
      <c r="FE21" s="26"/>
      <c r="FF21" s="26"/>
      <c r="FG21" s="26"/>
      <c r="FH21" s="26"/>
      <c r="FI21" s="26"/>
      <c r="FJ21" s="26"/>
      <c r="FK21" s="26"/>
      <c r="FL21" s="26"/>
      <c r="FM21" s="26"/>
      <c r="FN21" s="26"/>
      <c r="FO21" s="26"/>
      <c r="FP21" s="26"/>
      <c r="FQ21" s="26"/>
      <c r="FR21" s="26"/>
      <c r="FS21" s="26"/>
      <c r="FT21" s="26"/>
      <c r="FU21" s="26"/>
      <c r="FV21" s="26"/>
      <c r="FW21" s="26"/>
      <c r="FX21" s="26"/>
      <c r="FY21" s="26"/>
      <c r="FZ21" s="26"/>
      <c r="GA21" s="26"/>
      <c r="GB21" s="26"/>
      <c r="GC21" s="26"/>
      <c r="GD21" s="26"/>
      <c r="GE21" s="26"/>
      <c r="GF21" s="26"/>
      <c r="GG21" s="26"/>
      <c r="GH21" s="26"/>
      <c r="GI21" s="26"/>
      <c r="GJ21" s="26"/>
      <c r="GK21" s="26"/>
      <c r="GL21" s="26"/>
      <c r="GM21" s="26"/>
      <c r="GN21" s="26"/>
      <c r="GO21" s="26"/>
      <c r="GP21" s="26"/>
      <c r="GQ21" s="26"/>
      <c r="GR21" s="26"/>
      <c r="GS21" s="26"/>
      <c r="GT21" s="26"/>
      <c r="GU21" s="26"/>
      <c r="GV21" s="26"/>
      <c r="GW21" s="26"/>
      <c r="GX21" s="26"/>
      <c r="GY21" s="26"/>
      <c r="GZ21" s="26"/>
      <c r="HA21" s="26"/>
      <c r="HB21" s="26"/>
      <c r="HC21" s="26"/>
      <c r="HD21" s="26"/>
      <c r="HE21" s="26"/>
      <c r="HF21" s="26"/>
      <c r="HG21" s="26"/>
      <c r="HH21" s="26"/>
      <c r="HI21" s="26"/>
      <c r="HJ21" s="26"/>
      <c r="HK21" s="26"/>
      <c r="HL21" s="26"/>
      <c r="HM21" s="26"/>
      <c r="HN21" s="26"/>
      <c r="HO21" s="26"/>
      <c r="HP21" s="26"/>
      <c r="HQ21" s="26"/>
      <c r="HR21" s="26"/>
      <c r="HS21" s="26"/>
      <c r="HT21" s="26"/>
      <c r="HU21" s="26"/>
      <c r="HV21" s="26"/>
      <c r="HW21" s="26"/>
      <c r="HX21" s="26"/>
      <c r="HY21" s="26"/>
      <c r="HZ21" s="26"/>
      <c r="IA21" s="26"/>
      <c r="IB21" s="26"/>
      <c r="IC21" s="26"/>
      <c r="ID21" s="26"/>
      <c r="IE21" s="26"/>
      <c r="IF21" s="26"/>
      <c r="IG21" s="26"/>
      <c r="IH21" s="26"/>
      <c r="II21" s="26"/>
      <c r="IJ21" s="26"/>
      <c r="IK21" s="26"/>
      <c r="IL21" s="26"/>
      <c r="IM21" s="26"/>
      <c r="IN21" s="26"/>
      <c r="IO21" s="26"/>
      <c r="IP21" s="26"/>
      <c r="IQ21" s="26"/>
      <c r="IR21" s="26"/>
      <c r="IS21" s="26"/>
      <c r="IT21" s="26"/>
      <c r="IU21" s="26"/>
    </row>
    <row r="22" spans="1:255" s="17" customFormat="1" ht="13.2" outlineLevel="1">
      <c r="A22" s="70" t="s">
        <v>32</v>
      </c>
      <c r="B22" s="496">
        <f>NPV(0.1,D22:Y22)</f>
        <v>94813.373478674286</v>
      </c>
      <c r="C22" s="496">
        <f>B22-B12</f>
        <v>-6751.19927632701</v>
      </c>
      <c r="D22" s="503">
        <v>2300.2989818993974</v>
      </c>
      <c r="E22" s="504">
        <v>4365.4274418378118</v>
      </c>
      <c r="F22" s="504">
        <v>3782.4500116368722</v>
      </c>
      <c r="G22" s="504">
        <v>14947.020517795736</v>
      </c>
      <c r="H22" s="504">
        <v>19469.293961773434</v>
      </c>
      <c r="I22" s="504">
        <v>16450.644309893843</v>
      </c>
      <c r="J22" s="504">
        <v>14087.988697818706</v>
      </c>
      <c r="K22" s="504">
        <v>14049.631806827396</v>
      </c>
      <c r="L22" s="504">
        <v>14045.903429192993</v>
      </c>
      <c r="M22" s="504">
        <v>14034.257216198996</v>
      </c>
      <c r="N22" s="505">
        <v>14413.389709603265</v>
      </c>
      <c r="O22" s="75">
        <v>13709.550228924465</v>
      </c>
      <c r="P22" s="75">
        <v>13608.296387603461</v>
      </c>
      <c r="Q22" s="75">
        <v>13497.182105815016</v>
      </c>
      <c r="R22" s="75">
        <v>13348.63537141047</v>
      </c>
      <c r="S22" s="75">
        <v>10263.28216533942</v>
      </c>
      <c r="T22" s="75">
        <v>9619.3783346279524</v>
      </c>
      <c r="U22" s="75">
        <v>9352.7350608372744</v>
      </c>
      <c r="V22" s="75">
        <v>9051.2167403746425</v>
      </c>
      <c r="W22" s="75">
        <v>14308.573785540964</v>
      </c>
      <c r="X22" s="75">
        <v>0</v>
      </c>
      <c r="Y22" s="60"/>
      <c r="Z22" s="60"/>
      <c r="AA22" s="60"/>
      <c r="AB22" s="60"/>
      <c r="AC22" s="60"/>
      <c r="AD22" s="60"/>
      <c r="AE22"/>
    </row>
    <row r="23" spans="1:255" s="17" customFormat="1" ht="13.2" outlineLevel="1">
      <c r="A23" s="60"/>
      <c r="B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row>
    <row r="24" spans="1:255" s="17" customFormat="1" ht="13.2" outlineLevel="1">
      <c r="A24" s="71" t="s">
        <v>418</v>
      </c>
      <c r="B24" s="60"/>
      <c r="D24" s="60"/>
      <c r="E24" s="60"/>
      <c r="F24" s="60"/>
      <c r="G24" s="60"/>
      <c r="H24" s="60"/>
      <c r="I24" s="60"/>
      <c r="J24" s="60"/>
      <c r="K24" s="60"/>
      <c r="L24" s="60"/>
      <c r="M24" s="60"/>
      <c r="N24" s="60"/>
      <c r="O24" s="60"/>
      <c r="P24" s="60"/>
      <c r="Q24" s="60"/>
      <c r="R24" s="60"/>
      <c r="S24" s="60"/>
      <c r="T24" s="60"/>
      <c r="U24" s="60"/>
      <c r="V24" s="60"/>
      <c r="W24" s="60"/>
      <c r="X24" s="60"/>
      <c r="Y24" s="60"/>
      <c r="Z24" s="60"/>
      <c r="AA24" s="60"/>
      <c r="AB24" s="60"/>
      <c r="AC24" s="60"/>
      <c r="AD24" s="60"/>
      <c r="AE24"/>
    </row>
    <row r="25" spans="1:255" ht="13.2" outlineLevel="1">
      <c r="A25" s="60"/>
      <c r="B25" s="60"/>
      <c r="D25" s="60"/>
      <c r="E25" s="60"/>
      <c r="F25" s="60"/>
      <c r="G25" s="60"/>
      <c r="H25" s="60"/>
      <c r="I25" s="60"/>
      <c r="J25" s="60"/>
      <c r="K25" s="60"/>
      <c r="L25" s="60"/>
      <c r="M25" s="60"/>
      <c r="N25" s="60"/>
      <c r="O25" s="60"/>
      <c r="P25" s="60"/>
      <c r="Q25" s="60"/>
      <c r="R25" s="60"/>
      <c r="S25" s="60"/>
      <c r="T25" s="60"/>
      <c r="U25" s="60"/>
      <c r="V25" s="60"/>
      <c r="W25" s="60"/>
      <c r="X25" s="60"/>
      <c r="Y25" s="60"/>
      <c r="Z25" s="60"/>
      <c r="AA25" s="60"/>
      <c r="AB25" s="60"/>
      <c r="AC25" s="60"/>
      <c r="AD25" s="60"/>
      <c r="AE25"/>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c r="EO25" s="26"/>
      <c r="EP25" s="26"/>
      <c r="EQ25" s="26"/>
      <c r="ER25" s="26"/>
      <c r="ES25" s="26"/>
      <c r="ET25" s="26"/>
      <c r="EU25" s="26"/>
      <c r="EV25" s="26"/>
      <c r="EW25" s="26"/>
      <c r="EX25" s="26"/>
      <c r="EY25" s="26"/>
      <c r="EZ25" s="26"/>
      <c r="FA25" s="26"/>
      <c r="FB25" s="26"/>
      <c r="FC25" s="26"/>
      <c r="FD25" s="26"/>
      <c r="FE25" s="26"/>
      <c r="FF25" s="26"/>
      <c r="FG25" s="26"/>
      <c r="FH25" s="26"/>
      <c r="FI25" s="26"/>
      <c r="FJ25" s="26"/>
      <c r="FK25" s="26"/>
      <c r="FL25" s="26"/>
      <c r="FM25" s="26"/>
      <c r="FN25" s="26"/>
      <c r="FO25" s="26"/>
      <c r="FP25" s="26"/>
      <c r="FQ25" s="26"/>
      <c r="FR25" s="26"/>
      <c r="FS25" s="26"/>
      <c r="FT25" s="26"/>
      <c r="FU25" s="26"/>
      <c r="FV25" s="26"/>
      <c r="FW25" s="26"/>
      <c r="FX25" s="26"/>
      <c r="FY25" s="26"/>
      <c r="FZ25" s="26"/>
      <c r="GA25" s="26"/>
      <c r="GB25" s="26"/>
      <c r="GC25" s="26"/>
      <c r="GD25" s="26"/>
      <c r="GE25" s="26"/>
      <c r="GF25" s="26"/>
      <c r="GG25" s="26"/>
      <c r="GH25" s="26"/>
      <c r="GI25" s="26"/>
      <c r="GJ25" s="26"/>
      <c r="GK25" s="26"/>
      <c r="GL25" s="26"/>
      <c r="GM25" s="26"/>
      <c r="GN25" s="26"/>
      <c r="GO25" s="26"/>
      <c r="GP25" s="26"/>
      <c r="GQ25" s="26"/>
      <c r="GR25" s="26"/>
      <c r="GS25" s="26"/>
      <c r="GT25" s="26"/>
      <c r="GU25" s="26"/>
      <c r="GV25" s="26"/>
      <c r="GW25" s="26"/>
      <c r="GX25" s="26"/>
      <c r="GY25" s="26"/>
      <c r="GZ25" s="26"/>
      <c r="HA25" s="26"/>
      <c r="HB25" s="26"/>
      <c r="HC25" s="26"/>
      <c r="HD25" s="26"/>
      <c r="HE25" s="26"/>
      <c r="HF25" s="26"/>
      <c r="HG25" s="26"/>
      <c r="HH25" s="26"/>
      <c r="HI25" s="26"/>
      <c r="HJ25" s="26"/>
      <c r="HK25" s="26"/>
      <c r="HL25" s="26"/>
      <c r="HM25" s="26"/>
      <c r="HN25" s="26"/>
      <c r="HO25" s="26"/>
      <c r="HP25" s="26"/>
      <c r="HQ25" s="26"/>
      <c r="HR25" s="26"/>
      <c r="HS25" s="26"/>
      <c r="HT25" s="26"/>
      <c r="HU25" s="26"/>
      <c r="HV25" s="26"/>
      <c r="HW25" s="26"/>
      <c r="HX25" s="26"/>
      <c r="HY25" s="26"/>
      <c r="HZ25" s="26"/>
      <c r="IA25" s="26"/>
      <c r="IB25" s="26"/>
      <c r="IC25" s="26"/>
      <c r="ID25" s="26"/>
      <c r="IE25" s="26"/>
      <c r="IF25" s="26"/>
      <c r="IG25" s="26"/>
      <c r="IH25" s="26"/>
      <c r="II25" s="26"/>
      <c r="IJ25" s="26"/>
      <c r="IK25" s="26"/>
      <c r="IL25" s="26"/>
      <c r="IM25" s="26"/>
      <c r="IN25" s="26"/>
      <c r="IO25" s="26"/>
      <c r="IP25" s="26"/>
      <c r="IQ25" s="26"/>
      <c r="IR25" s="26"/>
      <c r="IS25" s="26"/>
      <c r="IT25" s="26"/>
      <c r="IU25" s="26"/>
    </row>
    <row r="26" spans="1:255" s="17" customFormat="1" ht="13.2" outlineLevel="1">
      <c r="A26" s="64" t="s">
        <v>368</v>
      </c>
      <c r="B26" s="65">
        <v>59447.75660506315</v>
      </c>
      <c r="D26" s="60"/>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row>
    <row r="27" spans="1:255" s="17" customFormat="1" ht="13.2" outlineLevel="1">
      <c r="A27" s="66" t="s">
        <v>369</v>
      </c>
      <c r="B27" s="67">
        <v>90898.806029814761</v>
      </c>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row>
    <row r="28" spans="1:255" s="51" customFormat="1" ht="13.2" outlineLevel="1">
      <c r="A28" s="68" t="s">
        <v>370</v>
      </c>
      <c r="B28" s="495" t="s">
        <v>468</v>
      </c>
      <c r="C28" s="495" t="s">
        <v>469</v>
      </c>
      <c r="D28" s="497">
        <v>2000</v>
      </c>
      <c r="E28" s="498">
        <v>2001</v>
      </c>
      <c r="F28" s="498">
        <v>2002</v>
      </c>
      <c r="G28" s="498">
        <v>2003</v>
      </c>
      <c r="H28" s="498">
        <v>2004</v>
      </c>
      <c r="I28" s="498">
        <v>2005</v>
      </c>
      <c r="J28" s="498">
        <v>2006</v>
      </c>
      <c r="K28" s="498">
        <v>2007</v>
      </c>
      <c r="L28" s="498">
        <v>2008</v>
      </c>
      <c r="M28" s="498">
        <v>2009</v>
      </c>
      <c r="N28" s="499">
        <v>2010</v>
      </c>
      <c r="O28" s="69">
        <v>2011</v>
      </c>
      <c r="P28" s="69">
        <v>2012</v>
      </c>
      <c r="Q28" s="69">
        <v>2013</v>
      </c>
      <c r="R28" s="69">
        <v>2014</v>
      </c>
      <c r="S28" s="69">
        <v>2015</v>
      </c>
      <c r="T28" s="69">
        <v>2016</v>
      </c>
      <c r="U28" s="69">
        <v>2017</v>
      </c>
      <c r="V28" s="69">
        <v>2018</v>
      </c>
      <c r="W28" s="69">
        <v>2019</v>
      </c>
      <c r="X28" s="69">
        <v>2020</v>
      </c>
      <c r="Y28" s="60"/>
      <c r="Z28" s="60"/>
      <c r="AA28" s="60"/>
      <c r="AB28" s="60"/>
      <c r="AC28" s="60"/>
      <c r="AD28" s="60"/>
      <c r="AE28"/>
    </row>
    <row r="29" spans="1:255" s="51" customFormat="1" ht="13.2" outlineLevel="1">
      <c r="A29" s="68" t="s">
        <v>371</v>
      </c>
      <c r="B29" s="496">
        <f>NPV(0.1,D29:Y29)</f>
        <v>428097.64566429093</v>
      </c>
      <c r="C29" s="496">
        <f>B29-B19</f>
        <v>0</v>
      </c>
      <c r="D29" s="500">
        <v>24591.638250399999</v>
      </c>
      <c r="E29" s="501">
        <v>34540.522766400005</v>
      </c>
      <c r="F29" s="501">
        <v>34802.796280800001</v>
      </c>
      <c r="G29" s="501">
        <v>44456.182643309628</v>
      </c>
      <c r="H29" s="501">
        <v>52301.149094810535</v>
      </c>
      <c r="I29" s="501">
        <v>53478.371891430266</v>
      </c>
      <c r="J29" s="501">
        <v>54490.16498678254</v>
      </c>
      <c r="K29" s="501">
        <v>55603.473073719419</v>
      </c>
      <c r="L29" s="501">
        <v>56816.359729219592</v>
      </c>
      <c r="M29" s="501">
        <v>58132.828166066014</v>
      </c>
      <c r="N29" s="502">
        <v>59578.538941149309</v>
      </c>
      <c r="O29" s="75">
        <v>61017.90784261145</v>
      </c>
      <c r="P29" s="75">
        <v>62581.466044832348</v>
      </c>
      <c r="Q29" s="75">
        <v>64208.768640484304</v>
      </c>
      <c r="R29" s="75">
        <v>65893.529434824479</v>
      </c>
      <c r="S29" s="75">
        <v>67605.02510097374</v>
      </c>
      <c r="T29" s="75">
        <v>69188.600316769443</v>
      </c>
      <c r="U29" s="75">
        <v>70936.028786368857</v>
      </c>
      <c r="V29" s="75">
        <v>72457.166651484775</v>
      </c>
      <c r="W29" s="75">
        <v>73973.746533671438</v>
      </c>
      <c r="X29" s="75">
        <v>18312.086909030786</v>
      </c>
      <c r="Y29" s="60"/>
      <c r="Z29" s="60"/>
      <c r="AA29" s="60"/>
      <c r="AB29" s="60"/>
      <c r="AC29" s="60"/>
      <c r="AD29" s="60"/>
      <c r="AE29"/>
    </row>
    <row r="30" spans="1:255" s="51" customFormat="1" ht="13.2" outlineLevel="1">
      <c r="A30" s="70" t="s">
        <v>372</v>
      </c>
      <c r="B30" s="496">
        <f>NPV(0.1,D30:Y30)</f>
        <v>191902.03152231078</v>
      </c>
      <c r="C30" s="496">
        <f>B30-B20</f>
        <v>0</v>
      </c>
      <c r="D30" s="500">
        <v>15341.639917066666</v>
      </c>
      <c r="E30" s="501">
        <v>19350.268566399998</v>
      </c>
      <c r="F30" s="501">
        <v>19696.544454800001</v>
      </c>
      <c r="G30" s="501">
        <v>19981.128798299997</v>
      </c>
      <c r="H30" s="501">
        <v>20330.260116456993</v>
      </c>
      <c r="I30" s="501">
        <v>20749.644509550708</v>
      </c>
      <c r="J30" s="501">
        <v>21237.067011045234</v>
      </c>
      <c r="K30" s="501">
        <v>21824.800223136586</v>
      </c>
      <c r="L30" s="501">
        <v>22513.34669947868</v>
      </c>
      <c r="M30" s="501">
        <v>23305.175151983047</v>
      </c>
      <c r="N30" s="502">
        <v>24763.439355390539</v>
      </c>
      <c r="O30" s="75">
        <v>25790.410280916254</v>
      </c>
      <c r="P30" s="75">
        <v>26950.438518271745</v>
      </c>
      <c r="Q30" s="75">
        <v>28187.050198971887</v>
      </c>
      <c r="R30" s="75">
        <v>29493.978648237055</v>
      </c>
      <c r="S30" s="75">
        <v>30841.570575204154</v>
      </c>
      <c r="T30" s="75">
        <v>32241.455556764282</v>
      </c>
      <c r="U30" s="75">
        <v>33832.392287147202</v>
      </c>
      <c r="V30" s="75">
        <v>35224.920138977628</v>
      </c>
      <c r="W30" s="75">
        <v>36642.532379930955</v>
      </c>
      <c r="X30" s="75">
        <v>0</v>
      </c>
      <c r="Y30" s="60"/>
      <c r="Z30" s="60"/>
      <c r="AA30" s="60"/>
      <c r="AB30" s="60"/>
      <c r="AC30" s="60"/>
      <c r="AD30" s="60"/>
      <c r="AE30"/>
    </row>
    <row r="31" spans="1:255" s="51" customFormat="1" ht="13.2" outlineLevel="1">
      <c r="A31" s="70" t="s">
        <v>34</v>
      </c>
      <c r="B31" s="496">
        <f>NPV(0.1,D31:Y31)</f>
        <v>76619.373600376784</v>
      </c>
      <c r="C31" s="496">
        <f>B31-B21</f>
        <v>287.2554554688104</v>
      </c>
      <c r="D31" s="500">
        <v>89.069675871285</v>
      </c>
      <c r="E31" s="501">
        <v>-194.49750112779211</v>
      </c>
      <c r="F31" s="501">
        <v>-155.6413837306406</v>
      </c>
      <c r="G31" s="501">
        <v>5688.7245946284065</v>
      </c>
      <c r="H31" s="501">
        <v>10330.382650776481</v>
      </c>
      <c r="I31" s="501">
        <v>11149.651678997256</v>
      </c>
      <c r="J31" s="501">
        <v>11797.627722501948</v>
      </c>
      <c r="K31" s="501">
        <v>12275.744234702383</v>
      </c>
      <c r="L31" s="501">
        <v>12839.362080004803</v>
      </c>
      <c r="M31" s="501">
        <v>13431.886948065305</v>
      </c>
      <c r="N31" s="502">
        <v>13723.695669706647</v>
      </c>
      <c r="O31" s="75">
        <v>14233.644315437277</v>
      </c>
      <c r="P31" s="75">
        <v>14838.263271974758</v>
      </c>
      <c r="Q31" s="75">
        <v>15470.433230117191</v>
      </c>
      <c r="R31" s="75">
        <v>16132.698872651987</v>
      </c>
      <c r="S31" s="75">
        <v>16751.628917563852</v>
      </c>
      <c r="T31" s="75">
        <v>17378.56246593723</v>
      </c>
      <c r="U31" s="75">
        <v>18032.364580767906</v>
      </c>
      <c r="V31" s="75">
        <v>18715.537621630858</v>
      </c>
      <c r="W31" s="75">
        <v>19182.781958656422</v>
      </c>
      <c r="X31" s="75">
        <v>0</v>
      </c>
      <c r="Y31" s="60"/>
      <c r="Z31" s="60"/>
      <c r="AA31" s="60"/>
      <c r="AB31" s="60"/>
      <c r="AC31" s="60"/>
      <c r="AD31" s="60"/>
      <c r="AE31"/>
    </row>
    <row r="32" spans="1:255" s="51" customFormat="1" ht="13.2" outlineLevel="1">
      <c r="A32" s="70" t="s">
        <v>32</v>
      </c>
      <c r="B32" s="496">
        <f>NPV(0.1,D32:Y32)</f>
        <v>94551.624906455516</v>
      </c>
      <c r="C32" s="496">
        <f>B32-B22</f>
        <v>-261.74857221877028</v>
      </c>
      <c r="D32" s="503">
        <v>2300.2989818993992</v>
      </c>
      <c r="E32" s="504">
        <v>4365.42744183781</v>
      </c>
      <c r="F32" s="504">
        <v>3782.4500116368704</v>
      </c>
      <c r="G32" s="504">
        <v>14947.020517795736</v>
      </c>
      <c r="H32" s="504">
        <v>19469.293961773434</v>
      </c>
      <c r="I32" s="504">
        <v>16184.189780198902</v>
      </c>
      <c r="J32" s="504">
        <v>14054.11007649637</v>
      </c>
      <c r="K32" s="504">
        <v>14015.599499540827</v>
      </c>
      <c r="L32" s="504">
        <v>14011.838955076702</v>
      </c>
      <c r="M32" s="504">
        <v>14000.039056118472</v>
      </c>
      <c r="N32" s="505">
        <v>14379.139382693016</v>
      </c>
      <c r="O32" s="75">
        <v>13675.146216049983</v>
      </c>
      <c r="P32" s="75">
        <v>13573.860207899255</v>
      </c>
      <c r="Q32" s="75">
        <v>13462.592240146578</v>
      </c>
      <c r="R32" s="75">
        <v>13314.013338912308</v>
      </c>
      <c r="S32" s="75">
        <v>10259.919143147918</v>
      </c>
      <c r="T32" s="75">
        <v>9620.4185940163479</v>
      </c>
      <c r="U32" s="75">
        <v>9353.6823938286943</v>
      </c>
      <c r="V32" s="75">
        <v>9052.0711469690832</v>
      </c>
      <c r="W32" s="75">
        <v>14309.335265738429</v>
      </c>
      <c r="X32" s="75">
        <v>0</v>
      </c>
      <c r="Y32" s="60"/>
      <c r="Z32" s="60"/>
      <c r="AA32" s="60"/>
      <c r="AB32" s="60"/>
      <c r="AC32" s="60"/>
      <c r="AD32" s="60"/>
      <c r="AE32"/>
    </row>
    <row r="33" spans="1:31" s="51" customFormat="1" ht="13.2" outlineLevel="1">
      <c r="A33" s="60"/>
      <c r="B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row>
    <row r="34" spans="1:31" s="51" customFormat="1" ht="13.2" outlineLevel="1">
      <c r="A34" s="71" t="s">
        <v>434</v>
      </c>
      <c r="B34" s="60"/>
      <c r="D34" s="60"/>
      <c r="E34" s="60"/>
      <c r="F34" s="60"/>
      <c r="G34" s="60"/>
      <c r="H34" s="60"/>
      <c r="I34" s="60"/>
      <c r="J34" s="60"/>
      <c r="K34" s="60"/>
      <c r="L34" s="60"/>
      <c r="M34" s="60"/>
      <c r="N34" s="60"/>
      <c r="O34" s="60"/>
      <c r="P34" s="60"/>
      <c r="Q34" s="60"/>
      <c r="R34" s="60"/>
      <c r="S34" s="60"/>
      <c r="T34" s="60"/>
      <c r="U34" s="60"/>
      <c r="V34" s="60"/>
      <c r="W34" s="60"/>
      <c r="X34" s="60"/>
      <c r="Y34" s="60"/>
      <c r="Z34" s="60"/>
      <c r="AA34" s="60"/>
      <c r="AB34" s="60"/>
      <c r="AC34" s="60"/>
      <c r="AD34" s="60"/>
      <c r="AE34"/>
    </row>
    <row r="35" spans="1:31" s="51" customFormat="1" ht="13.2" outlineLevel="1">
      <c r="A35" s="442">
        <v>36221</v>
      </c>
      <c r="B35" s="60"/>
      <c r="D35" s="60"/>
      <c r="E35" s="60"/>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row>
    <row r="36" spans="1:31" s="51" customFormat="1" ht="13.2" outlineLevel="1">
      <c r="A36" s="64" t="s">
        <v>368</v>
      </c>
      <c r="B36" s="65">
        <v>59449.320417537412</v>
      </c>
      <c r="D36" s="60"/>
      <c r="E36" s="60"/>
      <c r="F36" s="60"/>
      <c r="G36" s="60"/>
      <c r="H36" s="60"/>
      <c r="I36" s="60"/>
      <c r="J36" s="60"/>
      <c r="K36" s="60"/>
      <c r="L36" s="60"/>
      <c r="M36" s="60"/>
      <c r="N36" s="60"/>
      <c r="O36" s="60"/>
      <c r="P36" s="60"/>
      <c r="Q36" s="60"/>
      <c r="R36" s="60"/>
      <c r="S36" s="60"/>
      <c r="T36" s="60"/>
      <c r="U36" s="60"/>
      <c r="V36" s="60"/>
      <c r="W36" s="60"/>
      <c r="X36" s="60"/>
      <c r="Y36" s="60"/>
      <c r="Z36" s="60"/>
      <c r="AA36" s="60"/>
      <c r="AB36" s="60"/>
      <c r="AC36" s="60"/>
      <c r="AD36" s="60"/>
      <c r="AE36"/>
    </row>
    <row r="37" spans="1:31" s="51" customFormat="1" ht="13.2" outlineLevel="1">
      <c r="A37" s="66" t="s">
        <v>369</v>
      </c>
      <c r="B37" s="67">
        <v>90898.806029814776</v>
      </c>
      <c r="D37" s="60"/>
      <c r="E37" s="60"/>
      <c r="F37" s="60"/>
      <c r="G37" s="60"/>
      <c r="H37" s="60"/>
      <c r="I37" s="60"/>
      <c r="J37" s="60"/>
      <c r="K37" s="60"/>
      <c r="L37" s="60"/>
      <c r="M37" s="60"/>
      <c r="N37" s="60"/>
      <c r="O37" s="60"/>
      <c r="P37" s="60"/>
      <c r="Q37" s="60"/>
      <c r="R37" s="60"/>
      <c r="S37" s="60"/>
      <c r="T37" s="60"/>
      <c r="U37" s="60"/>
      <c r="V37" s="60"/>
      <c r="W37" s="60"/>
      <c r="X37" s="60"/>
      <c r="Y37" s="60"/>
      <c r="Z37" s="60"/>
      <c r="AA37" s="60"/>
      <c r="AB37" s="60"/>
      <c r="AC37" s="60"/>
      <c r="AD37" s="60"/>
      <c r="AE37"/>
    </row>
    <row r="38" spans="1:31" s="51" customFormat="1" ht="13.2" outlineLevel="1">
      <c r="A38" s="68" t="s">
        <v>370</v>
      </c>
      <c r="B38" s="495" t="s">
        <v>468</v>
      </c>
      <c r="C38" s="495" t="s">
        <v>469</v>
      </c>
      <c r="D38" s="497">
        <v>2000</v>
      </c>
      <c r="E38" s="498">
        <v>2001</v>
      </c>
      <c r="F38" s="498">
        <v>2002</v>
      </c>
      <c r="G38" s="498">
        <v>2003</v>
      </c>
      <c r="H38" s="498">
        <v>2004</v>
      </c>
      <c r="I38" s="498">
        <v>2005</v>
      </c>
      <c r="J38" s="498">
        <v>2006</v>
      </c>
      <c r="K38" s="498">
        <v>2007</v>
      </c>
      <c r="L38" s="498">
        <v>2008</v>
      </c>
      <c r="M38" s="498">
        <v>2009</v>
      </c>
      <c r="N38" s="499">
        <v>2010</v>
      </c>
      <c r="O38" s="69">
        <v>2011</v>
      </c>
      <c r="P38" s="69">
        <v>2012</v>
      </c>
      <c r="Q38" s="69">
        <v>2013</v>
      </c>
      <c r="R38" s="69">
        <v>2014</v>
      </c>
      <c r="S38" s="69">
        <v>2015</v>
      </c>
      <c r="T38" s="69">
        <v>2016</v>
      </c>
      <c r="U38" s="69">
        <v>2017</v>
      </c>
      <c r="V38" s="69">
        <v>2018</v>
      </c>
      <c r="W38" s="69">
        <v>2019</v>
      </c>
      <c r="X38" s="69">
        <v>2020</v>
      </c>
      <c r="Y38" s="60"/>
      <c r="Z38" s="60"/>
      <c r="AA38" s="60"/>
      <c r="AB38" s="60"/>
      <c r="AC38" s="60"/>
      <c r="AD38" s="60"/>
      <c r="AE38"/>
    </row>
    <row r="39" spans="1:31" s="51" customFormat="1" ht="13.2" outlineLevel="1">
      <c r="A39" s="68" t="s">
        <v>371</v>
      </c>
      <c r="B39" s="496">
        <f>NPV(0.1,D39:Y39)</f>
        <v>430119.42019548552</v>
      </c>
      <c r="C39" s="496">
        <f>B39-B29</f>
        <v>2021.774531194591</v>
      </c>
      <c r="D39" s="500">
        <v>24769.637733249998</v>
      </c>
      <c r="E39" s="501">
        <v>34741.554259500001</v>
      </c>
      <c r="F39" s="501">
        <v>35007.565345199997</v>
      </c>
      <c r="G39" s="501">
        <v>44663.954472065634</v>
      </c>
      <c r="H39" s="501">
        <v>52512.654424261214</v>
      </c>
      <c r="I39" s="501">
        <v>53694.431820414466</v>
      </c>
      <c r="J39" s="501">
        <v>54711.55028246827</v>
      </c>
      <c r="K39" s="501">
        <v>55831.358334065721</v>
      </c>
      <c r="L39" s="501">
        <v>57051.901253093281</v>
      </c>
      <c r="M39" s="501">
        <v>58377.234339235911</v>
      </c>
      <c r="N39" s="502">
        <v>59833.32611578131</v>
      </c>
      <c r="O39" s="75">
        <v>61284.689287688409</v>
      </c>
      <c r="P39" s="75">
        <v>62861.811256723609</v>
      </c>
      <c r="Q39" s="75">
        <v>64503.544554090302</v>
      </c>
      <c r="R39" s="75">
        <v>66203.540084522654</v>
      </c>
      <c r="S39" s="75">
        <v>67930.723818992861</v>
      </c>
      <c r="T39" s="75">
        <v>69530.58867742015</v>
      </c>
      <c r="U39" s="75">
        <v>71296.52139255908</v>
      </c>
      <c r="V39" s="75">
        <v>72833.793154849714</v>
      </c>
      <c r="W39" s="75">
        <v>74366.773093148309</v>
      </c>
      <c r="X39" s="75">
        <v>18312.086909030786</v>
      </c>
      <c r="Y39" s="60"/>
      <c r="Z39" s="60"/>
      <c r="AA39" s="60"/>
      <c r="AB39" s="60"/>
      <c r="AC39" s="60"/>
      <c r="AD39" s="60"/>
      <c r="AE39"/>
    </row>
    <row r="40" spans="1:31" ht="13.2" outlineLevel="1">
      <c r="A40" s="70" t="s">
        <v>372</v>
      </c>
      <c r="B40" s="496">
        <f>NPV(0.1,D40:Y40)</f>
        <v>194275.95127366681</v>
      </c>
      <c r="C40" s="496">
        <f>B40-B30</f>
        <v>2373.9197513560357</v>
      </c>
      <c r="D40" s="500">
        <v>15519.639399916668</v>
      </c>
      <c r="E40" s="501">
        <v>19551.300059499998</v>
      </c>
      <c r="F40" s="501">
        <v>19901.313519200001</v>
      </c>
      <c r="G40" s="501">
        <v>20188.900627055995</v>
      </c>
      <c r="H40" s="501">
        <v>20541.765445907673</v>
      </c>
      <c r="I40" s="501">
        <v>20965.704438534915</v>
      </c>
      <c r="J40" s="501">
        <v>21458.452306730956</v>
      </c>
      <c r="K40" s="501">
        <v>22052.685483482885</v>
      </c>
      <c r="L40" s="501">
        <v>22748.888223352365</v>
      </c>
      <c r="M40" s="501">
        <v>23549.581325152943</v>
      </c>
      <c r="N40" s="502">
        <v>25018.226530022534</v>
      </c>
      <c r="O40" s="75">
        <v>26057.191725993209</v>
      </c>
      <c r="P40" s="75">
        <v>27230.783730163006</v>
      </c>
      <c r="Q40" s="75">
        <v>28481.826112577888</v>
      </c>
      <c r="R40" s="75">
        <v>29803.989297935233</v>
      </c>
      <c r="S40" s="75">
        <v>31167.269293223282</v>
      </c>
      <c r="T40" s="75">
        <v>32583.443917414981</v>
      </c>
      <c r="U40" s="75">
        <v>34192.884893337425</v>
      </c>
      <c r="V40" s="75">
        <v>35601.546642342553</v>
      </c>
      <c r="W40" s="75">
        <v>37035.558939407834</v>
      </c>
      <c r="X40" s="75">
        <v>2605.962645869718</v>
      </c>
      <c r="Y40" s="60"/>
      <c r="Z40" s="60"/>
      <c r="AA40" s="60"/>
      <c r="AB40" s="60"/>
      <c r="AC40" s="60"/>
      <c r="AD40" s="60"/>
      <c r="AE40"/>
    </row>
    <row r="41" spans="1:31" ht="13.2" outlineLevel="1">
      <c r="A41" s="70" t="s">
        <v>34</v>
      </c>
      <c r="B41" s="496">
        <f>NPV(0.1,D41:Y41)</f>
        <v>76536.172436085762</v>
      </c>
      <c r="C41" s="496">
        <f>B41-B31</f>
        <v>-83.201164291021996</v>
      </c>
      <c r="D41" s="500">
        <v>-320.02407412871787</v>
      </c>
      <c r="E41" s="501">
        <v>-101.87250112779546</v>
      </c>
      <c r="F41" s="501">
        <v>-63.016383730643959</v>
      </c>
      <c r="G41" s="501">
        <v>5781.3495946284092</v>
      </c>
      <c r="H41" s="501">
        <v>10423.007650776479</v>
      </c>
      <c r="I41" s="501">
        <v>11188.245428997248</v>
      </c>
      <c r="J41" s="501">
        <v>11797.627722501949</v>
      </c>
      <c r="K41" s="501">
        <v>12275.744234702379</v>
      </c>
      <c r="L41" s="501">
        <v>12839.362080004808</v>
      </c>
      <c r="M41" s="501">
        <v>13431.886948065303</v>
      </c>
      <c r="N41" s="502">
        <v>13723.695669706649</v>
      </c>
      <c r="O41" s="75">
        <v>14233.644315437277</v>
      </c>
      <c r="P41" s="75">
        <v>14838.263271974758</v>
      </c>
      <c r="Q41" s="75">
        <v>15470.433230117185</v>
      </c>
      <c r="R41" s="75">
        <v>16132.698872651985</v>
      </c>
      <c r="S41" s="75">
        <v>16751.628917563845</v>
      </c>
      <c r="T41" s="75">
        <v>17378.562465937233</v>
      </c>
      <c r="U41" s="75">
        <v>18032.364580767902</v>
      </c>
      <c r="V41" s="75">
        <v>18715.537621630865</v>
      </c>
      <c r="W41" s="75">
        <v>19182.781958656418</v>
      </c>
      <c r="X41" s="75">
        <v>0</v>
      </c>
      <c r="Y41" s="60"/>
      <c r="Z41" s="60"/>
      <c r="AA41" s="60"/>
      <c r="AB41" s="60"/>
      <c r="AC41" s="60"/>
      <c r="AD41" s="60"/>
      <c r="AE41"/>
    </row>
    <row r="42" spans="1:31" ht="13.2">
      <c r="A42" s="70" t="s">
        <v>32</v>
      </c>
      <c r="B42" s="496">
        <f>NPV(0.1,D42:Y42)</f>
        <v>94553.287458577674</v>
      </c>
      <c r="C42" s="496">
        <f>B42-B32</f>
        <v>1.6625521221576491</v>
      </c>
      <c r="D42" s="503">
        <v>2300.2989818993983</v>
      </c>
      <c r="E42" s="504">
        <v>4365.4274418378091</v>
      </c>
      <c r="F42" s="504">
        <v>3782.4500116368681</v>
      </c>
      <c r="G42" s="504">
        <v>14947.020517795741</v>
      </c>
      <c r="H42" s="504">
        <v>19469.29396177343</v>
      </c>
      <c r="I42" s="504">
        <v>16187.1350926989</v>
      </c>
      <c r="J42" s="504">
        <v>14054.110076496376</v>
      </c>
      <c r="K42" s="504">
        <v>14015.599499540824</v>
      </c>
      <c r="L42" s="504">
        <v>14011.83895507671</v>
      </c>
      <c r="M42" s="504">
        <v>14000.039056118472</v>
      </c>
      <c r="N42" s="505">
        <v>14379.139382693025</v>
      </c>
      <c r="O42" s="75">
        <v>13675.14621604999</v>
      </c>
      <c r="P42" s="75">
        <v>13573.860207899255</v>
      </c>
      <c r="Q42" s="75">
        <v>13462.592240146583</v>
      </c>
      <c r="R42" s="75">
        <v>13314.013338912309</v>
      </c>
      <c r="S42" s="75">
        <v>10259.919143147923</v>
      </c>
      <c r="T42" s="75">
        <v>9620.4185940163516</v>
      </c>
      <c r="U42" s="75">
        <v>9353.6823938286961</v>
      </c>
      <c r="V42" s="75">
        <v>9052.0711469690868</v>
      </c>
      <c r="W42" s="75">
        <v>14309.335265738435</v>
      </c>
      <c r="X42" s="75">
        <v>0</v>
      </c>
      <c r="Y42" s="60"/>
      <c r="Z42" s="60"/>
      <c r="AA42" s="60"/>
      <c r="AB42" s="60"/>
      <c r="AC42" s="60"/>
      <c r="AD42" s="60"/>
      <c r="AE42"/>
    </row>
    <row r="43" spans="1:31" ht="13.2">
      <c r="A43" s="60"/>
      <c r="B43" s="60"/>
      <c r="D43" s="60"/>
      <c r="E43" s="60"/>
      <c r="F43" s="60"/>
      <c r="G43" s="60"/>
      <c r="H43" s="60"/>
      <c r="I43" s="60"/>
      <c r="J43" s="60"/>
      <c r="K43" s="60"/>
      <c r="L43" s="60"/>
      <c r="M43" s="60"/>
      <c r="N43" s="60"/>
      <c r="O43" s="60"/>
      <c r="P43" s="60"/>
      <c r="Q43" s="60"/>
      <c r="R43" s="60"/>
      <c r="S43" s="60"/>
      <c r="T43" s="60"/>
      <c r="U43" s="60"/>
      <c r="V43" s="60"/>
      <c r="W43" s="60"/>
      <c r="X43" s="60"/>
      <c r="Y43" s="60"/>
      <c r="Z43" s="60"/>
      <c r="AA43" s="60"/>
      <c r="AB43" s="60"/>
      <c r="AC43" s="60"/>
      <c r="AD43" s="60"/>
      <c r="AE43"/>
    </row>
    <row r="44" spans="1:31" ht="13.2">
      <c r="A44" s="71" t="s">
        <v>435</v>
      </c>
      <c r="B44" s="60"/>
      <c r="D44" s="60"/>
      <c r="E44" s="60"/>
      <c r="F44" s="60"/>
      <c r="G44" s="60"/>
      <c r="H44" s="60"/>
      <c r="I44" s="60"/>
      <c r="J44" s="60"/>
      <c r="K44" s="60"/>
      <c r="L44" s="60"/>
      <c r="M44" s="60"/>
      <c r="N44" s="60"/>
      <c r="O44" s="60"/>
      <c r="P44" s="60"/>
      <c r="Q44" s="60"/>
      <c r="R44" s="60"/>
      <c r="S44" s="60"/>
      <c r="T44" s="60"/>
      <c r="U44" s="60"/>
      <c r="V44" s="60"/>
      <c r="W44" s="60"/>
      <c r="X44" s="60"/>
      <c r="Y44" s="60"/>
      <c r="Z44" s="60"/>
      <c r="AA44" s="60"/>
      <c r="AB44" s="60"/>
      <c r="AC44" s="60"/>
      <c r="AD44" s="60"/>
      <c r="AE44"/>
    </row>
    <row r="45" spans="1:31" ht="13.2" outlineLevel="1">
      <c r="A45" s="442">
        <v>36221</v>
      </c>
      <c r="B45" s="60"/>
      <c r="D45" s="60"/>
      <c r="E45" s="60"/>
      <c r="F45" s="60"/>
      <c r="G45" s="60"/>
      <c r="H45" s="60"/>
      <c r="I45" s="60"/>
      <c r="J45" s="60"/>
      <c r="K45" s="60"/>
      <c r="L45" s="60"/>
      <c r="M45" s="60"/>
      <c r="N45" s="60"/>
      <c r="O45" s="60"/>
      <c r="P45" s="60"/>
      <c r="Q45" s="60"/>
      <c r="R45" s="60"/>
      <c r="S45" s="60"/>
      <c r="T45" s="60"/>
      <c r="U45" s="60"/>
      <c r="V45" s="60"/>
      <c r="W45" s="60"/>
      <c r="X45" s="60"/>
      <c r="Y45" s="60"/>
      <c r="Z45" s="60"/>
      <c r="AA45" s="60"/>
      <c r="AB45" s="60"/>
      <c r="AC45" s="60"/>
      <c r="AD45" s="60"/>
      <c r="AE45"/>
    </row>
    <row r="46" spans="1:31" ht="13.2" outlineLevel="1">
      <c r="A46" s="64" t="s">
        <v>368</v>
      </c>
      <c r="B46" s="65">
        <v>57009.127559412605</v>
      </c>
      <c r="D46" s="60"/>
      <c r="E46" s="60"/>
      <c r="F46" s="60"/>
      <c r="G46" s="60"/>
      <c r="H46" s="60"/>
      <c r="I46" s="60"/>
      <c r="J46" s="60"/>
      <c r="K46" s="60"/>
      <c r="L46" s="60"/>
      <c r="M46" s="60"/>
      <c r="N46" s="60"/>
      <c r="O46" s="60"/>
      <c r="P46" s="60"/>
      <c r="Q46" s="60"/>
      <c r="R46" s="60"/>
      <c r="S46" s="60"/>
      <c r="T46" s="60"/>
      <c r="U46" s="60"/>
      <c r="V46" s="60"/>
      <c r="W46" s="60"/>
      <c r="X46" s="60"/>
      <c r="Y46" s="60"/>
      <c r="Z46" s="60"/>
      <c r="AA46" s="60"/>
      <c r="AB46" s="60"/>
      <c r="AC46" s="60"/>
      <c r="AD46" s="60"/>
      <c r="AE46"/>
    </row>
    <row r="47" spans="1:31" ht="13.2" outlineLevel="1">
      <c r="A47" s="66" t="s">
        <v>369</v>
      </c>
      <c r="B47" s="67">
        <v>87755.244599199752</v>
      </c>
      <c r="D47" s="60"/>
      <c r="E47" s="60"/>
      <c r="F47" s="60"/>
      <c r="G47" s="60"/>
      <c r="H47" s="60"/>
      <c r="I47" s="60"/>
      <c r="J47" s="60"/>
      <c r="K47" s="60"/>
      <c r="L47" s="60"/>
      <c r="M47" s="60"/>
      <c r="N47" s="60"/>
      <c r="O47" s="60"/>
      <c r="P47" s="60"/>
      <c r="Q47" s="60"/>
      <c r="R47" s="60"/>
      <c r="S47" s="60"/>
      <c r="T47" s="60"/>
      <c r="U47" s="60"/>
      <c r="V47" s="60"/>
      <c r="W47" s="60"/>
      <c r="X47" s="60"/>
      <c r="Y47" s="60"/>
      <c r="Z47" s="60"/>
      <c r="AA47" s="60"/>
      <c r="AB47" s="60"/>
      <c r="AC47" s="60"/>
      <c r="AD47" s="60"/>
      <c r="AE47"/>
    </row>
    <row r="48" spans="1:31" ht="13.2" outlineLevel="1">
      <c r="A48" s="68" t="s">
        <v>370</v>
      </c>
      <c r="B48" s="495" t="s">
        <v>468</v>
      </c>
      <c r="C48" s="495" t="s">
        <v>469</v>
      </c>
      <c r="D48" s="497">
        <v>2000</v>
      </c>
      <c r="E48" s="498">
        <v>2001</v>
      </c>
      <c r="F48" s="498">
        <v>2002</v>
      </c>
      <c r="G48" s="498">
        <v>2003</v>
      </c>
      <c r="H48" s="498">
        <v>2004</v>
      </c>
      <c r="I48" s="498">
        <v>2005</v>
      </c>
      <c r="J48" s="498">
        <v>2006</v>
      </c>
      <c r="K48" s="498">
        <v>2007</v>
      </c>
      <c r="L48" s="498">
        <v>2008</v>
      </c>
      <c r="M48" s="498">
        <v>2009</v>
      </c>
      <c r="N48" s="499">
        <v>2010</v>
      </c>
      <c r="O48" s="69">
        <v>2011</v>
      </c>
      <c r="P48" s="69">
        <v>2012</v>
      </c>
      <c r="Q48" s="69">
        <v>2013</v>
      </c>
      <c r="R48" s="69">
        <v>2014</v>
      </c>
      <c r="S48" s="69">
        <v>2015</v>
      </c>
      <c r="T48" s="69">
        <v>2016</v>
      </c>
      <c r="U48" s="69">
        <v>2017</v>
      </c>
      <c r="V48" s="69">
        <v>2018</v>
      </c>
      <c r="W48" s="69">
        <v>2019</v>
      </c>
      <c r="X48" s="69">
        <v>2020</v>
      </c>
      <c r="Y48" s="60"/>
      <c r="Z48" s="60"/>
      <c r="AA48" s="60"/>
      <c r="AB48" s="60"/>
      <c r="AC48" s="60"/>
      <c r="AD48" s="60"/>
      <c r="AE48"/>
    </row>
    <row r="49" spans="1:31" ht="13.2" outlineLevel="1">
      <c r="A49" s="68" t="s">
        <v>371</v>
      </c>
      <c r="B49" s="496">
        <f>NPV(0.1,D49:Y49)</f>
        <v>430119.42019548552</v>
      </c>
      <c r="C49" s="496">
        <f>B49-B39</f>
        <v>0</v>
      </c>
      <c r="D49" s="500">
        <v>24769.637733249998</v>
      </c>
      <c r="E49" s="501">
        <v>34741.554259500001</v>
      </c>
      <c r="F49" s="501">
        <v>35007.565345199997</v>
      </c>
      <c r="G49" s="501">
        <v>44663.954472065634</v>
      </c>
      <c r="H49" s="501">
        <v>52512.654424261214</v>
      </c>
      <c r="I49" s="501">
        <v>53694.431820414466</v>
      </c>
      <c r="J49" s="501">
        <v>54711.55028246827</v>
      </c>
      <c r="K49" s="501">
        <v>55831.358334065721</v>
      </c>
      <c r="L49" s="501">
        <v>57051.901253093281</v>
      </c>
      <c r="M49" s="501">
        <v>58377.234339235911</v>
      </c>
      <c r="N49" s="502">
        <v>59833.32611578131</v>
      </c>
      <c r="O49" s="75">
        <v>61284.689287688409</v>
      </c>
      <c r="P49" s="75">
        <v>62861.811256723609</v>
      </c>
      <c r="Q49" s="75">
        <v>64503.544554090302</v>
      </c>
      <c r="R49" s="75">
        <v>66203.540084522654</v>
      </c>
      <c r="S49" s="75">
        <v>67930.723818992861</v>
      </c>
      <c r="T49" s="75">
        <v>69530.58867742015</v>
      </c>
      <c r="U49" s="75">
        <v>71296.52139255908</v>
      </c>
      <c r="V49" s="75">
        <v>72833.793154849714</v>
      </c>
      <c r="W49" s="75">
        <v>74366.773093148309</v>
      </c>
      <c r="X49" s="75">
        <v>18312.086909030786</v>
      </c>
      <c r="Y49" s="60"/>
      <c r="Z49" s="60"/>
      <c r="AA49" s="60"/>
      <c r="AB49" s="60"/>
      <c r="AC49" s="60"/>
      <c r="AD49" s="60"/>
      <c r="AE49"/>
    </row>
    <row r="50" spans="1:31" ht="13.2" outlineLevel="1">
      <c r="A50" s="70" t="s">
        <v>372</v>
      </c>
      <c r="B50" s="496">
        <f>NPV(0.1,D50:Y50)</f>
        <v>197419.52464828597</v>
      </c>
      <c r="C50" s="496">
        <f>B50-B40</f>
        <v>3143.5733746191545</v>
      </c>
      <c r="D50" s="500">
        <v>15699.889399916668</v>
      </c>
      <c r="E50" s="501">
        <v>19869.570059499998</v>
      </c>
      <c r="F50" s="501">
        <v>20229.131619200001</v>
      </c>
      <c r="G50" s="501">
        <v>20526.553270055996</v>
      </c>
      <c r="H50" s="501">
        <v>20889.547668197676</v>
      </c>
      <c r="I50" s="501">
        <v>21323.920127493613</v>
      </c>
      <c r="J50" s="501">
        <v>21827.414466358419</v>
      </c>
      <c r="K50" s="501">
        <v>22432.716507899171</v>
      </c>
      <c r="L50" s="501">
        <v>23140.320178501141</v>
      </c>
      <c r="M50" s="501">
        <v>23952.756238956179</v>
      </c>
      <c r="N50" s="502">
        <v>25433.496691239867</v>
      </c>
      <c r="O50" s="75">
        <v>26484.919992047064</v>
      </c>
      <c r="P50" s="75">
        <v>27671.343844198473</v>
      </c>
      <c r="Q50" s="75">
        <v>28935.603030034421</v>
      </c>
      <c r="R50" s="75">
        <v>30271.379522915464</v>
      </c>
      <c r="S50" s="75">
        <v>31648.681224952918</v>
      </c>
      <c r="T50" s="75">
        <v>33079.298207096508</v>
      </c>
      <c r="U50" s="75">
        <v>34703.614811709398</v>
      </c>
      <c r="V50" s="75">
        <v>36127.598458265689</v>
      </c>
      <c r="W50" s="75">
        <v>37577.392309808652</v>
      </c>
      <c r="X50" s="75">
        <v>2838.4994673334049</v>
      </c>
      <c r="Y50" s="60"/>
      <c r="Z50" s="60"/>
      <c r="AA50" s="60"/>
      <c r="AB50" s="60"/>
      <c r="AC50" s="60"/>
      <c r="AD50" s="60"/>
      <c r="AE50"/>
    </row>
    <row r="51" spans="1:31" ht="13.2" outlineLevel="1">
      <c r="A51" s="70" t="s">
        <v>34</v>
      </c>
      <c r="B51" s="496">
        <f>NPV(0.1,D51:Y51)</f>
        <v>75127.518110501973</v>
      </c>
      <c r="C51" s="496">
        <f>B51-B41</f>
        <v>-1408.6543255837896</v>
      </c>
      <c r="D51" s="500">
        <v>-382.24888171005341</v>
      </c>
      <c r="E51" s="501">
        <v>-216.94583486253964</v>
      </c>
      <c r="F51" s="501">
        <v>-189.12534119389187</v>
      </c>
      <c r="G51" s="501">
        <v>5643.2783208745714</v>
      </c>
      <c r="H51" s="501">
        <v>10277.915805099277</v>
      </c>
      <c r="I51" s="501">
        <v>11035.683955916627</v>
      </c>
      <c r="J51" s="501">
        <v>11637.11501980765</v>
      </c>
      <c r="K51" s="501">
        <v>12106.7636510468</v>
      </c>
      <c r="L51" s="501">
        <v>12661.359215343164</v>
      </c>
      <c r="M51" s="501">
        <v>13244.266741262209</v>
      </c>
      <c r="N51" s="502">
        <v>13525.819256376231</v>
      </c>
      <c r="O51" s="75">
        <v>14024.825637732356</v>
      </c>
      <c r="P51" s="75">
        <v>14617.76542058063</v>
      </c>
      <c r="Q51" s="75">
        <v>15237.464497129034</v>
      </c>
      <c r="R51" s="75">
        <v>15886.408492312308</v>
      </c>
      <c r="S51" s="75">
        <v>16491.102469997655</v>
      </c>
      <c r="T51" s="75">
        <v>17102.816917036918</v>
      </c>
      <c r="U51" s="75">
        <v>17740.342929235376</v>
      </c>
      <c r="V51" s="75">
        <v>18406.103121868437</v>
      </c>
      <c r="W51" s="75">
        <v>18858.113396321987</v>
      </c>
      <c r="X51" s="75">
        <v>0</v>
      </c>
      <c r="Y51" s="60"/>
      <c r="Z51" s="60"/>
      <c r="AA51" s="60"/>
      <c r="AB51" s="60"/>
      <c r="AC51" s="60"/>
      <c r="AD51" s="60"/>
      <c r="AE51"/>
    </row>
    <row r="52" spans="1:31" ht="13.2" outlineLevel="1">
      <c r="A52" s="70" t="s">
        <v>32</v>
      </c>
      <c r="B52" s="496">
        <f>NPV(0.1,D52:Y52)</f>
        <v>93683.176786322772</v>
      </c>
      <c r="C52" s="496">
        <f>B52-B42</f>
        <v>-870.11067225490115</v>
      </c>
      <c r="D52" s="503">
        <v>2255.4895251686289</v>
      </c>
      <c r="E52" s="504">
        <v>4286.4719995301139</v>
      </c>
      <c r="F52" s="504">
        <v>3701.291161636871</v>
      </c>
      <c r="G52" s="504">
        <v>14738.92041276497</v>
      </c>
      <c r="H52" s="504">
        <v>19255.116109168659</v>
      </c>
      <c r="I52" s="504">
        <v>16424.539867653733</v>
      </c>
      <c r="J52" s="504">
        <v>13926.651158299759</v>
      </c>
      <c r="K52" s="504">
        <v>13886.744549058283</v>
      </c>
      <c r="L52" s="504">
        <v>13881.732146534931</v>
      </c>
      <c r="M52" s="504">
        <v>13868.843773386623</v>
      </c>
      <c r="N52" s="505">
        <v>14247.039986325186</v>
      </c>
      <c r="O52" s="75">
        <v>13542.349958599263</v>
      </c>
      <c r="P52" s="75">
        <v>13440.59930957231</v>
      </c>
      <c r="Q52" s="75">
        <v>13329.126137839401</v>
      </c>
      <c r="R52" s="75">
        <v>13180.631122717574</v>
      </c>
      <c r="S52" s="75">
        <v>10126.94219555802</v>
      </c>
      <c r="T52" s="75">
        <v>9488.2034482711933</v>
      </c>
      <c r="U52" s="75">
        <v>9222.6238291799164</v>
      </c>
      <c r="V52" s="75">
        <v>8922.6055400615678</v>
      </c>
      <c r="W52" s="75">
        <v>14062.934191016835</v>
      </c>
      <c r="X52" s="75">
        <v>0</v>
      </c>
      <c r="Y52" s="60"/>
      <c r="Z52" s="60"/>
      <c r="AA52" s="60"/>
      <c r="AB52" s="60"/>
      <c r="AC52" s="60"/>
      <c r="AD52" s="60"/>
      <c r="AE52"/>
    </row>
    <row r="53" spans="1:31" ht="13.2" outlineLevel="1">
      <c r="A53" s="60"/>
      <c r="B53" s="60"/>
      <c r="D53" s="60"/>
      <c r="E53" s="60"/>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c r="AE53"/>
    </row>
    <row r="54" spans="1:31" ht="13.2" outlineLevel="1">
      <c r="A54" s="71" t="s">
        <v>456</v>
      </c>
      <c r="B54" s="60"/>
      <c r="D54" s="60"/>
      <c r="E54" s="60"/>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c r="AE54"/>
    </row>
    <row r="55" spans="1:31" ht="13.2" outlineLevel="1">
      <c r="A55" s="442">
        <v>36234</v>
      </c>
      <c r="B55" s="60"/>
      <c r="D55" s="60"/>
      <c r="E55" s="60"/>
      <c r="F55" s="60"/>
      <c r="G55" s="60"/>
      <c r="H55" s="60"/>
      <c r="I55" s="60"/>
      <c r="J55" s="60"/>
      <c r="K55" s="60"/>
      <c r="L55" s="60"/>
      <c r="M55" s="60"/>
      <c r="N55" s="60"/>
      <c r="O55" s="60"/>
      <c r="P55" s="60"/>
      <c r="Q55" s="60"/>
      <c r="R55" s="60"/>
      <c r="S55" s="60"/>
      <c r="T55" s="60"/>
      <c r="U55" s="60"/>
      <c r="V55" s="60"/>
      <c r="W55" s="60"/>
      <c r="X55" s="60"/>
      <c r="Y55" s="60"/>
      <c r="Z55" s="60"/>
      <c r="AA55" s="60"/>
      <c r="AB55" s="60"/>
      <c r="AC55" s="60"/>
      <c r="AD55" s="60"/>
      <c r="AE55"/>
    </row>
    <row r="56" spans="1:31" ht="13.2" outlineLevel="1">
      <c r="A56" s="64" t="s">
        <v>368</v>
      </c>
      <c r="B56" s="65">
        <v>56066.150844876196</v>
      </c>
      <c r="D56" s="60"/>
      <c r="E56" s="60"/>
      <c r="F56" s="60"/>
      <c r="G56" s="60"/>
      <c r="H56" s="60"/>
      <c r="I56" s="60"/>
      <c r="J56" s="60"/>
      <c r="K56" s="60"/>
      <c r="L56" s="60"/>
      <c r="M56" s="60"/>
      <c r="N56" s="60"/>
      <c r="O56" s="60"/>
      <c r="P56" s="60"/>
      <c r="Q56" s="60"/>
      <c r="R56" s="60"/>
      <c r="S56" s="60"/>
      <c r="T56" s="60"/>
      <c r="U56" s="60"/>
      <c r="V56" s="60"/>
      <c r="W56" s="60"/>
      <c r="X56" s="60"/>
      <c r="Y56" s="60"/>
      <c r="Z56" s="60"/>
      <c r="AA56" s="60"/>
      <c r="AB56" s="60"/>
      <c r="AC56" s="60"/>
      <c r="AD56" s="60"/>
      <c r="AE56"/>
    </row>
    <row r="57" spans="1:31" ht="13.2" outlineLevel="1">
      <c r="A57" s="66" t="s">
        <v>369</v>
      </c>
      <c r="B57" s="67">
        <v>87755.244599199752</v>
      </c>
      <c r="D57" s="60"/>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row>
    <row r="58" spans="1:31" ht="13.2" outlineLevel="1">
      <c r="A58" s="68" t="s">
        <v>370</v>
      </c>
      <c r="B58" s="495" t="s">
        <v>468</v>
      </c>
      <c r="C58" s="495" t="s">
        <v>469</v>
      </c>
      <c r="D58" s="497">
        <v>2000</v>
      </c>
      <c r="E58" s="498">
        <v>2001</v>
      </c>
      <c r="F58" s="498">
        <v>2002</v>
      </c>
      <c r="G58" s="498">
        <v>2003</v>
      </c>
      <c r="H58" s="498">
        <v>2004</v>
      </c>
      <c r="I58" s="498">
        <v>2005</v>
      </c>
      <c r="J58" s="498">
        <v>2006</v>
      </c>
      <c r="K58" s="498">
        <v>2007</v>
      </c>
      <c r="L58" s="498">
        <v>2008</v>
      </c>
      <c r="M58" s="498">
        <v>2009</v>
      </c>
      <c r="N58" s="499">
        <v>2010</v>
      </c>
      <c r="O58" s="69">
        <v>2011</v>
      </c>
      <c r="P58" s="69">
        <v>2012</v>
      </c>
      <c r="Q58" s="69">
        <v>2013</v>
      </c>
      <c r="R58" s="69">
        <v>2014</v>
      </c>
      <c r="S58" s="69">
        <v>2015</v>
      </c>
      <c r="T58" s="69">
        <v>2016</v>
      </c>
      <c r="U58" s="69">
        <v>2017</v>
      </c>
      <c r="V58" s="69">
        <v>2018</v>
      </c>
      <c r="W58" s="69">
        <v>2019</v>
      </c>
      <c r="X58" s="69">
        <v>2020</v>
      </c>
      <c r="Y58" s="60"/>
      <c r="Z58" s="60"/>
      <c r="AA58" s="60"/>
      <c r="AB58" s="60"/>
      <c r="AC58" s="60"/>
      <c r="AD58" s="60"/>
      <c r="AE58"/>
    </row>
    <row r="59" spans="1:31" ht="13.2" outlineLevel="1">
      <c r="A59" s="68" t="s">
        <v>371</v>
      </c>
      <c r="B59" s="496">
        <f>NPV(0.1,D59:Y59)</f>
        <v>430119.42019548552</v>
      </c>
      <c r="C59" s="496">
        <f>B59-B49</f>
        <v>0</v>
      </c>
      <c r="D59" s="500">
        <v>24769.637733249998</v>
      </c>
      <c r="E59" s="501">
        <v>34741.554259500001</v>
      </c>
      <c r="F59" s="501">
        <v>35007.565345199997</v>
      </c>
      <c r="G59" s="501">
        <v>44663.954472065634</v>
      </c>
      <c r="H59" s="501">
        <v>52512.654424261214</v>
      </c>
      <c r="I59" s="501">
        <v>53694.431820414466</v>
      </c>
      <c r="J59" s="501">
        <v>54711.55028246827</v>
      </c>
      <c r="K59" s="501">
        <v>55831.358334065721</v>
      </c>
      <c r="L59" s="501">
        <v>57051.901253093281</v>
      </c>
      <c r="M59" s="501">
        <v>58377.234339235911</v>
      </c>
      <c r="N59" s="502">
        <v>59833.32611578131</v>
      </c>
      <c r="O59" s="75">
        <v>61284.689287688409</v>
      </c>
      <c r="P59" s="75">
        <v>62861.811256723609</v>
      </c>
      <c r="Q59" s="75">
        <v>64503.544554090302</v>
      </c>
      <c r="R59" s="75">
        <v>66203.540084522654</v>
      </c>
      <c r="S59" s="75">
        <v>67930.723818992861</v>
      </c>
      <c r="T59" s="75">
        <v>69530.58867742015</v>
      </c>
      <c r="U59" s="75">
        <v>71296.52139255908</v>
      </c>
      <c r="V59" s="75">
        <v>72833.793154849714</v>
      </c>
      <c r="W59" s="75">
        <v>74366.773093148309</v>
      </c>
      <c r="X59" s="75">
        <v>18312.086909030786</v>
      </c>
      <c r="Y59" s="60"/>
      <c r="Z59" s="60"/>
      <c r="AA59" s="60"/>
      <c r="AB59" s="60"/>
      <c r="AC59" s="60"/>
      <c r="AD59" s="60"/>
      <c r="AE59"/>
    </row>
    <row r="60" spans="1:31" ht="13.2" outlineLevel="1">
      <c r="A60" s="70" t="s">
        <v>372</v>
      </c>
      <c r="B60" s="496">
        <f>NPV(0.1,D60:Y60)</f>
        <v>197419.52464828597</v>
      </c>
      <c r="C60" s="496">
        <f>B60-B50</f>
        <v>0</v>
      </c>
      <c r="D60" s="500">
        <v>15699.889399916668</v>
      </c>
      <c r="E60" s="501">
        <v>19869.570059499998</v>
      </c>
      <c r="F60" s="501">
        <v>20229.131619200001</v>
      </c>
      <c r="G60" s="501">
        <v>20526.553270055996</v>
      </c>
      <c r="H60" s="501">
        <v>20889.547668197676</v>
      </c>
      <c r="I60" s="501">
        <v>21323.920127493613</v>
      </c>
      <c r="J60" s="501">
        <v>21827.414466358419</v>
      </c>
      <c r="K60" s="501">
        <v>22432.716507899171</v>
      </c>
      <c r="L60" s="501">
        <v>23140.320178501141</v>
      </c>
      <c r="M60" s="501">
        <v>23952.756238956179</v>
      </c>
      <c r="N60" s="502">
        <v>25433.496691239867</v>
      </c>
      <c r="O60" s="75">
        <v>26484.919992047064</v>
      </c>
      <c r="P60" s="75">
        <v>27671.343844198473</v>
      </c>
      <c r="Q60" s="75">
        <v>28935.603030034421</v>
      </c>
      <c r="R60" s="75">
        <v>30271.379522915464</v>
      </c>
      <c r="S60" s="75">
        <v>31648.681224952918</v>
      </c>
      <c r="T60" s="75">
        <v>33079.298207096508</v>
      </c>
      <c r="U60" s="75">
        <v>34703.614811709398</v>
      </c>
      <c r="V60" s="75">
        <v>36127.598458265689</v>
      </c>
      <c r="W60" s="75">
        <v>37577.392309808652</v>
      </c>
      <c r="X60" s="75">
        <v>2838.4994673334049</v>
      </c>
      <c r="Y60" s="60"/>
      <c r="Z60" s="60"/>
      <c r="AA60" s="60"/>
      <c r="AB60" s="60"/>
      <c r="AC60" s="60"/>
      <c r="AD60" s="60"/>
      <c r="AE60"/>
    </row>
    <row r="61" spans="1:31" ht="13.2" outlineLevel="1">
      <c r="A61" s="70" t="s">
        <v>34</v>
      </c>
      <c r="B61" s="496">
        <f>NPV(0.1,D61:Y61)</f>
        <v>75127.518110501973</v>
      </c>
      <c r="C61" s="496">
        <f>B61-B51</f>
        <v>0</v>
      </c>
      <c r="D61" s="500">
        <v>-382.24888171005341</v>
      </c>
      <c r="E61" s="501">
        <v>-216.94583486253964</v>
      </c>
      <c r="F61" s="501">
        <v>-189.12534119389187</v>
      </c>
      <c r="G61" s="501">
        <v>5643.2783208745714</v>
      </c>
      <c r="H61" s="501">
        <v>10277.915805099277</v>
      </c>
      <c r="I61" s="501">
        <v>11035.683955916627</v>
      </c>
      <c r="J61" s="501">
        <v>11637.11501980765</v>
      </c>
      <c r="K61" s="501">
        <v>12106.7636510468</v>
      </c>
      <c r="L61" s="501">
        <v>12661.359215343164</v>
      </c>
      <c r="M61" s="501">
        <v>13244.266741262209</v>
      </c>
      <c r="N61" s="502">
        <v>13525.819256376231</v>
      </c>
      <c r="O61" s="75">
        <v>14024.825637732356</v>
      </c>
      <c r="P61" s="75">
        <v>14617.76542058063</v>
      </c>
      <c r="Q61" s="75">
        <v>15237.464497129034</v>
      </c>
      <c r="R61" s="75">
        <v>15886.408492312308</v>
      </c>
      <c r="S61" s="75">
        <v>16491.102469997655</v>
      </c>
      <c r="T61" s="75">
        <v>17102.816917036918</v>
      </c>
      <c r="U61" s="75">
        <v>17740.342929235376</v>
      </c>
      <c r="V61" s="75">
        <v>18406.103121868437</v>
      </c>
      <c r="W61" s="75">
        <v>18858.113396321987</v>
      </c>
      <c r="X61" s="75">
        <v>0</v>
      </c>
      <c r="Y61" s="60"/>
      <c r="Z61" s="60"/>
      <c r="AA61" s="60"/>
      <c r="AB61" s="60"/>
      <c r="AC61" s="60"/>
      <c r="AD61" s="60"/>
      <c r="AE61"/>
    </row>
    <row r="62" spans="1:31" ht="13.2" outlineLevel="1">
      <c r="A62" s="70" t="s">
        <v>32</v>
      </c>
      <c r="B62" s="496">
        <f>NPV(0.1,D62:Y62)</f>
        <v>92733.942331783153</v>
      </c>
      <c r="C62" s="496">
        <f>B62-B52</f>
        <v>-949.23445453961904</v>
      </c>
      <c r="D62" s="503">
        <v>1899.4654633140431</v>
      </c>
      <c r="E62" s="504">
        <v>3944.383204505727</v>
      </c>
      <c r="F62" s="504">
        <v>3373.1376334426836</v>
      </c>
      <c r="G62" s="504">
        <v>14424.702151400981</v>
      </c>
      <c r="H62" s="504">
        <v>18954.833114634872</v>
      </c>
      <c r="I62" s="504">
        <v>17453.273727612173</v>
      </c>
      <c r="J62" s="504">
        <v>13839.686148014125</v>
      </c>
      <c r="K62" s="504">
        <v>13803.904583491236</v>
      </c>
      <c r="L62" s="504">
        <v>13803.017225686473</v>
      </c>
      <c r="M62" s="504">
        <v>13794.253897256753</v>
      </c>
      <c r="N62" s="505">
        <v>14176.575154913906</v>
      </c>
      <c r="O62" s="75">
        <v>13476.01017190657</v>
      </c>
      <c r="P62" s="75">
        <v>13378.384567598205</v>
      </c>
      <c r="Q62" s="75">
        <v>13271.036440583885</v>
      </c>
      <c r="R62" s="75">
        <v>13126.666470180646</v>
      </c>
      <c r="S62" s="75">
        <v>10077.102587739682</v>
      </c>
      <c r="T62" s="75">
        <v>9442.4888851714422</v>
      </c>
      <c r="U62" s="75">
        <v>9181.0343107987501</v>
      </c>
      <c r="V62" s="75">
        <v>8885.1410663989918</v>
      </c>
      <c r="W62" s="75">
        <v>14029.594762072849</v>
      </c>
      <c r="X62" s="75">
        <v>0</v>
      </c>
      <c r="Y62" s="60"/>
      <c r="Z62" s="60"/>
      <c r="AA62" s="60"/>
      <c r="AB62" s="60"/>
      <c r="AC62" s="60"/>
      <c r="AD62" s="60"/>
      <c r="AE62"/>
    </row>
    <row r="63" spans="1:31" ht="13.2" outlineLevel="1">
      <c r="A63" s="60"/>
      <c r="B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row>
    <row r="64" spans="1:31" ht="13.2" outlineLevel="1">
      <c r="A64" s="71" t="s">
        <v>457</v>
      </c>
      <c r="B64" s="60"/>
      <c r="D64" s="60"/>
      <c r="E64" s="60"/>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row>
    <row r="65" spans="1:31" ht="13.2" outlineLevel="1">
      <c r="A65" s="442">
        <v>36234</v>
      </c>
      <c r="B65" s="60"/>
      <c r="D65" s="60"/>
      <c r="E65" s="60"/>
      <c r="F65" s="60"/>
      <c r="G65" s="60"/>
      <c r="H65" s="60"/>
      <c r="I65" s="60"/>
      <c r="J65" s="60"/>
      <c r="K65" s="60"/>
      <c r="L65" s="60"/>
      <c r="M65" s="60"/>
      <c r="N65" s="60"/>
      <c r="O65" s="60"/>
      <c r="P65" s="60"/>
      <c r="Q65" s="60"/>
      <c r="R65" s="60"/>
      <c r="S65" s="60"/>
      <c r="T65" s="60"/>
      <c r="U65" s="60"/>
      <c r="V65" s="60"/>
      <c r="W65" s="60"/>
      <c r="X65" s="60"/>
      <c r="Y65" s="60"/>
      <c r="Z65" s="60"/>
      <c r="AA65" s="60"/>
      <c r="AB65" s="60"/>
      <c r="AC65" s="60"/>
      <c r="AD65" s="60"/>
      <c r="AE65"/>
    </row>
    <row r="66" spans="1:31" ht="13.2" outlineLevel="1">
      <c r="A66" s="64" t="s">
        <v>368</v>
      </c>
      <c r="B66" s="65">
        <v>55633.057993631483</v>
      </c>
      <c r="D66" s="60"/>
      <c r="E66" s="60"/>
      <c r="F66" s="60"/>
      <c r="G66" s="60"/>
      <c r="H66" s="60"/>
      <c r="I66" s="60"/>
      <c r="J66" s="60"/>
      <c r="K66" s="60"/>
      <c r="L66" s="60"/>
      <c r="M66" s="60"/>
      <c r="N66" s="60"/>
      <c r="O66" s="60"/>
      <c r="P66" s="60"/>
      <c r="Q66" s="60"/>
      <c r="R66" s="60"/>
      <c r="S66" s="60"/>
      <c r="T66" s="60"/>
      <c r="U66" s="60"/>
      <c r="V66" s="60"/>
      <c r="W66" s="60"/>
      <c r="X66" s="60"/>
      <c r="Y66" s="60"/>
      <c r="Z66" s="60"/>
      <c r="AA66" s="60"/>
      <c r="AB66" s="60"/>
      <c r="AC66" s="60"/>
      <c r="AD66" s="60"/>
      <c r="AE66"/>
    </row>
    <row r="67" spans="1:31" ht="13.2" outlineLevel="1">
      <c r="A67" s="66" t="s">
        <v>369</v>
      </c>
      <c r="B67" s="67">
        <v>87755.244599199752</v>
      </c>
      <c r="D67" s="60"/>
      <c r="E67" s="60"/>
      <c r="F67" s="60"/>
      <c r="G67" s="60"/>
      <c r="H67" s="60"/>
      <c r="I67" s="60"/>
      <c r="J67" s="60"/>
      <c r="K67" s="60"/>
      <c r="L67" s="60"/>
      <c r="M67" s="60"/>
      <c r="N67" s="60"/>
      <c r="O67" s="60"/>
      <c r="P67" s="60"/>
      <c r="Q67" s="60"/>
      <c r="R67" s="60"/>
      <c r="S67" s="60"/>
      <c r="T67" s="60"/>
      <c r="U67" s="60"/>
      <c r="V67" s="60"/>
      <c r="W67" s="60"/>
      <c r="X67" s="60"/>
      <c r="Y67" s="60"/>
      <c r="Z67" s="60"/>
      <c r="AA67" s="60"/>
      <c r="AB67" s="60"/>
      <c r="AC67" s="60"/>
      <c r="AD67" s="60"/>
      <c r="AE67"/>
    </row>
    <row r="68" spans="1:31" ht="13.2" outlineLevel="1">
      <c r="A68" s="68" t="s">
        <v>370</v>
      </c>
      <c r="B68" s="495" t="s">
        <v>468</v>
      </c>
      <c r="C68" s="495" t="s">
        <v>469</v>
      </c>
      <c r="D68" s="497">
        <v>2000</v>
      </c>
      <c r="E68" s="498">
        <v>2001</v>
      </c>
      <c r="F68" s="498">
        <v>2002</v>
      </c>
      <c r="G68" s="498">
        <v>2003</v>
      </c>
      <c r="H68" s="498">
        <v>2004</v>
      </c>
      <c r="I68" s="498">
        <v>2005</v>
      </c>
      <c r="J68" s="498">
        <v>2006</v>
      </c>
      <c r="K68" s="498">
        <v>2007</v>
      </c>
      <c r="L68" s="498">
        <v>2008</v>
      </c>
      <c r="M68" s="498">
        <v>2009</v>
      </c>
      <c r="N68" s="499">
        <v>2010</v>
      </c>
      <c r="O68" s="69">
        <v>2011</v>
      </c>
      <c r="P68" s="69">
        <v>2012</v>
      </c>
      <c r="Q68" s="69">
        <v>2013</v>
      </c>
      <c r="R68" s="69">
        <v>2014</v>
      </c>
      <c r="S68" s="69">
        <v>2015</v>
      </c>
      <c r="T68" s="69">
        <v>2016</v>
      </c>
      <c r="U68" s="69">
        <v>2017</v>
      </c>
      <c r="V68" s="69">
        <v>2018</v>
      </c>
      <c r="W68" s="69">
        <v>2019</v>
      </c>
      <c r="X68" s="69">
        <v>2020</v>
      </c>
      <c r="Y68" s="60"/>
      <c r="Z68" s="60"/>
      <c r="AA68" s="60"/>
      <c r="AB68" s="60"/>
      <c r="AC68" s="60"/>
      <c r="AD68" s="60"/>
      <c r="AE68"/>
    </row>
    <row r="69" spans="1:31" ht="13.2" outlineLevel="1">
      <c r="A69" s="68" t="s">
        <v>371</v>
      </c>
      <c r="B69" s="496">
        <f>NPV(0.1,D69:Y69)</f>
        <v>430119.42019548552</v>
      </c>
      <c r="C69" s="496">
        <f>B69-B59</f>
        <v>0</v>
      </c>
      <c r="D69" s="500">
        <v>24769.637733249998</v>
      </c>
      <c r="E69" s="501">
        <v>34741.554259500001</v>
      </c>
      <c r="F69" s="501">
        <v>35007.565345199997</v>
      </c>
      <c r="G69" s="501">
        <v>44663.954472065634</v>
      </c>
      <c r="H69" s="501">
        <v>52512.654424261214</v>
      </c>
      <c r="I69" s="501">
        <v>53694.431820414466</v>
      </c>
      <c r="J69" s="501">
        <v>54711.55028246827</v>
      </c>
      <c r="K69" s="501">
        <v>55831.358334065721</v>
      </c>
      <c r="L69" s="501">
        <v>57051.901253093281</v>
      </c>
      <c r="M69" s="501">
        <v>58377.234339235911</v>
      </c>
      <c r="N69" s="502">
        <v>59833.32611578131</v>
      </c>
      <c r="O69" s="75">
        <v>61284.689287688409</v>
      </c>
      <c r="P69" s="75">
        <v>62861.811256723609</v>
      </c>
      <c r="Q69" s="75">
        <v>64503.544554090302</v>
      </c>
      <c r="R69" s="75">
        <v>66203.540084522654</v>
      </c>
      <c r="S69" s="75">
        <v>67930.723818992861</v>
      </c>
      <c r="T69" s="75">
        <v>69530.58867742015</v>
      </c>
      <c r="U69" s="75">
        <v>71296.52139255908</v>
      </c>
      <c r="V69" s="75">
        <v>72833.793154849714</v>
      </c>
      <c r="W69" s="75">
        <v>74366.773093148309</v>
      </c>
      <c r="X69" s="75">
        <v>18312.086909030786</v>
      </c>
      <c r="Y69" s="60"/>
      <c r="Z69" s="60"/>
      <c r="AA69" s="60"/>
      <c r="AB69" s="60"/>
      <c r="AC69" s="60"/>
      <c r="AD69" s="60"/>
      <c r="AE69"/>
    </row>
    <row r="70" spans="1:31" ht="13.2" outlineLevel="1">
      <c r="A70" s="70" t="s">
        <v>372</v>
      </c>
      <c r="B70" s="496">
        <f>NPV(0.1,D70:Y70)</f>
        <v>197419.52464828597</v>
      </c>
      <c r="C70" s="496">
        <f>B70-B60</f>
        <v>0</v>
      </c>
      <c r="D70" s="500">
        <v>15699.889399916668</v>
      </c>
      <c r="E70" s="501">
        <v>19869.570059499998</v>
      </c>
      <c r="F70" s="501">
        <v>20229.131619200001</v>
      </c>
      <c r="G70" s="501">
        <v>20526.553270055996</v>
      </c>
      <c r="H70" s="501">
        <v>20889.547668197676</v>
      </c>
      <c r="I70" s="501">
        <v>21323.920127493613</v>
      </c>
      <c r="J70" s="501">
        <v>21827.414466358419</v>
      </c>
      <c r="K70" s="501">
        <v>22432.716507899171</v>
      </c>
      <c r="L70" s="501">
        <v>23140.320178501141</v>
      </c>
      <c r="M70" s="501">
        <v>23952.756238956179</v>
      </c>
      <c r="N70" s="502">
        <v>25433.496691239867</v>
      </c>
      <c r="O70" s="75">
        <v>26484.919992047064</v>
      </c>
      <c r="P70" s="75">
        <v>27671.343844198473</v>
      </c>
      <c r="Q70" s="75">
        <v>28935.603030034421</v>
      </c>
      <c r="R70" s="75">
        <v>30271.379522915464</v>
      </c>
      <c r="S70" s="75">
        <v>31648.681224952918</v>
      </c>
      <c r="T70" s="75">
        <v>33079.298207096508</v>
      </c>
      <c r="U70" s="75">
        <v>34703.614811709398</v>
      </c>
      <c r="V70" s="75">
        <v>36127.598458265689</v>
      </c>
      <c r="W70" s="75">
        <v>37577.392309808652</v>
      </c>
      <c r="X70" s="75">
        <v>2838.4994673334049</v>
      </c>
      <c r="Y70" s="60"/>
      <c r="Z70" s="60"/>
      <c r="AA70" s="60"/>
      <c r="AB70" s="60"/>
      <c r="AC70" s="60"/>
      <c r="AD70" s="60"/>
      <c r="AE70"/>
    </row>
    <row r="71" spans="1:31" ht="13.2" outlineLevel="1">
      <c r="A71" s="70" t="s">
        <v>34</v>
      </c>
      <c r="B71" s="496">
        <f>NPV(0.1,D71:Y71)</f>
        <v>75127.518110501973</v>
      </c>
      <c r="C71" s="496">
        <f>B71-B61</f>
        <v>0</v>
      </c>
      <c r="D71" s="500">
        <v>-382.24888171005341</v>
      </c>
      <c r="E71" s="501">
        <v>-216.94583486253964</v>
      </c>
      <c r="F71" s="501">
        <v>-189.12534119389187</v>
      </c>
      <c r="G71" s="501">
        <v>5643.2783208745714</v>
      </c>
      <c r="H71" s="501">
        <v>10277.915805099277</v>
      </c>
      <c r="I71" s="501">
        <v>11035.683955916627</v>
      </c>
      <c r="J71" s="501">
        <v>11637.11501980765</v>
      </c>
      <c r="K71" s="501">
        <v>12106.7636510468</v>
      </c>
      <c r="L71" s="501">
        <v>12661.359215343164</v>
      </c>
      <c r="M71" s="501">
        <v>13244.266741262209</v>
      </c>
      <c r="N71" s="502">
        <v>13525.819256376231</v>
      </c>
      <c r="O71" s="75">
        <v>14024.825637732356</v>
      </c>
      <c r="P71" s="75">
        <v>14617.76542058063</v>
      </c>
      <c r="Q71" s="75">
        <v>15237.464497129034</v>
      </c>
      <c r="R71" s="75">
        <v>15886.408492312308</v>
      </c>
      <c r="S71" s="75">
        <v>16491.102469997655</v>
      </c>
      <c r="T71" s="75">
        <v>17102.816917036918</v>
      </c>
      <c r="U71" s="75">
        <v>17740.342929235376</v>
      </c>
      <c r="V71" s="75">
        <v>18406.103121868437</v>
      </c>
      <c r="W71" s="75">
        <v>18858.113396321987</v>
      </c>
      <c r="X71" s="75">
        <v>0</v>
      </c>
      <c r="Y71" s="60"/>
      <c r="Z71" s="60"/>
      <c r="AA71" s="60"/>
      <c r="AB71" s="60"/>
      <c r="AC71" s="60"/>
      <c r="AD71" s="60"/>
      <c r="AE71"/>
    </row>
    <row r="72" spans="1:31" ht="13.2" outlineLevel="1">
      <c r="A72" s="70" t="s">
        <v>32</v>
      </c>
      <c r="B72" s="496">
        <f>NPV(0.1,D72:Y72)</f>
        <v>92316.796355406375</v>
      </c>
      <c r="C72" s="496">
        <f>B72-B62</f>
        <v>-417.14597637677798</v>
      </c>
      <c r="D72" s="503">
        <v>1899.4654633140431</v>
      </c>
      <c r="E72" s="504">
        <v>3944.383204505727</v>
      </c>
      <c r="F72" s="504">
        <v>3373.1376334426836</v>
      </c>
      <c r="G72" s="504">
        <v>14424.702151400981</v>
      </c>
      <c r="H72" s="504">
        <v>18954.833114634872</v>
      </c>
      <c r="I72" s="504">
        <v>16250.586003085707</v>
      </c>
      <c r="J72" s="504">
        <v>13839.686148014125</v>
      </c>
      <c r="K72" s="504">
        <v>13803.904583491236</v>
      </c>
      <c r="L72" s="504">
        <v>13803.017225686473</v>
      </c>
      <c r="M72" s="504">
        <v>13794.253897256753</v>
      </c>
      <c r="N72" s="505">
        <v>14176.575154913906</v>
      </c>
      <c r="O72" s="75">
        <v>13476.01017190657</v>
      </c>
      <c r="P72" s="75">
        <v>13378.384567598205</v>
      </c>
      <c r="Q72" s="75">
        <v>13271.036440583885</v>
      </c>
      <c r="R72" s="75">
        <v>13126.666470180646</v>
      </c>
      <c r="S72" s="75">
        <v>11279.790312266146</v>
      </c>
      <c r="T72" s="75">
        <v>9442.4888851714422</v>
      </c>
      <c r="U72" s="75">
        <v>9181.0343107987501</v>
      </c>
      <c r="V72" s="75">
        <v>8885.1410663989918</v>
      </c>
      <c r="W72" s="75">
        <v>14029.594762072849</v>
      </c>
      <c r="X72" s="75">
        <v>0</v>
      </c>
      <c r="Y72" s="60"/>
      <c r="Z72" s="60"/>
      <c r="AA72" s="60"/>
      <c r="AB72" s="60"/>
      <c r="AC72" s="60"/>
      <c r="AD72" s="60"/>
      <c r="AE72"/>
    </row>
    <row r="73" spans="1:31" ht="13.2" outlineLevel="1">
      <c r="A73" s="60"/>
      <c r="B73" s="60"/>
      <c r="D73" s="60"/>
      <c r="E73" s="60"/>
      <c r="F73" s="60"/>
      <c r="G73" s="60"/>
      <c r="H73" s="60"/>
      <c r="I73" s="60"/>
      <c r="J73" s="60"/>
      <c r="K73" s="60"/>
      <c r="L73" s="60"/>
      <c r="M73" s="60"/>
      <c r="N73" s="60"/>
      <c r="O73" s="60"/>
      <c r="P73" s="60"/>
      <c r="Q73" s="60"/>
      <c r="R73" s="60"/>
      <c r="S73" s="60"/>
      <c r="T73" s="60"/>
      <c r="U73" s="60"/>
      <c r="V73" s="60"/>
      <c r="W73" s="60"/>
      <c r="X73" s="60"/>
      <c r="Y73" s="60"/>
      <c r="Z73" s="60"/>
      <c r="AA73" s="60"/>
      <c r="AB73" s="60"/>
      <c r="AC73" s="60"/>
      <c r="AD73" s="60"/>
      <c r="AE73"/>
    </row>
    <row r="74" spans="1:31" ht="13.2" outlineLevel="1">
      <c r="A74" s="71" t="s">
        <v>460</v>
      </c>
      <c r="B74" s="60"/>
      <c r="D74" s="60"/>
      <c r="E74" s="60"/>
      <c r="F74" s="60"/>
      <c r="G74" s="60"/>
      <c r="H74" s="60"/>
      <c r="I74" s="60"/>
      <c r="J74" s="60"/>
      <c r="K74" s="60"/>
      <c r="L74" s="60"/>
      <c r="M74" s="60"/>
      <c r="N74" s="60"/>
      <c r="O74" s="60"/>
      <c r="P74" s="60"/>
      <c r="Q74" s="60"/>
      <c r="R74" s="60"/>
      <c r="S74" s="60"/>
      <c r="T74" s="60"/>
      <c r="U74" s="60"/>
      <c r="V74" s="60"/>
      <c r="W74" s="60"/>
      <c r="X74" s="60"/>
      <c r="Y74" s="60"/>
      <c r="Z74" s="60"/>
      <c r="AA74" s="60"/>
      <c r="AB74" s="60"/>
      <c r="AC74" s="60"/>
      <c r="AD74" s="60"/>
      <c r="AE74"/>
    </row>
    <row r="75" spans="1:31" ht="13.2" outlineLevel="1">
      <c r="A75" s="442">
        <v>36234</v>
      </c>
      <c r="B75" s="60"/>
      <c r="D75" s="60"/>
      <c r="E75" s="60"/>
      <c r="F75" s="60"/>
      <c r="G75" s="60"/>
      <c r="H75" s="60"/>
      <c r="I75" s="60"/>
      <c r="J75" s="60"/>
      <c r="K75" s="60"/>
      <c r="L75" s="60"/>
      <c r="M75" s="60"/>
      <c r="N75" s="60"/>
      <c r="O75" s="60"/>
      <c r="P75" s="60"/>
      <c r="Q75" s="60"/>
      <c r="R75" s="60"/>
      <c r="S75" s="60"/>
      <c r="T75" s="60"/>
      <c r="U75" s="60"/>
      <c r="V75" s="60"/>
      <c r="W75" s="60"/>
      <c r="X75" s="60"/>
      <c r="Y75" s="60"/>
      <c r="Z75" s="60"/>
      <c r="AA75" s="60"/>
      <c r="AB75" s="60"/>
      <c r="AC75" s="60"/>
      <c r="AD75" s="60"/>
      <c r="AE75"/>
    </row>
    <row r="76" spans="1:31" ht="13.2">
      <c r="A76" s="64" t="s">
        <v>368</v>
      </c>
      <c r="B76" s="65">
        <v>55389.038707819025</v>
      </c>
      <c r="D76" s="60"/>
      <c r="E76" s="60"/>
      <c r="F76" s="60"/>
      <c r="G76" s="60"/>
      <c r="H76" s="60"/>
      <c r="I76" s="60"/>
      <c r="J76" s="60"/>
      <c r="K76" s="60"/>
      <c r="L76" s="60"/>
      <c r="M76" s="60"/>
      <c r="N76" s="60"/>
      <c r="O76" s="60"/>
      <c r="P76" s="60"/>
      <c r="Q76" s="60"/>
      <c r="R76" s="60"/>
      <c r="S76" s="60"/>
      <c r="T76" s="60"/>
      <c r="U76" s="60"/>
      <c r="V76" s="60"/>
      <c r="W76" s="60"/>
      <c r="X76" s="60"/>
      <c r="Y76" s="60"/>
      <c r="Z76" s="60"/>
      <c r="AA76" s="60"/>
      <c r="AB76" s="60"/>
      <c r="AC76" s="60"/>
      <c r="AD76" s="60"/>
      <c r="AE76"/>
    </row>
    <row r="77" spans="1:31" ht="13.2">
      <c r="A77" s="66" t="s">
        <v>369</v>
      </c>
      <c r="B77" s="67">
        <v>87440.888456138258</v>
      </c>
      <c r="D77" s="60"/>
      <c r="E77" s="60"/>
      <c r="F77" s="60"/>
      <c r="G77" s="60"/>
      <c r="H77" s="60"/>
      <c r="I77" s="60"/>
      <c r="J77" s="60"/>
      <c r="K77" s="60"/>
      <c r="L77" s="60"/>
      <c r="M77" s="60"/>
      <c r="N77" s="60"/>
      <c r="O77" s="60"/>
      <c r="P77" s="60"/>
      <c r="Q77" s="60"/>
      <c r="R77" s="60"/>
      <c r="S77" s="60"/>
      <c r="T77" s="60"/>
      <c r="U77" s="60"/>
      <c r="V77" s="60"/>
      <c r="W77" s="60"/>
      <c r="X77" s="60"/>
      <c r="Y77" s="60"/>
      <c r="Z77" s="60"/>
      <c r="AA77" s="60"/>
      <c r="AB77" s="60"/>
      <c r="AC77" s="60"/>
      <c r="AD77" s="60"/>
      <c r="AE77"/>
    </row>
    <row r="78" spans="1:31" ht="13.2">
      <c r="A78" s="68" t="s">
        <v>370</v>
      </c>
      <c r="B78" s="495" t="s">
        <v>468</v>
      </c>
      <c r="C78" s="495" t="s">
        <v>469</v>
      </c>
      <c r="D78" s="497">
        <v>2000</v>
      </c>
      <c r="E78" s="498">
        <v>2001</v>
      </c>
      <c r="F78" s="498">
        <v>2002</v>
      </c>
      <c r="G78" s="498">
        <v>2003</v>
      </c>
      <c r="H78" s="498">
        <v>2004</v>
      </c>
      <c r="I78" s="498">
        <v>2005</v>
      </c>
      <c r="J78" s="498">
        <v>2006</v>
      </c>
      <c r="K78" s="498">
        <v>2007</v>
      </c>
      <c r="L78" s="498">
        <v>2008</v>
      </c>
      <c r="M78" s="498">
        <v>2009</v>
      </c>
      <c r="N78" s="499">
        <v>2010</v>
      </c>
      <c r="O78" s="69">
        <v>2011</v>
      </c>
      <c r="P78" s="69">
        <v>2012</v>
      </c>
      <c r="Q78" s="69">
        <v>2013</v>
      </c>
      <c r="R78" s="69">
        <v>2014</v>
      </c>
      <c r="S78" s="69">
        <v>2015</v>
      </c>
      <c r="T78" s="69">
        <v>2016</v>
      </c>
      <c r="U78" s="69">
        <v>2017</v>
      </c>
      <c r="V78" s="69">
        <v>2018</v>
      </c>
      <c r="W78" s="69">
        <v>2019</v>
      </c>
      <c r="X78" s="69">
        <v>2020</v>
      </c>
      <c r="Y78" s="60"/>
      <c r="Z78" s="60"/>
      <c r="AA78" s="60"/>
      <c r="AB78" s="60"/>
      <c r="AC78" s="60"/>
      <c r="AD78" s="60"/>
      <c r="AE78"/>
    </row>
    <row r="79" spans="1:31" ht="13.2">
      <c r="A79" s="68" t="s">
        <v>371</v>
      </c>
      <c r="B79" s="496">
        <f>NPV(0.1,D79:Y79)</f>
        <v>430119.42019548552</v>
      </c>
      <c r="C79" s="496">
        <f>B79-B69</f>
        <v>0</v>
      </c>
      <c r="D79" s="500">
        <v>24769.637733249998</v>
      </c>
      <c r="E79" s="501">
        <v>34741.554259500001</v>
      </c>
      <c r="F79" s="501">
        <v>35007.565345199997</v>
      </c>
      <c r="G79" s="501">
        <v>44663.954472065634</v>
      </c>
      <c r="H79" s="501">
        <v>52512.654424261214</v>
      </c>
      <c r="I79" s="501">
        <v>53694.431820414466</v>
      </c>
      <c r="J79" s="501">
        <v>54711.55028246827</v>
      </c>
      <c r="K79" s="501">
        <v>55831.358334065721</v>
      </c>
      <c r="L79" s="501">
        <v>57051.901253093281</v>
      </c>
      <c r="M79" s="501">
        <v>58377.234339235911</v>
      </c>
      <c r="N79" s="502">
        <v>59833.32611578131</v>
      </c>
      <c r="O79" s="75">
        <v>61284.689287688409</v>
      </c>
      <c r="P79" s="75">
        <v>62861.811256723609</v>
      </c>
      <c r="Q79" s="75">
        <v>64503.544554090302</v>
      </c>
      <c r="R79" s="75">
        <v>66203.540084522654</v>
      </c>
      <c r="S79" s="75">
        <v>67930.723818992861</v>
      </c>
      <c r="T79" s="75">
        <v>69530.58867742015</v>
      </c>
      <c r="U79" s="75">
        <v>71296.52139255908</v>
      </c>
      <c r="V79" s="75">
        <v>72833.793154849714</v>
      </c>
      <c r="W79" s="75">
        <v>74366.773093148309</v>
      </c>
      <c r="X79" s="75">
        <v>18312.086909030786</v>
      </c>
      <c r="Y79" s="60"/>
      <c r="Z79" s="60"/>
      <c r="AA79" s="60"/>
      <c r="AB79" s="60"/>
      <c r="AC79" s="60"/>
      <c r="AD79" s="60"/>
      <c r="AE79"/>
    </row>
    <row r="80" spans="1:31" ht="13.2">
      <c r="A80" s="70" t="s">
        <v>372</v>
      </c>
      <c r="B80" s="496">
        <f>NPV(0.1,D80:Y80)</f>
        <v>197733.88198574792</v>
      </c>
      <c r="C80" s="496">
        <f>B80-B70</f>
        <v>314.3573374619591</v>
      </c>
      <c r="D80" s="500">
        <v>15717.914399916668</v>
      </c>
      <c r="E80" s="501">
        <v>19901.397059499999</v>
      </c>
      <c r="F80" s="501">
        <v>20261.913429200002</v>
      </c>
      <c r="G80" s="501">
        <v>20560.318534355996</v>
      </c>
      <c r="H80" s="501">
        <v>20924.325890426677</v>
      </c>
      <c r="I80" s="501">
        <v>21359.741696389483</v>
      </c>
      <c r="J80" s="501">
        <v>21864.310682321164</v>
      </c>
      <c r="K80" s="501">
        <v>22470.719610340799</v>
      </c>
      <c r="L80" s="501">
        <v>23179.463374016017</v>
      </c>
      <c r="M80" s="501">
        <v>23993.073730336502</v>
      </c>
      <c r="N80" s="502">
        <v>25475.023707361601</v>
      </c>
      <c r="O80" s="75">
        <v>26527.692818652446</v>
      </c>
      <c r="P80" s="75">
        <v>27715.39985560202</v>
      </c>
      <c r="Q80" s="75">
        <v>28980.980721780077</v>
      </c>
      <c r="R80" s="75">
        <v>30318.118545413487</v>
      </c>
      <c r="S80" s="75">
        <v>31696.822418125885</v>
      </c>
      <c r="T80" s="75">
        <v>33128.88363606466</v>
      </c>
      <c r="U80" s="75">
        <v>34754.687803546592</v>
      </c>
      <c r="V80" s="75">
        <v>36180.203639858002</v>
      </c>
      <c r="W80" s="75">
        <v>37631.575646848738</v>
      </c>
      <c r="X80" s="75">
        <v>2861.7531494797736</v>
      </c>
      <c r="Y80" s="60"/>
      <c r="Z80" s="60"/>
      <c r="AA80" s="60"/>
      <c r="AB80" s="60"/>
      <c r="AC80" s="60"/>
      <c r="AD80" s="60"/>
      <c r="AE80"/>
    </row>
    <row r="81" spans="1:31" ht="13.2">
      <c r="A81" s="70" t="s">
        <v>34</v>
      </c>
      <c r="B81" s="496">
        <f>NPV(0.1,D81:Y81)</f>
        <v>74986.65267794361</v>
      </c>
      <c r="C81" s="496">
        <f>B81-B71</f>
        <v>-140.86543255836295</v>
      </c>
      <c r="D81" s="500">
        <v>-388.47136246818673</v>
      </c>
      <c r="E81" s="501">
        <v>-228.4531682360136</v>
      </c>
      <c r="F81" s="501">
        <v>-201.73623694021634</v>
      </c>
      <c r="G81" s="501">
        <v>5629.4711934991883</v>
      </c>
      <c r="H81" s="501">
        <v>10263.406620531554</v>
      </c>
      <c r="I81" s="501">
        <v>11020.427808608565</v>
      </c>
      <c r="J81" s="501">
        <v>11621.063749538225</v>
      </c>
      <c r="K81" s="501">
        <v>12089.865592681241</v>
      </c>
      <c r="L81" s="501">
        <v>12643.558928876997</v>
      </c>
      <c r="M81" s="501">
        <v>13225.504720581899</v>
      </c>
      <c r="N81" s="502">
        <v>13506.031615043188</v>
      </c>
      <c r="O81" s="75">
        <v>14003.943769961865</v>
      </c>
      <c r="P81" s="75">
        <v>14595.715635441218</v>
      </c>
      <c r="Q81" s="75">
        <v>15214.167623830217</v>
      </c>
      <c r="R81" s="75">
        <v>15861.779454278341</v>
      </c>
      <c r="S81" s="75">
        <v>16465.049825241033</v>
      </c>
      <c r="T81" s="75">
        <v>17075.242362146884</v>
      </c>
      <c r="U81" s="75">
        <v>17711.140764082123</v>
      </c>
      <c r="V81" s="75">
        <v>18375.159671892194</v>
      </c>
      <c r="W81" s="75">
        <v>18825.646540088539</v>
      </c>
      <c r="X81" s="75">
        <v>0</v>
      </c>
      <c r="Y81" s="60"/>
      <c r="Z81" s="60"/>
      <c r="AA81" s="60"/>
      <c r="AB81" s="60"/>
      <c r="AC81" s="60"/>
      <c r="AD81" s="60"/>
      <c r="AE81"/>
    </row>
    <row r="82" spans="1:31" ht="13.2">
      <c r="A82" s="70" t="s">
        <v>32</v>
      </c>
      <c r="B82" s="496">
        <f>NPV(0.1,D82:Y82)</f>
        <v>92229.785288180909</v>
      </c>
      <c r="C82" s="496">
        <f>B82-B72</f>
        <v>-87.011067225466832</v>
      </c>
      <c r="D82" s="503">
        <v>1894.9845176409654</v>
      </c>
      <c r="E82" s="504">
        <v>3936.4876602749619</v>
      </c>
      <c r="F82" s="504">
        <v>3365.021748442683</v>
      </c>
      <c r="G82" s="504">
        <v>14403.892140897902</v>
      </c>
      <c r="H82" s="504">
        <v>18933.415329374395</v>
      </c>
      <c r="I82" s="504">
        <v>16274.326480581192</v>
      </c>
      <c r="J82" s="504">
        <v>13826.940256194472</v>
      </c>
      <c r="K82" s="504">
        <v>13791.019088442976</v>
      </c>
      <c r="L82" s="504">
        <v>13790.0065448323</v>
      </c>
      <c r="M82" s="504">
        <v>13781.13436898357</v>
      </c>
      <c r="N82" s="505">
        <v>14163.365215277117</v>
      </c>
      <c r="O82" s="75">
        <v>13462.730546161507</v>
      </c>
      <c r="P82" s="75">
        <v>13365.058477765506</v>
      </c>
      <c r="Q82" s="75">
        <v>13257.689830353174</v>
      </c>
      <c r="R82" s="75">
        <v>13113.328248561169</v>
      </c>
      <c r="S82" s="75">
        <v>11266.492617507161</v>
      </c>
      <c r="T82" s="75">
        <v>9429.2673705969282</v>
      </c>
      <c r="U82" s="75">
        <v>9167.9284543338763</v>
      </c>
      <c r="V82" s="75">
        <v>8872.1945057082485</v>
      </c>
      <c r="W82" s="75">
        <v>14004.954654600695</v>
      </c>
      <c r="X82" s="75">
        <v>0</v>
      </c>
      <c r="Y82" s="60"/>
      <c r="Z82" s="60"/>
      <c r="AA82" s="60"/>
      <c r="AB82" s="60"/>
      <c r="AC82" s="60"/>
      <c r="AD82" s="60"/>
      <c r="AE82"/>
    </row>
    <row r="83" spans="1:31" ht="13.2">
      <c r="A83" s="70"/>
      <c r="B83" s="62"/>
      <c r="D83" s="75"/>
      <c r="E83" s="75"/>
      <c r="F83" s="75"/>
      <c r="G83" s="75"/>
      <c r="H83" s="75"/>
      <c r="I83" s="75"/>
      <c r="J83" s="75"/>
      <c r="K83" s="75"/>
      <c r="L83" s="75"/>
      <c r="M83" s="75"/>
      <c r="N83" s="75"/>
      <c r="O83" s="75"/>
      <c r="P83" s="75"/>
      <c r="Q83" s="75"/>
      <c r="R83" s="75"/>
      <c r="S83" s="75"/>
      <c r="T83" s="75"/>
      <c r="U83" s="75"/>
      <c r="V83" s="75"/>
      <c r="W83" s="75"/>
      <c r="X83" s="75"/>
      <c r="Y83" s="60"/>
      <c r="Z83" s="60"/>
      <c r="AA83" s="60"/>
      <c r="AB83" s="60"/>
      <c r="AC83" s="60"/>
      <c r="AD83" s="60"/>
      <c r="AE83"/>
    </row>
    <row r="84" spans="1:31" ht="13.2">
      <c r="A84" s="71" t="s">
        <v>470</v>
      </c>
      <c r="B84" s="60"/>
      <c r="D84" s="60"/>
      <c r="E84" s="60"/>
      <c r="F84" s="60"/>
      <c r="G84" s="60"/>
      <c r="H84" s="60"/>
      <c r="I84" s="60"/>
      <c r="J84" s="60"/>
      <c r="K84" s="60"/>
      <c r="L84" s="60"/>
      <c r="M84" s="60"/>
      <c r="N84" s="60"/>
      <c r="O84" s="60"/>
      <c r="P84" s="60"/>
      <c r="Q84" s="60"/>
      <c r="R84" s="60"/>
      <c r="S84" s="60"/>
      <c r="T84" s="60"/>
      <c r="U84" s="60"/>
      <c r="V84" s="60"/>
      <c r="W84" s="60"/>
      <c r="X84" s="60"/>
      <c r="Y84" s="60"/>
      <c r="Z84" s="60"/>
      <c r="AA84" s="60"/>
      <c r="AB84" s="60"/>
      <c r="AC84" s="60"/>
      <c r="AD84" s="60"/>
      <c r="AE84"/>
    </row>
    <row r="85" spans="1:31" ht="13.2">
      <c r="A85" s="442">
        <v>36236</v>
      </c>
      <c r="B85" s="60"/>
      <c r="D85" s="60"/>
      <c r="E85" s="60"/>
      <c r="F85" s="60"/>
      <c r="G85" s="60"/>
      <c r="H85" s="60"/>
      <c r="I85" s="60"/>
      <c r="J85" s="60"/>
      <c r="K85" s="60"/>
      <c r="L85" s="60"/>
      <c r="M85" s="60"/>
      <c r="N85" s="60"/>
      <c r="O85" s="60"/>
      <c r="P85" s="60"/>
      <c r="Q85" s="60"/>
      <c r="R85" s="60"/>
      <c r="S85" s="60"/>
      <c r="T85" s="60"/>
      <c r="U85" s="60"/>
      <c r="V85" s="60"/>
      <c r="W85" s="60"/>
      <c r="X85" s="60"/>
      <c r="Y85" s="60"/>
      <c r="Z85" s="60"/>
      <c r="AA85" s="60"/>
      <c r="AB85" s="60"/>
      <c r="AC85" s="60"/>
      <c r="AD85" s="60"/>
      <c r="AE85"/>
    </row>
    <row r="86" spans="1:31" ht="13.2">
      <c r="A86" s="64" t="s">
        <v>368</v>
      </c>
      <c r="B86" s="65">
        <v>60077.883508916493</v>
      </c>
      <c r="D86" s="60"/>
      <c r="E86" s="60"/>
      <c r="F86" s="60"/>
      <c r="G86" s="60"/>
      <c r="H86" s="60"/>
      <c r="I86" s="60"/>
      <c r="J86" s="60"/>
      <c r="K86" s="60"/>
      <c r="L86" s="60"/>
      <c r="M86" s="60"/>
      <c r="N86" s="60"/>
      <c r="O86" s="60"/>
      <c r="P86" s="60"/>
      <c r="Q86" s="60"/>
      <c r="R86" s="60"/>
      <c r="S86" s="60"/>
      <c r="T86" s="60"/>
      <c r="U86" s="60"/>
      <c r="V86" s="60"/>
      <c r="W86" s="60"/>
      <c r="X86" s="60"/>
      <c r="Y86" s="60"/>
      <c r="Z86" s="60"/>
      <c r="AA86" s="60"/>
      <c r="AB86" s="60"/>
      <c r="AC86" s="60"/>
      <c r="AD86" s="60"/>
      <c r="AE86"/>
    </row>
    <row r="87" spans="1:31" ht="13.2">
      <c r="A87" s="66" t="s">
        <v>369</v>
      </c>
      <c r="B87" s="67">
        <v>94054.947491415936</v>
      </c>
      <c r="D87" s="60"/>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0"/>
      <c r="AE87"/>
    </row>
    <row r="88" spans="1:31" ht="13.2">
      <c r="A88" s="68" t="s">
        <v>370</v>
      </c>
      <c r="B88" s="495" t="s">
        <v>468</v>
      </c>
      <c r="C88" s="495" t="s">
        <v>469</v>
      </c>
      <c r="D88" s="497">
        <v>2000</v>
      </c>
      <c r="E88" s="498">
        <v>2001</v>
      </c>
      <c r="F88" s="498">
        <v>2002</v>
      </c>
      <c r="G88" s="498">
        <v>2003</v>
      </c>
      <c r="H88" s="498">
        <v>2004</v>
      </c>
      <c r="I88" s="498">
        <v>2005</v>
      </c>
      <c r="J88" s="498">
        <v>2006</v>
      </c>
      <c r="K88" s="498">
        <v>2007</v>
      </c>
      <c r="L88" s="498">
        <v>2008</v>
      </c>
      <c r="M88" s="498">
        <v>2009</v>
      </c>
      <c r="N88" s="499">
        <v>2010</v>
      </c>
      <c r="O88" s="69">
        <v>2011</v>
      </c>
      <c r="P88" s="69">
        <v>2012</v>
      </c>
      <c r="Q88" s="69">
        <v>2013</v>
      </c>
      <c r="R88" s="69">
        <v>2014</v>
      </c>
      <c r="S88" s="69">
        <v>2015</v>
      </c>
      <c r="T88" s="69">
        <v>2016</v>
      </c>
      <c r="U88" s="69">
        <v>2017</v>
      </c>
      <c r="V88" s="69">
        <v>2018</v>
      </c>
      <c r="W88" s="69">
        <v>2019</v>
      </c>
      <c r="X88" s="69">
        <v>2020</v>
      </c>
      <c r="Y88" s="60"/>
      <c r="Z88" s="60"/>
      <c r="AA88" s="60"/>
      <c r="AB88" s="60"/>
      <c r="AC88" s="60"/>
      <c r="AD88" s="60"/>
      <c r="AE88"/>
    </row>
    <row r="89" spans="1:31" ht="13.2">
      <c r="A89" s="68" t="s">
        <v>371</v>
      </c>
      <c r="B89" s="496">
        <f>NPV(0.1,D89:Y89)</f>
        <v>440160.75248975662</v>
      </c>
      <c r="C89" s="496">
        <f>B89-B79</f>
        <v>10041.332294271095</v>
      </c>
      <c r="D89" s="500">
        <v>25339.333825517504</v>
      </c>
      <c r="E89" s="501">
        <v>35548.184444905004</v>
      </c>
      <c r="F89" s="501">
        <v>35819.941964980004</v>
      </c>
      <c r="G89" s="501">
        <v>45706.652109130941</v>
      </c>
      <c r="H89" s="501">
        <v>53742.39730976471</v>
      </c>
      <c r="I89" s="501">
        <v>54951.740400581722</v>
      </c>
      <c r="J89" s="501">
        <v>55992.435907143918</v>
      </c>
      <c r="K89" s="501">
        <v>57138.205727583758</v>
      </c>
      <c r="L89" s="501">
        <v>58387.048830010965</v>
      </c>
      <c r="M89" s="501">
        <v>59743.114542711752</v>
      </c>
      <c r="N89" s="502">
        <v>61232.977178083551</v>
      </c>
      <c r="O89" s="75">
        <v>62717.9044098124</v>
      </c>
      <c r="P89" s="75">
        <v>64331.505587029344</v>
      </c>
      <c r="Q89" s="75">
        <v>66011.20410769312</v>
      </c>
      <c r="R89" s="75">
        <v>67750.501531344111</v>
      </c>
      <c r="S89" s="75">
        <v>69517.596983951618</v>
      </c>
      <c r="T89" s="75">
        <v>71154.281001672076</v>
      </c>
      <c r="U89" s="75">
        <v>72960.878365928016</v>
      </c>
      <c r="V89" s="75">
        <v>74533.439786784686</v>
      </c>
      <c r="W89" s="75">
        <v>76101.573036732516</v>
      </c>
      <c r="X89" s="75">
        <v>18749.984639464132</v>
      </c>
      <c r="Y89" s="60"/>
      <c r="Z89" s="60"/>
      <c r="AA89" s="60"/>
      <c r="AB89" s="60"/>
      <c r="AC89" s="60"/>
      <c r="AD89" s="60"/>
      <c r="AE89"/>
    </row>
    <row r="90" spans="1:31" ht="13.2">
      <c r="A90" s="70" t="s">
        <v>372</v>
      </c>
      <c r="B90" s="496">
        <f>NPV(0.1,D90:Y90)</f>
        <v>201194.6679941745</v>
      </c>
      <c r="C90" s="496">
        <f>B90-B80</f>
        <v>3460.7860084265703</v>
      </c>
      <c r="D90" s="500">
        <v>16018.110492184169</v>
      </c>
      <c r="E90" s="501">
        <v>20246.027244904999</v>
      </c>
      <c r="F90" s="501">
        <v>20612.290048980001</v>
      </c>
      <c r="G90" s="501">
        <v>20914.917999450598</v>
      </c>
      <c r="H90" s="501">
        <v>21284.557792065716</v>
      </c>
      <c r="I90" s="501">
        <v>21727.194965185194</v>
      </c>
      <c r="J90" s="501">
        <v>22240.471800422347</v>
      </c>
      <c r="K90" s="501">
        <v>22857.882020149515</v>
      </c>
      <c r="L90" s="501">
        <v>23579.882113517346</v>
      </c>
      <c r="M90" s="501">
        <v>24409.106327951878</v>
      </c>
      <c r="N90" s="502">
        <v>25909.642525206284</v>
      </c>
      <c r="O90" s="75">
        <v>26984.062370567764</v>
      </c>
      <c r="P90" s="75">
        <v>28196.595019422904</v>
      </c>
      <c r="Q90" s="75">
        <v>29488.667457858486</v>
      </c>
      <c r="R90" s="75">
        <v>30853.834753858446</v>
      </c>
      <c r="S90" s="75">
        <v>32261.401554140692</v>
      </c>
      <c r="T90" s="75">
        <v>33723.453778801966</v>
      </c>
      <c r="U90" s="75">
        <v>35383.604818302018</v>
      </c>
      <c r="V90" s="75">
        <v>36838.639679418033</v>
      </c>
      <c r="W90" s="75">
        <v>38319.980022233627</v>
      </c>
      <c r="X90" s="75">
        <v>2861.7531494797736</v>
      </c>
      <c r="Y90" s="60"/>
      <c r="Z90" s="60"/>
      <c r="AA90" s="60"/>
      <c r="AB90" s="60"/>
      <c r="AC90" s="60"/>
      <c r="AD90" s="60"/>
      <c r="AE90"/>
    </row>
    <row r="91" spans="1:31" ht="13.2">
      <c r="A91" s="70" t="s">
        <v>34</v>
      </c>
      <c r="B91" s="496">
        <f>NPV(0.1,D91:Y91)</f>
        <v>78297.15639139706</v>
      </c>
      <c r="C91" s="496">
        <f>B91-B81</f>
        <v>3310.5037134534505</v>
      </c>
      <c r="D91" s="500">
        <v>-323.75992621387695</v>
      </c>
      <c r="E91" s="501">
        <v>-113.25941806323628</v>
      </c>
      <c r="F91" s="501">
        <v>-82.894917074987347</v>
      </c>
      <c r="G91" s="501">
        <v>5923.1322622586767</v>
      </c>
      <c r="H91" s="501">
        <v>10694.291745808878</v>
      </c>
      <c r="I91" s="501">
        <v>11471.770334608846</v>
      </c>
      <c r="J91" s="501">
        <v>12089.353574347535</v>
      </c>
      <c r="K91" s="501">
        <v>12575.125357907185</v>
      </c>
      <c r="L91" s="501">
        <v>13147.001630465486</v>
      </c>
      <c r="M91" s="501">
        <v>13748.098813197877</v>
      </c>
      <c r="N91" s="502">
        <v>14047.068174986083</v>
      </c>
      <c r="O91" s="75">
        <v>14563.37902703968</v>
      </c>
      <c r="P91" s="75">
        <v>15174.854694752614</v>
      </c>
      <c r="Q91" s="75">
        <v>15814.019112591874</v>
      </c>
      <c r="R91" s="75">
        <v>16483.426656316755</v>
      </c>
      <c r="S91" s="75">
        <v>17109.255651299445</v>
      </c>
      <c r="T91" s="75">
        <v>17740.644755221729</v>
      </c>
      <c r="U91" s="75">
        <v>18398.79355317965</v>
      </c>
      <c r="V91" s="75">
        <v>19086.195260947992</v>
      </c>
      <c r="W91" s="75">
        <v>19555.033011882675</v>
      </c>
      <c r="X91" s="75">
        <v>0</v>
      </c>
      <c r="Y91" s="60"/>
      <c r="Z91" s="60"/>
      <c r="AA91" s="60"/>
      <c r="AB91" s="60"/>
      <c r="AC91" s="60"/>
      <c r="AD91" s="60"/>
      <c r="AE91"/>
    </row>
    <row r="92" spans="1:31" ht="13.2">
      <c r="A92" s="70" t="s">
        <v>32</v>
      </c>
      <c r="B92" s="496">
        <f>NPV(0.1,D92:Y92)</f>
        <v>93528.171507556544</v>
      </c>
      <c r="C92" s="496">
        <f>B92-B82</f>
        <v>1298.3862193756358</v>
      </c>
      <c r="D92" s="503">
        <v>2154.0621621527739</v>
      </c>
      <c r="E92" s="504">
        <v>4206.0547882592264</v>
      </c>
      <c r="F92" s="504">
        <v>3617.4268291090493</v>
      </c>
      <c r="G92" s="504">
        <v>14814.540977749119</v>
      </c>
      <c r="H92" s="504">
        <v>19177.648479498705</v>
      </c>
      <c r="I92" s="504">
        <v>16350.298909969077</v>
      </c>
      <c r="J92" s="504">
        <v>14014.161185552339</v>
      </c>
      <c r="K92" s="504">
        <v>13950.912526233449</v>
      </c>
      <c r="L92" s="504">
        <v>13919.628180586298</v>
      </c>
      <c r="M92" s="504">
        <v>13879.044209663698</v>
      </c>
      <c r="N92" s="505">
        <v>14238.3291223504</v>
      </c>
      <c r="O92" s="75">
        <v>13506.76532853848</v>
      </c>
      <c r="P92" s="75">
        <v>13374.771159140873</v>
      </c>
      <c r="Q92" s="75">
        <v>13231.504174862097</v>
      </c>
      <c r="R92" s="75">
        <v>13049.72467900811</v>
      </c>
      <c r="S92" s="75">
        <v>11179.640775413731</v>
      </c>
      <c r="T92" s="75">
        <v>9317.3277675079898</v>
      </c>
      <c r="U92" s="75">
        <v>9015.5756412194714</v>
      </c>
      <c r="V92" s="75">
        <v>8677.60530999822</v>
      </c>
      <c r="W92" s="75">
        <v>13946.518966609936</v>
      </c>
      <c r="X92" s="75">
        <v>0</v>
      </c>
      <c r="Y92" s="60"/>
      <c r="Z92" s="60"/>
      <c r="AA92" s="60"/>
      <c r="AB92" s="60"/>
      <c r="AC92" s="60"/>
      <c r="AD92" s="60"/>
      <c r="AE92"/>
    </row>
    <row r="93" spans="1:31" ht="13.2">
      <c r="A93" s="60"/>
      <c r="B93" s="60"/>
      <c r="D93" s="60"/>
      <c r="E93" s="60"/>
      <c r="F93" s="60"/>
      <c r="G93" s="60"/>
      <c r="H93" s="60"/>
      <c r="I93" s="60"/>
      <c r="J93" s="60"/>
      <c r="K93" s="60"/>
      <c r="L93" s="60"/>
      <c r="M93" s="60"/>
      <c r="N93" s="60"/>
      <c r="O93" s="60"/>
      <c r="P93" s="60"/>
      <c r="Q93" s="60"/>
      <c r="R93" s="60"/>
      <c r="S93" s="60"/>
      <c r="T93" s="60"/>
      <c r="U93" s="60"/>
      <c r="V93" s="60"/>
      <c r="W93" s="60"/>
      <c r="X93" s="60"/>
      <c r="Y93" s="60"/>
      <c r="Z93" s="60"/>
      <c r="AA93" s="60"/>
      <c r="AB93" s="60"/>
      <c r="AC93" s="60"/>
      <c r="AD93" s="60"/>
      <c r="AE93"/>
    </row>
    <row r="94" spans="1:31" ht="13.2">
      <c r="A94" s="71" t="s">
        <v>472</v>
      </c>
      <c r="B94" s="60"/>
      <c r="D94" s="60"/>
      <c r="E94" s="60"/>
      <c r="F94" s="60"/>
      <c r="G94" s="60"/>
      <c r="H94" s="60"/>
      <c r="I94" s="60"/>
      <c r="J94" s="60"/>
      <c r="K94" s="60"/>
      <c r="L94" s="60"/>
      <c r="M94" s="60"/>
      <c r="N94" s="60"/>
      <c r="O94" s="60"/>
      <c r="P94" s="60"/>
      <c r="Q94" s="60"/>
      <c r="R94" s="60"/>
      <c r="S94" s="60"/>
      <c r="T94" s="60"/>
      <c r="U94" s="60"/>
      <c r="V94" s="60"/>
      <c r="W94" s="60"/>
      <c r="X94" s="60"/>
      <c r="Y94" s="60"/>
      <c r="Z94" s="60"/>
      <c r="AA94" s="60"/>
      <c r="AB94" s="60"/>
      <c r="AC94" s="60"/>
      <c r="AD94" s="60"/>
      <c r="AE94"/>
    </row>
    <row r="95" spans="1:31" ht="13.2">
      <c r="A95" s="442">
        <v>36240</v>
      </c>
      <c r="B95" s="60"/>
      <c r="D95" s="60"/>
      <c r="E95" s="60"/>
      <c r="F95" s="60"/>
      <c r="G95" s="60"/>
      <c r="H95" s="60"/>
      <c r="I95" s="60"/>
      <c r="J95" s="60"/>
      <c r="K95" s="60"/>
      <c r="L95" s="60"/>
      <c r="M95" s="60"/>
      <c r="N95" s="60"/>
      <c r="O95" s="60"/>
      <c r="P95" s="60"/>
      <c r="Q95" s="60"/>
      <c r="R95" s="60"/>
      <c r="S95" s="60"/>
      <c r="T95" s="60"/>
      <c r="U95" s="60"/>
      <c r="V95" s="60"/>
      <c r="W95" s="60"/>
      <c r="X95" s="60"/>
      <c r="Y95" s="60"/>
      <c r="Z95" s="60"/>
      <c r="AA95" s="60"/>
      <c r="AB95" s="60"/>
      <c r="AC95" s="60"/>
      <c r="AD95" s="60"/>
      <c r="AE95"/>
    </row>
    <row r="96" spans="1:31" ht="13.2">
      <c r="A96" s="64" t="s">
        <v>368</v>
      </c>
      <c r="B96" s="65">
        <v>54523.822347543821</v>
      </c>
      <c r="D96" s="60"/>
      <c r="E96" s="60"/>
      <c r="F96" s="60"/>
      <c r="G96" s="60"/>
      <c r="H96" s="60"/>
      <c r="I96" s="60"/>
      <c r="J96" s="60"/>
      <c r="K96" s="60"/>
      <c r="L96" s="60"/>
      <c r="M96" s="60"/>
      <c r="N96" s="60"/>
      <c r="O96" s="60"/>
      <c r="P96" s="60"/>
      <c r="Q96" s="60"/>
      <c r="R96" s="60"/>
      <c r="S96" s="60"/>
      <c r="T96" s="60"/>
      <c r="U96" s="60"/>
      <c r="V96" s="60"/>
      <c r="W96" s="60"/>
      <c r="X96" s="60"/>
      <c r="Y96" s="60"/>
      <c r="Z96" s="60"/>
      <c r="AA96" s="60"/>
      <c r="AB96" s="60"/>
      <c r="AC96" s="60"/>
      <c r="AD96" s="60"/>
      <c r="AE96"/>
    </row>
    <row r="97" spans="1:255" ht="13.2">
      <c r="A97" s="66" t="s">
        <v>369</v>
      </c>
      <c r="B97" s="67">
        <v>87467.575115702304</v>
      </c>
      <c r="D97" s="60"/>
      <c r="E97" s="60"/>
      <c r="F97" s="60"/>
      <c r="G97" s="60"/>
      <c r="H97" s="60"/>
      <c r="I97" s="60"/>
      <c r="J97" s="60"/>
      <c r="K97" s="60"/>
      <c r="L97" s="60"/>
      <c r="M97" s="60"/>
      <c r="N97" s="60"/>
      <c r="O97" s="60"/>
      <c r="P97" s="60"/>
      <c r="Q97" s="60"/>
      <c r="R97" s="60"/>
      <c r="S97" s="60"/>
      <c r="T97" s="60"/>
      <c r="U97" s="60"/>
      <c r="V97" s="60"/>
      <c r="W97" s="60"/>
      <c r="X97" s="60"/>
      <c r="Y97" s="60"/>
      <c r="Z97" s="60"/>
      <c r="AA97" s="60"/>
      <c r="AB97" s="60"/>
      <c r="AC97" s="60"/>
      <c r="AD97" s="60"/>
      <c r="AE97"/>
    </row>
    <row r="98" spans="1:255" ht="13.2">
      <c r="A98" s="68" t="s">
        <v>370</v>
      </c>
      <c r="B98" s="495" t="s">
        <v>468</v>
      </c>
      <c r="C98" s="495" t="s">
        <v>469</v>
      </c>
      <c r="D98" s="497">
        <v>2000</v>
      </c>
      <c r="E98" s="498">
        <v>2001</v>
      </c>
      <c r="F98" s="498">
        <v>2002</v>
      </c>
      <c r="G98" s="498">
        <v>2003</v>
      </c>
      <c r="H98" s="498">
        <v>2004</v>
      </c>
      <c r="I98" s="498">
        <v>2005</v>
      </c>
      <c r="J98" s="498">
        <v>2006</v>
      </c>
      <c r="K98" s="498">
        <v>2007</v>
      </c>
      <c r="L98" s="498">
        <v>2008</v>
      </c>
      <c r="M98" s="498">
        <v>2009</v>
      </c>
      <c r="N98" s="499">
        <v>2010</v>
      </c>
      <c r="O98" s="69">
        <v>2011</v>
      </c>
      <c r="P98" s="69">
        <v>2012</v>
      </c>
      <c r="Q98" s="69">
        <v>2013</v>
      </c>
      <c r="R98" s="69">
        <v>2014</v>
      </c>
      <c r="S98" s="69">
        <v>2015</v>
      </c>
      <c r="T98" s="69">
        <v>2016</v>
      </c>
      <c r="U98" s="69">
        <v>2017</v>
      </c>
      <c r="V98" s="69">
        <v>2018</v>
      </c>
      <c r="W98" s="69">
        <v>2019</v>
      </c>
      <c r="X98" s="69">
        <v>2020</v>
      </c>
      <c r="Y98" s="60"/>
      <c r="Z98" s="60"/>
      <c r="AA98" s="60"/>
      <c r="AB98" s="60"/>
      <c r="AC98" s="60"/>
      <c r="AD98" s="60"/>
      <c r="AE98"/>
    </row>
    <row r="99" spans="1:255" ht="13.2">
      <c r="A99" s="68" t="s">
        <v>371</v>
      </c>
      <c r="B99" s="496">
        <f>NPV(0.1,D99:Y99)</f>
        <v>440160.75248975662</v>
      </c>
      <c r="C99" s="496">
        <f>B99-B89</f>
        <v>0</v>
      </c>
      <c r="D99" s="500">
        <v>25339.333825517504</v>
      </c>
      <c r="E99" s="501">
        <v>35548.184444905004</v>
      </c>
      <c r="F99" s="501">
        <v>35819.941964980004</v>
      </c>
      <c r="G99" s="501">
        <v>45706.652109130941</v>
      </c>
      <c r="H99" s="501">
        <v>53742.39730976471</v>
      </c>
      <c r="I99" s="501">
        <v>54951.740400581722</v>
      </c>
      <c r="J99" s="501">
        <v>55992.435907143918</v>
      </c>
      <c r="K99" s="501">
        <v>57138.205727583758</v>
      </c>
      <c r="L99" s="501">
        <v>58387.048830010965</v>
      </c>
      <c r="M99" s="501">
        <v>59743.114542711752</v>
      </c>
      <c r="N99" s="502">
        <v>61232.977178083551</v>
      </c>
      <c r="O99" s="75">
        <v>62717.9044098124</v>
      </c>
      <c r="P99" s="75">
        <v>64331.505587029344</v>
      </c>
      <c r="Q99" s="75">
        <v>66011.20410769312</v>
      </c>
      <c r="R99" s="75">
        <v>67750.501531344111</v>
      </c>
      <c r="S99" s="75">
        <v>69517.596983951618</v>
      </c>
      <c r="T99" s="75">
        <v>71154.281001672076</v>
      </c>
      <c r="U99" s="75">
        <v>72960.878365928016</v>
      </c>
      <c r="V99" s="75">
        <v>74533.439786784686</v>
      </c>
      <c r="W99" s="75">
        <v>76101.573036732516</v>
      </c>
      <c r="X99" s="75">
        <v>18749.984639464132</v>
      </c>
      <c r="Y99" s="60"/>
      <c r="Z99" s="60"/>
      <c r="AA99" s="60"/>
      <c r="AB99" s="60"/>
      <c r="AC99" s="60"/>
      <c r="AD99" s="60"/>
      <c r="AE99"/>
    </row>
    <row r="100" spans="1:255" ht="13.2">
      <c r="A100" s="70" t="s">
        <v>372</v>
      </c>
      <c r="B100" s="496">
        <f>NPV(0.1,D100:Y100)</f>
        <v>201194.6679941745</v>
      </c>
      <c r="C100" s="496">
        <f>B100-B90</f>
        <v>0</v>
      </c>
      <c r="D100" s="500">
        <v>16018.110492184169</v>
      </c>
      <c r="E100" s="501">
        <v>20246.027244904999</v>
      </c>
      <c r="F100" s="501">
        <v>20612.290048980001</v>
      </c>
      <c r="G100" s="501">
        <v>20914.917999450598</v>
      </c>
      <c r="H100" s="501">
        <v>21284.557792065716</v>
      </c>
      <c r="I100" s="501">
        <v>21727.194965185194</v>
      </c>
      <c r="J100" s="501">
        <v>22240.471800422347</v>
      </c>
      <c r="K100" s="501">
        <v>22857.882020149515</v>
      </c>
      <c r="L100" s="501">
        <v>23579.882113517346</v>
      </c>
      <c r="M100" s="501">
        <v>24409.106327951878</v>
      </c>
      <c r="N100" s="502">
        <v>25909.642525206284</v>
      </c>
      <c r="O100" s="75">
        <v>26984.062370567764</v>
      </c>
      <c r="P100" s="75">
        <v>28196.595019422904</v>
      </c>
      <c r="Q100" s="75">
        <v>29488.667457858486</v>
      </c>
      <c r="R100" s="75">
        <v>30853.834753858446</v>
      </c>
      <c r="S100" s="75">
        <v>32261.401554140692</v>
      </c>
      <c r="T100" s="75">
        <v>33723.453778801966</v>
      </c>
      <c r="U100" s="75">
        <v>35383.604818302018</v>
      </c>
      <c r="V100" s="75">
        <v>36838.639679418033</v>
      </c>
      <c r="W100" s="75">
        <v>38319.980022233627</v>
      </c>
      <c r="X100" s="75">
        <v>2861.7531494797736</v>
      </c>
      <c r="Y100" s="60"/>
      <c r="Z100" s="60"/>
      <c r="AA100" s="60"/>
      <c r="AB100" s="60"/>
      <c r="AC100" s="60"/>
      <c r="AD100" s="60"/>
      <c r="AE100"/>
    </row>
    <row r="101" spans="1:255" ht="13.2">
      <c r="A101" s="70" t="s">
        <v>34</v>
      </c>
      <c r="B101" s="496">
        <f>NPV(0.1,D101:Y101)</f>
        <v>77108.050822156583</v>
      </c>
      <c r="C101" s="496">
        <f>B101-B91</f>
        <v>-1189.1055692404771</v>
      </c>
      <c r="D101" s="500">
        <v>-409.02901401058574</v>
      </c>
      <c r="E101" s="501">
        <v>-259.43499714330835</v>
      </c>
      <c r="F101" s="501">
        <v>-229.07049615505943</v>
      </c>
      <c r="G101" s="501">
        <v>5776.9566831786033</v>
      </c>
      <c r="H101" s="501">
        <v>10548.116166728803</v>
      </c>
      <c r="I101" s="501">
        <v>11325.594755528775</v>
      </c>
      <c r="J101" s="501">
        <v>11943.177995267464</v>
      </c>
      <c r="K101" s="501">
        <v>12428.949778827111</v>
      </c>
      <c r="L101" s="501">
        <v>13000.826051385411</v>
      </c>
      <c r="M101" s="501">
        <v>13601.923234117805</v>
      </c>
      <c r="N101" s="502">
        <v>13900.892595906009</v>
      </c>
      <c r="O101" s="75">
        <v>14417.203447959608</v>
      </c>
      <c r="P101" s="75">
        <v>15028.679115672541</v>
      </c>
      <c r="Q101" s="75">
        <v>15667.843533511799</v>
      </c>
      <c r="R101" s="75">
        <v>16337.251077236682</v>
      </c>
      <c r="S101" s="75">
        <v>16963.080072219374</v>
      </c>
      <c r="T101" s="75">
        <v>17594.469176141658</v>
      </c>
      <c r="U101" s="75">
        <v>18252.617974099572</v>
      </c>
      <c r="V101" s="75">
        <v>18940.019681867918</v>
      </c>
      <c r="W101" s="75">
        <v>19408.857432802601</v>
      </c>
      <c r="X101" s="75">
        <v>0</v>
      </c>
      <c r="Y101" s="60"/>
      <c r="Z101" s="60"/>
      <c r="AA101" s="60"/>
      <c r="AB101" s="60"/>
      <c r="AC101" s="60"/>
      <c r="AD101" s="60"/>
      <c r="AE101"/>
    </row>
    <row r="102" spans="1:255" ht="13.2">
      <c r="A102" s="70" t="s">
        <v>32</v>
      </c>
      <c r="B102" s="496">
        <f>NPV(0.1,D102:Y102)</f>
        <v>94666.987088757174</v>
      </c>
      <c r="C102" s="496">
        <f>B102-B92</f>
        <v>1138.8155812006298</v>
      </c>
      <c r="D102" s="503">
        <v>2154.0621621527739</v>
      </c>
      <c r="E102" s="504">
        <v>4206.0547882592282</v>
      </c>
      <c r="F102" s="504">
        <v>3617.4268291090511</v>
      </c>
      <c r="G102" s="504">
        <v>14822.547372736992</v>
      </c>
      <c r="H102" s="504">
        <v>19185.65487448658</v>
      </c>
      <c r="I102" s="504">
        <v>17439.19135889387</v>
      </c>
      <c r="J102" s="504">
        <v>14165.728980080336</v>
      </c>
      <c r="K102" s="504">
        <v>14102.728394723785</v>
      </c>
      <c r="L102" s="504">
        <v>14071.195975114284</v>
      </c>
      <c r="M102" s="504">
        <v>14030.860078154041</v>
      </c>
      <c r="N102" s="505">
        <v>14389.896916878391</v>
      </c>
      <c r="O102" s="75">
        <v>13658.581197028821</v>
      </c>
      <c r="P102" s="75">
        <v>13526.338953668865</v>
      </c>
      <c r="Q102" s="75">
        <v>13383.320043352434</v>
      </c>
      <c r="R102" s="75">
        <v>13201.292473536101</v>
      </c>
      <c r="S102" s="75">
        <v>11258.026751048783</v>
      </c>
      <c r="T102" s="75">
        <v>9322.53192425011</v>
      </c>
      <c r="U102" s="75">
        <v>9020.779797961588</v>
      </c>
      <c r="V102" s="75">
        <v>8682.8094667403384</v>
      </c>
      <c r="W102" s="75">
        <v>13951.723123352052</v>
      </c>
      <c r="X102" s="75">
        <v>0</v>
      </c>
      <c r="Y102" s="60"/>
      <c r="Z102" s="60"/>
      <c r="AA102" s="60"/>
      <c r="AB102" s="60"/>
      <c r="AC102" s="60"/>
      <c r="AD102" s="60"/>
      <c r="AE102"/>
    </row>
    <row r="103" spans="1:255" ht="13.2">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c r="AA103" s="60"/>
      <c r="AB103" s="60"/>
      <c r="AC103" s="60"/>
      <c r="AD103" s="60"/>
      <c r="AE103"/>
    </row>
    <row r="104" spans="1:255" s="54" customFormat="1" ht="13.2" outlineLevel="1">
      <c r="A104" s="71" t="s">
        <v>476</v>
      </c>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0"/>
      <c r="AE104"/>
    </row>
    <row r="105" spans="1:255" s="54" customFormat="1" ht="13.2" outlineLevel="1">
      <c r="A105" s="442">
        <v>36249</v>
      </c>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c r="AA105" s="60"/>
      <c r="AB105" s="60"/>
      <c r="AC105" s="60"/>
      <c r="AD105" s="60"/>
      <c r="AE105"/>
    </row>
    <row r="106" spans="1:255" s="54" customFormat="1" ht="13.2" outlineLevel="1">
      <c r="A106" s="64" t="s">
        <v>368</v>
      </c>
      <c r="B106" s="65">
        <v>54154.422959533505</v>
      </c>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c r="AB106" s="60"/>
      <c r="AC106" s="60"/>
      <c r="AD106" s="60"/>
      <c r="AE106"/>
    </row>
    <row r="107" spans="1:255" s="54" customFormat="1" ht="13.2" outlineLevel="1">
      <c r="A107" s="66" t="s">
        <v>369</v>
      </c>
      <c r="B107" s="67">
        <v>86986.616450342088</v>
      </c>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60"/>
      <c r="AB107" s="60"/>
      <c r="AC107" s="60"/>
      <c r="AD107" s="60"/>
      <c r="AE107"/>
    </row>
    <row r="108" spans="1:255" s="54" customFormat="1" ht="13.2" outlineLevel="1">
      <c r="A108" s="68" t="s">
        <v>370</v>
      </c>
      <c r="B108" s="495" t="s">
        <v>468</v>
      </c>
      <c r="C108" s="495" t="s">
        <v>469</v>
      </c>
      <c r="D108" s="497">
        <v>2000</v>
      </c>
      <c r="E108" s="498">
        <v>2001</v>
      </c>
      <c r="F108" s="498">
        <v>2002</v>
      </c>
      <c r="G108" s="498">
        <v>2003</v>
      </c>
      <c r="H108" s="498">
        <v>2004</v>
      </c>
      <c r="I108" s="498">
        <v>2005</v>
      </c>
      <c r="J108" s="498">
        <v>2006</v>
      </c>
      <c r="K108" s="498">
        <v>2007</v>
      </c>
      <c r="L108" s="498">
        <v>2008</v>
      </c>
      <c r="M108" s="498">
        <v>2009</v>
      </c>
      <c r="N108" s="499">
        <v>2010</v>
      </c>
      <c r="O108" s="69">
        <v>2011</v>
      </c>
      <c r="P108" s="69">
        <v>2012</v>
      </c>
      <c r="Q108" s="69">
        <v>2013</v>
      </c>
      <c r="R108" s="69">
        <v>2014</v>
      </c>
      <c r="S108" s="69">
        <v>2015</v>
      </c>
      <c r="T108" s="69">
        <v>2016</v>
      </c>
      <c r="U108" s="69">
        <v>2017</v>
      </c>
      <c r="V108" s="69">
        <v>2018</v>
      </c>
      <c r="W108" s="69">
        <v>2019</v>
      </c>
      <c r="X108" s="69">
        <v>2020</v>
      </c>
      <c r="Y108" s="60"/>
      <c r="Z108" s="60"/>
      <c r="AA108" s="60"/>
      <c r="AB108" s="60"/>
      <c r="AC108" s="60"/>
      <c r="AD108" s="60"/>
      <c r="AE108"/>
    </row>
    <row r="109" spans="1:255" s="54" customFormat="1" ht="13.2" outlineLevel="1">
      <c r="A109" s="68" t="s">
        <v>371</v>
      </c>
      <c r="B109" s="496">
        <f>NPV(0.1,D109:Y109)</f>
        <v>440160.75248975662</v>
      </c>
      <c r="C109" s="496">
        <f>B109-B99</f>
        <v>0</v>
      </c>
      <c r="D109" s="500">
        <v>25339.333825517504</v>
      </c>
      <c r="E109" s="501">
        <v>35548.184444905004</v>
      </c>
      <c r="F109" s="501">
        <v>35819.941964980004</v>
      </c>
      <c r="G109" s="501">
        <v>45706.652109130941</v>
      </c>
      <c r="H109" s="501">
        <v>53742.39730976471</v>
      </c>
      <c r="I109" s="501">
        <v>54951.740400581722</v>
      </c>
      <c r="J109" s="501">
        <v>55992.435907143918</v>
      </c>
      <c r="K109" s="501">
        <v>57138.205727583758</v>
      </c>
      <c r="L109" s="501">
        <v>58387.048830010965</v>
      </c>
      <c r="M109" s="501">
        <v>59743.114542711752</v>
      </c>
      <c r="N109" s="502">
        <v>61232.977178083551</v>
      </c>
      <c r="O109" s="75">
        <v>62717.9044098124</v>
      </c>
      <c r="P109" s="75">
        <v>64331.505587029344</v>
      </c>
      <c r="Q109" s="75">
        <v>66011.20410769312</v>
      </c>
      <c r="R109" s="75">
        <v>67750.501531344111</v>
      </c>
      <c r="S109" s="75">
        <v>69517.596983951618</v>
      </c>
      <c r="T109" s="75">
        <v>71154.281001672076</v>
      </c>
      <c r="U109" s="75">
        <v>72960.878365928016</v>
      </c>
      <c r="V109" s="75">
        <v>74533.439786784686</v>
      </c>
      <c r="W109" s="75">
        <v>76101.573036732516</v>
      </c>
      <c r="X109" s="75">
        <v>18749.984639464132</v>
      </c>
      <c r="Y109" s="60"/>
      <c r="Z109" s="60"/>
      <c r="AA109" s="60"/>
      <c r="AB109" s="60"/>
      <c r="AC109" s="60"/>
      <c r="AD109" s="60"/>
      <c r="AE109"/>
    </row>
    <row r="110" spans="1:255" s="54" customFormat="1" ht="13.2" outlineLevel="1">
      <c r="A110" s="70" t="s">
        <v>372</v>
      </c>
      <c r="B110" s="496">
        <f>NPV(0.1,D110:Y110)</f>
        <v>201666.20400036743</v>
      </c>
      <c r="C110" s="496">
        <f>B110-B100</f>
        <v>471.53600619293866</v>
      </c>
      <c r="D110" s="500">
        <v>16045.147992184169</v>
      </c>
      <c r="E110" s="501">
        <v>20293.767744904999</v>
      </c>
      <c r="F110" s="501">
        <v>20661.462763980002</v>
      </c>
      <c r="G110" s="501">
        <v>20965.565895900596</v>
      </c>
      <c r="H110" s="501">
        <v>21336.725125409215</v>
      </c>
      <c r="I110" s="501">
        <v>21780.927318529</v>
      </c>
      <c r="J110" s="501">
        <v>22295.816124366469</v>
      </c>
      <c r="K110" s="501">
        <v>22914.886673811958</v>
      </c>
      <c r="L110" s="501">
        <v>23638.596906789662</v>
      </c>
      <c r="M110" s="501">
        <v>24469.582565022363</v>
      </c>
      <c r="N110" s="502">
        <v>25971.933049388885</v>
      </c>
      <c r="O110" s="75">
        <v>27048.221610475844</v>
      </c>
      <c r="P110" s="75">
        <v>28262.679036528225</v>
      </c>
      <c r="Q110" s="75">
        <v>29556.733995476963</v>
      </c>
      <c r="R110" s="75">
        <v>30923.943287605478</v>
      </c>
      <c r="S110" s="75">
        <v>32333.613343900139</v>
      </c>
      <c r="T110" s="75">
        <v>33797.83192225419</v>
      </c>
      <c r="U110" s="75">
        <v>35460.214306057809</v>
      </c>
      <c r="V110" s="75">
        <v>36917.547451806502</v>
      </c>
      <c r="W110" s="75">
        <v>38401.255027793748</v>
      </c>
      <c r="X110" s="75">
        <v>2896.6336726993268</v>
      </c>
      <c r="Y110" s="60"/>
      <c r="Z110" s="60"/>
      <c r="AA110" s="60"/>
      <c r="AB110" s="60"/>
      <c r="AC110" s="60"/>
      <c r="AD110" s="60"/>
      <c r="AE110"/>
    </row>
    <row r="111" spans="1:255" s="54" customFormat="1" ht="13.2" outlineLevel="1">
      <c r="A111" s="70" t="s">
        <v>34</v>
      </c>
      <c r="B111" s="496">
        <f>NPV(0.1,D111:Y111)</f>
        <v>76893.927327290876</v>
      </c>
      <c r="C111" s="496">
        <f>B111-B101</f>
        <v>-214.12349486570747</v>
      </c>
      <c r="D111" s="500">
        <v>-418.5347147799763</v>
      </c>
      <c r="E111" s="501">
        <v>-276.9974527735701</v>
      </c>
      <c r="F111" s="501">
        <v>-248.29700767911768</v>
      </c>
      <c r="G111" s="501">
        <v>5755.9263802770474</v>
      </c>
      <c r="H111" s="501">
        <v>10526.027235481957</v>
      </c>
      <c r="I111" s="501">
        <v>11302.379483097146</v>
      </c>
      <c r="J111" s="501">
        <v>11918.763761107244</v>
      </c>
      <c r="K111" s="501">
        <v>12403.258677353526</v>
      </c>
      <c r="L111" s="501">
        <v>12973.774484907488</v>
      </c>
      <c r="M111" s="501">
        <v>13573.421473680133</v>
      </c>
      <c r="N111" s="502">
        <v>13870.844307484085</v>
      </c>
      <c r="O111" s="75">
        <v>14385.505181251739</v>
      </c>
      <c r="P111" s="75">
        <v>14995.219752511015</v>
      </c>
      <c r="Q111" s="75">
        <v>15632.503692678332</v>
      </c>
      <c r="R111" s="75">
        <v>16299.902472210471</v>
      </c>
      <c r="S111" s="75">
        <v>16923.584818108739</v>
      </c>
      <c r="T111" s="75">
        <v>17552.679041750911</v>
      </c>
      <c r="U111" s="75">
        <v>18208.373574759287</v>
      </c>
      <c r="V111" s="75">
        <v>18893.1496083077</v>
      </c>
      <c r="W111" s="75">
        <v>19359.690222965073</v>
      </c>
      <c r="X111" s="75">
        <v>0</v>
      </c>
      <c r="Y111" s="60"/>
      <c r="Z111" s="60"/>
      <c r="AA111" s="60"/>
      <c r="AB111" s="60"/>
      <c r="AC111" s="60"/>
      <c r="AD111" s="60"/>
      <c r="AE111"/>
      <c r="AF111" s="55"/>
      <c r="AG111" s="55"/>
      <c r="AH111" s="55"/>
      <c r="AI111" s="55"/>
      <c r="AJ111" s="55"/>
      <c r="AK111" s="55"/>
      <c r="AL111" s="55"/>
      <c r="AM111" s="55"/>
      <c r="AN111" s="55"/>
      <c r="AO111" s="55"/>
      <c r="AP111" s="55"/>
      <c r="AQ111" s="55"/>
      <c r="AR111" s="55"/>
      <c r="AS111" s="55"/>
      <c r="AT111" s="55"/>
      <c r="AU111" s="55"/>
      <c r="AV111" s="55"/>
      <c r="AW111" s="55"/>
      <c r="AX111" s="55"/>
      <c r="AY111" s="55"/>
      <c r="AZ111" s="55"/>
      <c r="BA111" s="55"/>
      <c r="BB111" s="55"/>
      <c r="BC111" s="55"/>
      <c r="BD111" s="55"/>
      <c r="BE111" s="55"/>
      <c r="BF111" s="55"/>
      <c r="BG111" s="55"/>
      <c r="BH111" s="55"/>
      <c r="BI111" s="55"/>
      <c r="BJ111" s="55"/>
      <c r="BK111" s="55"/>
      <c r="BL111" s="55"/>
      <c r="BM111" s="55"/>
      <c r="BN111" s="55"/>
      <c r="BO111" s="55"/>
      <c r="BP111" s="55"/>
      <c r="BQ111" s="55"/>
      <c r="BR111" s="55"/>
      <c r="BS111" s="55"/>
      <c r="BT111" s="55"/>
      <c r="BU111" s="55"/>
      <c r="BV111" s="55"/>
      <c r="BW111" s="55"/>
      <c r="BX111" s="55"/>
      <c r="BY111" s="55"/>
      <c r="BZ111" s="55"/>
      <c r="CA111" s="55"/>
      <c r="CB111" s="55"/>
      <c r="CC111" s="55"/>
      <c r="CD111" s="55"/>
      <c r="CE111" s="55"/>
      <c r="CF111" s="55"/>
      <c r="CG111" s="55"/>
      <c r="CH111" s="55"/>
      <c r="CI111" s="55"/>
      <c r="CJ111" s="55"/>
      <c r="CK111" s="55"/>
      <c r="CL111" s="55"/>
      <c r="CM111" s="55"/>
      <c r="CN111" s="55"/>
      <c r="CO111" s="55"/>
      <c r="CP111" s="55"/>
      <c r="CQ111" s="55"/>
      <c r="CR111" s="55"/>
      <c r="CS111" s="55"/>
      <c r="CT111" s="55"/>
      <c r="CU111" s="55"/>
      <c r="CV111" s="55"/>
      <c r="CW111" s="55"/>
      <c r="CX111" s="55"/>
      <c r="CY111" s="55"/>
      <c r="CZ111" s="55"/>
      <c r="DA111" s="55"/>
      <c r="DB111" s="55"/>
      <c r="DC111" s="55"/>
      <c r="DD111" s="55"/>
      <c r="DE111" s="55"/>
      <c r="DF111" s="55"/>
      <c r="DG111" s="55"/>
      <c r="DH111" s="55"/>
      <c r="DI111" s="55"/>
      <c r="DJ111" s="55"/>
      <c r="DK111" s="55"/>
      <c r="DL111" s="55"/>
      <c r="DM111" s="55"/>
      <c r="DN111" s="55"/>
      <c r="DO111" s="55"/>
      <c r="DP111" s="55"/>
      <c r="DQ111" s="55"/>
      <c r="DR111" s="55"/>
      <c r="DS111" s="55"/>
      <c r="DT111" s="55"/>
      <c r="DU111" s="55"/>
      <c r="DV111" s="55"/>
      <c r="DW111" s="55"/>
      <c r="DX111" s="55"/>
      <c r="DY111" s="55"/>
      <c r="DZ111" s="55"/>
      <c r="EA111" s="55"/>
      <c r="EB111" s="55"/>
      <c r="EC111" s="55"/>
      <c r="ED111" s="55"/>
      <c r="EE111" s="55"/>
      <c r="EF111" s="55"/>
      <c r="EG111" s="55"/>
      <c r="EH111" s="55"/>
      <c r="EI111" s="55"/>
      <c r="EJ111" s="55"/>
      <c r="EK111" s="55"/>
      <c r="EL111" s="55"/>
      <c r="EM111" s="55"/>
      <c r="EN111" s="55"/>
      <c r="EO111" s="55"/>
      <c r="EP111" s="55"/>
      <c r="EQ111" s="55"/>
      <c r="ER111" s="55"/>
      <c r="ES111" s="55"/>
      <c r="ET111" s="55"/>
      <c r="EU111" s="55"/>
      <c r="EV111" s="55"/>
      <c r="EW111" s="55"/>
      <c r="EX111" s="55"/>
      <c r="EY111" s="55"/>
      <c r="EZ111" s="55"/>
      <c r="FA111" s="55"/>
      <c r="FB111" s="55"/>
      <c r="FC111" s="55"/>
      <c r="FD111" s="55"/>
      <c r="FE111" s="55"/>
      <c r="FF111" s="55"/>
      <c r="FG111" s="55"/>
      <c r="FH111" s="55"/>
      <c r="FI111" s="55"/>
      <c r="FJ111" s="55"/>
      <c r="FK111" s="55"/>
      <c r="FL111" s="55"/>
      <c r="FM111" s="55"/>
      <c r="FN111" s="55"/>
      <c r="FO111" s="55"/>
      <c r="FP111" s="55"/>
      <c r="FQ111" s="55"/>
      <c r="FR111" s="55"/>
      <c r="FS111" s="55"/>
      <c r="FT111" s="55"/>
      <c r="FU111" s="55"/>
      <c r="FV111" s="55"/>
      <c r="FW111" s="55"/>
      <c r="FX111" s="55"/>
      <c r="FY111" s="55"/>
      <c r="FZ111" s="55"/>
      <c r="GA111" s="55"/>
      <c r="GB111" s="55"/>
      <c r="GC111" s="55"/>
      <c r="GD111" s="55"/>
      <c r="GE111" s="55"/>
      <c r="GF111" s="55"/>
      <c r="GG111" s="55"/>
      <c r="GH111" s="55"/>
      <c r="GI111" s="55"/>
      <c r="GJ111" s="55"/>
      <c r="GK111" s="55"/>
      <c r="GL111" s="55"/>
      <c r="GM111" s="55"/>
      <c r="GN111" s="55"/>
      <c r="GO111" s="55"/>
      <c r="GP111" s="55"/>
      <c r="GQ111" s="55"/>
      <c r="GR111" s="55"/>
      <c r="GS111" s="55"/>
      <c r="GT111" s="55"/>
      <c r="GU111" s="55"/>
      <c r="GV111" s="55"/>
      <c r="GW111" s="55"/>
      <c r="GX111" s="55"/>
      <c r="GY111" s="55"/>
      <c r="GZ111" s="55"/>
      <c r="HA111" s="55"/>
      <c r="HB111" s="55"/>
      <c r="HC111" s="55"/>
      <c r="HD111" s="55"/>
      <c r="HE111" s="55"/>
      <c r="HF111" s="55"/>
      <c r="HG111" s="55"/>
      <c r="HH111" s="55"/>
      <c r="HI111" s="55"/>
      <c r="HJ111" s="55"/>
      <c r="HK111" s="55"/>
      <c r="HL111" s="55"/>
      <c r="HM111" s="55"/>
      <c r="HN111" s="55"/>
      <c r="HO111" s="55"/>
      <c r="HP111" s="55"/>
      <c r="HQ111" s="55"/>
      <c r="HR111" s="55"/>
      <c r="HS111" s="55"/>
      <c r="HT111" s="55"/>
      <c r="HU111" s="55"/>
      <c r="HV111" s="55"/>
      <c r="HW111" s="55"/>
      <c r="HX111" s="55"/>
      <c r="HY111" s="55"/>
      <c r="HZ111" s="55"/>
      <c r="IA111" s="55"/>
      <c r="IB111" s="55"/>
      <c r="IC111" s="55"/>
      <c r="ID111" s="55"/>
      <c r="IE111" s="55"/>
      <c r="IF111" s="55"/>
      <c r="IG111" s="55"/>
      <c r="IH111" s="55"/>
      <c r="II111" s="55"/>
      <c r="IJ111" s="55"/>
      <c r="IK111" s="55"/>
      <c r="IL111" s="55"/>
      <c r="IM111" s="55"/>
      <c r="IN111" s="55"/>
      <c r="IO111" s="55"/>
      <c r="IP111" s="55"/>
      <c r="IQ111" s="55"/>
      <c r="IR111" s="55"/>
      <c r="IS111" s="55"/>
      <c r="IT111" s="55"/>
      <c r="IU111" s="55"/>
    </row>
    <row r="112" spans="1:255" s="54" customFormat="1" ht="13.2" outlineLevel="1">
      <c r="A112" s="70" t="s">
        <v>32</v>
      </c>
      <c r="B112" s="496">
        <f>NPV(0.1,D112:Y112)</f>
        <v>94543.38826664607</v>
      </c>
      <c r="C112" s="496">
        <f>B112-B102</f>
        <v>-123.5988221111038</v>
      </c>
      <c r="D112" s="503">
        <v>2147.340743643158</v>
      </c>
      <c r="E112" s="504">
        <v>4194.2114719130741</v>
      </c>
      <c r="F112" s="504">
        <v>3605.2530016090514</v>
      </c>
      <c r="G112" s="504">
        <v>14792.484238252864</v>
      </c>
      <c r="H112" s="504">
        <v>19154.738061537286</v>
      </c>
      <c r="I112" s="504">
        <v>17475.787892559409</v>
      </c>
      <c r="J112" s="504">
        <v>14147.563498815738</v>
      </c>
      <c r="K112" s="504">
        <v>14084.392640019847</v>
      </c>
      <c r="L112" s="504">
        <v>14052.71339682904</v>
      </c>
      <c r="M112" s="504">
        <v>14012.258623466056</v>
      </c>
      <c r="N112" s="505">
        <v>14371.206450352607</v>
      </c>
      <c r="O112" s="75">
        <v>13639.83666281556</v>
      </c>
      <c r="P112" s="75">
        <v>13507.577844223508</v>
      </c>
      <c r="Q112" s="75">
        <v>13364.585614242798</v>
      </c>
      <c r="R112" s="75">
        <v>13182.631269043115</v>
      </c>
      <c r="S112" s="75">
        <v>11239.386083471958</v>
      </c>
      <c r="T112" s="75">
        <v>9303.9697748368562</v>
      </c>
      <c r="U112" s="75">
        <v>9002.4656631301077</v>
      </c>
      <c r="V112" s="75">
        <v>8664.8140080856319</v>
      </c>
      <c r="W112" s="75">
        <v>13916.25710049595</v>
      </c>
      <c r="X112" s="75">
        <v>0</v>
      </c>
      <c r="Y112" s="60"/>
      <c r="Z112" s="60"/>
      <c r="AA112" s="60"/>
      <c r="AB112" s="60"/>
      <c r="AC112" s="60"/>
      <c r="AD112" s="60"/>
      <c r="AE112"/>
      <c r="AF112" s="55"/>
      <c r="AG112" s="55"/>
      <c r="AH112" s="55"/>
      <c r="AI112" s="55"/>
      <c r="AJ112" s="55"/>
      <c r="AK112" s="55"/>
      <c r="AL112" s="55"/>
      <c r="AM112" s="55"/>
      <c r="AN112" s="55"/>
      <c r="AO112" s="55"/>
      <c r="AP112" s="55"/>
      <c r="AQ112" s="55"/>
      <c r="AR112" s="55"/>
      <c r="AS112" s="55"/>
      <c r="AT112" s="55"/>
      <c r="AU112" s="55"/>
      <c r="AV112" s="55"/>
      <c r="AW112" s="55"/>
      <c r="AX112" s="55"/>
      <c r="AY112" s="55"/>
      <c r="AZ112" s="55"/>
      <c r="BA112" s="55"/>
      <c r="BB112" s="55"/>
      <c r="BC112" s="55"/>
      <c r="BD112" s="55"/>
      <c r="BE112" s="55"/>
      <c r="BF112" s="55"/>
      <c r="BG112" s="55"/>
      <c r="BH112" s="55"/>
      <c r="BI112" s="55"/>
      <c r="BJ112" s="55"/>
      <c r="BK112" s="55"/>
      <c r="BL112" s="55"/>
      <c r="BM112" s="55"/>
      <c r="BN112" s="55"/>
      <c r="BO112" s="55"/>
      <c r="BP112" s="55"/>
      <c r="BQ112" s="55"/>
      <c r="BR112" s="55"/>
      <c r="BS112" s="55"/>
      <c r="BT112" s="55"/>
      <c r="BU112" s="55"/>
      <c r="BV112" s="55"/>
      <c r="BW112" s="55"/>
      <c r="BX112" s="55"/>
      <c r="BY112" s="55"/>
      <c r="BZ112" s="55"/>
      <c r="CA112" s="55"/>
      <c r="CB112" s="55"/>
      <c r="CC112" s="55"/>
      <c r="CD112" s="55"/>
      <c r="CE112" s="55"/>
      <c r="CF112" s="55"/>
      <c r="CG112" s="55"/>
      <c r="CH112" s="55"/>
      <c r="CI112" s="55"/>
      <c r="CJ112" s="55"/>
      <c r="CK112" s="55"/>
      <c r="CL112" s="55"/>
      <c r="CM112" s="55"/>
      <c r="CN112" s="55"/>
      <c r="CO112" s="55"/>
      <c r="CP112" s="55"/>
      <c r="CQ112" s="55"/>
      <c r="CR112" s="55"/>
      <c r="CS112" s="55"/>
      <c r="CT112" s="55"/>
      <c r="CU112" s="55"/>
      <c r="CV112" s="55"/>
      <c r="CW112" s="55"/>
      <c r="CX112" s="55"/>
      <c r="CY112" s="55"/>
      <c r="CZ112" s="55"/>
      <c r="DA112" s="55"/>
      <c r="DB112" s="55"/>
      <c r="DC112" s="55"/>
      <c r="DD112" s="55"/>
      <c r="DE112" s="55"/>
      <c r="DF112" s="55"/>
      <c r="DG112" s="55"/>
      <c r="DH112" s="55"/>
      <c r="DI112" s="55"/>
      <c r="DJ112" s="55"/>
      <c r="DK112" s="55"/>
      <c r="DL112" s="55"/>
      <c r="DM112" s="55"/>
      <c r="DN112" s="55"/>
      <c r="DO112" s="55"/>
      <c r="DP112" s="55"/>
      <c r="DQ112" s="55"/>
      <c r="DR112" s="55"/>
      <c r="DS112" s="55"/>
      <c r="DT112" s="55"/>
      <c r="DU112" s="55"/>
      <c r="DV112" s="55"/>
      <c r="DW112" s="55"/>
      <c r="DX112" s="55"/>
      <c r="DY112" s="55"/>
      <c r="DZ112" s="55"/>
      <c r="EA112" s="55"/>
      <c r="EB112" s="55"/>
      <c r="EC112" s="55"/>
      <c r="ED112" s="55"/>
      <c r="EE112" s="55"/>
      <c r="EF112" s="55"/>
      <c r="EG112" s="55"/>
      <c r="EH112" s="55"/>
      <c r="EI112" s="55"/>
      <c r="EJ112" s="55"/>
      <c r="EK112" s="55"/>
      <c r="EL112" s="55"/>
      <c r="EM112" s="55"/>
      <c r="EN112" s="55"/>
      <c r="EO112" s="55"/>
      <c r="EP112" s="55"/>
      <c r="EQ112" s="55"/>
      <c r="ER112" s="55"/>
      <c r="ES112" s="55"/>
      <c r="ET112" s="55"/>
      <c r="EU112" s="55"/>
      <c r="EV112" s="55"/>
      <c r="EW112" s="55"/>
      <c r="EX112" s="55"/>
      <c r="EY112" s="55"/>
      <c r="EZ112" s="55"/>
      <c r="FA112" s="55"/>
      <c r="FB112" s="55"/>
      <c r="FC112" s="55"/>
      <c r="FD112" s="55"/>
      <c r="FE112" s="55"/>
      <c r="FF112" s="55"/>
      <c r="FG112" s="55"/>
      <c r="FH112" s="55"/>
      <c r="FI112" s="55"/>
      <c r="FJ112" s="55"/>
      <c r="FK112" s="55"/>
      <c r="FL112" s="55"/>
      <c r="FM112" s="55"/>
      <c r="FN112" s="55"/>
      <c r="FO112" s="55"/>
      <c r="FP112" s="55"/>
      <c r="FQ112" s="55"/>
      <c r="FR112" s="55"/>
      <c r="FS112" s="55"/>
      <c r="FT112" s="55"/>
      <c r="FU112" s="55"/>
      <c r="FV112" s="55"/>
      <c r="FW112" s="55"/>
      <c r="FX112" s="55"/>
      <c r="FY112" s="55"/>
      <c r="FZ112" s="55"/>
      <c r="GA112" s="55"/>
      <c r="GB112" s="55"/>
      <c r="GC112" s="55"/>
      <c r="GD112" s="55"/>
      <c r="GE112" s="55"/>
      <c r="GF112" s="55"/>
      <c r="GG112" s="55"/>
      <c r="GH112" s="55"/>
      <c r="GI112" s="55"/>
      <c r="GJ112" s="55"/>
      <c r="GK112" s="55"/>
      <c r="GL112" s="55"/>
      <c r="GM112" s="55"/>
      <c r="GN112" s="55"/>
      <c r="GO112" s="55"/>
      <c r="GP112" s="55"/>
      <c r="GQ112" s="55"/>
      <c r="GR112" s="55"/>
      <c r="GS112" s="55"/>
      <c r="GT112" s="55"/>
      <c r="GU112" s="55"/>
      <c r="GV112" s="55"/>
      <c r="GW112" s="55"/>
      <c r="GX112" s="55"/>
      <c r="GY112" s="55"/>
      <c r="GZ112" s="55"/>
      <c r="HA112" s="55"/>
      <c r="HB112" s="55"/>
      <c r="HC112" s="55"/>
      <c r="HD112" s="55"/>
      <c r="HE112" s="55"/>
      <c r="HF112" s="55"/>
      <c r="HG112" s="55"/>
      <c r="HH112" s="55"/>
      <c r="HI112" s="55"/>
      <c r="HJ112" s="55"/>
      <c r="HK112" s="55"/>
      <c r="HL112" s="55"/>
      <c r="HM112" s="55"/>
      <c r="HN112" s="55"/>
      <c r="HO112" s="55"/>
      <c r="HP112" s="55"/>
      <c r="HQ112" s="55"/>
      <c r="HR112" s="55"/>
      <c r="HS112" s="55"/>
      <c r="HT112" s="55"/>
      <c r="HU112" s="55"/>
      <c r="HV112" s="55"/>
      <c r="HW112" s="55"/>
      <c r="HX112" s="55"/>
      <c r="HY112" s="55"/>
      <c r="HZ112" s="55"/>
      <c r="IA112" s="55"/>
      <c r="IB112" s="55"/>
      <c r="IC112" s="55"/>
      <c r="ID112" s="55"/>
      <c r="IE112" s="55"/>
      <c r="IF112" s="55"/>
      <c r="IG112" s="55"/>
      <c r="IH112" s="55"/>
      <c r="II112" s="55"/>
      <c r="IJ112" s="55"/>
      <c r="IK112" s="55"/>
      <c r="IL112" s="55"/>
      <c r="IM112" s="55"/>
      <c r="IN112" s="55"/>
      <c r="IO112" s="55"/>
      <c r="IP112" s="55"/>
      <c r="IQ112" s="55"/>
      <c r="IR112" s="55"/>
      <c r="IS112" s="55"/>
      <c r="IT112" s="55"/>
      <c r="IU112" s="55"/>
    </row>
    <row r="113" spans="1:256" s="54" customFormat="1" ht="13.2" outlineLevel="1">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c r="AA113" s="60"/>
      <c r="AB113" s="60"/>
      <c r="AC113" s="60"/>
      <c r="AD113" s="60"/>
      <c r="AE113"/>
      <c r="AF113" s="55"/>
      <c r="AG113" s="55"/>
      <c r="AH113" s="55"/>
      <c r="AI113" s="55"/>
      <c r="AJ113" s="55"/>
      <c r="AK113" s="55"/>
      <c r="AL113" s="55"/>
      <c r="AM113" s="55"/>
      <c r="AN113" s="55"/>
      <c r="AO113" s="55"/>
      <c r="AP113" s="55"/>
      <c r="AQ113" s="55"/>
      <c r="AR113" s="55"/>
      <c r="AS113" s="55"/>
      <c r="AT113" s="55"/>
      <c r="AU113" s="55"/>
      <c r="AV113" s="55"/>
      <c r="AW113" s="55"/>
      <c r="AX113" s="55"/>
      <c r="AY113" s="55"/>
      <c r="AZ113" s="55"/>
      <c r="BA113" s="55"/>
      <c r="BB113" s="55"/>
      <c r="BC113" s="55"/>
      <c r="BD113" s="55"/>
      <c r="BE113" s="55"/>
      <c r="BF113" s="55"/>
      <c r="BG113" s="55"/>
      <c r="BH113" s="55"/>
      <c r="BI113" s="55"/>
      <c r="BJ113" s="55"/>
      <c r="BK113" s="55"/>
      <c r="BL113" s="55"/>
      <c r="BM113" s="55"/>
      <c r="BN113" s="55"/>
      <c r="BO113" s="55"/>
      <c r="BP113" s="55"/>
      <c r="BQ113" s="55"/>
      <c r="BR113" s="55"/>
      <c r="BS113" s="55"/>
      <c r="BT113" s="55"/>
      <c r="BU113" s="55"/>
      <c r="BV113" s="55"/>
      <c r="BW113" s="55"/>
      <c r="BX113" s="55"/>
      <c r="BY113" s="55"/>
      <c r="BZ113" s="55"/>
      <c r="CA113" s="55"/>
      <c r="CB113" s="55"/>
      <c r="CC113" s="55"/>
      <c r="CD113" s="55"/>
      <c r="CE113" s="55"/>
      <c r="CF113" s="55"/>
      <c r="CG113" s="55"/>
      <c r="CH113" s="55"/>
      <c r="CI113" s="55"/>
      <c r="CJ113" s="55"/>
      <c r="CK113" s="55"/>
      <c r="CL113" s="55"/>
      <c r="CM113" s="55"/>
      <c r="CN113" s="55"/>
      <c r="CO113" s="55"/>
      <c r="CP113" s="55"/>
      <c r="CQ113" s="55"/>
      <c r="CR113" s="55"/>
      <c r="CS113" s="55"/>
      <c r="CT113" s="55"/>
      <c r="CU113" s="55"/>
      <c r="CV113" s="55"/>
      <c r="CW113" s="55"/>
      <c r="CX113" s="55"/>
      <c r="CY113" s="55"/>
      <c r="CZ113" s="55"/>
      <c r="DA113" s="55"/>
      <c r="DB113" s="55"/>
      <c r="DC113" s="55"/>
      <c r="DD113" s="55"/>
      <c r="DE113" s="55"/>
      <c r="DF113" s="55"/>
      <c r="DG113" s="55"/>
      <c r="DH113" s="55"/>
      <c r="DI113" s="55"/>
      <c r="DJ113" s="55"/>
      <c r="DK113" s="55"/>
      <c r="DL113" s="55"/>
      <c r="DM113" s="55"/>
      <c r="DN113" s="55"/>
      <c r="DO113" s="55"/>
      <c r="DP113" s="55"/>
      <c r="DQ113" s="55"/>
      <c r="DR113" s="55"/>
      <c r="DS113" s="55"/>
      <c r="DT113" s="55"/>
      <c r="DU113" s="55"/>
      <c r="DV113" s="55"/>
      <c r="DW113" s="55"/>
      <c r="DX113" s="55"/>
      <c r="DY113" s="55"/>
      <c r="DZ113" s="55"/>
      <c r="EA113" s="55"/>
      <c r="EB113" s="55"/>
      <c r="EC113" s="55"/>
      <c r="ED113" s="55"/>
      <c r="EE113" s="55"/>
      <c r="EF113" s="55"/>
      <c r="EG113" s="55"/>
      <c r="EH113" s="55"/>
      <c r="EI113" s="55"/>
      <c r="EJ113" s="55"/>
      <c r="EK113" s="55"/>
      <c r="EL113" s="55"/>
      <c r="EM113" s="55"/>
      <c r="EN113" s="55"/>
      <c r="EO113" s="55"/>
      <c r="EP113" s="55"/>
      <c r="EQ113" s="55"/>
      <c r="ER113" s="55"/>
      <c r="ES113" s="55"/>
      <c r="ET113" s="55"/>
      <c r="EU113" s="55"/>
      <c r="EV113" s="55"/>
      <c r="EW113" s="55"/>
      <c r="EX113" s="55"/>
      <c r="EY113" s="55"/>
      <c r="EZ113" s="55"/>
      <c r="FA113" s="55"/>
      <c r="FB113" s="55"/>
      <c r="FC113" s="55"/>
      <c r="FD113" s="55"/>
      <c r="FE113" s="55"/>
      <c r="FF113" s="55"/>
      <c r="FG113" s="55"/>
      <c r="FH113" s="55"/>
      <c r="FI113" s="55"/>
      <c r="FJ113" s="55"/>
      <c r="FK113" s="55"/>
      <c r="FL113" s="55"/>
      <c r="FM113" s="55"/>
      <c r="FN113" s="55"/>
      <c r="FO113" s="55"/>
      <c r="FP113" s="55"/>
      <c r="FQ113" s="55"/>
      <c r="FR113" s="55"/>
      <c r="FS113" s="55"/>
      <c r="FT113" s="55"/>
      <c r="FU113" s="55"/>
      <c r="FV113" s="55"/>
      <c r="FW113" s="55"/>
      <c r="FX113" s="55"/>
      <c r="FY113" s="55"/>
      <c r="FZ113" s="55"/>
      <c r="GA113" s="55"/>
      <c r="GB113" s="55"/>
      <c r="GC113" s="55"/>
      <c r="GD113" s="55"/>
      <c r="GE113" s="55"/>
      <c r="GF113" s="55"/>
      <c r="GG113" s="55"/>
      <c r="GH113" s="55"/>
      <c r="GI113" s="55"/>
      <c r="GJ113" s="55"/>
      <c r="GK113" s="55"/>
      <c r="GL113" s="55"/>
      <c r="GM113" s="55"/>
      <c r="GN113" s="55"/>
      <c r="GO113" s="55"/>
      <c r="GP113" s="55"/>
      <c r="GQ113" s="55"/>
      <c r="GR113" s="55"/>
      <c r="GS113" s="55"/>
      <c r="GT113" s="55"/>
      <c r="GU113" s="55"/>
      <c r="GV113" s="55"/>
      <c r="GW113" s="55"/>
      <c r="GX113" s="55"/>
      <c r="GY113" s="55"/>
      <c r="GZ113" s="55"/>
      <c r="HA113" s="55"/>
      <c r="HB113" s="55"/>
      <c r="HC113" s="55"/>
      <c r="HD113" s="55"/>
      <c r="HE113" s="55"/>
      <c r="HF113" s="55"/>
      <c r="HG113" s="55"/>
      <c r="HH113" s="55"/>
      <c r="HI113" s="55"/>
      <c r="HJ113" s="55"/>
      <c r="HK113" s="55"/>
      <c r="HL113" s="55"/>
      <c r="HM113" s="55"/>
      <c r="HN113" s="55"/>
      <c r="HO113" s="55"/>
      <c r="HP113" s="55"/>
      <c r="HQ113" s="55"/>
      <c r="HR113" s="55"/>
      <c r="HS113" s="55"/>
      <c r="HT113" s="55"/>
      <c r="HU113" s="55"/>
      <c r="HV113" s="55"/>
      <c r="HW113" s="55"/>
      <c r="HX113" s="55"/>
      <c r="HY113" s="55"/>
      <c r="HZ113" s="55"/>
      <c r="IA113" s="55"/>
      <c r="IB113" s="55"/>
      <c r="IC113" s="55"/>
      <c r="ID113" s="55"/>
      <c r="IE113" s="55"/>
      <c r="IF113" s="55"/>
      <c r="IG113" s="55"/>
      <c r="IH113" s="55"/>
      <c r="II113" s="55"/>
      <c r="IJ113" s="55"/>
      <c r="IK113" s="55"/>
      <c r="IL113" s="55"/>
      <c r="IM113" s="55"/>
      <c r="IN113" s="55"/>
      <c r="IO113" s="55"/>
      <c r="IP113" s="55"/>
      <c r="IQ113" s="55"/>
      <c r="IR113" s="55"/>
      <c r="IS113" s="55"/>
      <c r="IT113" s="55"/>
      <c r="IU113" s="55"/>
    </row>
    <row r="114" spans="1:256" s="54" customFormat="1" ht="13.2" outlineLevel="1">
      <c r="A114" s="71" t="s">
        <v>477</v>
      </c>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c r="AB114" s="60"/>
      <c r="AC114" s="60"/>
      <c r="AD114" s="60"/>
      <c r="AE114"/>
      <c r="AF114" s="56"/>
      <c r="AG114" s="56"/>
      <c r="AH114" s="56"/>
      <c r="AI114" s="56"/>
      <c r="AJ114" s="56"/>
      <c r="AK114" s="56"/>
      <c r="AL114" s="56"/>
      <c r="AM114" s="56"/>
      <c r="AN114" s="56"/>
      <c r="AO114" s="56"/>
      <c r="AP114" s="56"/>
      <c r="AQ114" s="56"/>
      <c r="AR114" s="56"/>
      <c r="AS114" s="56"/>
      <c r="AT114" s="56"/>
      <c r="AU114" s="56"/>
      <c r="AV114" s="56"/>
      <c r="AW114" s="56"/>
      <c r="AX114" s="56"/>
      <c r="AY114" s="56"/>
      <c r="AZ114" s="56"/>
      <c r="BA114" s="56"/>
      <c r="BB114" s="56"/>
      <c r="BC114" s="56"/>
      <c r="BD114" s="56"/>
      <c r="BE114" s="56"/>
      <c r="BF114" s="56"/>
      <c r="BG114" s="56"/>
      <c r="BH114" s="56"/>
      <c r="BI114" s="56"/>
      <c r="BJ114" s="56"/>
      <c r="BK114" s="56"/>
      <c r="BL114" s="56"/>
      <c r="BM114" s="56"/>
      <c r="BN114" s="56"/>
      <c r="BO114" s="56"/>
      <c r="BP114" s="56"/>
      <c r="BQ114" s="56"/>
      <c r="BR114" s="56"/>
      <c r="BS114" s="56"/>
      <c r="BT114" s="56"/>
      <c r="BU114" s="56"/>
      <c r="BV114" s="56"/>
      <c r="BW114" s="56"/>
      <c r="BX114" s="56"/>
      <c r="BY114" s="56"/>
      <c r="BZ114" s="56"/>
      <c r="CA114" s="56"/>
      <c r="CB114" s="56"/>
      <c r="CC114" s="56"/>
      <c r="CD114" s="56"/>
      <c r="CE114" s="56"/>
      <c r="CF114" s="56"/>
      <c r="CG114" s="56"/>
      <c r="CH114" s="56"/>
      <c r="CI114" s="56"/>
      <c r="CJ114" s="56"/>
      <c r="CK114" s="56"/>
      <c r="CL114" s="56"/>
      <c r="CM114" s="56"/>
      <c r="CN114" s="56"/>
      <c r="CO114" s="56"/>
      <c r="CP114" s="56"/>
      <c r="CQ114" s="56"/>
      <c r="CR114" s="56"/>
      <c r="CS114" s="56"/>
      <c r="CT114" s="56"/>
      <c r="CU114" s="56"/>
      <c r="CV114" s="56"/>
      <c r="CW114" s="56"/>
      <c r="CX114" s="56"/>
      <c r="CY114" s="56"/>
      <c r="CZ114" s="56"/>
      <c r="DA114" s="56"/>
      <c r="DB114" s="56"/>
      <c r="DC114" s="56"/>
      <c r="DD114" s="56"/>
      <c r="DE114" s="56"/>
      <c r="DF114" s="56"/>
      <c r="DG114" s="56"/>
      <c r="DH114" s="56"/>
      <c r="DI114" s="56"/>
      <c r="DJ114" s="56"/>
      <c r="DK114" s="56"/>
      <c r="DL114" s="56"/>
      <c r="DM114" s="56"/>
      <c r="DN114" s="56"/>
      <c r="DO114" s="56"/>
      <c r="DP114" s="56"/>
      <c r="DQ114" s="56"/>
      <c r="DR114" s="56"/>
      <c r="DS114" s="56"/>
      <c r="DT114" s="56"/>
      <c r="DU114" s="56"/>
      <c r="DV114" s="56"/>
      <c r="DW114" s="56"/>
      <c r="DX114" s="56"/>
      <c r="DY114" s="56"/>
      <c r="DZ114" s="56"/>
      <c r="EA114" s="56"/>
      <c r="EB114" s="56"/>
      <c r="EC114" s="56"/>
      <c r="ED114" s="56"/>
      <c r="EE114" s="56"/>
      <c r="EF114" s="56"/>
      <c r="EG114" s="56"/>
      <c r="EH114" s="56"/>
      <c r="EI114" s="56"/>
      <c r="EJ114" s="56"/>
      <c r="EK114" s="56"/>
      <c r="EL114" s="56"/>
      <c r="EM114" s="56"/>
      <c r="EN114" s="56"/>
      <c r="EO114" s="56"/>
      <c r="EP114" s="56"/>
      <c r="EQ114" s="56"/>
      <c r="ER114" s="56"/>
      <c r="ES114" s="56"/>
      <c r="ET114" s="56"/>
      <c r="EU114" s="56"/>
      <c r="EV114" s="56"/>
      <c r="EW114" s="56"/>
      <c r="EX114" s="56"/>
      <c r="EY114" s="56"/>
      <c r="EZ114" s="56"/>
      <c r="FA114" s="56"/>
      <c r="FB114" s="56"/>
      <c r="FC114" s="56"/>
      <c r="FD114" s="56"/>
      <c r="FE114" s="56"/>
      <c r="FF114" s="56"/>
      <c r="FG114" s="56"/>
      <c r="FH114" s="56"/>
      <c r="FI114" s="56"/>
      <c r="FJ114" s="56"/>
      <c r="FK114" s="56"/>
      <c r="FL114" s="56"/>
      <c r="FM114" s="56"/>
      <c r="FN114" s="56"/>
      <c r="FO114" s="56"/>
      <c r="FP114" s="56"/>
      <c r="FQ114" s="56"/>
      <c r="FR114" s="56"/>
      <c r="FS114" s="56"/>
      <c r="FT114" s="56"/>
      <c r="FU114" s="56"/>
      <c r="FV114" s="56"/>
      <c r="FW114" s="56"/>
      <c r="FX114" s="56"/>
      <c r="FY114" s="56"/>
      <c r="FZ114" s="56"/>
      <c r="GA114" s="56"/>
      <c r="GB114" s="56"/>
      <c r="GC114" s="56"/>
      <c r="GD114" s="56"/>
      <c r="GE114" s="56"/>
      <c r="GF114" s="56"/>
      <c r="GG114" s="56"/>
      <c r="GH114" s="56"/>
      <c r="GI114" s="56"/>
      <c r="GJ114" s="56"/>
      <c r="GK114" s="56"/>
      <c r="GL114" s="56"/>
      <c r="GM114" s="56"/>
      <c r="GN114" s="56"/>
      <c r="GO114" s="56"/>
      <c r="GP114" s="56"/>
      <c r="GQ114" s="56"/>
      <c r="GR114" s="56"/>
      <c r="GS114" s="56"/>
      <c r="GT114" s="56"/>
      <c r="GU114" s="56"/>
      <c r="GV114" s="56"/>
      <c r="GW114" s="56"/>
      <c r="GX114" s="56"/>
      <c r="GY114" s="56"/>
      <c r="GZ114" s="56"/>
      <c r="HA114" s="56"/>
      <c r="HB114" s="56"/>
      <c r="HC114" s="56"/>
      <c r="HD114" s="56"/>
      <c r="HE114" s="56"/>
      <c r="HF114" s="56"/>
      <c r="HG114" s="56"/>
      <c r="HH114" s="56"/>
      <c r="HI114" s="56"/>
      <c r="HJ114" s="56"/>
      <c r="HK114" s="56"/>
      <c r="HL114" s="56"/>
      <c r="HM114" s="56"/>
      <c r="HN114" s="56"/>
      <c r="HO114" s="56"/>
      <c r="HP114" s="56"/>
      <c r="HQ114" s="56"/>
      <c r="HR114" s="56"/>
      <c r="HS114" s="56"/>
      <c r="HT114" s="56"/>
      <c r="HU114" s="56"/>
      <c r="HV114" s="56"/>
      <c r="HW114" s="56"/>
      <c r="HX114" s="56"/>
      <c r="HY114" s="56"/>
      <c r="HZ114" s="56"/>
      <c r="IA114" s="56"/>
      <c r="IB114" s="56"/>
      <c r="IC114" s="56"/>
      <c r="ID114" s="56"/>
      <c r="IE114" s="56"/>
      <c r="IF114" s="56"/>
      <c r="IG114" s="56"/>
      <c r="IH114" s="56"/>
      <c r="II114" s="56"/>
      <c r="IJ114" s="56"/>
      <c r="IK114" s="56"/>
      <c r="IL114" s="56"/>
      <c r="IM114" s="56"/>
      <c r="IN114" s="56"/>
      <c r="IO114" s="56"/>
      <c r="IP114" s="56"/>
      <c r="IQ114" s="56"/>
      <c r="IR114" s="56"/>
      <c r="IS114" s="56"/>
      <c r="IT114" s="56"/>
      <c r="IU114" s="56"/>
      <c r="IV114" s="56"/>
    </row>
    <row r="115" spans="1:256" s="54" customFormat="1" ht="13.2" outlineLevel="1">
      <c r="A115" s="442">
        <v>36249</v>
      </c>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c r="AA115" s="60"/>
      <c r="AB115" s="60"/>
      <c r="AC115" s="60"/>
      <c r="AD115" s="60"/>
      <c r="AE115"/>
      <c r="AF115" s="56"/>
      <c r="AG115" s="56"/>
      <c r="AH115" s="56"/>
      <c r="AI115" s="56"/>
      <c r="AJ115" s="56"/>
      <c r="AK115" s="56"/>
      <c r="AL115" s="56"/>
      <c r="AM115" s="56"/>
      <c r="AN115" s="56"/>
      <c r="AO115" s="56"/>
      <c r="AP115" s="56"/>
      <c r="AQ115" s="56"/>
      <c r="AR115" s="56"/>
      <c r="AS115" s="56"/>
      <c r="AT115" s="56"/>
      <c r="AU115" s="56"/>
      <c r="AV115" s="56"/>
      <c r="AW115" s="56"/>
      <c r="AX115" s="56"/>
      <c r="AY115" s="56"/>
      <c r="AZ115" s="56"/>
      <c r="BA115" s="56"/>
      <c r="BB115" s="56"/>
      <c r="BC115" s="56"/>
      <c r="BD115" s="56"/>
      <c r="BE115" s="56"/>
      <c r="BF115" s="56"/>
      <c r="BG115" s="56"/>
      <c r="BH115" s="56"/>
      <c r="BI115" s="56"/>
      <c r="BJ115" s="56"/>
      <c r="BK115" s="56"/>
      <c r="BL115" s="56"/>
      <c r="BM115" s="56"/>
      <c r="BN115" s="56"/>
      <c r="BO115" s="56"/>
      <c r="BP115" s="56"/>
      <c r="BQ115" s="56"/>
      <c r="BR115" s="56"/>
      <c r="BS115" s="56"/>
      <c r="BT115" s="56"/>
      <c r="BU115" s="56"/>
      <c r="BV115" s="56"/>
      <c r="BW115" s="56"/>
      <c r="BX115" s="56"/>
      <c r="BY115" s="56"/>
      <c r="BZ115" s="56"/>
      <c r="CA115" s="56"/>
      <c r="CB115" s="56"/>
      <c r="CC115" s="56"/>
      <c r="CD115" s="56"/>
      <c r="CE115" s="56"/>
      <c r="CF115" s="56"/>
      <c r="CG115" s="56"/>
      <c r="CH115" s="56"/>
      <c r="CI115" s="56"/>
      <c r="CJ115" s="56"/>
      <c r="CK115" s="56"/>
      <c r="CL115" s="56"/>
      <c r="CM115" s="56"/>
      <c r="CN115" s="56"/>
      <c r="CO115" s="56"/>
      <c r="CP115" s="56"/>
      <c r="CQ115" s="56"/>
      <c r="CR115" s="56"/>
      <c r="CS115" s="56"/>
      <c r="CT115" s="56"/>
      <c r="CU115" s="56"/>
      <c r="CV115" s="56"/>
      <c r="CW115" s="56"/>
      <c r="CX115" s="56"/>
      <c r="CY115" s="56"/>
      <c r="CZ115" s="56"/>
      <c r="DA115" s="56"/>
      <c r="DB115" s="56"/>
      <c r="DC115" s="56"/>
      <c r="DD115" s="56"/>
      <c r="DE115" s="56"/>
      <c r="DF115" s="56"/>
      <c r="DG115" s="56"/>
      <c r="DH115" s="56"/>
      <c r="DI115" s="56"/>
      <c r="DJ115" s="56"/>
      <c r="DK115" s="56"/>
      <c r="DL115" s="56"/>
      <c r="DM115" s="56"/>
      <c r="DN115" s="56"/>
      <c r="DO115" s="56"/>
      <c r="DP115" s="56"/>
      <c r="DQ115" s="56"/>
      <c r="DR115" s="56"/>
      <c r="DS115" s="56"/>
      <c r="DT115" s="56"/>
      <c r="DU115" s="56"/>
      <c r="DV115" s="56"/>
      <c r="DW115" s="56"/>
      <c r="DX115" s="56"/>
      <c r="DY115" s="56"/>
      <c r="DZ115" s="56"/>
      <c r="EA115" s="56"/>
      <c r="EB115" s="56"/>
      <c r="EC115" s="56"/>
      <c r="ED115" s="56"/>
      <c r="EE115" s="56"/>
      <c r="EF115" s="56"/>
      <c r="EG115" s="56"/>
      <c r="EH115" s="56"/>
      <c r="EI115" s="56"/>
      <c r="EJ115" s="56"/>
      <c r="EK115" s="56"/>
      <c r="EL115" s="56"/>
      <c r="EM115" s="56"/>
      <c r="EN115" s="56"/>
      <c r="EO115" s="56"/>
      <c r="EP115" s="56"/>
      <c r="EQ115" s="56"/>
      <c r="ER115" s="56"/>
      <c r="ES115" s="56"/>
      <c r="ET115" s="56"/>
      <c r="EU115" s="56"/>
      <c r="EV115" s="56"/>
      <c r="EW115" s="56"/>
      <c r="EX115" s="56"/>
      <c r="EY115" s="56"/>
      <c r="EZ115" s="56"/>
      <c r="FA115" s="56"/>
      <c r="FB115" s="56"/>
      <c r="FC115" s="56"/>
      <c r="FD115" s="56"/>
      <c r="FE115" s="56"/>
      <c r="FF115" s="56"/>
      <c r="FG115" s="56"/>
      <c r="FH115" s="56"/>
      <c r="FI115" s="56"/>
      <c r="FJ115" s="56"/>
      <c r="FK115" s="56"/>
      <c r="FL115" s="56"/>
      <c r="FM115" s="56"/>
      <c r="FN115" s="56"/>
      <c r="FO115" s="56"/>
      <c r="FP115" s="56"/>
      <c r="FQ115" s="56"/>
      <c r="FR115" s="56"/>
      <c r="FS115" s="56"/>
      <c r="FT115" s="56"/>
      <c r="FU115" s="56"/>
      <c r="FV115" s="56"/>
      <c r="FW115" s="56"/>
      <c r="FX115" s="56"/>
      <c r="FY115" s="56"/>
      <c r="FZ115" s="56"/>
      <c r="GA115" s="56"/>
      <c r="GB115" s="56"/>
      <c r="GC115" s="56"/>
      <c r="GD115" s="56"/>
      <c r="GE115" s="56"/>
      <c r="GF115" s="56"/>
      <c r="GG115" s="56"/>
      <c r="GH115" s="56"/>
      <c r="GI115" s="56"/>
      <c r="GJ115" s="56"/>
      <c r="GK115" s="56"/>
      <c r="GL115" s="56"/>
      <c r="GM115" s="56"/>
      <c r="GN115" s="56"/>
      <c r="GO115" s="56"/>
      <c r="GP115" s="56"/>
      <c r="GQ115" s="56"/>
      <c r="GR115" s="56"/>
      <c r="GS115" s="56"/>
      <c r="GT115" s="56"/>
      <c r="GU115" s="56"/>
      <c r="GV115" s="56"/>
      <c r="GW115" s="56"/>
      <c r="GX115" s="56"/>
      <c r="GY115" s="56"/>
      <c r="GZ115" s="56"/>
      <c r="HA115" s="56"/>
      <c r="HB115" s="56"/>
      <c r="HC115" s="56"/>
      <c r="HD115" s="56"/>
      <c r="HE115" s="56"/>
      <c r="HF115" s="56"/>
      <c r="HG115" s="56"/>
      <c r="HH115" s="56"/>
      <c r="HI115" s="56"/>
      <c r="HJ115" s="56"/>
      <c r="HK115" s="56"/>
      <c r="HL115" s="56"/>
      <c r="HM115" s="56"/>
      <c r="HN115" s="56"/>
      <c r="HO115" s="56"/>
      <c r="HP115" s="56"/>
      <c r="HQ115" s="56"/>
      <c r="HR115" s="56"/>
      <c r="HS115" s="56"/>
      <c r="HT115" s="56"/>
      <c r="HU115" s="56"/>
      <c r="HV115" s="56"/>
      <c r="HW115" s="56"/>
      <c r="HX115" s="56"/>
      <c r="HY115" s="56"/>
      <c r="HZ115" s="56"/>
      <c r="IA115" s="56"/>
      <c r="IB115" s="56"/>
      <c r="IC115" s="56"/>
      <c r="ID115" s="56"/>
      <c r="IE115" s="56"/>
      <c r="IF115" s="56"/>
      <c r="IG115" s="56"/>
      <c r="IH115" s="56"/>
      <c r="II115" s="56"/>
      <c r="IJ115" s="56"/>
      <c r="IK115" s="56"/>
      <c r="IL115" s="56"/>
      <c r="IM115" s="56"/>
      <c r="IN115" s="56"/>
      <c r="IO115" s="56"/>
      <c r="IP115" s="56"/>
      <c r="IQ115" s="56"/>
      <c r="IR115" s="56"/>
      <c r="IS115" s="56"/>
      <c r="IT115" s="56"/>
      <c r="IU115" s="56"/>
      <c r="IV115" s="56"/>
    </row>
    <row r="116" spans="1:256" s="54" customFormat="1" ht="13.2" outlineLevel="1">
      <c r="A116" s="64" t="s">
        <v>368</v>
      </c>
      <c r="B116" s="65">
        <v>54004.920090208238</v>
      </c>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c r="AB116" s="60"/>
      <c r="AC116" s="60"/>
      <c r="AD116" s="60"/>
      <c r="AE116"/>
      <c r="AF116" s="56"/>
      <c r="AG116" s="56"/>
      <c r="AH116" s="56"/>
      <c r="AI116" s="56"/>
      <c r="AJ116" s="56"/>
      <c r="AK116" s="56"/>
      <c r="AL116" s="56"/>
      <c r="AM116" s="56"/>
      <c r="AN116" s="56"/>
      <c r="AO116" s="56"/>
      <c r="AP116" s="56"/>
      <c r="AQ116" s="56"/>
      <c r="AR116" s="56"/>
      <c r="AS116" s="56"/>
      <c r="AT116" s="56"/>
      <c r="AU116" s="56"/>
      <c r="AV116" s="56"/>
      <c r="AW116" s="56"/>
      <c r="AX116" s="56"/>
      <c r="AY116" s="56"/>
      <c r="AZ116" s="56"/>
      <c r="BA116" s="56"/>
      <c r="BB116" s="56"/>
      <c r="BC116" s="56"/>
      <c r="BD116" s="56"/>
      <c r="BE116" s="56"/>
      <c r="BF116" s="56"/>
      <c r="BG116" s="56"/>
      <c r="BH116" s="56"/>
      <c r="BI116" s="56"/>
      <c r="BJ116" s="56"/>
      <c r="BK116" s="56"/>
      <c r="BL116" s="56"/>
      <c r="BM116" s="56"/>
      <c r="BN116" s="56"/>
      <c r="BO116" s="56"/>
      <c r="BP116" s="56"/>
      <c r="BQ116" s="56"/>
      <c r="BR116" s="56"/>
      <c r="BS116" s="56"/>
      <c r="BT116" s="56"/>
      <c r="BU116" s="56"/>
      <c r="BV116" s="56"/>
      <c r="BW116" s="56"/>
      <c r="BX116" s="56"/>
      <c r="BY116" s="56"/>
      <c r="BZ116" s="56"/>
      <c r="CA116" s="56"/>
      <c r="CB116" s="56"/>
      <c r="CC116" s="56"/>
      <c r="CD116" s="56"/>
      <c r="CE116" s="56"/>
      <c r="CF116" s="56"/>
      <c r="CG116" s="56"/>
      <c r="CH116" s="56"/>
      <c r="CI116" s="56"/>
      <c r="CJ116" s="56"/>
      <c r="CK116" s="56"/>
      <c r="CL116" s="56"/>
      <c r="CM116" s="56"/>
      <c r="CN116" s="56"/>
      <c r="CO116" s="56"/>
      <c r="CP116" s="56"/>
      <c r="CQ116" s="56"/>
      <c r="CR116" s="56"/>
      <c r="CS116" s="56"/>
      <c r="CT116" s="56"/>
      <c r="CU116" s="56"/>
      <c r="CV116" s="56"/>
      <c r="CW116" s="56"/>
      <c r="CX116" s="56"/>
      <c r="CY116" s="56"/>
      <c r="CZ116" s="56"/>
      <c r="DA116" s="56"/>
      <c r="DB116" s="56"/>
      <c r="DC116" s="56"/>
      <c r="DD116" s="56"/>
      <c r="DE116" s="56"/>
      <c r="DF116" s="56"/>
      <c r="DG116" s="56"/>
      <c r="DH116" s="56"/>
      <c r="DI116" s="56"/>
      <c r="DJ116" s="56"/>
      <c r="DK116" s="56"/>
      <c r="DL116" s="56"/>
      <c r="DM116" s="56"/>
      <c r="DN116" s="56"/>
      <c r="DO116" s="56"/>
      <c r="DP116" s="56"/>
      <c r="DQ116" s="56"/>
      <c r="DR116" s="56"/>
      <c r="DS116" s="56"/>
      <c r="DT116" s="56"/>
      <c r="DU116" s="56"/>
      <c r="DV116" s="56"/>
      <c r="DW116" s="56"/>
      <c r="DX116" s="56"/>
      <c r="DY116" s="56"/>
      <c r="DZ116" s="56"/>
      <c r="EA116" s="56"/>
      <c r="EB116" s="56"/>
      <c r="EC116" s="56"/>
      <c r="ED116" s="56"/>
      <c r="EE116" s="56"/>
      <c r="EF116" s="56"/>
      <c r="EG116" s="56"/>
      <c r="EH116" s="56"/>
      <c r="EI116" s="56"/>
      <c r="EJ116" s="56"/>
      <c r="EK116" s="56"/>
      <c r="EL116" s="56"/>
      <c r="EM116" s="56"/>
      <c r="EN116" s="56"/>
      <c r="EO116" s="56"/>
      <c r="EP116" s="56"/>
      <c r="EQ116" s="56"/>
      <c r="ER116" s="56"/>
      <c r="ES116" s="56"/>
      <c r="ET116" s="56"/>
      <c r="EU116" s="56"/>
      <c r="EV116" s="56"/>
      <c r="EW116" s="56"/>
      <c r="EX116" s="56"/>
      <c r="EY116" s="56"/>
      <c r="EZ116" s="56"/>
      <c r="FA116" s="56"/>
      <c r="FB116" s="56"/>
      <c r="FC116" s="56"/>
      <c r="FD116" s="56"/>
      <c r="FE116" s="56"/>
      <c r="FF116" s="56"/>
      <c r="FG116" s="56"/>
      <c r="FH116" s="56"/>
      <c r="FI116" s="56"/>
      <c r="FJ116" s="56"/>
      <c r="FK116" s="56"/>
      <c r="FL116" s="56"/>
      <c r="FM116" s="56"/>
      <c r="FN116" s="56"/>
      <c r="FO116" s="56"/>
      <c r="FP116" s="56"/>
      <c r="FQ116" s="56"/>
      <c r="FR116" s="56"/>
      <c r="FS116" s="56"/>
      <c r="FT116" s="56"/>
      <c r="FU116" s="56"/>
      <c r="FV116" s="56"/>
      <c r="FW116" s="56"/>
      <c r="FX116" s="56"/>
      <c r="FY116" s="56"/>
      <c r="FZ116" s="56"/>
      <c r="GA116" s="56"/>
      <c r="GB116" s="56"/>
      <c r="GC116" s="56"/>
      <c r="GD116" s="56"/>
      <c r="GE116" s="56"/>
      <c r="GF116" s="56"/>
      <c r="GG116" s="56"/>
      <c r="GH116" s="56"/>
      <c r="GI116" s="56"/>
      <c r="GJ116" s="56"/>
      <c r="GK116" s="56"/>
      <c r="GL116" s="56"/>
      <c r="GM116" s="56"/>
      <c r="GN116" s="56"/>
      <c r="GO116" s="56"/>
      <c r="GP116" s="56"/>
      <c r="GQ116" s="56"/>
      <c r="GR116" s="56"/>
      <c r="GS116" s="56"/>
      <c r="GT116" s="56"/>
      <c r="GU116" s="56"/>
      <c r="GV116" s="56"/>
      <c r="GW116" s="56"/>
      <c r="GX116" s="56"/>
      <c r="GY116" s="56"/>
      <c r="GZ116" s="56"/>
      <c r="HA116" s="56"/>
      <c r="HB116" s="56"/>
      <c r="HC116" s="56"/>
      <c r="HD116" s="56"/>
      <c r="HE116" s="56"/>
      <c r="HF116" s="56"/>
      <c r="HG116" s="56"/>
      <c r="HH116" s="56"/>
      <c r="HI116" s="56"/>
      <c r="HJ116" s="56"/>
      <c r="HK116" s="56"/>
      <c r="HL116" s="56"/>
      <c r="HM116" s="56"/>
      <c r="HN116" s="56"/>
      <c r="HO116" s="56"/>
      <c r="HP116" s="56"/>
      <c r="HQ116" s="56"/>
      <c r="HR116" s="56"/>
      <c r="HS116" s="56"/>
      <c r="HT116" s="56"/>
      <c r="HU116" s="56"/>
      <c r="HV116" s="56"/>
      <c r="HW116" s="56"/>
      <c r="HX116" s="56"/>
      <c r="HY116" s="56"/>
      <c r="HZ116" s="56"/>
      <c r="IA116" s="56"/>
      <c r="IB116" s="56"/>
      <c r="IC116" s="56"/>
      <c r="ID116" s="56"/>
      <c r="IE116" s="56"/>
      <c r="IF116" s="56"/>
      <c r="IG116" s="56"/>
      <c r="IH116" s="56"/>
      <c r="II116" s="56"/>
      <c r="IJ116" s="56"/>
      <c r="IK116" s="56"/>
      <c r="IL116" s="56"/>
      <c r="IM116" s="56"/>
      <c r="IN116" s="56"/>
      <c r="IO116" s="56"/>
      <c r="IP116" s="56"/>
      <c r="IQ116" s="56"/>
      <c r="IR116" s="56"/>
      <c r="IS116" s="56"/>
      <c r="IT116" s="56"/>
      <c r="IU116" s="56"/>
      <c r="IV116" s="56"/>
    </row>
    <row r="117" spans="1:256" s="54" customFormat="1" ht="13.2" outlineLevel="1">
      <c r="A117" s="66" t="s">
        <v>369</v>
      </c>
      <c r="B117" s="67">
        <v>86809.065853065084</v>
      </c>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c r="AA117" s="60"/>
      <c r="AB117" s="60"/>
      <c r="AC117" s="60"/>
      <c r="AD117" s="60"/>
      <c r="AE117"/>
      <c r="AF117" s="55"/>
      <c r="AG117" s="55"/>
      <c r="AH117" s="55"/>
      <c r="AI117" s="55"/>
      <c r="AJ117" s="55"/>
      <c r="AK117" s="55"/>
      <c r="AL117" s="55"/>
      <c r="AM117" s="55"/>
      <c r="AN117" s="55"/>
      <c r="AO117" s="55"/>
      <c r="AP117" s="55"/>
      <c r="AQ117" s="55"/>
      <c r="AR117" s="55"/>
      <c r="AS117" s="55"/>
      <c r="AT117" s="55"/>
      <c r="AU117" s="55"/>
      <c r="AV117" s="55"/>
      <c r="AW117" s="55"/>
      <c r="AX117" s="55"/>
      <c r="AY117" s="55"/>
      <c r="AZ117" s="55"/>
      <c r="BA117" s="55"/>
      <c r="BB117" s="55"/>
      <c r="BC117" s="55"/>
      <c r="BD117" s="55"/>
      <c r="BE117" s="55"/>
      <c r="BF117" s="55"/>
      <c r="BG117" s="55"/>
      <c r="BH117" s="55"/>
      <c r="BI117" s="55"/>
      <c r="BJ117" s="55"/>
      <c r="BK117" s="55"/>
      <c r="BL117" s="55"/>
      <c r="BM117" s="55"/>
      <c r="BN117" s="55"/>
      <c r="BO117" s="55"/>
      <c r="BP117" s="55"/>
      <c r="BQ117" s="55"/>
      <c r="BR117" s="55"/>
      <c r="BS117" s="55"/>
      <c r="BT117" s="55"/>
      <c r="BU117" s="55"/>
      <c r="BV117" s="55"/>
      <c r="BW117" s="55"/>
      <c r="BX117" s="55"/>
      <c r="BY117" s="55"/>
      <c r="BZ117" s="55"/>
      <c r="CA117" s="55"/>
      <c r="CB117" s="55"/>
      <c r="CC117" s="55"/>
      <c r="CD117" s="55"/>
      <c r="CE117" s="55"/>
      <c r="CF117" s="55"/>
      <c r="CG117" s="55"/>
      <c r="CH117" s="55"/>
      <c r="CI117" s="55"/>
      <c r="CJ117" s="55"/>
      <c r="CK117" s="55"/>
      <c r="CL117" s="55"/>
      <c r="CM117" s="55"/>
      <c r="CN117" s="55"/>
      <c r="CO117" s="55"/>
      <c r="CP117" s="55"/>
      <c r="CQ117" s="55"/>
      <c r="CR117" s="55"/>
      <c r="CS117" s="55"/>
      <c r="CT117" s="55"/>
      <c r="CU117" s="55"/>
      <c r="CV117" s="55"/>
      <c r="CW117" s="55"/>
      <c r="CX117" s="55"/>
      <c r="CY117" s="55"/>
      <c r="CZ117" s="55"/>
      <c r="DA117" s="55"/>
      <c r="DB117" s="55"/>
      <c r="DC117" s="55"/>
      <c r="DD117" s="55"/>
      <c r="DE117" s="55"/>
      <c r="DF117" s="55"/>
      <c r="DG117" s="55"/>
      <c r="DH117" s="55"/>
      <c r="DI117" s="55"/>
      <c r="DJ117" s="55"/>
      <c r="DK117" s="55"/>
      <c r="DL117" s="55"/>
      <c r="DM117" s="55"/>
      <c r="DN117" s="55"/>
      <c r="DO117" s="55"/>
      <c r="DP117" s="55"/>
      <c r="DQ117" s="55"/>
      <c r="DR117" s="55"/>
      <c r="DS117" s="55"/>
      <c r="DT117" s="55"/>
      <c r="DU117" s="55"/>
      <c r="DV117" s="55"/>
      <c r="DW117" s="55"/>
      <c r="DX117" s="55"/>
      <c r="DY117" s="55"/>
      <c r="DZ117" s="55"/>
      <c r="EA117" s="55"/>
      <c r="EB117" s="55"/>
      <c r="EC117" s="55"/>
      <c r="ED117" s="55"/>
      <c r="EE117" s="55"/>
      <c r="EF117" s="55"/>
      <c r="EG117" s="55"/>
      <c r="EH117" s="55"/>
      <c r="EI117" s="55"/>
      <c r="EJ117" s="55"/>
      <c r="EK117" s="55"/>
      <c r="EL117" s="55"/>
      <c r="EM117" s="55"/>
      <c r="EN117" s="55"/>
      <c r="EO117" s="55"/>
      <c r="EP117" s="55"/>
      <c r="EQ117" s="55"/>
      <c r="ER117" s="55"/>
      <c r="ES117" s="55"/>
      <c r="ET117" s="55"/>
      <c r="EU117" s="55"/>
      <c r="EV117" s="55"/>
      <c r="EW117" s="55"/>
      <c r="EX117" s="55"/>
      <c r="EY117" s="55"/>
      <c r="EZ117" s="55"/>
      <c r="FA117" s="55"/>
      <c r="FB117" s="55"/>
      <c r="FC117" s="55"/>
      <c r="FD117" s="55"/>
      <c r="FE117" s="55"/>
      <c r="FF117" s="55"/>
      <c r="FG117" s="55"/>
      <c r="FH117" s="55"/>
      <c r="FI117" s="55"/>
      <c r="FJ117" s="55"/>
      <c r="FK117" s="55"/>
      <c r="FL117" s="55"/>
      <c r="FM117" s="55"/>
      <c r="FN117" s="55"/>
      <c r="FO117" s="55"/>
      <c r="FP117" s="55"/>
      <c r="FQ117" s="55"/>
      <c r="FR117" s="55"/>
      <c r="FS117" s="55"/>
      <c r="FT117" s="55"/>
      <c r="FU117" s="55"/>
      <c r="FV117" s="55"/>
      <c r="FW117" s="55"/>
      <c r="FX117" s="55"/>
      <c r="FY117" s="55"/>
      <c r="FZ117" s="55"/>
      <c r="GA117" s="55"/>
      <c r="GB117" s="55"/>
      <c r="GC117" s="55"/>
      <c r="GD117" s="55"/>
      <c r="GE117" s="55"/>
      <c r="GF117" s="55"/>
      <c r="GG117" s="55"/>
      <c r="GH117" s="55"/>
      <c r="GI117" s="55"/>
      <c r="GJ117" s="55"/>
      <c r="GK117" s="55"/>
      <c r="GL117" s="55"/>
      <c r="GM117" s="55"/>
      <c r="GN117" s="55"/>
      <c r="GO117" s="55"/>
      <c r="GP117" s="55"/>
      <c r="GQ117" s="55"/>
      <c r="GR117" s="55"/>
      <c r="GS117" s="55"/>
      <c r="GT117" s="55"/>
      <c r="GU117" s="55"/>
      <c r="GV117" s="55"/>
      <c r="GW117" s="55"/>
      <c r="GX117" s="55"/>
      <c r="GY117" s="55"/>
      <c r="GZ117" s="55"/>
      <c r="HA117" s="55"/>
      <c r="HB117" s="55"/>
      <c r="HC117" s="55"/>
      <c r="HD117" s="55"/>
      <c r="HE117" s="55"/>
      <c r="HF117" s="55"/>
      <c r="HG117" s="55"/>
      <c r="HH117" s="55"/>
      <c r="HI117" s="55"/>
      <c r="HJ117" s="55"/>
      <c r="HK117" s="55"/>
      <c r="HL117" s="55"/>
      <c r="HM117" s="55"/>
      <c r="HN117" s="55"/>
      <c r="HO117" s="55"/>
      <c r="HP117" s="55"/>
      <c r="HQ117" s="55"/>
      <c r="HR117" s="55"/>
      <c r="HS117" s="55"/>
      <c r="HT117" s="55"/>
      <c r="HU117" s="55"/>
      <c r="HV117" s="55"/>
      <c r="HW117" s="55"/>
      <c r="HX117" s="55"/>
      <c r="HY117" s="55"/>
      <c r="HZ117" s="55"/>
      <c r="IA117" s="55"/>
      <c r="IB117" s="55"/>
      <c r="IC117" s="55"/>
      <c r="ID117" s="55"/>
      <c r="IE117" s="55"/>
      <c r="IF117" s="55"/>
      <c r="IG117" s="55"/>
      <c r="IH117" s="55"/>
      <c r="II117" s="55"/>
      <c r="IJ117" s="55"/>
      <c r="IK117" s="55"/>
      <c r="IL117" s="55"/>
      <c r="IM117" s="55"/>
      <c r="IN117" s="55"/>
      <c r="IO117" s="55"/>
      <c r="IP117" s="55"/>
      <c r="IQ117" s="55"/>
      <c r="IR117" s="55"/>
      <c r="IS117" s="55"/>
      <c r="IT117" s="55"/>
      <c r="IU117" s="55"/>
    </row>
    <row r="118" spans="1:256" s="54" customFormat="1" ht="13.2" outlineLevel="1">
      <c r="A118" s="68" t="s">
        <v>370</v>
      </c>
      <c r="B118" s="495" t="s">
        <v>468</v>
      </c>
      <c r="C118" s="495" t="s">
        <v>469</v>
      </c>
      <c r="D118" s="497">
        <v>2000</v>
      </c>
      <c r="E118" s="498">
        <v>2001</v>
      </c>
      <c r="F118" s="498">
        <v>2002</v>
      </c>
      <c r="G118" s="498">
        <v>2003</v>
      </c>
      <c r="H118" s="498">
        <v>2004</v>
      </c>
      <c r="I118" s="498">
        <v>2005</v>
      </c>
      <c r="J118" s="498">
        <v>2006</v>
      </c>
      <c r="K118" s="498">
        <v>2007</v>
      </c>
      <c r="L118" s="498">
        <v>2008</v>
      </c>
      <c r="M118" s="498">
        <v>2009</v>
      </c>
      <c r="N118" s="499">
        <v>2010</v>
      </c>
      <c r="O118" s="69">
        <v>2011</v>
      </c>
      <c r="P118" s="69">
        <v>2012</v>
      </c>
      <c r="Q118" s="69">
        <v>2013</v>
      </c>
      <c r="R118" s="69">
        <v>2014</v>
      </c>
      <c r="S118" s="69">
        <v>2015</v>
      </c>
      <c r="T118" s="69">
        <v>2016</v>
      </c>
      <c r="U118" s="69">
        <v>2017</v>
      </c>
      <c r="V118" s="69">
        <v>2018</v>
      </c>
      <c r="W118" s="69">
        <v>2019</v>
      </c>
      <c r="X118" s="69">
        <v>2020</v>
      </c>
      <c r="Y118" s="60"/>
      <c r="Z118" s="60"/>
      <c r="AA118" s="60"/>
      <c r="AB118" s="60"/>
      <c r="AC118" s="60"/>
      <c r="AD118" s="60"/>
      <c r="AE118"/>
      <c r="AF118" s="56"/>
      <c r="AG118" s="56"/>
      <c r="AH118" s="56"/>
      <c r="AI118" s="56"/>
      <c r="AJ118" s="56"/>
      <c r="AK118" s="56"/>
      <c r="AL118" s="56"/>
      <c r="AM118" s="56"/>
      <c r="AN118" s="56"/>
      <c r="AO118" s="56"/>
      <c r="AP118" s="56"/>
      <c r="AQ118" s="56"/>
      <c r="AR118" s="56"/>
      <c r="AS118" s="56"/>
      <c r="AT118" s="56"/>
      <c r="AU118" s="56"/>
      <c r="AV118" s="56"/>
      <c r="AW118" s="56"/>
      <c r="AX118" s="56"/>
      <c r="AY118" s="56"/>
      <c r="AZ118" s="56"/>
      <c r="BA118" s="56"/>
      <c r="BB118" s="56"/>
      <c r="BC118" s="56"/>
      <c r="BD118" s="56"/>
      <c r="BE118" s="56"/>
      <c r="BF118" s="56"/>
      <c r="BG118" s="56"/>
      <c r="BH118" s="56"/>
      <c r="BI118" s="56"/>
      <c r="BJ118" s="56"/>
      <c r="BK118" s="56"/>
      <c r="BL118" s="56"/>
      <c r="BM118" s="56"/>
      <c r="BN118" s="56"/>
      <c r="BO118" s="56"/>
      <c r="BP118" s="56"/>
      <c r="BQ118" s="56"/>
      <c r="BR118" s="56"/>
      <c r="BS118" s="56"/>
      <c r="BT118" s="56"/>
      <c r="BU118" s="56"/>
      <c r="BV118" s="56"/>
      <c r="BW118" s="56"/>
      <c r="BX118" s="56"/>
      <c r="BY118" s="56"/>
      <c r="BZ118" s="56"/>
      <c r="CA118" s="56"/>
      <c r="CB118" s="56"/>
      <c r="CC118" s="56"/>
      <c r="CD118" s="56"/>
      <c r="CE118" s="56"/>
      <c r="CF118" s="56"/>
      <c r="CG118" s="56"/>
      <c r="CH118" s="56"/>
      <c r="CI118" s="56"/>
      <c r="CJ118" s="56"/>
      <c r="CK118" s="56"/>
      <c r="CL118" s="56"/>
      <c r="CM118" s="56"/>
      <c r="CN118" s="56"/>
      <c r="CO118" s="56"/>
      <c r="CP118" s="56"/>
      <c r="CQ118" s="56"/>
      <c r="CR118" s="56"/>
      <c r="CS118" s="56"/>
      <c r="CT118" s="56"/>
      <c r="CU118" s="56"/>
      <c r="CV118" s="56"/>
      <c r="CW118" s="56"/>
      <c r="CX118" s="56"/>
      <c r="CY118" s="56"/>
      <c r="CZ118" s="56"/>
      <c r="DA118" s="56"/>
      <c r="DB118" s="56"/>
      <c r="DC118" s="56"/>
      <c r="DD118" s="56"/>
      <c r="DE118" s="56"/>
      <c r="DF118" s="56"/>
      <c r="DG118" s="56"/>
      <c r="DH118" s="56"/>
      <c r="DI118" s="56"/>
      <c r="DJ118" s="56"/>
      <c r="DK118" s="56"/>
      <c r="DL118" s="56"/>
      <c r="DM118" s="56"/>
      <c r="DN118" s="56"/>
      <c r="DO118" s="56"/>
      <c r="DP118" s="56"/>
      <c r="DQ118" s="56"/>
      <c r="DR118" s="56"/>
      <c r="DS118" s="56"/>
      <c r="DT118" s="56"/>
      <c r="DU118" s="56"/>
      <c r="DV118" s="56"/>
      <c r="DW118" s="56"/>
      <c r="DX118" s="56"/>
      <c r="DY118" s="56"/>
      <c r="DZ118" s="56"/>
      <c r="EA118" s="56"/>
      <c r="EB118" s="56"/>
      <c r="EC118" s="56"/>
      <c r="ED118" s="56"/>
      <c r="EE118" s="56"/>
      <c r="EF118" s="56"/>
      <c r="EG118" s="56"/>
      <c r="EH118" s="56"/>
      <c r="EI118" s="56"/>
      <c r="EJ118" s="56"/>
      <c r="EK118" s="56"/>
      <c r="EL118" s="56"/>
      <c r="EM118" s="56"/>
      <c r="EN118" s="56"/>
      <c r="EO118" s="56"/>
      <c r="EP118" s="56"/>
      <c r="EQ118" s="56"/>
      <c r="ER118" s="56"/>
      <c r="ES118" s="56"/>
      <c r="ET118" s="56"/>
      <c r="EU118" s="56"/>
      <c r="EV118" s="56"/>
      <c r="EW118" s="56"/>
      <c r="EX118" s="56"/>
      <c r="EY118" s="56"/>
      <c r="EZ118" s="56"/>
      <c r="FA118" s="56"/>
      <c r="FB118" s="56"/>
      <c r="FC118" s="56"/>
      <c r="FD118" s="56"/>
      <c r="FE118" s="56"/>
      <c r="FF118" s="56"/>
      <c r="FG118" s="56"/>
      <c r="FH118" s="56"/>
      <c r="FI118" s="56"/>
      <c r="FJ118" s="56"/>
      <c r="FK118" s="56"/>
      <c r="FL118" s="56"/>
      <c r="FM118" s="56"/>
      <c r="FN118" s="56"/>
      <c r="FO118" s="56"/>
      <c r="FP118" s="56"/>
      <c r="FQ118" s="56"/>
      <c r="FR118" s="56"/>
      <c r="FS118" s="56"/>
      <c r="FT118" s="56"/>
      <c r="FU118" s="56"/>
      <c r="FV118" s="56"/>
      <c r="FW118" s="56"/>
      <c r="FX118" s="56"/>
      <c r="FY118" s="56"/>
      <c r="FZ118" s="56"/>
      <c r="GA118" s="56"/>
      <c r="GB118" s="56"/>
      <c r="GC118" s="56"/>
      <c r="GD118" s="56"/>
      <c r="GE118" s="56"/>
      <c r="GF118" s="56"/>
      <c r="GG118" s="56"/>
      <c r="GH118" s="56"/>
      <c r="GI118" s="56"/>
      <c r="GJ118" s="56"/>
      <c r="GK118" s="56"/>
      <c r="GL118" s="56"/>
      <c r="GM118" s="56"/>
      <c r="GN118" s="56"/>
      <c r="GO118" s="56"/>
      <c r="GP118" s="56"/>
      <c r="GQ118" s="56"/>
      <c r="GR118" s="56"/>
      <c r="GS118" s="56"/>
      <c r="GT118" s="56"/>
      <c r="GU118" s="56"/>
      <c r="GV118" s="56"/>
      <c r="GW118" s="56"/>
      <c r="GX118" s="56"/>
      <c r="GY118" s="56"/>
      <c r="GZ118" s="56"/>
      <c r="HA118" s="56"/>
      <c r="HB118" s="56"/>
      <c r="HC118" s="56"/>
      <c r="HD118" s="56"/>
      <c r="HE118" s="56"/>
      <c r="HF118" s="56"/>
      <c r="HG118" s="56"/>
      <c r="HH118" s="56"/>
      <c r="HI118" s="56"/>
      <c r="HJ118" s="56"/>
      <c r="HK118" s="56"/>
      <c r="HL118" s="56"/>
      <c r="HM118" s="56"/>
      <c r="HN118" s="56"/>
      <c r="HO118" s="56"/>
      <c r="HP118" s="56"/>
      <c r="HQ118" s="56"/>
      <c r="HR118" s="56"/>
      <c r="HS118" s="56"/>
      <c r="HT118" s="56"/>
      <c r="HU118" s="56"/>
      <c r="HV118" s="56"/>
      <c r="HW118" s="56"/>
      <c r="HX118" s="56"/>
      <c r="HY118" s="56"/>
      <c r="HZ118" s="56"/>
      <c r="IA118" s="56"/>
      <c r="IB118" s="56"/>
      <c r="IC118" s="56"/>
      <c r="ID118" s="56"/>
      <c r="IE118" s="56"/>
      <c r="IF118" s="56"/>
      <c r="IG118" s="56"/>
      <c r="IH118" s="56"/>
      <c r="II118" s="56"/>
      <c r="IJ118" s="56"/>
      <c r="IK118" s="56"/>
      <c r="IL118" s="56"/>
      <c r="IM118" s="56"/>
      <c r="IN118" s="56"/>
      <c r="IO118" s="56"/>
      <c r="IP118" s="56"/>
      <c r="IQ118" s="56"/>
      <c r="IR118" s="56"/>
      <c r="IS118" s="56"/>
      <c r="IT118" s="56"/>
      <c r="IU118" s="56"/>
      <c r="IV118" s="56"/>
    </row>
    <row r="119" spans="1:256" s="54" customFormat="1" ht="13.2" outlineLevel="1">
      <c r="A119" s="68" t="s">
        <v>371</v>
      </c>
      <c r="B119" s="496">
        <f>NPV(0.1,D119:Y119)</f>
        <v>440160.75248975662</v>
      </c>
      <c r="C119" s="496">
        <f>B119-B109</f>
        <v>0</v>
      </c>
      <c r="D119" s="500">
        <v>25339.333825517504</v>
      </c>
      <c r="E119" s="501">
        <v>35548.184444905004</v>
      </c>
      <c r="F119" s="501">
        <v>35819.941964980004</v>
      </c>
      <c r="G119" s="501">
        <v>45706.652109130941</v>
      </c>
      <c r="H119" s="501">
        <v>53742.39730976471</v>
      </c>
      <c r="I119" s="501">
        <v>54951.740400581722</v>
      </c>
      <c r="J119" s="501">
        <v>55992.435907143918</v>
      </c>
      <c r="K119" s="501">
        <v>57138.205727583758</v>
      </c>
      <c r="L119" s="501">
        <v>58387.048830010965</v>
      </c>
      <c r="M119" s="501">
        <v>59743.114542711752</v>
      </c>
      <c r="N119" s="502">
        <v>61232.977178083551</v>
      </c>
      <c r="O119" s="75">
        <v>62717.9044098124</v>
      </c>
      <c r="P119" s="75">
        <v>64331.505587029344</v>
      </c>
      <c r="Q119" s="75">
        <v>66011.20410769312</v>
      </c>
      <c r="R119" s="75">
        <v>67750.501531344111</v>
      </c>
      <c r="S119" s="75">
        <v>69517.596983951618</v>
      </c>
      <c r="T119" s="75">
        <v>71154.281001672076</v>
      </c>
      <c r="U119" s="75">
        <v>72960.878365928016</v>
      </c>
      <c r="V119" s="75">
        <v>74533.439786784686</v>
      </c>
      <c r="W119" s="75">
        <v>76101.573036732516</v>
      </c>
      <c r="X119" s="75">
        <v>18749.984639464132</v>
      </c>
      <c r="Y119" s="60"/>
      <c r="Z119" s="60"/>
      <c r="AA119" s="60"/>
      <c r="AB119" s="60"/>
      <c r="AC119" s="60"/>
      <c r="AD119" s="60"/>
      <c r="AE119"/>
      <c r="AF119" s="56"/>
      <c r="AG119" s="56"/>
      <c r="AH119" s="56"/>
      <c r="AI119" s="56"/>
      <c r="AJ119" s="56"/>
      <c r="AK119" s="56"/>
      <c r="AL119" s="56"/>
      <c r="AM119" s="56"/>
      <c r="AN119" s="56"/>
      <c r="AO119" s="56"/>
      <c r="AP119" s="56"/>
      <c r="AQ119" s="56"/>
      <c r="AR119" s="56"/>
      <c r="AS119" s="56"/>
      <c r="AT119" s="56"/>
      <c r="AU119" s="56"/>
      <c r="AV119" s="56"/>
      <c r="AW119" s="56"/>
      <c r="AX119" s="56"/>
      <c r="AY119" s="56"/>
      <c r="AZ119" s="56"/>
      <c r="BA119" s="56"/>
      <c r="BB119" s="56"/>
      <c r="BC119" s="56"/>
      <c r="BD119" s="56"/>
      <c r="BE119" s="56"/>
      <c r="BF119" s="56"/>
      <c r="BG119" s="56"/>
      <c r="BH119" s="56"/>
      <c r="BI119" s="56"/>
      <c r="BJ119" s="56"/>
      <c r="BK119" s="56"/>
      <c r="BL119" s="56"/>
      <c r="BM119" s="56"/>
      <c r="BN119" s="56"/>
      <c r="BO119" s="56"/>
      <c r="BP119" s="56"/>
      <c r="BQ119" s="56"/>
      <c r="BR119" s="56"/>
      <c r="BS119" s="56"/>
      <c r="BT119" s="56"/>
      <c r="BU119" s="56"/>
      <c r="BV119" s="56"/>
      <c r="BW119" s="56"/>
      <c r="BX119" s="56"/>
      <c r="BY119" s="56"/>
      <c r="BZ119" s="56"/>
      <c r="CA119" s="56"/>
      <c r="CB119" s="56"/>
      <c r="CC119" s="56"/>
      <c r="CD119" s="56"/>
      <c r="CE119" s="56"/>
      <c r="CF119" s="56"/>
      <c r="CG119" s="56"/>
      <c r="CH119" s="56"/>
      <c r="CI119" s="56"/>
      <c r="CJ119" s="56"/>
      <c r="CK119" s="56"/>
      <c r="CL119" s="56"/>
      <c r="CM119" s="56"/>
      <c r="CN119" s="56"/>
      <c r="CO119" s="56"/>
      <c r="CP119" s="56"/>
      <c r="CQ119" s="56"/>
      <c r="CR119" s="56"/>
      <c r="CS119" s="56"/>
      <c r="CT119" s="56"/>
      <c r="CU119" s="56"/>
      <c r="CV119" s="56"/>
      <c r="CW119" s="56"/>
      <c r="CX119" s="56"/>
      <c r="CY119" s="56"/>
      <c r="CZ119" s="56"/>
      <c r="DA119" s="56"/>
      <c r="DB119" s="56"/>
      <c r="DC119" s="56"/>
      <c r="DD119" s="56"/>
      <c r="DE119" s="56"/>
      <c r="DF119" s="56"/>
      <c r="DG119" s="56"/>
      <c r="DH119" s="56"/>
      <c r="DI119" s="56"/>
      <c r="DJ119" s="56"/>
      <c r="DK119" s="56"/>
      <c r="DL119" s="56"/>
      <c r="DM119" s="56"/>
      <c r="DN119" s="56"/>
      <c r="DO119" s="56"/>
      <c r="DP119" s="56"/>
      <c r="DQ119" s="56"/>
      <c r="DR119" s="56"/>
      <c r="DS119" s="56"/>
      <c r="DT119" s="56"/>
      <c r="DU119" s="56"/>
      <c r="DV119" s="56"/>
      <c r="DW119" s="56"/>
      <c r="DX119" s="56"/>
      <c r="DY119" s="56"/>
      <c r="DZ119" s="56"/>
      <c r="EA119" s="56"/>
      <c r="EB119" s="56"/>
      <c r="EC119" s="56"/>
      <c r="ED119" s="56"/>
      <c r="EE119" s="56"/>
      <c r="EF119" s="56"/>
      <c r="EG119" s="56"/>
      <c r="EH119" s="56"/>
      <c r="EI119" s="56"/>
      <c r="EJ119" s="56"/>
      <c r="EK119" s="56"/>
      <c r="EL119" s="56"/>
      <c r="EM119" s="56"/>
      <c r="EN119" s="56"/>
      <c r="EO119" s="56"/>
      <c r="EP119" s="56"/>
      <c r="EQ119" s="56"/>
      <c r="ER119" s="56"/>
      <c r="ES119" s="56"/>
      <c r="ET119" s="56"/>
      <c r="EU119" s="56"/>
      <c r="EV119" s="56"/>
      <c r="EW119" s="56"/>
      <c r="EX119" s="56"/>
      <c r="EY119" s="56"/>
      <c r="EZ119" s="56"/>
      <c r="FA119" s="56"/>
      <c r="FB119" s="56"/>
      <c r="FC119" s="56"/>
      <c r="FD119" s="56"/>
      <c r="FE119" s="56"/>
      <c r="FF119" s="56"/>
      <c r="FG119" s="56"/>
      <c r="FH119" s="56"/>
      <c r="FI119" s="56"/>
      <c r="FJ119" s="56"/>
      <c r="FK119" s="56"/>
      <c r="FL119" s="56"/>
      <c r="FM119" s="56"/>
      <c r="FN119" s="56"/>
      <c r="FO119" s="56"/>
      <c r="FP119" s="56"/>
      <c r="FQ119" s="56"/>
      <c r="FR119" s="56"/>
      <c r="FS119" s="56"/>
      <c r="FT119" s="56"/>
      <c r="FU119" s="56"/>
      <c r="FV119" s="56"/>
      <c r="FW119" s="56"/>
      <c r="FX119" s="56"/>
      <c r="FY119" s="56"/>
      <c r="FZ119" s="56"/>
      <c r="GA119" s="56"/>
      <c r="GB119" s="56"/>
      <c r="GC119" s="56"/>
      <c r="GD119" s="56"/>
      <c r="GE119" s="56"/>
      <c r="GF119" s="56"/>
      <c r="GG119" s="56"/>
      <c r="GH119" s="56"/>
      <c r="GI119" s="56"/>
      <c r="GJ119" s="56"/>
      <c r="GK119" s="56"/>
      <c r="GL119" s="56"/>
      <c r="GM119" s="56"/>
      <c r="GN119" s="56"/>
      <c r="GO119" s="56"/>
      <c r="GP119" s="56"/>
      <c r="GQ119" s="56"/>
      <c r="GR119" s="56"/>
      <c r="GS119" s="56"/>
      <c r="GT119" s="56"/>
      <c r="GU119" s="56"/>
      <c r="GV119" s="56"/>
      <c r="GW119" s="56"/>
      <c r="GX119" s="56"/>
      <c r="GY119" s="56"/>
      <c r="GZ119" s="56"/>
      <c r="HA119" s="56"/>
      <c r="HB119" s="56"/>
      <c r="HC119" s="56"/>
      <c r="HD119" s="56"/>
      <c r="HE119" s="56"/>
      <c r="HF119" s="56"/>
      <c r="HG119" s="56"/>
      <c r="HH119" s="56"/>
      <c r="HI119" s="56"/>
      <c r="HJ119" s="56"/>
      <c r="HK119" s="56"/>
      <c r="HL119" s="56"/>
      <c r="HM119" s="56"/>
      <c r="HN119" s="56"/>
      <c r="HO119" s="56"/>
      <c r="HP119" s="56"/>
      <c r="HQ119" s="56"/>
      <c r="HR119" s="56"/>
      <c r="HS119" s="56"/>
      <c r="HT119" s="56"/>
      <c r="HU119" s="56"/>
      <c r="HV119" s="56"/>
      <c r="HW119" s="56"/>
      <c r="HX119" s="56"/>
      <c r="HY119" s="56"/>
      <c r="HZ119" s="56"/>
      <c r="IA119" s="56"/>
      <c r="IB119" s="56"/>
      <c r="IC119" s="56"/>
      <c r="ID119" s="56"/>
      <c r="IE119" s="56"/>
      <c r="IF119" s="56"/>
      <c r="IG119" s="56"/>
      <c r="IH119" s="56"/>
      <c r="II119" s="56"/>
      <c r="IJ119" s="56"/>
      <c r="IK119" s="56"/>
      <c r="IL119" s="56"/>
      <c r="IM119" s="56"/>
      <c r="IN119" s="56"/>
      <c r="IO119" s="56"/>
      <c r="IP119" s="56"/>
      <c r="IQ119" s="56"/>
      <c r="IR119" s="56"/>
      <c r="IS119" s="56"/>
      <c r="IT119" s="56"/>
      <c r="IU119" s="56"/>
      <c r="IV119" s="56"/>
    </row>
    <row r="120" spans="1:256" s="54" customFormat="1" ht="13.2" outlineLevel="1">
      <c r="A120" s="70" t="s">
        <v>372</v>
      </c>
      <c r="B120" s="496">
        <f>NPV(0.1,D120:Y120)</f>
        <v>201666.20400036743</v>
      </c>
      <c r="C120" s="496">
        <f>B120-B110</f>
        <v>0</v>
      </c>
      <c r="D120" s="500">
        <v>16045.147992184169</v>
      </c>
      <c r="E120" s="501">
        <v>20293.767744904999</v>
      </c>
      <c r="F120" s="501">
        <v>20661.462763980002</v>
      </c>
      <c r="G120" s="501">
        <v>20965.565895900596</v>
      </c>
      <c r="H120" s="501">
        <v>21336.725125409215</v>
      </c>
      <c r="I120" s="501">
        <v>21780.927318529</v>
      </c>
      <c r="J120" s="501">
        <v>22295.816124366469</v>
      </c>
      <c r="K120" s="501">
        <v>22914.886673811958</v>
      </c>
      <c r="L120" s="501">
        <v>23638.596906789662</v>
      </c>
      <c r="M120" s="501">
        <v>24469.582565022363</v>
      </c>
      <c r="N120" s="502">
        <v>25971.933049388885</v>
      </c>
      <c r="O120" s="75">
        <v>27048.221610475844</v>
      </c>
      <c r="P120" s="75">
        <v>28262.679036528225</v>
      </c>
      <c r="Q120" s="75">
        <v>29556.733995476963</v>
      </c>
      <c r="R120" s="75">
        <v>30923.943287605478</v>
      </c>
      <c r="S120" s="75">
        <v>32333.613343900139</v>
      </c>
      <c r="T120" s="75">
        <v>33797.83192225419</v>
      </c>
      <c r="U120" s="75">
        <v>35460.214306057809</v>
      </c>
      <c r="V120" s="75">
        <v>36917.547451806502</v>
      </c>
      <c r="W120" s="75">
        <v>38401.255027793748</v>
      </c>
      <c r="X120" s="75">
        <v>2896.6336726993268</v>
      </c>
      <c r="Y120" s="60"/>
      <c r="Z120" s="60"/>
      <c r="AA120" s="60"/>
      <c r="AB120" s="60"/>
      <c r="AC120" s="60"/>
      <c r="AD120" s="60"/>
      <c r="AE120"/>
      <c r="AF120" s="57"/>
      <c r="AG120" s="57"/>
      <c r="AH120" s="57"/>
      <c r="AI120" s="57"/>
      <c r="AJ120" s="57"/>
      <c r="AK120" s="57"/>
      <c r="AL120" s="57"/>
      <c r="AM120" s="57"/>
      <c r="AN120" s="57"/>
      <c r="AO120" s="57"/>
      <c r="AP120" s="57"/>
      <c r="AQ120" s="57"/>
      <c r="AR120" s="57"/>
      <c r="AS120" s="57"/>
      <c r="AT120" s="57"/>
      <c r="AU120" s="57"/>
      <c r="AV120" s="57"/>
      <c r="AW120" s="57"/>
      <c r="AX120" s="57"/>
      <c r="AY120" s="57"/>
      <c r="AZ120" s="57"/>
      <c r="BA120" s="57"/>
      <c r="BB120" s="57"/>
      <c r="BC120" s="57"/>
      <c r="BD120" s="57"/>
      <c r="BE120" s="57"/>
      <c r="BF120" s="57"/>
      <c r="BG120" s="57"/>
      <c r="BH120" s="57"/>
      <c r="BI120" s="57"/>
      <c r="BJ120" s="57"/>
      <c r="BK120" s="57"/>
      <c r="BL120" s="57"/>
      <c r="BM120" s="57"/>
      <c r="BN120" s="57"/>
      <c r="BO120" s="57"/>
      <c r="BP120" s="57"/>
      <c r="BQ120" s="57"/>
      <c r="BR120" s="57"/>
      <c r="BS120" s="57"/>
      <c r="BT120" s="57"/>
      <c r="BU120" s="57"/>
      <c r="BV120" s="57"/>
      <c r="BW120" s="57"/>
      <c r="BX120" s="57"/>
      <c r="BY120" s="57"/>
      <c r="BZ120" s="57"/>
      <c r="CA120" s="57"/>
      <c r="CB120" s="57"/>
      <c r="CC120" s="57"/>
      <c r="CD120" s="57"/>
      <c r="CE120" s="57"/>
      <c r="CF120" s="57"/>
      <c r="CG120" s="57"/>
      <c r="CH120" s="57"/>
      <c r="CI120" s="57"/>
      <c r="CJ120" s="57"/>
      <c r="CK120" s="57"/>
      <c r="CL120" s="57"/>
      <c r="CM120" s="57"/>
      <c r="CN120" s="57"/>
      <c r="CO120" s="57"/>
      <c r="CP120" s="57"/>
      <c r="CQ120" s="57"/>
      <c r="CR120" s="57"/>
      <c r="CS120" s="57"/>
      <c r="CT120" s="57"/>
      <c r="CU120" s="57"/>
      <c r="CV120" s="57"/>
      <c r="CW120" s="57"/>
      <c r="CX120" s="57"/>
      <c r="CY120" s="57"/>
      <c r="CZ120" s="57"/>
      <c r="DA120" s="57"/>
      <c r="DB120" s="57"/>
      <c r="DC120" s="57"/>
      <c r="DD120" s="57"/>
      <c r="DE120" s="57"/>
      <c r="DF120" s="57"/>
      <c r="DG120" s="57"/>
      <c r="DH120" s="57"/>
      <c r="DI120" s="57"/>
      <c r="DJ120" s="57"/>
      <c r="DK120" s="57"/>
      <c r="DL120" s="57"/>
      <c r="DM120" s="57"/>
      <c r="DN120" s="57"/>
      <c r="DO120" s="57"/>
      <c r="DP120" s="57"/>
      <c r="DQ120" s="57"/>
      <c r="DR120" s="57"/>
      <c r="DS120" s="57"/>
      <c r="DT120" s="57"/>
      <c r="DU120" s="57"/>
      <c r="DV120" s="57"/>
      <c r="DW120" s="57"/>
      <c r="DX120" s="57"/>
      <c r="DY120" s="57"/>
      <c r="DZ120" s="57"/>
      <c r="EA120" s="57"/>
      <c r="EB120" s="57"/>
      <c r="EC120" s="57"/>
      <c r="ED120" s="57"/>
      <c r="EE120" s="57"/>
      <c r="EF120" s="57"/>
      <c r="EG120" s="57"/>
      <c r="EH120" s="57"/>
      <c r="EI120" s="57"/>
      <c r="EJ120" s="57"/>
      <c r="EK120" s="57"/>
      <c r="EL120" s="57"/>
      <c r="EM120" s="57"/>
      <c r="EN120" s="57"/>
      <c r="EO120" s="57"/>
      <c r="EP120" s="57"/>
      <c r="EQ120" s="57"/>
      <c r="ER120" s="57"/>
      <c r="ES120" s="57"/>
      <c r="ET120" s="57"/>
      <c r="EU120" s="57"/>
      <c r="EV120" s="57"/>
      <c r="EW120" s="57"/>
      <c r="EX120" s="57"/>
      <c r="EY120" s="57"/>
      <c r="EZ120" s="57"/>
      <c r="FA120" s="57"/>
      <c r="FB120" s="57"/>
      <c r="FC120" s="57"/>
      <c r="FD120" s="57"/>
      <c r="FE120" s="57"/>
      <c r="FF120" s="57"/>
      <c r="FG120" s="57"/>
      <c r="FH120" s="57"/>
      <c r="FI120" s="57"/>
      <c r="FJ120" s="57"/>
      <c r="FK120" s="57"/>
      <c r="FL120" s="57"/>
      <c r="FM120" s="57"/>
      <c r="FN120" s="57"/>
      <c r="FO120" s="57"/>
      <c r="FP120" s="57"/>
      <c r="FQ120" s="57"/>
      <c r="FR120" s="57"/>
      <c r="FS120" s="57"/>
      <c r="FT120" s="57"/>
      <c r="FU120" s="57"/>
      <c r="FV120" s="57"/>
      <c r="FW120" s="57"/>
      <c r="FX120" s="57"/>
      <c r="FY120" s="57"/>
      <c r="FZ120" s="57"/>
      <c r="GA120" s="57"/>
      <c r="GB120" s="57"/>
      <c r="GC120" s="57"/>
      <c r="GD120" s="57"/>
      <c r="GE120" s="57"/>
      <c r="GF120" s="57"/>
      <c r="GG120" s="57"/>
      <c r="GH120" s="57"/>
      <c r="GI120" s="57"/>
      <c r="GJ120" s="57"/>
      <c r="GK120" s="57"/>
      <c r="GL120" s="57"/>
      <c r="GM120" s="57"/>
      <c r="GN120" s="57"/>
      <c r="GO120" s="57"/>
      <c r="GP120" s="57"/>
      <c r="GQ120" s="57"/>
      <c r="GR120" s="57"/>
      <c r="GS120" s="57"/>
      <c r="GT120" s="57"/>
      <c r="GU120" s="57"/>
      <c r="GV120" s="57"/>
      <c r="GW120" s="57"/>
      <c r="GX120" s="57"/>
      <c r="GY120" s="57"/>
      <c r="GZ120" s="57"/>
      <c r="HA120" s="57"/>
      <c r="HB120" s="57"/>
      <c r="HC120" s="57"/>
      <c r="HD120" s="57"/>
      <c r="HE120" s="57"/>
      <c r="HF120" s="57"/>
      <c r="HG120" s="57"/>
      <c r="HH120" s="57"/>
      <c r="HI120" s="57"/>
      <c r="HJ120" s="57"/>
      <c r="HK120" s="57"/>
      <c r="HL120" s="57"/>
      <c r="HM120" s="57"/>
      <c r="HN120" s="57"/>
      <c r="HO120" s="57"/>
      <c r="HP120" s="57"/>
      <c r="HQ120" s="57"/>
      <c r="HR120" s="57"/>
      <c r="HS120" s="57"/>
      <c r="HT120" s="57"/>
      <c r="HU120" s="57"/>
      <c r="HV120" s="57"/>
      <c r="HW120" s="57"/>
      <c r="HX120" s="57"/>
      <c r="HY120" s="57"/>
      <c r="HZ120" s="57"/>
      <c r="IA120" s="57"/>
      <c r="IB120" s="57"/>
      <c r="IC120" s="57"/>
      <c r="ID120" s="57"/>
      <c r="IE120" s="57"/>
      <c r="IF120" s="57"/>
      <c r="IG120" s="57"/>
      <c r="IH120" s="57"/>
      <c r="II120" s="57"/>
      <c r="IJ120" s="57"/>
      <c r="IK120" s="57"/>
      <c r="IL120" s="57"/>
      <c r="IM120" s="57"/>
      <c r="IN120" s="57"/>
      <c r="IO120" s="57"/>
      <c r="IP120" s="57"/>
      <c r="IQ120" s="57"/>
      <c r="IR120" s="57"/>
      <c r="IS120" s="57"/>
      <c r="IT120" s="57"/>
      <c r="IU120" s="57"/>
      <c r="IV120" s="57"/>
    </row>
    <row r="121" spans="1:256" s="54" customFormat="1" ht="13.2" outlineLevel="1">
      <c r="A121" s="70" t="s">
        <v>34</v>
      </c>
      <c r="B121" s="496">
        <f>NPV(0.1,D121:Y121)</f>
        <v>76861.650788481435</v>
      </c>
      <c r="C121" s="496">
        <f>B121-B111</f>
        <v>-32.276538809441263</v>
      </c>
      <c r="D121" s="500">
        <v>-420.8492199784298</v>
      </c>
      <c r="E121" s="501">
        <v>-280.96517597091872</v>
      </c>
      <c r="F121" s="501">
        <v>-252.2647308764663</v>
      </c>
      <c r="G121" s="501">
        <v>5751.9586570796964</v>
      </c>
      <c r="H121" s="501">
        <v>10522.05951228461</v>
      </c>
      <c r="I121" s="501">
        <v>11298.411759899795</v>
      </c>
      <c r="J121" s="501">
        <v>11914.796037909895</v>
      </c>
      <c r="K121" s="501">
        <v>12399.290954156175</v>
      </c>
      <c r="L121" s="501">
        <v>12969.806761710139</v>
      </c>
      <c r="M121" s="501">
        <v>13569.453750482784</v>
      </c>
      <c r="N121" s="502">
        <v>13866.876584286736</v>
      </c>
      <c r="O121" s="75">
        <v>14381.53745805439</v>
      </c>
      <c r="P121" s="75">
        <v>14991.252029313664</v>
      </c>
      <c r="Q121" s="75">
        <v>15628.535969480981</v>
      </c>
      <c r="R121" s="75">
        <v>16295.934749013122</v>
      </c>
      <c r="S121" s="75">
        <v>16919.617094911388</v>
      </c>
      <c r="T121" s="75">
        <v>17548.71131855356</v>
      </c>
      <c r="U121" s="75">
        <v>18204.40585156194</v>
      </c>
      <c r="V121" s="75">
        <v>18889.181885110349</v>
      </c>
      <c r="W121" s="75">
        <v>19355.722499767726</v>
      </c>
      <c r="X121" s="75">
        <v>0</v>
      </c>
      <c r="Y121" s="60"/>
      <c r="Z121" s="60"/>
      <c r="AA121" s="60"/>
      <c r="AB121" s="60"/>
      <c r="AC121" s="60"/>
      <c r="AD121" s="60"/>
      <c r="AE121"/>
      <c r="AF121" s="57"/>
      <c r="AG121" s="57"/>
      <c r="AH121" s="57"/>
      <c r="AI121" s="57"/>
      <c r="AJ121" s="57"/>
      <c r="AK121" s="57"/>
      <c r="AL121" s="57"/>
      <c r="AM121" s="57"/>
      <c r="AN121" s="57"/>
      <c r="AO121" s="57"/>
      <c r="AP121" s="57"/>
      <c r="AQ121" s="57"/>
      <c r="AR121" s="57"/>
      <c r="AS121" s="57"/>
      <c r="AT121" s="57"/>
      <c r="AU121" s="57"/>
      <c r="AV121" s="57"/>
      <c r="AW121" s="57"/>
      <c r="AX121" s="57"/>
      <c r="AY121" s="57"/>
      <c r="AZ121" s="57"/>
      <c r="BA121" s="57"/>
      <c r="BB121" s="57"/>
      <c r="BC121" s="57"/>
      <c r="BD121" s="57"/>
      <c r="BE121" s="57"/>
      <c r="BF121" s="57"/>
      <c r="BG121" s="57"/>
      <c r="BH121" s="57"/>
      <c r="BI121" s="57"/>
      <c r="BJ121" s="57"/>
      <c r="BK121" s="57"/>
      <c r="BL121" s="57"/>
      <c r="BM121" s="57"/>
      <c r="BN121" s="57"/>
      <c r="BO121" s="57"/>
      <c r="BP121" s="57"/>
      <c r="BQ121" s="57"/>
      <c r="BR121" s="57"/>
      <c r="BS121" s="57"/>
      <c r="BT121" s="57"/>
      <c r="BU121" s="57"/>
      <c r="BV121" s="57"/>
      <c r="BW121" s="57"/>
      <c r="BX121" s="57"/>
      <c r="BY121" s="57"/>
      <c r="BZ121" s="57"/>
      <c r="CA121" s="57"/>
      <c r="CB121" s="57"/>
      <c r="CC121" s="57"/>
      <c r="CD121" s="57"/>
      <c r="CE121" s="57"/>
      <c r="CF121" s="57"/>
      <c r="CG121" s="57"/>
      <c r="CH121" s="57"/>
      <c r="CI121" s="57"/>
      <c r="CJ121" s="57"/>
      <c r="CK121" s="57"/>
      <c r="CL121" s="57"/>
      <c r="CM121" s="57"/>
      <c r="CN121" s="57"/>
      <c r="CO121" s="57"/>
      <c r="CP121" s="57"/>
      <c r="CQ121" s="57"/>
      <c r="CR121" s="57"/>
      <c r="CS121" s="57"/>
      <c r="CT121" s="57"/>
      <c r="CU121" s="57"/>
      <c r="CV121" s="57"/>
      <c r="CW121" s="57"/>
      <c r="CX121" s="57"/>
      <c r="CY121" s="57"/>
      <c r="CZ121" s="57"/>
      <c r="DA121" s="57"/>
      <c r="DB121" s="57"/>
      <c r="DC121" s="57"/>
      <c r="DD121" s="57"/>
      <c r="DE121" s="57"/>
      <c r="DF121" s="57"/>
      <c r="DG121" s="57"/>
      <c r="DH121" s="57"/>
      <c r="DI121" s="57"/>
      <c r="DJ121" s="57"/>
      <c r="DK121" s="57"/>
      <c r="DL121" s="57"/>
      <c r="DM121" s="57"/>
      <c r="DN121" s="57"/>
      <c r="DO121" s="57"/>
      <c r="DP121" s="57"/>
      <c r="DQ121" s="57"/>
      <c r="DR121" s="57"/>
      <c r="DS121" s="57"/>
      <c r="DT121" s="57"/>
      <c r="DU121" s="57"/>
      <c r="DV121" s="57"/>
      <c r="DW121" s="57"/>
      <c r="DX121" s="57"/>
      <c r="DY121" s="57"/>
      <c r="DZ121" s="57"/>
      <c r="EA121" s="57"/>
      <c r="EB121" s="57"/>
      <c r="EC121" s="57"/>
      <c r="ED121" s="57"/>
      <c r="EE121" s="57"/>
      <c r="EF121" s="57"/>
      <c r="EG121" s="57"/>
      <c r="EH121" s="57"/>
      <c r="EI121" s="57"/>
      <c r="EJ121" s="57"/>
      <c r="EK121" s="57"/>
      <c r="EL121" s="57"/>
      <c r="EM121" s="57"/>
      <c r="EN121" s="57"/>
      <c r="EO121" s="57"/>
      <c r="EP121" s="57"/>
      <c r="EQ121" s="57"/>
      <c r="ER121" s="57"/>
      <c r="ES121" s="57"/>
      <c r="ET121" s="57"/>
      <c r="EU121" s="57"/>
      <c r="EV121" s="57"/>
      <c r="EW121" s="57"/>
      <c r="EX121" s="57"/>
      <c r="EY121" s="57"/>
      <c r="EZ121" s="57"/>
      <c r="FA121" s="57"/>
      <c r="FB121" s="57"/>
      <c r="FC121" s="57"/>
      <c r="FD121" s="57"/>
      <c r="FE121" s="57"/>
      <c r="FF121" s="57"/>
      <c r="FG121" s="57"/>
      <c r="FH121" s="57"/>
      <c r="FI121" s="57"/>
      <c r="FJ121" s="57"/>
      <c r="FK121" s="57"/>
      <c r="FL121" s="57"/>
      <c r="FM121" s="57"/>
      <c r="FN121" s="57"/>
      <c r="FO121" s="57"/>
      <c r="FP121" s="57"/>
      <c r="FQ121" s="57"/>
      <c r="FR121" s="57"/>
      <c r="FS121" s="57"/>
      <c r="FT121" s="57"/>
      <c r="FU121" s="57"/>
      <c r="FV121" s="57"/>
      <c r="FW121" s="57"/>
      <c r="FX121" s="57"/>
      <c r="FY121" s="57"/>
      <c r="FZ121" s="57"/>
      <c r="GA121" s="57"/>
      <c r="GB121" s="57"/>
      <c r="GC121" s="57"/>
      <c r="GD121" s="57"/>
      <c r="GE121" s="57"/>
      <c r="GF121" s="57"/>
      <c r="GG121" s="57"/>
      <c r="GH121" s="57"/>
      <c r="GI121" s="57"/>
      <c r="GJ121" s="57"/>
      <c r="GK121" s="57"/>
      <c r="GL121" s="57"/>
      <c r="GM121" s="57"/>
      <c r="GN121" s="57"/>
      <c r="GO121" s="57"/>
      <c r="GP121" s="57"/>
      <c r="GQ121" s="57"/>
      <c r="GR121" s="57"/>
      <c r="GS121" s="57"/>
      <c r="GT121" s="57"/>
      <c r="GU121" s="57"/>
      <c r="GV121" s="57"/>
      <c r="GW121" s="57"/>
      <c r="GX121" s="57"/>
      <c r="GY121" s="57"/>
      <c r="GZ121" s="57"/>
      <c r="HA121" s="57"/>
      <c r="HB121" s="57"/>
      <c r="HC121" s="57"/>
      <c r="HD121" s="57"/>
      <c r="HE121" s="57"/>
      <c r="HF121" s="57"/>
      <c r="HG121" s="57"/>
      <c r="HH121" s="57"/>
      <c r="HI121" s="57"/>
      <c r="HJ121" s="57"/>
      <c r="HK121" s="57"/>
      <c r="HL121" s="57"/>
      <c r="HM121" s="57"/>
      <c r="HN121" s="57"/>
      <c r="HO121" s="57"/>
      <c r="HP121" s="57"/>
      <c r="HQ121" s="57"/>
      <c r="HR121" s="57"/>
      <c r="HS121" s="57"/>
      <c r="HT121" s="57"/>
      <c r="HU121" s="57"/>
      <c r="HV121" s="57"/>
      <c r="HW121" s="57"/>
      <c r="HX121" s="57"/>
      <c r="HY121" s="57"/>
      <c r="HZ121" s="57"/>
      <c r="IA121" s="57"/>
      <c r="IB121" s="57"/>
      <c r="IC121" s="57"/>
      <c r="ID121" s="57"/>
      <c r="IE121" s="57"/>
      <c r="IF121" s="57"/>
      <c r="IG121" s="57"/>
      <c r="IH121" s="57"/>
      <c r="II121" s="57"/>
      <c r="IJ121" s="57"/>
      <c r="IK121" s="57"/>
      <c r="IL121" s="57"/>
      <c r="IM121" s="57"/>
      <c r="IN121" s="57"/>
      <c r="IO121" s="57"/>
      <c r="IP121" s="57"/>
      <c r="IQ121" s="57"/>
      <c r="IR121" s="57"/>
      <c r="IS121" s="57"/>
      <c r="IT121" s="57"/>
      <c r="IU121" s="57"/>
      <c r="IV121" s="57"/>
    </row>
    <row r="122" spans="1:256" s="54" customFormat="1" ht="13.2" outlineLevel="1">
      <c r="A122" s="70" t="s">
        <v>32</v>
      </c>
      <c r="B122" s="496">
        <f>NPV(0.1,D122:Y122)</f>
        <v>94574.299756974811</v>
      </c>
      <c r="C122" s="496">
        <f>B122-B112</f>
        <v>30.911490328740911</v>
      </c>
      <c r="D122" s="503">
        <v>2147.340743643158</v>
      </c>
      <c r="E122" s="504">
        <v>4194.2114719130741</v>
      </c>
      <c r="F122" s="504">
        <v>3605.2530016090532</v>
      </c>
      <c r="G122" s="504">
        <v>14792.701560183932</v>
      </c>
      <c r="H122" s="504">
        <v>19154.955383468361</v>
      </c>
      <c r="I122" s="504">
        <v>17505.344292172849</v>
      </c>
      <c r="J122" s="504">
        <v>14151.677585847952</v>
      </c>
      <c r="K122" s="504">
        <v>14088.513460658462</v>
      </c>
      <c r="L122" s="504">
        <v>14056.827483861256</v>
      </c>
      <c r="M122" s="504">
        <v>14016.379444104672</v>
      </c>
      <c r="N122" s="505">
        <v>14375.32053738482</v>
      </c>
      <c r="O122" s="75">
        <v>13643.957483454178</v>
      </c>
      <c r="P122" s="75">
        <v>13511.691931255722</v>
      </c>
      <c r="Q122" s="75">
        <v>13368.706434881409</v>
      </c>
      <c r="R122" s="75">
        <v>13186.745356075331</v>
      </c>
      <c r="S122" s="75">
        <v>11241.513756615663</v>
      </c>
      <c r="T122" s="75">
        <v>9304.1110340920495</v>
      </c>
      <c r="U122" s="75">
        <v>9002.6069223853028</v>
      </c>
      <c r="V122" s="75">
        <v>8664.9552673408216</v>
      </c>
      <c r="W122" s="75">
        <v>13916.398359751147</v>
      </c>
      <c r="X122" s="75">
        <v>0</v>
      </c>
      <c r="Y122" s="60"/>
      <c r="Z122" s="60"/>
      <c r="AA122" s="60"/>
      <c r="AB122" s="60"/>
      <c r="AC122" s="60"/>
      <c r="AD122" s="60"/>
      <c r="AE122"/>
      <c r="AF122" s="57"/>
      <c r="AG122" s="57"/>
      <c r="AH122" s="57"/>
      <c r="AI122" s="57"/>
      <c r="AJ122" s="57"/>
      <c r="AK122" s="57"/>
      <c r="AL122" s="57"/>
      <c r="AM122" s="57"/>
      <c r="AN122" s="57"/>
      <c r="AO122" s="57"/>
      <c r="AP122" s="57"/>
      <c r="AQ122" s="57"/>
      <c r="AR122" s="57"/>
      <c r="AS122" s="57"/>
      <c r="AT122" s="57"/>
      <c r="AU122" s="57"/>
      <c r="AV122" s="57"/>
      <c r="AW122" s="57"/>
      <c r="AX122" s="57"/>
      <c r="AY122" s="57"/>
      <c r="AZ122" s="57"/>
      <c r="BA122" s="57"/>
      <c r="BB122" s="57"/>
      <c r="BC122" s="57"/>
      <c r="BD122" s="57"/>
      <c r="BE122" s="57"/>
      <c r="BF122" s="57"/>
      <c r="BG122" s="57"/>
      <c r="BH122" s="57"/>
      <c r="BI122" s="57"/>
      <c r="BJ122" s="57"/>
      <c r="BK122" s="57"/>
      <c r="BL122" s="57"/>
      <c r="BM122" s="57"/>
      <c r="BN122" s="57"/>
      <c r="BO122" s="57"/>
      <c r="BP122" s="57"/>
      <c r="BQ122" s="57"/>
      <c r="BR122" s="57"/>
      <c r="BS122" s="57"/>
      <c r="BT122" s="57"/>
      <c r="BU122" s="57"/>
      <c r="BV122" s="57"/>
      <c r="BW122" s="57"/>
      <c r="BX122" s="57"/>
      <c r="BY122" s="57"/>
      <c r="BZ122" s="57"/>
      <c r="CA122" s="57"/>
      <c r="CB122" s="57"/>
      <c r="CC122" s="57"/>
      <c r="CD122" s="57"/>
      <c r="CE122" s="57"/>
      <c r="CF122" s="57"/>
      <c r="CG122" s="57"/>
      <c r="CH122" s="57"/>
      <c r="CI122" s="57"/>
      <c r="CJ122" s="57"/>
      <c r="CK122" s="57"/>
      <c r="CL122" s="57"/>
      <c r="CM122" s="57"/>
      <c r="CN122" s="57"/>
      <c r="CO122" s="57"/>
      <c r="CP122" s="57"/>
      <c r="CQ122" s="57"/>
      <c r="CR122" s="57"/>
      <c r="CS122" s="57"/>
      <c r="CT122" s="57"/>
      <c r="CU122" s="57"/>
      <c r="CV122" s="57"/>
      <c r="CW122" s="57"/>
      <c r="CX122" s="57"/>
      <c r="CY122" s="57"/>
      <c r="CZ122" s="57"/>
      <c r="DA122" s="57"/>
      <c r="DB122" s="57"/>
      <c r="DC122" s="57"/>
      <c r="DD122" s="57"/>
      <c r="DE122" s="57"/>
      <c r="DF122" s="57"/>
      <c r="DG122" s="57"/>
      <c r="DH122" s="57"/>
      <c r="DI122" s="57"/>
      <c r="DJ122" s="57"/>
      <c r="DK122" s="57"/>
      <c r="DL122" s="57"/>
      <c r="DM122" s="57"/>
      <c r="DN122" s="57"/>
      <c r="DO122" s="57"/>
      <c r="DP122" s="57"/>
      <c r="DQ122" s="57"/>
      <c r="DR122" s="57"/>
      <c r="DS122" s="57"/>
      <c r="DT122" s="57"/>
      <c r="DU122" s="57"/>
      <c r="DV122" s="57"/>
      <c r="DW122" s="57"/>
      <c r="DX122" s="57"/>
      <c r="DY122" s="57"/>
      <c r="DZ122" s="57"/>
      <c r="EA122" s="57"/>
      <c r="EB122" s="57"/>
      <c r="EC122" s="57"/>
      <c r="ED122" s="57"/>
      <c r="EE122" s="57"/>
      <c r="EF122" s="57"/>
      <c r="EG122" s="57"/>
      <c r="EH122" s="57"/>
      <c r="EI122" s="57"/>
      <c r="EJ122" s="57"/>
      <c r="EK122" s="57"/>
      <c r="EL122" s="57"/>
      <c r="EM122" s="57"/>
      <c r="EN122" s="57"/>
      <c r="EO122" s="57"/>
      <c r="EP122" s="57"/>
      <c r="EQ122" s="57"/>
      <c r="ER122" s="57"/>
      <c r="ES122" s="57"/>
      <c r="ET122" s="57"/>
      <c r="EU122" s="57"/>
      <c r="EV122" s="57"/>
      <c r="EW122" s="57"/>
      <c r="EX122" s="57"/>
      <c r="EY122" s="57"/>
      <c r="EZ122" s="57"/>
      <c r="FA122" s="57"/>
      <c r="FB122" s="57"/>
      <c r="FC122" s="57"/>
      <c r="FD122" s="57"/>
      <c r="FE122" s="57"/>
      <c r="FF122" s="57"/>
      <c r="FG122" s="57"/>
      <c r="FH122" s="57"/>
      <c r="FI122" s="57"/>
      <c r="FJ122" s="57"/>
      <c r="FK122" s="57"/>
      <c r="FL122" s="57"/>
      <c r="FM122" s="57"/>
      <c r="FN122" s="57"/>
      <c r="FO122" s="57"/>
      <c r="FP122" s="57"/>
      <c r="FQ122" s="57"/>
      <c r="FR122" s="57"/>
      <c r="FS122" s="57"/>
      <c r="FT122" s="57"/>
      <c r="FU122" s="57"/>
      <c r="FV122" s="57"/>
      <c r="FW122" s="57"/>
      <c r="FX122" s="57"/>
      <c r="FY122" s="57"/>
      <c r="FZ122" s="57"/>
      <c r="GA122" s="57"/>
      <c r="GB122" s="57"/>
      <c r="GC122" s="57"/>
      <c r="GD122" s="57"/>
      <c r="GE122" s="57"/>
      <c r="GF122" s="57"/>
      <c r="GG122" s="57"/>
      <c r="GH122" s="57"/>
      <c r="GI122" s="57"/>
      <c r="GJ122" s="57"/>
      <c r="GK122" s="57"/>
      <c r="GL122" s="57"/>
      <c r="GM122" s="57"/>
      <c r="GN122" s="57"/>
      <c r="GO122" s="57"/>
      <c r="GP122" s="57"/>
      <c r="GQ122" s="57"/>
      <c r="GR122" s="57"/>
      <c r="GS122" s="57"/>
      <c r="GT122" s="57"/>
      <c r="GU122" s="57"/>
      <c r="GV122" s="57"/>
      <c r="GW122" s="57"/>
      <c r="GX122" s="57"/>
      <c r="GY122" s="57"/>
      <c r="GZ122" s="57"/>
      <c r="HA122" s="57"/>
      <c r="HB122" s="57"/>
      <c r="HC122" s="57"/>
      <c r="HD122" s="57"/>
      <c r="HE122" s="57"/>
      <c r="HF122" s="57"/>
      <c r="HG122" s="57"/>
      <c r="HH122" s="57"/>
      <c r="HI122" s="57"/>
      <c r="HJ122" s="57"/>
      <c r="HK122" s="57"/>
      <c r="HL122" s="57"/>
      <c r="HM122" s="57"/>
      <c r="HN122" s="57"/>
      <c r="HO122" s="57"/>
      <c r="HP122" s="57"/>
      <c r="HQ122" s="57"/>
      <c r="HR122" s="57"/>
      <c r="HS122" s="57"/>
      <c r="HT122" s="57"/>
      <c r="HU122" s="57"/>
      <c r="HV122" s="57"/>
      <c r="HW122" s="57"/>
      <c r="HX122" s="57"/>
      <c r="HY122" s="57"/>
      <c r="HZ122" s="57"/>
      <c r="IA122" s="57"/>
      <c r="IB122" s="57"/>
      <c r="IC122" s="57"/>
      <c r="ID122" s="57"/>
      <c r="IE122" s="57"/>
      <c r="IF122" s="57"/>
      <c r="IG122" s="57"/>
      <c r="IH122" s="57"/>
      <c r="II122" s="57"/>
      <c r="IJ122" s="57"/>
      <c r="IK122" s="57"/>
      <c r="IL122" s="57"/>
      <c r="IM122" s="57"/>
      <c r="IN122" s="57"/>
      <c r="IO122" s="57"/>
      <c r="IP122" s="57"/>
      <c r="IQ122" s="57"/>
      <c r="IR122" s="57"/>
      <c r="IS122" s="57"/>
      <c r="IT122" s="57"/>
      <c r="IU122" s="57"/>
      <c r="IV122" s="57"/>
    </row>
    <row r="123" spans="1:256" s="54" customFormat="1" ht="13.2" outlineLevel="1">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c r="AA123" s="60"/>
      <c r="AB123" s="60"/>
      <c r="AC123" s="60"/>
      <c r="AD123" s="60"/>
      <c r="AE123"/>
      <c r="AF123" s="57"/>
      <c r="AG123" s="57"/>
      <c r="AH123" s="57"/>
      <c r="AI123" s="57"/>
      <c r="AJ123" s="57"/>
      <c r="AK123" s="57"/>
      <c r="AL123" s="57"/>
      <c r="AM123" s="57"/>
      <c r="AN123" s="57"/>
      <c r="AO123" s="57"/>
      <c r="AP123" s="57"/>
      <c r="AQ123" s="57"/>
      <c r="AR123" s="57"/>
      <c r="AS123" s="57"/>
      <c r="AT123" s="57"/>
      <c r="AU123" s="57"/>
      <c r="AV123" s="57"/>
      <c r="AW123" s="57"/>
      <c r="AX123" s="57"/>
      <c r="AY123" s="57"/>
      <c r="AZ123" s="57"/>
      <c r="BA123" s="57"/>
      <c r="BB123" s="57"/>
      <c r="BC123" s="57"/>
      <c r="BD123" s="57"/>
      <c r="BE123" s="57"/>
      <c r="BF123" s="57"/>
      <c r="BG123" s="57"/>
      <c r="BH123" s="57"/>
      <c r="BI123" s="57"/>
      <c r="BJ123" s="57"/>
      <c r="BK123" s="57"/>
      <c r="BL123" s="57"/>
      <c r="BM123" s="57"/>
      <c r="BN123" s="57"/>
      <c r="BO123" s="57"/>
      <c r="BP123" s="57"/>
      <c r="BQ123" s="57"/>
      <c r="BR123" s="57"/>
      <c r="BS123" s="57"/>
      <c r="BT123" s="57"/>
      <c r="BU123" s="57"/>
      <c r="BV123" s="57"/>
      <c r="BW123" s="57"/>
      <c r="BX123" s="57"/>
      <c r="BY123" s="57"/>
      <c r="BZ123" s="57"/>
      <c r="CA123" s="57"/>
      <c r="CB123" s="57"/>
      <c r="CC123" s="57"/>
      <c r="CD123" s="57"/>
      <c r="CE123" s="57"/>
      <c r="CF123" s="57"/>
      <c r="CG123" s="57"/>
      <c r="CH123" s="57"/>
      <c r="CI123" s="57"/>
      <c r="CJ123" s="57"/>
      <c r="CK123" s="57"/>
      <c r="CL123" s="57"/>
      <c r="CM123" s="57"/>
      <c r="CN123" s="57"/>
      <c r="CO123" s="57"/>
      <c r="CP123" s="57"/>
      <c r="CQ123" s="57"/>
      <c r="CR123" s="57"/>
      <c r="CS123" s="57"/>
      <c r="CT123" s="57"/>
      <c r="CU123" s="57"/>
      <c r="CV123" s="57"/>
      <c r="CW123" s="57"/>
      <c r="CX123" s="57"/>
      <c r="CY123" s="57"/>
      <c r="CZ123" s="57"/>
      <c r="DA123" s="57"/>
      <c r="DB123" s="57"/>
      <c r="DC123" s="57"/>
      <c r="DD123" s="57"/>
      <c r="DE123" s="57"/>
      <c r="DF123" s="57"/>
      <c r="DG123" s="57"/>
      <c r="DH123" s="57"/>
      <c r="DI123" s="57"/>
      <c r="DJ123" s="57"/>
      <c r="DK123" s="57"/>
      <c r="DL123" s="57"/>
      <c r="DM123" s="57"/>
      <c r="DN123" s="57"/>
      <c r="DO123" s="57"/>
      <c r="DP123" s="57"/>
      <c r="DQ123" s="57"/>
      <c r="DR123" s="57"/>
      <c r="DS123" s="57"/>
      <c r="DT123" s="57"/>
      <c r="DU123" s="57"/>
      <c r="DV123" s="57"/>
      <c r="DW123" s="57"/>
      <c r="DX123" s="57"/>
      <c r="DY123" s="57"/>
      <c r="DZ123" s="57"/>
      <c r="EA123" s="57"/>
      <c r="EB123" s="57"/>
      <c r="EC123" s="57"/>
      <c r="ED123" s="57"/>
      <c r="EE123" s="57"/>
      <c r="EF123" s="57"/>
      <c r="EG123" s="57"/>
      <c r="EH123" s="57"/>
      <c r="EI123" s="57"/>
      <c r="EJ123" s="57"/>
      <c r="EK123" s="57"/>
      <c r="EL123" s="57"/>
      <c r="EM123" s="57"/>
      <c r="EN123" s="57"/>
      <c r="EO123" s="57"/>
      <c r="EP123" s="57"/>
      <c r="EQ123" s="57"/>
      <c r="ER123" s="57"/>
      <c r="ES123" s="57"/>
      <c r="ET123" s="57"/>
      <c r="EU123" s="57"/>
      <c r="EV123" s="57"/>
      <c r="EW123" s="57"/>
      <c r="EX123" s="57"/>
      <c r="EY123" s="57"/>
      <c r="EZ123" s="57"/>
      <c r="FA123" s="57"/>
      <c r="FB123" s="57"/>
      <c r="FC123" s="57"/>
      <c r="FD123" s="57"/>
      <c r="FE123" s="57"/>
      <c r="FF123" s="57"/>
      <c r="FG123" s="57"/>
      <c r="FH123" s="57"/>
      <c r="FI123" s="57"/>
      <c r="FJ123" s="57"/>
      <c r="FK123" s="57"/>
      <c r="FL123" s="57"/>
      <c r="FM123" s="57"/>
      <c r="FN123" s="57"/>
      <c r="FO123" s="57"/>
      <c r="FP123" s="57"/>
      <c r="FQ123" s="57"/>
      <c r="FR123" s="57"/>
      <c r="FS123" s="57"/>
      <c r="FT123" s="57"/>
      <c r="FU123" s="57"/>
      <c r="FV123" s="57"/>
      <c r="FW123" s="57"/>
      <c r="FX123" s="57"/>
      <c r="FY123" s="57"/>
      <c r="FZ123" s="57"/>
      <c r="GA123" s="57"/>
      <c r="GB123" s="57"/>
      <c r="GC123" s="57"/>
      <c r="GD123" s="57"/>
      <c r="GE123" s="57"/>
      <c r="GF123" s="57"/>
      <c r="GG123" s="57"/>
      <c r="GH123" s="57"/>
      <c r="GI123" s="57"/>
      <c r="GJ123" s="57"/>
      <c r="GK123" s="57"/>
      <c r="GL123" s="57"/>
      <c r="GM123" s="57"/>
      <c r="GN123" s="57"/>
      <c r="GO123" s="57"/>
      <c r="GP123" s="57"/>
      <c r="GQ123" s="57"/>
      <c r="GR123" s="57"/>
      <c r="GS123" s="57"/>
      <c r="GT123" s="57"/>
      <c r="GU123" s="57"/>
      <c r="GV123" s="57"/>
      <c r="GW123" s="57"/>
      <c r="GX123" s="57"/>
      <c r="GY123" s="57"/>
      <c r="GZ123" s="57"/>
      <c r="HA123" s="57"/>
      <c r="HB123" s="57"/>
      <c r="HC123" s="57"/>
      <c r="HD123" s="57"/>
      <c r="HE123" s="57"/>
      <c r="HF123" s="57"/>
      <c r="HG123" s="57"/>
      <c r="HH123" s="57"/>
      <c r="HI123" s="57"/>
      <c r="HJ123" s="57"/>
      <c r="HK123" s="57"/>
      <c r="HL123" s="57"/>
      <c r="HM123" s="57"/>
      <c r="HN123" s="57"/>
      <c r="HO123" s="57"/>
      <c r="HP123" s="57"/>
      <c r="HQ123" s="57"/>
      <c r="HR123" s="57"/>
      <c r="HS123" s="57"/>
      <c r="HT123" s="57"/>
      <c r="HU123" s="57"/>
      <c r="HV123" s="57"/>
      <c r="HW123" s="57"/>
      <c r="HX123" s="57"/>
      <c r="HY123" s="57"/>
      <c r="HZ123" s="57"/>
      <c r="IA123" s="57"/>
      <c r="IB123" s="57"/>
      <c r="IC123" s="57"/>
      <c r="ID123" s="57"/>
      <c r="IE123" s="57"/>
      <c r="IF123" s="57"/>
      <c r="IG123" s="57"/>
      <c r="IH123" s="57"/>
      <c r="II123" s="57"/>
      <c r="IJ123" s="57"/>
      <c r="IK123" s="57"/>
      <c r="IL123" s="57"/>
      <c r="IM123" s="57"/>
      <c r="IN123" s="57"/>
      <c r="IO123" s="57"/>
      <c r="IP123" s="57"/>
      <c r="IQ123" s="57"/>
      <c r="IR123" s="57"/>
      <c r="IS123" s="57"/>
      <c r="IT123" s="57"/>
      <c r="IU123" s="57"/>
      <c r="IV123" s="57"/>
    </row>
    <row r="124" spans="1:256" s="54" customFormat="1" ht="13.2" outlineLevel="1">
      <c r="A124" s="71" t="s">
        <v>478</v>
      </c>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c r="AB124" s="60"/>
      <c r="AC124" s="60"/>
      <c r="AD124" s="60"/>
      <c r="AE124"/>
      <c r="AF124" s="57"/>
      <c r="AG124" s="57"/>
      <c r="AH124" s="57"/>
      <c r="AI124" s="57"/>
      <c r="AJ124" s="57"/>
      <c r="AK124" s="57"/>
      <c r="AL124" s="57"/>
      <c r="AM124" s="57"/>
      <c r="AN124" s="57"/>
      <c r="AO124" s="57"/>
      <c r="AP124" s="57"/>
      <c r="AQ124" s="57"/>
      <c r="AR124" s="57"/>
      <c r="AS124" s="57"/>
      <c r="AT124" s="57"/>
      <c r="AU124" s="57"/>
      <c r="AV124" s="57"/>
      <c r="AW124" s="57"/>
      <c r="AX124" s="57"/>
      <c r="AY124" s="57"/>
      <c r="AZ124" s="57"/>
      <c r="BA124" s="57"/>
      <c r="BB124" s="57"/>
      <c r="BC124" s="57"/>
      <c r="BD124" s="57"/>
      <c r="BE124" s="57"/>
      <c r="BF124" s="57"/>
      <c r="BG124" s="57"/>
      <c r="BH124" s="57"/>
      <c r="BI124" s="57"/>
      <c r="BJ124" s="57"/>
      <c r="BK124" s="57"/>
      <c r="BL124" s="57"/>
      <c r="BM124" s="57"/>
      <c r="BN124" s="57"/>
      <c r="BO124" s="57"/>
      <c r="BP124" s="57"/>
      <c r="BQ124" s="57"/>
      <c r="BR124" s="57"/>
      <c r="BS124" s="57"/>
      <c r="BT124" s="57"/>
      <c r="BU124" s="57"/>
      <c r="BV124" s="57"/>
      <c r="BW124" s="57"/>
      <c r="BX124" s="57"/>
      <c r="BY124" s="57"/>
      <c r="BZ124" s="57"/>
      <c r="CA124" s="57"/>
      <c r="CB124" s="57"/>
      <c r="CC124" s="57"/>
      <c r="CD124" s="57"/>
      <c r="CE124" s="57"/>
      <c r="CF124" s="57"/>
      <c r="CG124" s="57"/>
      <c r="CH124" s="57"/>
      <c r="CI124" s="57"/>
      <c r="CJ124" s="57"/>
      <c r="CK124" s="57"/>
      <c r="CL124" s="57"/>
      <c r="CM124" s="57"/>
      <c r="CN124" s="57"/>
      <c r="CO124" s="57"/>
      <c r="CP124" s="57"/>
      <c r="CQ124" s="57"/>
      <c r="CR124" s="57"/>
      <c r="CS124" s="57"/>
      <c r="CT124" s="57"/>
      <c r="CU124" s="57"/>
      <c r="CV124" s="57"/>
      <c r="CW124" s="57"/>
      <c r="CX124" s="57"/>
      <c r="CY124" s="57"/>
      <c r="CZ124" s="57"/>
      <c r="DA124" s="57"/>
      <c r="DB124" s="57"/>
      <c r="DC124" s="57"/>
      <c r="DD124" s="57"/>
      <c r="DE124" s="57"/>
      <c r="DF124" s="57"/>
      <c r="DG124" s="57"/>
      <c r="DH124" s="57"/>
      <c r="DI124" s="57"/>
      <c r="DJ124" s="57"/>
      <c r="DK124" s="57"/>
      <c r="DL124" s="57"/>
      <c r="DM124" s="57"/>
      <c r="DN124" s="57"/>
      <c r="DO124" s="57"/>
      <c r="DP124" s="57"/>
      <c r="DQ124" s="57"/>
      <c r="DR124" s="57"/>
      <c r="DS124" s="57"/>
      <c r="DT124" s="57"/>
      <c r="DU124" s="57"/>
      <c r="DV124" s="57"/>
      <c r="DW124" s="57"/>
      <c r="DX124" s="57"/>
      <c r="DY124" s="57"/>
      <c r="DZ124" s="57"/>
      <c r="EA124" s="57"/>
      <c r="EB124" s="57"/>
      <c r="EC124" s="57"/>
      <c r="ED124" s="57"/>
      <c r="EE124" s="57"/>
      <c r="EF124" s="57"/>
      <c r="EG124" s="57"/>
      <c r="EH124" s="57"/>
      <c r="EI124" s="57"/>
      <c r="EJ124" s="57"/>
      <c r="EK124" s="57"/>
      <c r="EL124" s="57"/>
      <c r="EM124" s="57"/>
      <c r="EN124" s="57"/>
      <c r="EO124" s="57"/>
      <c r="EP124" s="57"/>
      <c r="EQ124" s="57"/>
      <c r="ER124" s="57"/>
      <c r="ES124" s="57"/>
      <c r="ET124" s="57"/>
      <c r="EU124" s="57"/>
      <c r="EV124" s="57"/>
      <c r="EW124" s="57"/>
      <c r="EX124" s="57"/>
      <c r="EY124" s="57"/>
      <c r="EZ124" s="57"/>
      <c r="FA124" s="57"/>
      <c r="FB124" s="57"/>
      <c r="FC124" s="57"/>
      <c r="FD124" s="57"/>
      <c r="FE124" s="57"/>
      <c r="FF124" s="57"/>
      <c r="FG124" s="57"/>
      <c r="FH124" s="57"/>
      <c r="FI124" s="57"/>
      <c r="FJ124" s="57"/>
      <c r="FK124" s="57"/>
      <c r="FL124" s="57"/>
      <c r="FM124" s="57"/>
      <c r="FN124" s="57"/>
      <c r="FO124" s="57"/>
      <c r="FP124" s="57"/>
      <c r="FQ124" s="57"/>
      <c r="FR124" s="57"/>
      <c r="FS124" s="57"/>
      <c r="FT124" s="57"/>
      <c r="FU124" s="57"/>
      <c r="FV124" s="57"/>
      <c r="FW124" s="57"/>
      <c r="FX124" s="57"/>
      <c r="FY124" s="57"/>
      <c r="FZ124" s="57"/>
      <c r="GA124" s="57"/>
      <c r="GB124" s="57"/>
      <c r="GC124" s="57"/>
      <c r="GD124" s="57"/>
      <c r="GE124" s="57"/>
      <c r="GF124" s="57"/>
      <c r="GG124" s="57"/>
      <c r="GH124" s="57"/>
      <c r="GI124" s="57"/>
      <c r="GJ124" s="57"/>
      <c r="GK124" s="57"/>
      <c r="GL124" s="57"/>
      <c r="GM124" s="57"/>
      <c r="GN124" s="57"/>
      <c r="GO124" s="57"/>
      <c r="GP124" s="57"/>
      <c r="GQ124" s="57"/>
      <c r="GR124" s="57"/>
      <c r="GS124" s="57"/>
      <c r="GT124" s="57"/>
      <c r="GU124" s="57"/>
      <c r="GV124" s="57"/>
      <c r="GW124" s="57"/>
      <c r="GX124" s="57"/>
      <c r="GY124" s="57"/>
      <c r="GZ124" s="57"/>
      <c r="HA124" s="57"/>
      <c r="HB124" s="57"/>
      <c r="HC124" s="57"/>
      <c r="HD124" s="57"/>
      <c r="HE124" s="57"/>
      <c r="HF124" s="57"/>
      <c r="HG124" s="57"/>
      <c r="HH124" s="57"/>
      <c r="HI124" s="57"/>
      <c r="HJ124" s="57"/>
      <c r="HK124" s="57"/>
      <c r="HL124" s="57"/>
      <c r="HM124" s="57"/>
      <c r="HN124" s="57"/>
      <c r="HO124" s="57"/>
      <c r="HP124" s="57"/>
      <c r="HQ124" s="57"/>
      <c r="HR124" s="57"/>
      <c r="HS124" s="57"/>
      <c r="HT124" s="57"/>
      <c r="HU124" s="57"/>
      <c r="HV124" s="57"/>
      <c r="HW124" s="57"/>
      <c r="HX124" s="57"/>
      <c r="HY124" s="57"/>
      <c r="HZ124" s="57"/>
      <c r="IA124" s="57"/>
      <c r="IB124" s="57"/>
      <c r="IC124" s="57"/>
      <c r="ID124" s="57"/>
      <c r="IE124" s="57"/>
      <c r="IF124" s="57"/>
      <c r="IG124" s="57"/>
      <c r="IH124" s="57"/>
      <c r="II124" s="57"/>
      <c r="IJ124" s="57"/>
      <c r="IK124" s="57"/>
      <c r="IL124" s="57"/>
      <c r="IM124" s="57"/>
      <c r="IN124" s="57"/>
      <c r="IO124" s="57"/>
      <c r="IP124" s="57"/>
      <c r="IQ124" s="57"/>
      <c r="IR124" s="57"/>
      <c r="IS124" s="57"/>
      <c r="IT124" s="57"/>
      <c r="IU124" s="57"/>
      <c r="IV124" s="57"/>
    </row>
    <row r="125" spans="1:256" s="54" customFormat="1" ht="13.2" outlineLevel="1">
      <c r="A125" s="442">
        <v>36249</v>
      </c>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c r="AA125" s="60"/>
      <c r="AB125" s="60"/>
      <c r="AC125" s="60"/>
      <c r="AD125" s="60"/>
      <c r="AE125"/>
      <c r="AF125" s="57"/>
      <c r="AG125" s="57"/>
      <c r="AH125" s="57"/>
      <c r="AI125" s="57"/>
      <c r="AJ125" s="57"/>
      <c r="AK125" s="57"/>
      <c r="AL125" s="57"/>
      <c r="AM125" s="57"/>
      <c r="AN125" s="57"/>
      <c r="AO125" s="57"/>
      <c r="AP125" s="57"/>
      <c r="AQ125" s="57"/>
      <c r="AR125" s="57"/>
      <c r="AS125" s="57"/>
      <c r="AT125" s="57"/>
      <c r="AU125" s="57"/>
      <c r="AV125" s="57"/>
      <c r="AW125" s="57"/>
      <c r="AX125" s="57"/>
      <c r="AY125" s="57"/>
      <c r="AZ125" s="57"/>
      <c r="BA125" s="57"/>
      <c r="BB125" s="57"/>
      <c r="BC125" s="57"/>
      <c r="BD125" s="57"/>
      <c r="BE125" s="57"/>
      <c r="BF125" s="57"/>
      <c r="BG125" s="57"/>
      <c r="BH125" s="57"/>
      <c r="BI125" s="57"/>
      <c r="BJ125" s="57"/>
      <c r="BK125" s="57"/>
      <c r="BL125" s="57"/>
      <c r="BM125" s="57"/>
      <c r="BN125" s="57"/>
      <c r="BO125" s="57"/>
      <c r="BP125" s="57"/>
      <c r="BQ125" s="57"/>
      <c r="BR125" s="57"/>
      <c r="BS125" s="57"/>
      <c r="BT125" s="57"/>
      <c r="BU125" s="57"/>
      <c r="BV125" s="57"/>
      <c r="BW125" s="57"/>
      <c r="BX125" s="57"/>
      <c r="BY125" s="57"/>
      <c r="BZ125" s="57"/>
      <c r="CA125" s="57"/>
      <c r="CB125" s="57"/>
      <c r="CC125" s="57"/>
      <c r="CD125" s="57"/>
      <c r="CE125" s="57"/>
      <c r="CF125" s="57"/>
      <c r="CG125" s="57"/>
      <c r="CH125" s="57"/>
      <c r="CI125" s="57"/>
      <c r="CJ125" s="57"/>
      <c r="CK125" s="57"/>
      <c r="CL125" s="57"/>
      <c r="CM125" s="57"/>
      <c r="CN125" s="57"/>
      <c r="CO125" s="57"/>
      <c r="CP125" s="57"/>
      <c r="CQ125" s="57"/>
      <c r="CR125" s="57"/>
      <c r="CS125" s="57"/>
      <c r="CT125" s="57"/>
      <c r="CU125" s="57"/>
      <c r="CV125" s="57"/>
      <c r="CW125" s="57"/>
      <c r="CX125" s="57"/>
      <c r="CY125" s="57"/>
      <c r="CZ125" s="57"/>
      <c r="DA125" s="57"/>
      <c r="DB125" s="57"/>
      <c r="DC125" s="57"/>
      <c r="DD125" s="57"/>
      <c r="DE125" s="57"/>
      <c r="DF125" s="57"/>
      <c r="DG125" s="57"/>
      <c r="DH125" s="57"/>
      <c r="DI125" s="57"/>
      <c r="DJ125" s="57"/>
      <c r="DK125" s="57"/>
      <c r="DL125" s="57"/>
      <c r="DM125" s="57"/>
      <c r="DN125" s="57"/>
      <c r="DO125" s="57"/>
      <c r="DP125" s="57"/>
      <c r="DQ125" s="57"/>
      <c r="DR125" s="57"/>
      <c r="DS125" s="57"/>
      <c r="DT125" s="57"/>
      <c r="DU125" s="57"/>
      <c r="DV125" s="57"/>
      <c r="DW125" s="57"/>
      <c r="DX125" s="57"/>
      <c r="DY125" s="57"/>
      <c r="DZ125" s="57"/>
      <c r="EA125" s="57"/>
      <c r="EB125" s="57"/>
      <c r="EC125" s="57"/>
      <c r="ED125" s="57"/>
      <c r="EE125" s="57"/>
      <c r="EF125" s="57"/>
      <c r="EG125" s="57"/>
      <c r="EH125" s="57"/>
      <c r="EI125" s="57"/>
      <c r="EJ125" s="57"/>
      <c r="EK125" s="57"/>
      <c r="EL125" s="57"/>
      <c r="EM125" s="57"/>
      <c r="EN125" s="57"/>
      <c r="EO125" s="57"/>
      <c r="EP125" s="57"/>
      <c r="EQ125" s="57"/>
      <c r="ER125" s="57"/>
      <c r="ES125" s="57"/>
      <c r="ET125" s="57"/>
      <c r="EU125" s="57"/>
      <c r="EV125" s="57"/>
      <c r="EW125" s="57"/>
      <c r="EX125" s="57"/>
      <c r="EY125" s="57"/>
      <c r="EZ125" s="57"/>
      <c r="FA125" s="57"/>
      <c r="FB125" s="57"/>
      <c r="FC125" s="57"/>
      <c r="FD125" s="57"/>
      <c r="FE125" s="57"/>
      <c r="FF125" s="57"/>
      <c r="FG125" s="57"/>
      <c r="FH125" s="57"/>
      <c r="FI125" s="57"/>
      <c r="FJ125" s="57"/>
      <c r="FK125" s="57"/>
      <c r="FL125" s="57"/>
      <c r="FM125" s="57"/>
      <c r="FN125" s="57"/>
      <c r="FO125" s="57"/>
      <c r="FP125" s="57"/>
      <c r="FQ125" s="57"/>
      <c r="FR125" s="57"/>
      <c r="FS125" s="57"/>
      <c r="FT125" s="57"/>
      <c r="FU125" s="57"/>
      <c r="FV125" s="57"/>
      <c r="FW125" s="57"/>
      <c r="FX125" s="57"/>
      <c r="FY125" s="57"/>
      <c r="FZ125" s="57"/>
      <c r="GA125" s="57"/>
      <c r="GB125" s="57"/>
      <c r="GC125" s="57"/>
      <c r="GD125" s="57"/>
      <c r="GE125" s="57"/>
      <c r="GF125" s="57"/>
      <c r="GG125" s="57"/>
      <c r="GH125" s="57"/>
      <c r="GI125" s="57"/>
      <c r="GJ125" s="57"/>
      <c r="GK125" s="57"/>
      <c r="GL125" s="57"/>
      <c r="GM125" s="57"/>
      <c r="GN125" s="57"/>
      <c r="GO125" s="57"/>
      <c r="GP125" s="57"/>
      <c r="GQ125" s="57"/>
      <c r="GR125" s="57"/>
      <c r="GS125" s="57"/>
      <c r="GT125" s="57"/>
      <c r="GU125" s="57"/>
      <c r="GV125" s="57"/>
      <c r="GW125" s="57"/>
      <c r="GX125" s="57"/>
      <c r="GY125" s="57"/>
      <c r="GZ125" s="57"/>
      <c r="HA125" s="57"/>
      <c r="HB125" s="57"/>
      <c r="HC125" s="57"/>
      <c r="HD125" s="57"/>
      <c r="HE125" s="57"/>
      <c r="HF125" s="57"/>
      <c r="HG125" s="57"/>
      <c r="HH125" s="57"/>
      <c r="HI125" s="57"/>
      <c r="HJ125" s="57"/>
      <c r="HK125" s="57"/>
      <c r="HL125" s="57"/>
      <c r="HM125" s="57"/>
      <c r="HN125" s="57"/>
      <c r="HO125" s="57"/>
      <c r="HP125" s="57"/>
      <c r="HQ125" s="57"/>
      <c r="HR125" s="57"/>
      <c r="HS125" s="57"/>
      <c r="HT125" s="57"/>
      <c r="HU125" s="57"/>
      <c r="HV125" s="57"/>
      <c r="HW125" s="57"/>
      <c r="HX125" s="57"/>
      <c r="HY125" s="57"/>
      <c r="HZ125" s="57"/>
      <c r="IA125" s="57"/>
      <c r="IB125" s="57"/>
      <c r="IC125" s="57"/>
      <c r="ID125" s="57"/>
      <c r="IE125" s="57"/>
      <c r="IF125" s="57"/>
      <c r="IG125" s="57"/>
      <c r="IH125" s="57"/>
      <c r="II125" s="57"/>
      <c r="IJ125" s="57"/>
      <c r="IK125" s="57"/>
      <c r="IL125" s="57"/>
      <c r="IM125" s="57"/>
      <c r="IN125" s="57"/>
      <c r="IO125" s="57"/>
      <c r="IP125" s="57"/>
      <c r="IQ125" s="57"/>
      <c r="IR125" s="57"/>
      <c r="IS125" s="57"/>
      <c r="IT125" s="57"/>
      <c r="IU125" s="57"/>
      <c r="IV125" s="57"/>
    </row>
    <row r="126" spans="1:256" s="54" customFormat="1" ht="13.2" outlineLevel="1">
      <c r="A126" s="64" t="s">
        <v>368</v>
      </c>
      <c r="B126" s="65">
        <v>54169.81418124777</v>
      </c>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c r="AA126" s="60"/>
      <c r="AB126" s="60"/>
      <c r="AC126" s="60"/>
      <c r="AD126" s="60"/>
      <c r="AE126"/>
      <c r="AF126" s="57"/>
      <c r="AG126" s="57"/>
      <c r="AH126" s="57"/>
      <c r="AI126" s="57"/>
      <c r="AJ126" s="57"/>
      <c r="AK126" s="57"/>
      <c r="AL126" s="57"/>
      <c r="AM126" s="57"/>
      <c r="AN126" s="57"/>
      <c r="AO126" s="57"/>
      <c r="AP126" s="57"/>
      <c r="AQ126" s="57"/>
      <c r="AR126" s="57"/>
      <c r="AS126" s="57"/>
      <c r="AT126" s="57"/>
      <c r="AU126" s="57"/>
      <c r="AV126" s="57"/>
      <c r="AW126" s="57"/>
      <c r="AX126" s="57"/>
      <c r="AY126" s="57"/>
      <c r="AZ126" s="57"/>
      <c r="BA126" s="57"/>
      <c r="BB126" s="57"/>
      <c r="BC126" s="57"/>
      <c r="BD126" s="57"/>
      <c r="BE126" s="57"/>
      <c r="BF126" s="57"/>
      <c r="BG126" s="57"/>
      <c r="BH126" s="57"/>
      <c r="BI126" s="57"/>
      <c r="BJ126" s="57"/>
      <c r="BK126" s="57"/>
      <c r="BL126" s="57"/>
      <c r="BM126" s="57"/>
      <c r="BN126" s="57"/>
      <c r="BO126" s="57"/>
      <c r="BP126" s="57"/>
      <c r="BQ126" s="57"/>
      <c r="BR126" s="57"/>
      <c r="BS126" s="57"/>
      <c r="BT126" s="57"/>
      <c r="BU126" s="57"/>
      <c r="BV126" s="57"/>
      <c r="BW126" s="57"/>
      <c r="BX126" s="57"/>
      <c r="BY126" s="57"/>
      <c r="BZ126" s="57"/>
      <c r="CA126" s="57"/>
      <c r="CB126" s="57"/>
      <c r="CC126" s="57"/>
      <c r="CD126" s="57"/>
      <c r="CE126" s="57"/>
      <c r="CF126" s="57"/>
      <c r="CG126" s="57"/>
      <c r="CH126" s="57"/>
      <c r="CI126" s="57"/>
      <c r="CJ126" s="57"/>
      <c r="CK126" s="57"/>
      <c r="CL126" s="57"/>
      <c r="CM126" s="57"/>
      <c r="CN126" s="57"/>
      <c r="CO126" s="57"/>
      <c r="CP126" s="57"/>
      <c r="CQ126" s="57"/>
      <c r="CR126" s="57"/>
      <c r="CS126" s="57"/>
      <c r="CT126" s="57"/>
      <c r="CU126" s="57"/>
      <c r="CV126" s="57"/>
      <c r="CW126" s="57"/>
      <c r="CX126" s="57"/>
      <c r="CY126" s="57"/>
      <c r="CZ126" s="57"/>
      <c r="DA126" s="57"/>
      <c r="DB126" s="57"/>
      <c r="DC126" s="57"/>
      <c r="DD126" s="57"/>
      <c r="DE126" s="57"/>
      <c r="DF126" s="57"/>
      <c r="DG126" s="57"/>
      <c r="DH126" s="57"/>
      <c r="DI126" s="57"/>
      <c r="DJ126" s="57"/>
      <c r="DK126" s="57"/>
      <c r="DL126" s="57"/>
      <c r="DM126" s="57"/>
      <c r="DN126" s="57"/>
      <c r="DO126" s="57"/>
      <c r="DP126" s="57"/>
      <c r="DQ126" s="57"/>
      <c r="DR126" s="57"/>
      <c r="DS126" s="57"/>
      <c r="DT126" s="57"/>
      <c r="DU126" s="57"/>
      <c r="DV126" s="57"/>
      <c r="DW126" s="57"/>
      <c r="DX126" s="57"/>
      <c r="DY126" s="57"/>
      <c r="DZ126" s="57"/>
      <c r="EA126" s="57"/>
      <c r="EB126" s="57"/>
      <c r="EC126" s="57"/>
      <c r="ED126" s="57"/>
      <c r="EE126" s="57"/>
      <c r="EF126" s="57"/>
      <c r="EG126" s="57"/>
      <c r="EH126" s="57"/>
      <c r="EI126" s="57"/>
      <c r="EJ126" s="57"/>
      <c r="EK126" s="57"/>
      <c r="EL126" s="57"/>
      <c r="EM126" s="57"/>
      <c r="EN126" s="57"/>
      <c r="EO126" s="57"/>
      <c r="EP126" s="57"/>
      <c r="EQ126" s="57"/>
      <c r="ER126" s="57"/>
      <c r="ES126" s="57"/>
      <c r="ET126" s="57"/>
      <c r="EU126" s="57"/>
      <c r="EV126" s="57"/>
      <c r="EW126" s="57"/>
      <c r="EX126" s="57"/>
      <c r="EY126" s="57"/>
      <c r="EZ126" s="57"/>
      <c r="FA126" s="57"/>
      <c r="FB126" s="57"/>
      <c r="FC126" s="57"/>
      <c r="FD126" s="57"/>
      <c r="FE126" s="57"/>
      <c r="FF126" s="57"/>
      <c r="FG126" s="57"/>
      <c r="FH126" s="57"/>
      <c r="FI126" s="57"/>
      <c r="FJ126" s="57"/>
      <c r="FK126" s="57"/>
      <c r="FL126" s="57"/>
      <c r="FM126" s="57"/>
      <c r="FN126" s="57"/>
      <c r="FO126" s="57"/>
      <c r="FP126" s="57"/>
      <c r="FQ126" s="57"/>
      <c r="FR126" s="57"/>
      <c r="FS126" s="57"/>
      <c r="FT126" s="57"/>
      <c r="FU126" s="57"/>
      <c r="FV126" s="57"/>
      <c r="FW126" s="57"/>
      <c r="FX126" s="57"/>
      <c r="FY126" s="57"/>
      <c r="FZ126" s="57"/>
      <c r="GA126" s="57"/>
      <c r="GB126" s="57"/>
      <c r="GC126" s="57"/>
      <c r="GD126" s="57"/>
      <c r="GE126" s="57"/>
      <c r="GF126" s="57"/>
      <c r="GG126" s="57"/>
      <c r="GH126" s="57"/>
      <c r="GI126" s="57"/>
      <c r="GJ126" s="57"/>
      <c r="GK126" s="57"/>
      <c r="GL126" s="57"/>
      <c r="GM126" s="57"/>
      <c r="GN126" s="57"/>
      <c r="GO126" s="57"/>
      <c r="GP126" s="57"/>
      <c r="GQ126" s="57"/>
      <c r="GR126" s="57"/>
      <c r="GS126" s="57"/>
      <c r="GT126" s="57"/>
      <c r="GU126" s="57"/>
      <c r="GV126" s="57"/>
      <c r="GW126" s="57"/>
      <c r="GX126" s="57"/>
      <c r="GY126" s="57"/>
      <c r="GZ126" s="57"/>
      <c r="HA126" s="57"/>
      <c r="HB126" s="57"/>
      <c r="HC126" s="57"/>
      <c r="HD126" s="57"/>
      <c r="HE126" s="57"/>
      <c r="HF126" s="57"/>
      <c r="HG126" s="57"/>
      <c r="HH126" s="57"/>
      <c r="HI126" s="57"/>
      <c r="HJ126" s="57"/>
      <c r="HK126" s="57"/>
      <c r="HL126" s="57"/>
      <c r="HM126" s="57"/>
      <c r="HN126" s="57"/>
      <c r="HO126" s="57"/>
      <c r="HP126" s="57"/>
      <c r="HQ126" s="57"/>
      <c r="HR126" s="57"/>
      <c r="HS126" s="57"/>
      <c r="HT126" s="57"/>
      <c r="HU126" s="57"/>
      <c r="HV126" s="57"/>
      <c r="HW126" s="57"/>
      <c r="HX126" s="57"/>
      <c r="HY126" s="57"/>
      <c r="HZ126" s="57"/>
      <c r="IA126" s="57"/>
      <c r="IB126" s="57"/>
      <c r="IC126" s="57"/>
      <c r="ID126" s="57"/>
      <c r="IE126" s="57"/>
      <c r="IF126" s="57"/>
      <c r="IG126" s="57"/>
      <c r="IH126" s="57"/>
      <c r="II126" s="57"/>
      <c r="IJ126" s="57"/>
      <c r="IK126" s="57"/>
      <c r="IL126" s="57"/>
      <c r="IM126" s="57"/>
      <c r="IN126" s="57"/>
      <c r="IO126" s="57"/>
      <c r="IP126" s="57"/>
      <c r="IQ126" s="57"/>
      <c r="IR126" s="57"/>
      <c r="IS126" s="57"/>
      <c r="IT126" s="57"/>
      <c r="IU126" s="57"/>
      <c r="IV126" s="57"/>
    </row>
    <row r="127" spans="1:256" s="54" customFormat="1" ht="13.2" outlineLevel="1">
      <c r="A127" s="66" t="s">
        <v>369</v>
      </c>
      <c r="B127" s="67">
        <v>87016.870251927001</v>
      </c>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c r="AA127" s="60"/>
      <c r="AB127" s="60"/>
      <c r="AC127" s="60"/>
      <c r="AD127" s="60"/>
      <c r="AE127"/>
      <c r="AF127" s="57"/>
      <c r="AG127" s="57"/>
      <c r="AH127" s="57"/>
      <c r="AI127" s="57"/>
      <c r="AJ127" s="57"/>
      <c r="AK127" s="57"/>
      <c r="AL127" s="57"/>
      <c r="AM127" s="57"/>
      <c r="AN127" s="57"/>
      <c r="AO127" s="57"/>
      <c r="AP127" s="57"/>
      <c r="AQ127" s="57"/>
      <c r="AR127" s="57"/>
      <c r="AS127" s="57"/>
      <c r="AT127" s="57"/>
      <c r="AU127" s="57"/>
      <c r="AV127" s="57"/>
      <c r="AW127" s="57"/>
      <c r="AX127" s="57"/>
      <c r="AY127" s="57"/>
      <c r="AZ127" s="57"/>
      <c r="BA127" s="57"/>
      <c r="BB127" s="57"/>
      <c r="BC127" s="57"/>
      <c r="BD127" s="57"/>
      <c r="BE127" s="57"/>
      <c r="BF127" s="57"/>
      <c r="BG127" s="57"/>
      <c r="BH127" s="57"/>
      <c r="BI127" s="57"/>
      <c r="BJ127" s="57"/>
      <c r="BK127" s="57"/>
      <c r="BL127" s="57"/>
      <c r="BM127" s="57"/>
      <c r="BN127" s="57"/>
      <c r="BO127" s="57"/>
      <c r="BP127" s="57"/>
      <c r="BQ127" s="57"/>
      <c r="BR127" s="57"/>
      <c r="BS127" s="57"/>
      <c r="BT127" s="57"/>
      <c r="BU127" s="57"/>
      <c r="BV127" s="57"/>
      <c r="BW127" s="57"/>
      <c r="BX127" s="57"/>
      <c r="BY127" s="57"/>
      <c r="BZ127" s="57"/>
      <c r="CA127" s="57"/>
      <c r="CB127" s="57"/>
      <c r="CC127" s="57"/>
      <c r="CD127" s="57"/>
      <c r="CE127" s="57"/>
      <c r="CF127" s="57"/>
      <c r="CG127" s="57"/>
      <c r="CH127" s="57"/>
      <c r="CI127" s="57"/>
      <c r="CJ127" s="57"/>
      <c r="CK127" s="57"/>
      <c r="CL127" s="57"/>
      <c r="CM127" s="57"/>
      <c r="CN127" s="57"/>
      <c r="CO127" s="57"/>
      <c r="CP127" s="57"/>
      <c r="CQ127" s="57"/>
      <c r="CR127" s="57"/>
      <c r="CS127" s="57"/>
      <c r="CT127" s="57"/>
      <c r="CU127" s="57"/>
      <c r="CV127" s="57"/>
      <c r="CW127" s="57"/>
      <c r="CX127" s="57"/>
      <c r="CY127" s="57"/>
      <c r="CZ127" s="57"/>
      <c r="DA127" s="57"/>
      <c r="DB127" s="57"/>
      <c r="DC127" s="57"/>
      <c r="DD127" s="57"/>
      <c r="DE127" s="57"/>
      <c r="DF127" s="57"/>
      <c r="DG127" s="57"/>
      <c r="DH127" s="57"/>
      <c r="DI127" s="57"/>
      <c r="DJ127" s="57"/>
      <c r="DK127" s="57"/>
      <c r="DL127" s="57"/>
      <c r="DM127" s="57"/>
      <c r="DN127" s="57"/>
      <c r="DO127" s="57"/>
      <c r="DP127" s="57"/>
      <c r="DQ127" s="57"/>
      <c r="DR127" s="57"/>
      <c r="DS127" s="57"/>
      <c r="DT127" s="57"/>
      <c r="DU127" s="57"/>
      <c r="DV127" s="57"/>
      <c r="DW127" s="57"/>
      <c r="DX127" s="57"/>
      <c r="DY127" s="57"/>
      <c r="DZ127" s="57"/>
      <c r="EA127" s="57"/>
      <c r="EB127" s="57"/>
      <c r="EC127" s="57"/>
      <c r="ED127" s="57"/>
      <c r="EE127" s="57"/>
      <c r="EF127" s="57"/>
      <c r="EG127" s="57"/>
      <c r="EH127" s="57"/>
      <c r="EI127" s="57"/>
      <c r="EJ127" s="57"/>
      <c r="EK127" s="57"/>
      <c r="EL127" s="57"/>
      <c r="EM127" s="57"/>
      <c r="EN127" s="57"/>
      <c r="EO127" s="57"/>
      <c r="EP127" s="57"/>
      <c r="EQ127" s="57"/>
      <c r="ER127" s="57"/>
      <c r="ES127" s="57"/>
      <c r="ET127" s="57"/>
      <c r="EU127" s="57"/>
      <c r="EV127" s="57"/>
      <c r="EW127" s="57"/>
      <c r="EX127" s="57"/>
      <c r="EY127" s="57"/>
      <c r="EZ127" s="57"/>
      <c r="FA127" s="57"/>
      <c r="FB127" s="57"/>
      <c r="FC127" s="57"/>
      <c r="FD127" s="57"/>
      <c r="FE127" s="57"/>
      <c r="FF127" s="57"/>
      <c r="FG127" s="57"/>
      <c r="FH127" s="57"/>
      <c r="FI127" s="57"/>
      <c r="FJ127" s="57"/>
      <c r="FK127" s="57"/>
      <c r="FL127" s="57"/>
      <c r="FM127" s="57"/>
      <c r="FN127" s="57"/>
      <c r="FO127" s="57"/>
      <c r="FP127" s="57"/>
      <c r="FQ127" s="57"/>
      <c r="FR127" s="57"/>
      <c r="FS127" s="57"/>
      <c r="FT127" s="57"/>
      <c r="FU127" s="57"/>
      <c r="FV127" s="57"/>
      <c r="FW127" s="57"/>
      <c r="FX127" s="57"/>
      <c r="FY127" s="57"/>
      <c r="FZ127" s="57"/>
      <c r="GA127" s="57"/>
      <c r="GB127" s="57"/>
      <c r="GC127" s="57"/>
      <c r="GD127" s="57"/>
      <c r="GE127" s="57"/>
      <c r="GF127" s="57"/>
      <c r="GG127" s="57"/>
      <c r="GH127" s="57"/>
      <c r="GI127" s="57"/>
      <c r="GJ127" s="57"/>
      <c r="GK127" s="57"/>
      <c r="GL127" s="57"/>
      <c r="GM127" s="57"/>
      <c r="GN127" s="57"/>
      <c r="GO127" s="57"/>
      <c r="GP127" s="57"/>
      <c r="GQ127" s="57"/>
      <c r="GR127" s="57"/>
      <c r="GS127" s="57"/>
      <c r="GT127" s="57"/>
      <c r="GU127" s="57"/>
      <c r="GV127" s="57"/>
      <c r="GW127" s="57"/>
      <c r="GX127" s="57"/>
      <c r="GY127" s="57"/>
      <c r="GZ127" s="57"/>
      <c r="HA127" s="57"/>
      <c r="HB127" s="57"/>
      <c r="HC127" s="57"/>
      <c r="HD127" s="57"/>
      <c r="HE127" s="57"/>
      <c r="HF127" s="57"/>
      <c r="HG127" s="57"/>
      <c r="HH127" s="57"/>
      <c r="HI127" s="57"/>
      <c r="HJ127" s="57"/>
      <c r="HK127" s="57"/>
      <c r="HL127" s="57"/>
      <c r="HM127" s="57"/>
      <c r="HN127" s="57"/>
      <c r="HO127" s="57"/>
      <c r="HP127" s="57"/>
      <c r="HQ127" s="57"/>
      <c r="HR127" s="57"/>
      <c r="HS127" s="57"/>
      <c r="HT127" s="57"/>
      <c r="HU127" s="57"/>
      <c r="HV127" s="57"/>
      <c r="HW127" s="57"/>
      <c r="HX127" s="57"/>
      <c r="HY127" s="57"/>
      <c r="HZ127" s="57"/>
      <c r="IA127" s="57"/>
      <c r="IB127" s="57"/>
      <c r="IC127" s="57"/>
      <c r="ID127" s="57"/>
      <c r="IE127" s="57"/>
      <c r="IF127" s="57"/>
      <c r="IG127" s="57"/>
      <c r="IH127" s="57"/>
      <c r="II127" s="57"/>
      <c r="IJ127" s="57"/>
      <c r="IK127" s="57"/>
      <c r="IL127" s="57"/>
      <c r="IM127" s="57"/>
      <c r="IN127" s="57"/>
      <c r="IO127" s="57"/>
      <c r="IP127" s="57"/>
      <c r="IQ127" s="57"/>
      <c r="IR127" s="57"/>
      <c r="IS127" s="57"/>
      <c r="IT127" s="57"/>
      <c r="IU127" s="57"/>
      <c r="IV127" s="57"/>
    </row>
    <row r="128" spans="1:256" s="54" customFormat="1" ht="13.2" outlineLevel="1">
      <c r="A128" s="68" t="s">
        <v>370</v>
      </c>
      <c r="B128" s="495" t="s">
        <v>468</v>
      </c>
      <c r="C128" s="495" t="s">
        <v>469</v>
      </c>
      <c r="D128" s="497">
        <v>2000</v>
      </c>
      <c r="E128" s="498">
        <v>2001</v>
      </c>
      <c r="F128" s="498">
        <v>2002</v>
      </c>
      <c r="G128" s="498">
        <v>2003</v>
      </c>
      <c r="H128" s="498">
        <v>2004</v>
      </c>
      <c r="I128" s="498">
        <v>2005</v>
      </c>
      <c r="J128" s="498">
        <v>2006</v>
      </c>
      <c r="K128" s="498">
        <v>2007</v>
      </c>
      <c r="L128" s="498">
        <v>2008</v>
      </c>
      <c r="M128" s="498">
        <v>2009</v>
      </c>
      <c r="N128" s="499">
        <v>2010</v>
      </c>
      <c r="O128" s="69">
        <v>2011</v>
      </c>
      <c r="P128" s="69">
        <v>2012</v>
      </c>
      <c r="Q128" s="69">
        <v>2013</v>
      </c>
      <c r="R128" s="69">
        <v>2014</v>
      </c>
      <c r="S128" s="69">
        <v>2015</v>
      </c>
      <c r="T128" s="69">
        <v>2016</v>
      </c>
      <c r="U128" s="69">
        <v>2017</v>
      </c>
      <c r="V128" s="69">
        <v>2018</v>
      </c>
      <c r="W128" s="69">
        <v>2019</v>
      </c>
      <c r="X128" s="69">
        <v>2020</v>
      </c>
      <c r="Y128" s="60"/>
      <c r="Z128" s="60"/>
      <c r="AA128" s="60"/>
      <c r="AB128" s="60"/>
      <c r="AC128" s="60"/>
      <c r="AD128" s="60"/>
      <c r="AE128"/>
      <c r="AF128" s="57"/>
      <c r="AG128" s="57"/>
      <c r="AH128" s="57"/>
      <c r="AI128" s="57"/>
      <c r="AJ128" s="57"/>
      <c r="AK128" s="57"/>
      <c r="AL128" s="57"/>
      <c r="AM128" s="57"/>
      <c r="AN128" s="57"/>
      <c r="AO128" s="57"/>
      <c r="AP128" s="57"/>
      <c r="AQ128" s="57"/>
      <c r="AR128" s="57"/>
      <c r="AS128" s="57"/>
      <c r="AT128" s="57"/>
      <c r="AU128" s="57"/>
      <c r="AV128" s="57"/>
      <c r="AW128" s="57"/>
      <c r="AX128" s="57"/>
      <c r="AY128" s="57"/>
      <c r="AZ128" s="57"/>
      <c r="BA128" s="57"/>
      <c r="BB128" s="57"/>
      <c r="BC128" s="57"/>
      <c r="BD128" s="57"/>
      <c r="BE128" s="57"/>
      <c r="BF128" s="57"/>
      <c r="BG128" s="57"/>
      <c r="BH128" s="57"/>
      <c r="BI128" s="57"/>
      <c r="BJ128" s="57"/>
      <c r="BK128" s="57"/>
      <c r="BL128" s="57"/>
      <c r="BM128" s="57"/>
      <c r="BN128" s="57"/>
      <c r="BO128" s="57"/>
      <c r="BP128" s="57"/>
      <c r="BQ128" s="57"/>
      <c r="BR128" s="57"/>
      <c r="BS128" s="57"/>
      <c r="BT128" s="57"/>
      <c r="BU128" s="57"/>
      <c r="BV128" s="57"/>
      <c r="BW128" s="57"/>
      <c r="BX128" s="57"/>
      <c r="BY128" s="57"/>
      <c r="BZ128" s="57"/>
      <c r="CA128" s="57"/>
      <c r="CB128" s="57"/>
      <c r="CC128" s="57"/>
      <c r="CD128" s="57"/>
      <c r="CE128" s="57"/>
      <c r="CF128" s="57"/>
      <c r="CG128" s="57"/>
      <c r="CH128" s="57"/>
      <c r="CI128" s="57"/>
      <c r="CJ128" s="57"/>
      <c r="CK128" s="57"/>
      <c r="CL128" s="57"/>
      <c r="CM128" s="57"/>
      <c r="CN128" s="57"/>
      <c r="CO128" s="57"/>
      <c r="CP128" s="57"/>
      <c r="CQ128" s="57"/>
      <c r="CR128" s="57"/>
      <c r="CS128" s="57"/>
      <c r="CT128" s="57"/>
      <c r="CU128" s="57"/>
      <c r="CV128" s="57"/>
      <c r="CW128" s="57"/>
      <c r="CX128" s="57"/>
      <c r="CY128" s="57"/>
      <c r="CZ128" s="57"/>
      <c r="DA128" s="57"/>
      <c r="DB128" s="57"/>
      <c r="DC128" s="57"/>
      <c r="DD128" s="57"/>
      <c r="DE128" s="57"/>
      <c r="DF128" s="57"/>
      <c r="DG128" s="57"/>
      <c r="DH128" s="57"/>
      <c r="DI128" s="57"/>
      <c r="DJ128" s="57"/>
      <c r="DK128" s="57"/>
      <c r="DL128" s="57"/>
      <c r="DM128" s="57"/>
      <c r="DN128" s="57"/>
      <c r="DO128" s="57"/>
      <c r="DP128" s="57"/>
      <c r="DQ128" s="57"/>
      <c r="DR128" s="57"/>
      <c r="DS128" s="57"/>
      <c r="DT128" s="57"/>
      <c r="DU128" s="57"/>
      <c r="DV128" s="57"/>
      <c r="DW128" s="57"/>
      <c r="DX128" s="57"/>
      <c r="DY128" s="57"/>
      <c r="DZ128" s="57"/>
      <c r="EA128" s="57"/>
      <c r="EB128" s="57"/>
      <c r="EC128" s="57"/>
      <c r="ED128" s="57"/>
      <c r="EE128" s="57"/>
      <c r="EF128" s="57"/>
      <c r="EG128" s="57"/>
      <c r="EH128" s="57"/>
      <c r="EI128" s="57"/>
      <c r="EJ128" s="57"/>
      <c r="EK128" s="57"/>
      <c r="EL128" s="57"/>
      <c r="EM128" s="57"/>
      <c r="EN128" s="57"/>
      <c r="EO128" s="57"/>
      <c r="EP128" s="57"/>
      <c r="EQ128" s="57"/>
      <c r="ER128" s="57"/>
      <c r="ES128" s="57"/>
      <c r="ET128" s="57"/>
      <c r="EU128" s="57"/>
      <c r="EV128" s="57"/>
      <c r="EW128" s="57"/>
      <c r="EX128" s="57"/>
      <c r="EY128" s="57"/>
      <c r="EZ128" s="57"/>
      <c r="FA128" s="57"/>
      <c r="FB128" s="57"/>
      <c r="FC128" s="57"/>
      <c r="FD128" s="57"/>
      <c r="FE128" s="57"/>
      <c r="FF128" s="57"/>
      <c r="FG128" s="57"/>
      <c r="FH128" s="57"/>
      <c r="FI128" s="57"/>
      <c r="FJ128" s="57"/>
      <c r="FK128" s="57"/>
      <c r="FL128" s="57"/>
      <c r="FM128" s="57"/>
      <c r="FN128" s="57"/>
      <c r="FO128" s="57"/>
      <c r="FP128" s="57"/>
      <c r="FQ128" s="57"/>
      <c r="FR128" s="57"/>
      <c r="FS128" s="57"/>
      <c r="FT128" s="57"/>
      <c r="FU128" s="57"/>
      <c r="FV128" s="57"/>
      <c r="FW128" s="57"/>
      <c r="FX128" s="57"/>
      <c r="FY128" s="57"/>
      <c r="FZ128" s="57"/>
      <c r="GA128" s="57"/>
      <c r="GB128" s="57"/>
      <c r="GC128" s="57"/>
      <c r="GD128" s="57"/>
      <c r="GE128" s="57"/>
      <c r="GF128" s="57"/>
      <c r="GG128" s="57"/>
      <c r="GH128" s="57"/>
      <c r="GI128" s="57"/>
      <c r="GJ128" s="57"/>
      <c r="GK128" s="57"/>
      <c r="GL128" s="57"/>
      <c r="GM128" s="57"/>
      <c r="GN128" s="57"/>
      <c r="GO128" s="57"/>
      <c r="GP128" s="57"/>
      <c r="GQ128" s="57"/>
      <c r="GR128" s="57"/>
      <c r="GS128" s="57"/>
      <c r="GT128" s="57"/>
      <c r="GU128" s="57"/>
      <c r="GV128" s="57"/>
      <c r="GW128" s="57"/>
      <c r="GX128" s="57"/>
      <c r="GY128" s="57"/>
      <c r="GZ128" s="57"/>
      <c r="HA128" s="57"/>
      <c r="HB128" s="57"/>
      <c r="HC128" s="57"/>
      <c r="HD128" s="57"/>
      <c r="HE128" s="57"/>
      <c r="HF128" s="57"/>
      <c r="HG128" s="57"/>
      <c r="HH128" s="57"/>
      <c r="HI128" s="57"/>
      <c r="HJ128" s="57"/>
      <c r="HK128" s="57"/>
      <c r="HL128" s="57"/>
      <c r="HM128" s="57"/>
      <c r="HN128" s="57"/>
      <c r="HO128" s="57"/>
      <c r="HP128" s="57"/>
      <c r="HQ128" s="57"/>
      <c r="HR128" s="57"/>
      <c r="HS128" s="57"/>
      <c r="HT128" s="57"/>
      <c r="HU128" s="57"/>
      <c r="HV128" s="57"/>
      <c r="HW128" s="57"/>
      <c r="HX128" s="57"/>
      <c r="HY128" s="57"/>
      <c r="HZ128" s="57"/>
      <c r="IA128" s="57"/>
      <c r="IB128" s="57"/>
      <c r="IC128" s="57"/>
      <c r="ID128" s="57"/>
      <c r="IE128" s="57"/>
      <c r="IF128" s="57"/>
      <c r="IG128" s="57"/>
      <c r="IH128" s="57"/>
      <c r="II128" s="57"/>
      <c r="IJ128" s="57"/>
      <c r="IK128" s="57"/>
      <c r="IL128" s="57"/>
      <c r="IM128" s="57"/>
      <c r="IN128" s="57"/>
      <c r="IO128" s="57"/>
      <c r="IP128" s="57"/>
      <c r="IQ128" s="57"/>
      <c r="IR128" s="57"/>
      <c r="IS128" s="57"/>
      <c r="IT128" s="57"/>
      <c r="IU128" s="57"/>
      <c r="IV128" s="57"/>
    </row>
    <row r="129" spans="1:256" s="54" customFormat="1" ht="13.2" outlineLevel="1">
      <c r="A129" s="68" t="s">
        <v>371</v>
      </c>
      <c r="B129" s="496">
        <f>NPV(0.1,D129:Y129)</f>
        <v>440160.75248975662</v>
      </c>
      <c r="C129" s="496">
        <f>B129-B119</f>
        <v>0</v>
      </c>
      <c r="D129" s="500">
        <v>25339.333825517504</v>
      </c>
      <c r="E129" s="501">
        <v>35548.184444905004</v>
      </c>
      <c r="F129" s="501">
        <v>35819.941964980004</v>
      </c>
      <c r="G129" s="501">
        <v>45706.652109130941</v>
      </c>
      <c r="H129" s="501">
        <v>53742.39730976471</v>
      </c>
      <c r="I129" s="501">
        <v>54951.740400581722</v>
      </c>
      <c r="J129" s="501">
        <v>55992.435907143918</v>
      </c>
      <c r="K129" s="501">
        <v>57138.205727583758</v>
      </c>
      <c r="L129" s="501">
        <v>58387.048830010965</v>
      </c>
      <c r="M129" s="501">
        <v>59743.114542711752</v>
      </c>
      <c r="N129" s="502">
        <v>61232.977178083551</v>
      </c>
      <c r="O129" s="75">
        <v>62717.9044098124</v>
      </c>
      <c r="P129" s="75">
        <v>64331.505587029344</v>
      </c>
      <c r="Q129" s="75">
        <v>66011.20410769312</v>
      </c>
      <c r="R129" s="75">
        <v>67750.501531344111</v>
      </c>
      <c r="S129" s="75">
        <v>69517.596983951618</v>
      </c>
      <c r="T129" s="75">
        <v>71154.281001672076</v>
      </c>
      <c r="U129" s="75">
        <v>72960.878365928016</v>
      </c>
      <c r="V129" s="75">
        <v>74533.439786784686</v>
      </c>
      <c r="W129" s="75">
        <v>76101.573036732516</v>
      </c>
      <c r="X129" s="75">
        <v>18749.984639464132</v>
      </c>
      <c r="Y129" s="60"/>
      <c r="Z129" s="60"/>
      <c r="AA129" s="60"/>
      <c r="AB129" s="60"/>
      <c r="AC129" s="60"/>
      <c r="AD129" s="60"/>
      <c r="AE129"/>
      <c r="AF129" s="57"/>
      <c r="AG129" s="57"/>
      <c r="AH129" s="57"/>
      <c r="AI129" s="57"/>
      <c r="AJ129" s="57"/>
      <c r="AK129" s="57"/>
      <c r="AL129" s="57"/>
      <c r="AM129" s="57"/>
      <c r="AN129" s="57"/>
      <c r="AO129" s="57"/>
      <c r="AP129" s="57"/>
      <c r="AQ129" s="57"/>
      <c r="AR129" s="57"/>
      <c r="AS129" s="57"/>
      <c r="AT129" s="57"/>
      <c r="AU129" s="57"/>
      <c r="AV129" s="57"/>
      <c r="AW129" s="57"/>
      <c r="AX129" s="57"/>
      <c r="AY129" s="57"/>
      <c r="AZ129" s="57"/>
      <c r="BA129" s="57"/>
      <c r="BB129" s="57"/>
      <c r="BC129" s="57"/>
      <c r="BD129" s="57"/>
      <c r="BE129" s="57"/>
      <c r="BF129" s="57"/>
      <c r="BG129" s="57"/>
      <c r="BH129" s="57"/>
      <c r="BI129" s="57"/>
      <c r="BJ129" s="57"/>
      <c r="BK129" s="57"/>
      <c r="BL129" s="57"/>
      <c r="BM129" s="57"/>
      <c r="BN129" s="57"/>
      <c r="BO129" s="57"/>
      <c r="BP129" s="57"/>
      <c r="BQ129" s="57"/>
      <c r="BR129" s="57"/>
      <c r="BS129" s="57"/>
      <c r="BT129" s="57"/>
      <c r="BU129" s="57"/>
      <c r="BV129" s="57"/>
      <c r="BW129" s="57"/>
      <c r="BX129" s="57"/>
      <c r="BY129" s="57"/>
      <c r="BZ129" s="57"/>
      <c r="CA129" s="57"/>
      <c r="CB129" s="57"/>
      <c r="CC129" s="57"/>
      <c r="CD129" s="57"/>
      <c r="CE129" s="57"/>
      <c r="CF129" s="57"/>
      <c r="CG129" s="57"/>
      <c r="CH129" s="57"/>
      <c r="CI129" s="57"/>
      <c r="CJ129" s="57"/>
      <c r="CK129" s="57"/>
      <c r="CL129" s="57"/>
      <c r="CM129" s="57"/>
      <c r="CN129" s="57"/>
      <c r="CO129" s="57"/>
      <c r="CP129" s="57"/>
      <c r="CQ129" s="57"/>
      <c r="CR129" s="57"/>
      <c r="CS129" s="57"/>
      <c r="CT129" s="57"/>
      <c r="CU129" s="57"/>
      <c r="CV129" s="57"/>
      <c r="CW129" s="57"/>
      <c r="CX129" s="57"/>
      <c r="CY129" s="57"/>
      <c r="CZ129" s="57"/>
      <c r="DA129" s="57"/>
      <c r="DB129" s="57"/>
      <c r="DC129" s="57"/>
      <c r="DD129" s="57"/>
      <c r="DE129" s="57"/>
      <c r="DF129" s="57"/>
      <c r="DG129" s="57"/>
      <c r="DH129" s="57"/>
      <c r="DI129" s="57"/>
      <c r="DJ129" s="57"/>
      <c r="DK129" s="57"/>
      <c r="DL129" s="57"/>
      <c r="DM129" s="57"/>
      <c r="DN129" s="57"/>
      <c r="DO129" s="57"/>
      <c r="DP129" s="57"/>
      <c r="DQ129" s="57"/>
      <c r="DR129" s="57"/>
      <c r="DS129" s="57"/>
      <c r="DT129" s="57"/>
      <c r="DU129" s="57"/>
      <c r="DV129" s="57"/>
      <c r="DW129" s="57"/>
      <c r="DX129" s="57"/>
      <c r="DY129" s="57"/>
      <c r="DZ129" s="57"/>
      <c r="EA129" s="57"/>
      <c r="EB129" s="57"/>
      <c r="EC129" s="57"/>
      <c r="ED129" s="57"/>
      <c r="EE129" s="57"/>
      <c r="EF129" s="57"/>
      <c r="EG129" s="57"/>
      <c r="EH129" s="57"/>
      <c r="EI129" s="57"/>
      <c r="EJ129" s="57"/>
      <c r="EK129" s="57"/>
      <c r="EL129" s="57"/>
      <c r="EM129" s="57"/>
      <c r="EN129" s="57"/>
      <c r="EO129" s="57"/>
      <c r="EP129" s="57"/>
      <c r="EQ129" s="57"/>
      <c r="ER129" s="57"/>
      <c r="ES129" s="57"/>
      <c r="ET129" s="57"/>
      <c r="EU129" s="57"/>
      <c r="EV129" s="57"/>
      <c r="EW129" s="57"/>
      <c r="EX129" s="57"/>
      <c r="EY129" s="57"/>
      <c r="EZ129" s="57"/>
      <c r="FA129" s="57"/>
      <c r="FB129" s="57"/>
      <c r="FC129" s="57"/>
      <c r="FD129" s="57"/>
      <c r="FE129" s="57"/>
      <c r="FF129" s="57"/>
      <c r="FG129" s="57"/>
      <c r="FH129" s="57"/>
      <c r="FI129" s="57"/>
      <c r="FJ129" s="57"/>
      <c r="FK129" s="57"/>
      <c r="FL129" s="57"/>
      <c r="FM129" s="57"/>
      <c r="FN129" s="57"/>
      <c r="FO129" s="57"/>
      <c r="FP129" s="57"/>
      <c r="FQ129" s="57"/>
      <c r="FR129" s="57"/>
      <c r="FS129" s="57"/>
      <c r="FT129" s="57"/>
      <c r="FU129" s="57"/>
      <c r="FV129" s="57"/>
      <c r="FW129" s="57"/>
      <c r="FX129" s="57"/>
      <c r="FY129" s="57"/>
      <c r="FZ129" s="57"/>
      <c r="GA129" s="57"/>
      <c r="GB129" s="57"/>
      <c r="GC129" s="57"/>
      <c r="GD129" s="57"/>
      <c r="GE129" s="57"/>
      <c r="GF129" s="57"/>
      <c r="GG129" s="57"/>
      <c r="GH129" s="57"/>
      <c r="GI129" s="57"/>
      <c r="GJ129" s="57"/>
      <c r="GK129" s="57"/>
      <c r="GL129" s="57"/>
      <c r="GM129" s="57"/>
      <c r="GN129" s="57"/>
      <c r="GO129" s="57"/>
      <c r="GP129" s="57"/>
      <c r="GQ129" s="57"/>
      <c r="GR129" s="57"/>
      <c r="GS129" s="57"/>
      <c r="GT129" s="57"/>
      <c r="GU129" s="57"/>
      <c r="GV129" s="57"/>
      <c r="GW129" s="57"/>
      <c r="GX129" s="57"/>
      <c r="GY129" s="57"/>
      <c r="GZ129" s="57"/>
      <c r="HA129" s="57"/>
      <c r="HB129" s="57"/>
      <c r="HC129" s="57"/>
      <c r="HD129" s="57"/>
      <c r="HE129" s="57"/>
      <c r="HF129" s="57"/>
      <c r="HG129" s="57"/>
      <c r="HH129" s="57"/>
      <c r="HI129" s="57"/>
      <c r="HJ129" s="57"/>
      <c r="HK129" s="57"/>
      <c r="HL129" s="57"/>
      <c r="HM129" s="57"/>
      <c r="HN129" s="57"/>
      <c r="HO129" s="57"/>
      <c r="HP129" s="57"/>
      <c r="HQ129" s="57"/>
      <c r="HR129" s="57"/>
      <c r="HS129" s="57"/>
      <c r="HT129" s="57"/>
      <c r="HU129" s="57"/>
      <c r="HV129" s="57"/>
      <c r="HW129" s="57"/>
      <c r="HX129" s="57"/>
      <c r="HY129" s="57"/>
      <c r="HZ129" s="57"/>
      <c r="IA129" s="57"/>
      <c r="IB129" s="57"/>
      <c r="IC129" s="57"/>
      <c r="ID129" s="57"/>
      <c r="IE129" s="57"/>
      <c r="IF129" s="57"/>
      <c r="IG129" s="57"/>
      <c r="IH129" s="57"/>
      <c r="II129" s="57"/>
      <c r="IJ129" s="57"/>
      <c r="IK129" s="57"/>
      <c r="IL129" s="57"/>
      <c r="IM129" s="57"/>
      <c r="IN129" s="57"/>
      <c r="IO129" s="57"/>
      <c r="IP129" s="57"/>
      <c r="IQ129" s="57"/>
      <c r="IR129" s="57"/>
      <c r="IS129" s="57"/>
      <c r="IT129" s="57"/>
      <c r="IU129" s="57"/>
      <c r="IV129" s="57"/>
    </row>
    <row r="130" spans="1:256" s="54" customFormat="1" ht="13.2" outlineLevel="1">
      <c r="A130" s="70" t="s">
        <v>372</v>
      </c>
      <c r="B130" s="496">
        <f>NPV(0.1,D130:Y130)</f>
        <v>201666.20400036743</v>
      </c>
      <c r="C130" s="496">
        <f>B130-B120</f>
        <v>0</v>
      </c>
      <c r="D130" s="500">
        <v>16045.147992184169</v>
      </c>
      <c r="E130" s="501">
        <v>20293.767744904999</v>
      </c>
      <c r="F130" s="501">
        <v>20661.462763980002</v>
      </c>
      <c r="G130" s="501">
        <v>20965.565895900596</v>
      </c>
      <c r="H130" s="501">
        <v>21336.725125409215</v>
      </c>
      <c r="I130" s="501">
        <v>21780.927318529</v>
      </c>
      <c r="J130" s="501">
        <v>22295.816124366469</v>
      </c>
      <c r="K130" s="501">
        <v>22914.886673811958</v>
      </c>
      <c r="L130" s="501">
        <v>23638.596906789662</v>
      </c>
      <c r="M130" s="501">
        <v>24469.582565022363</v>
      </c>
      <c r="N130" s="502">
        <v>25971.933049388885</v>
      </c>
      <c r="O130" s="75">
        <v>27048.221610475844</v>
      </c>
      <c r="P130" s="75">
        <v>28262.679036528225</v>
      </c>
      <c r="Q130" s="75">
        <v>29556.733995476963</v>
      </c>
      <c r="R130" s="75">
        <v>30923.943287605478</v>
      </c>
      <c r="S130" s="75">
        <v>32333.613343900139</v>
      </c>
      <c r="T130" s="75">
        <v>33797.83192225419</v>
      </c>
      <c r="U130" s="75">
        <v>35460.214306057809</v>
      </c>
      <c r="V130" s="75">
        <v>36917.547451806502</v>
      </c>
      <c r="W130" s="75">
        <v>38401.255027793748</v>
      </c>
      <c r="X130" s="75">
        <v>2896.6336726993268</v>
      </c>
      <c r="Y130" s="60"/>
      <c r="Z130" s="60"/>
      <c r="AA130" s="60"/>
      <c r="AB130" s="60"/>
      <c r="AC130" s="60"/>
      <c r="AD130" s="60"/>
      <c r="AE130"/>
      <c r="AF130" s="57"/>
      <c r="AG130" s="57"/>
      <c r="AH130" s="57"/>
      <c r="AI130" s="57"/>
      <c r="AJ130" s="57"/>
      <c r="AK130" s="57"/>
      <c r="AL130" s="57"/>
      <c r="AM130" s="57"/>
      <c r="AN130" s="57"/>
      <c r="AO130" s="57"/>
      <c r="AP130" s="57"/>
      <c r="AQ130" s="57"/>
      <c r="AR130" s="57"/>
      <c r="AS130" s="57"/>
      <c r="AT130" s="57"/>
      <c r="AU130" s="57"/>
      <c r="AV130" s="57"/>
      <c r="AW130" s="57"/>
      <c r="AX130" s="57"/>
      <c r="AY130" s="57"/>
      <c r="AZ130" s="57"/>
      <c r="BA130" s="57"/>
      <c r="BB130" s="57"/>
      <c r="BC130" s="57"/>
      <c r="BD130" s="57"/>
      <c r="BE130" s="57"/>
      <c r="BF130" s="57"/>
      <c r="BG130" s="57"/>
      <c r="BH130" s="57"/>
      <c r="BI130" s="57"/>
      <c r="BJ130" s="57"/>
      <c r="BK130" s="57"/>
      <c r="BL130" s="57"/>
      <c r="BM130" s="57"/>
      <c r="BN130" s="57"/>
      <c r="BO130" s="57"/>
      <c r="BP130" s="57"/>
      <c r="BQ130" s="57"/>
      <c r="BR130" s="57"/>
      <c r="BS130" s="57"/>
      <c r="BT130" s="57"/>
      <c r="BU130" s="57"/>
      <c r="BV130" s="57"/>
      <c r="BW130" s="57"/>
      <c r="BX130" s="57"/>
      <c r="BY130" s="57"/>
      <c r="BZ130" s="57"/>
      <c r="CA130" s="57"/>
      <c r="CB130" s="57"/>
      <c r="CC130" s="57"/>
      <c r="CD130" s="57"/>
      <c r="CE130" s="57"/>
      <c r="CF130" s="57"/>
      <c r="CG130" s="57"/>
      <c r="CH130" s="57"/>
      <c r="CI130" s="57"/>
      <c r="CJ130" s="57"/>
      <c r="CK130" s="57"/>
      <c r="CL130" s="57"/>
      <c r="CM130" s="57"/>
      <c r="CN130" s="57"/>
      <c r="CO130" s="57"/>
      <c r="CP130" s="57"/>
      <c r="CQ130" s="57"/>
      <c r="CR130" s="57"/>
      <c r="CS130" s="57"/>
      <c r="CT130" s="57"/>
      <c r="CU130" s="57"/>
      <c r="CV130" s="57"/>
      <c r="CW130" s="57"/>
      <c r="CX130" s="57"/>
      <c r="CY130" s="57"/>
      <c r="CZ130" s="57"/>
      <c r="DA130" s="57"/>
      <c r="DB130" s="57"/>
      <c r="DC130" s="57"/>
      <c r="DD130" s="57"/>
      <c r="DE130" s="57"/>
      <c r="DF130" s="57"/>
      <c r="DG130" s="57"/>
      <c r="DH130" s="57"/>
      <c r="DI130" s="57"/>
      <c r="DJ130" s="57"/>
      <c r="DK130" s="57"/>
      <c r="DL130" s="57"/>
      <c r="DM130" s="57"/>
      <c r="DN130" s="57"/>
      <c r="DO130" s="57"/>
      <c r="DP130" s="57"/>
      <c r="DQ130" s="57"/>
      <c r="DR130" s="57"/>
      <c r="DS130" s="57"/>
      <c r="DT130" s="57"/>
      <c r="DU130" s="57"/>
      <c r="DV130" s="57"/>
      <c r="DW130" s="57"/>
      <c r="DX130" s="57"/>
      <c r="DY130" s="57"/>
      <c r="DZ130" s="57"/>
      <c r="EA130" s="57"/>
      <c r="EB130" s="57"/>
      <c r="EC130" s="57"/>
      <c r="ED130" s="57"/>
      <c r="EE130" s="57"/>
      <c r="EF130" s="57"/>
      <c r="EG130" s="57"/>
      <c r="EH130" s="57"/>
      <c r="EI130" s="57"/>
      <c r="EJ130" s="57"/>
      <c r="EK130" s="57"/>
      <c r="EL130" s="57"/>
      <c r="EM130" s="57"/>
      <c r="EN130" s="57"/>
      <c r="EO130" s="57"/>
      <c r="EP130" s="57"/>
      <c r="EQ130" s="57"/>
      <c r="ER130" s="57"/>
      <c r="ES130" s="57"/>
      <c r="ET130" s="57"/>
      <c r="EU130" s="57"/>
      <c r="EV130" s="57"/>
      <c r="EW130" s="57"/>
      <c r="EX130" s="57"/>
      <c r="EY130" s="57"/>
      <c r="EZ130" s="57"/>
      <c r="FA130" s="57"/>
      <c r="FB130" s="57"/>
      <c r="FC130" s="57"/>
      <c r="FD130" s="57"/>
      <c r="FE130" s="57"/>
      <c r="FF130" s="57"/>
      <c r="FG130" s="57"/>
      <c r="FH130" s="57"/>
      <c r="FI130" s="57"/>
      <c r="FJ130" s="57"/>
      <c r="FK130" s="57"/>
      <c r="FL130" s="57"/>
      <c r="FM130" s="57"/>
      <c r="FN130" s="57"/>
      <c r="FO130" s="57"/>
      <c r="FP130" s="57"/>
      <c r="FQ130" s="57"/>
      <c r="FR130" s="57"/>
      <c r="FS130" s="57"/>
      <c r="FT130" s="57"/>
      <c r="FU130" s="57"/>
      <c r="FV130" s="57"/>
      <c r="FW130" s="57"/>
      <c r="FX130" s="57"/>
      <c r="FY130" s="57"/>
      <c r="FZ130" s="57"/>
      <c r="GA130" s="57"/>
      <c r="GB130" s="57"/>
      <c r="GC130" s="57"/>
      <c r="GD130" s="57"/>
      <c r="GE130" s="57"/>
      <c r="GF130" s="57"/>
      <c r="GG130" s="57"/>
      <c r="GH130" s="57"/>
      <c r="GI130" s="57"/>
      <c r="GJ130" s="57"/>
      <c r="GK130" s="57"/>
      <c r="GL130" s="57"/>
      <c r="GM130" s="57"/>
      <c r="GN130" s="57"/>
      <c r="GO130" s="57"/>
      <c r="GP130" s="57"/>
      <c r="GQ130" s="57"/>
      <c r="GR130" s="57"/>
      <c r="GS130" s="57"/>
      <c r="GT130" s="57"/>
      <c r="GU130" s="57"/>
      <c r="GV130" s="57"/>
      <c r="GW130" s="57"/>
      <c r="GX130" s="57"/>
      <c r="GY130" s="57"/>
      <c r="GZ130" s="57"/>
      <c r="HA130" s="57"/>
      <c r="HB130" s="57"/>
      <c r="HC130" s="57"/>
      <c r="HD130" s="57"/>
      <c r="HE130" s="57"/>
      <c r="HF130" s="57"/>
      <c r="HG130" s="57"/>
      <c r="HH130" s="57"/>
      <c r="HI130" s="57"/>
      <c r="HJ130" s="57"/>
      <c r="HK130" s="57"/>
      <c r="HL130" s="57"/>
      <c r="HM130" s="57"/>
      <c r="HN130" s="57"/>
      <c r="HO130" s="57"/>
      <c r="HP130" s="57"/>
      <c r="HQ130" s="57"/>
      <c r="HR130" s="57"/>
      <c r="HS130" s="57"/>
      <c r="HT130" s="57"/>
      <c r="HU130" s="57"/>
      <c r="HV130" s="57"/>
      <c r="HW130" s="57"/>
      <c r="HX130" s="57"/>
      <c r="HY130" s="57"/>
      <c r="HZ130" s="57"/>
      <c r="IA130" s="57"/>
      <c r="IB130" s="57"/>
      <c r="IC130" s="57"/>
      <c r="ID130" s="57"/>
      <c r="IE130" s="57"/>
      <c r="IF130" s="57"/>
      <c r="IG130" s="57"/>
      <c r="IH130" s="57"/>
      <c r="II130" s="57"/>
      <c r="IJ130" s="57"/>
      <c r="IK130" s="57"/>
      <c r="IL130" s="57"/>
      <c r="IM130" s="57"/>
      <c r="IN130" s="57"/>
      <c r="IO130" s="57"/>
      <c r="IP130" s="57"/>
      <c r="IQ130" s="57"/>
      <c r="IR130" s="57"/>
      <c r="IS130" s="57"/>
      <c r="IT130" s="57"/>
      <c r="IU130" s="57"/>
      <c r="IV130" s="57"/>
    </row>
    <row r="131" spans="1:256" s="54" customFormat="1" ht="13.2" outlineLevel="1">
      <c r="A131" s="70" t="s">
        <v>34</v>
      </c>
      <c r="B131" s="496">
        <f>NPV(0.1,D131:Y131)</f>
        <v>76953.629418915079</v>
      </c>
      <c r="C131" s="496">
        <f>B131-B121</f>
        <v>91.978630433644867</v>
      </c>
      <c r="D131" s="500">
        <v>-406.26331711929856</v>
      </c>
      <c r="E131" s="501">
        <v>-255.96077106955215</v>
      </c>
      <c r="F131" s="501">
        <v>-227.26032597509976</v>
      </c>
      <c r="G131" s="501">
        <v>5776.9630619810632</v>
      </c>
      <c r="H131" s="501">
        <v>10547.063917185977</v>
      </c>
      <c r="I131" s="501">
        <v>11308.931998134496</v>
      </c>
      <c r="J131" s="501">
        <v>11914.970442811265</v>
      </c>
      <c r="K131" s="501">
        <v>12399.465359057545</v>
      </c>
      <c r="L131" s="501">
        <v>12969.981166611509</v>
      </c>
      <c r="M131" s="501">
        <v>13569.628155384155</v>
      </c>
      <c r="N131" s="502">
        <v>13867.050989188105</v>
      </c>
      <c r="O131" s="75">
        <v>14381.711862955759</v>
      </c>
      <c r="P131" s="75">
        <v>14991.426434215033</v>
      </c>
      <c r="Q131" s="75">
        <v>15628.71037438235</v>
      </c>
      <c r="R131" s="75">
        <v>16296.109153914491</v>
      </c>
      <c r="S131" s="75">
        <v>16919.79149981276</v>
      </c>
      <c r="T131" s="75">
        <v>17548.885723454929</v>
      </c>
      <c r="U131" s="75">
        <v>18204.580256463305</v>
      </c>
      <c r="V131" s="75">
        <v>18889.356290011718</v>
      </c>
      <c r="W131" s="75">
        <v>19355.896904669091</v>
      </c>
      <c r="X131" s="75">
        <v>0</v>
      </c>
      <c r="Y131" s="60"/>
      <c r="Z131" s="60"/>
      <c r="AA131" s="60"/>
      <c r="AB131" s="60"/>
      <c r="AC131" s="60"/>
      <c r="AD131" s="60"/>
      <c r="AE131"/>
      <c r="AF131" s="57"/>
      <c r="AG131" s="57"/>
      <c r="AH131" s="57"/>
      <c r="AI131" s="57"/>
      <c r="AJ131" s="57"/>
      <c r="AK131" s="57"/>
      <c r="AL131" s="57"/>
      <c r="AM131" s="57"/>
      <c r="AN131" s="57"/>
      <c r="AO131" s="57"/>
      <c r="AP131" s="57"/>
      <c r="AQ131" s="57"/>
      <c r="AR131" s="57"/>
      <c r="AS131" s="57"/>
      <c r="AT131" s="57"/>
      <c r="AU131" s="57"/>
      <c r="AV131" s="57"/>
      <c r="AW131" s="57"/>
      <c r="AX131" s="57"/>
      <c r="AY131" s="57"/>
      <c r="AZ131" s="57"/>
      <c r="BA131" s="57"/>
      <c r="BB131" s="57"/>
      <c r="BC131" s="57"/>
      <c r="BD131" s="57"/>
      <c r="BE131" s="57"/>
      <c r="BF131" s="57"/>
      <c r="BG131" s="57"/>
      <c r="BH131" s="57"/>
      <c r="BI131" s="57"/>
      <c r="BJ131" s="57"/>
      <c r="BK131" s="57"/>
      <c r="BL131" s="57"/>
      <c r="BM131" s="57"/>
      <c r="BN131" s="57"/>
      <c r="BO131" s="57"/>
      <c r="BP131" s="57"/>
      <c r="BQ131" s="57"/>
      <c r="BR131" s="57"/>
      <c r="BS131" s="57"/>
      <c r="BT131" s="57"/>
      <c r="BU131" s="57"/>
      <c r="BV131" s="57"/>
      <c r="BW131" s="57"/>
      <c r="BX131" s="57"/>
      <c r="BY131" s="57"/>
      <c r="BZ131" s="57"/>
      <c r="CA131" s="57"/>
      <c r="CB131" s="57"/>
      <c r="CC131" s="57"/>
      <c r="CD131" s="57"/>
      <c r="CE131" s="57"/>
      <c r="CF131" s="57"/>
      <c r="CG131" s="57"/>
      <c r="CH131" s="57"/>
      <c r="CI131" s="57"/>
      <c r="CJ131" s="57"/>
      <c r="CK131" s="57"/>
      <c r="CL131" s="57"/>
      <c r="CM131" s="57"/>
      <c r="CN131" s="57"/>
      <c r="CO131" s="57"/>
      <c r="CP131" s="57"/>
      <c r="CQ131" s="57"/>
      <c r="CR131" s="57"/>
      <c r="CS131" s="57"/>
      <c r="CT131" s="57"/>
      <c r="CU131" s="57"/>
      <c r="CV131" s="57"/>
      <c r="CW131" s="57"/>
      <c r="CX131" s="57"/>
      <c r="CY131" s="57"/>
      <c r="CZ131" s="57"/>
      <c r="DA131" s="57"/>
      <c r="DB131" s="57"/>
      <c r="DC131" s="57"/>
      <c r="DD131" s="57"/>
      <c r="DE131" s="57"/>
      <c r="DF131" s="57"/>
      <c r="DG131" s="57"/>
      <c r="DH131" s="57"/>
      <c r="DI131" s="57"/>
      <c r="DJ131" s="57"/>
      <c r="DK131" s="57"/>
      <c r="DL131" s="57"/>
      <c r="DM131" s="57"/>
      <c r="DN131" s="57"/>
      <c r="DO131" s="57"/>
      <c r="DP131" s="57"/>
      <c r="DQ131" s="57"/>
      <c r="DR131" s="57"/>
      <c r="DS131" s="57"/>
      <c r="DT131" s="57"/>
      <c r="DU131" s="57"/>
      <c r="DV131" s="57"/>
      <c r="DW131" s="57"/>
      <c r="DX131" s="57"/>
      <c r="DY131" s="57"/>
      <c r="DZ131" s="57"/>
      <c r="EA131" s="57"/>
      <c r="EB131" s="57"/>
      <c r="EC131" s="57"/>
      <c r="ED131" s="57"/>
      <c r="EE131" s="57"/>
      <c r="EF131" s="57"/>
      <c r="EG131" s="57"/>
      <c r="EH131" s="57"/>
      <c r="EI131" s="57"/>
      <c r="EJ131" s="57"/>
      <c r="EK131" s="57"/>
      <c r="EL131" s="57"/>
      <c r="EM131" s="57"/>
      <c r="EN131" s="57"/>
      <c r="EO131" s="57"/>
      <c r="EP131" s="57"/>
      <c r="EQ131" s="57"/>
      <c r="ER131" s="57"/>
      <c r="ES131" s="57"/>
      <c r="ET131" s="57"/>
      <c r="EU131" s="57"/>
      <c r="EV131" s="57"/>
      <c r="EW131" s="57"/>
      <c r="EX131" s="57"/>
      <c r="EY131" s="57"/>
      <c r="EZ131" s="57"/>
      <c r="FA131" s="57"/>
      <c r="FB131" s="57"/>
      <c r="FC131" s="57"/>
      <c r="FD131" s="57"/>
      <c r="FE131" s="57"/>
      <c r="FF131" s="57"/>
      <c r="FG131" s="57"/>
      <c r="FH131" s="57"/>
      <c r="FI131" s="57"/>
      <c r="FJ131" s="57"/>
      <c r="FK131" s="57"/>
      <c r="FL131" s="57"/>
      <c r="FM131" s="57"/>
      <c r="FN131" s="57"/>
      <c r="FO131" s="57"/>
      <c r="FP131" s="57"/>
      <c r="FQ131" s="57"/>
      <c r="FR131" s="57"/>
      <c r="FS131" s="57"/>
      <c r="FT131" s="57"/>
      <c r="FU131" s="57"/>
      <c r="FV131" s="57"/>
      <c r="FW131" s="57"/>
      <c r="FX131" s="57"/>
      <c r="FY131" s="57"/>
      <c r="FZ131" s="57"/>
      <c r="GA131" s="57"/>
      <c r="GB131" s="57"/>
      <c r="GC131" s="57"/>
      <c r="GD131" s="57"/>
      <c r="GE131" s="57"/>
      <c r="GF131" s="57"/>
      <c r="GG131" s="57"/>
      <c r="GH131" s="57"/>
      <c r="GI131" s="57"/>
      <c r="GJ131" s="57"/>
      <c r="GK131" s="57"/>
      <c r="GL131" s="57"/>
      <c r="GM131" s="57"/>
      <c r="GN131" s="57"/>
      <c r="GO131" s="57"/>
      <c r="GP131" s="57"/>
      <c r="GQ131" s="57"/>
      <c r="GR131" s="57"/>
      <c r="GS131" s="57"/>
      <c r="GT131" s="57"/>
      <c r="GU131" s="57"/>
      <c r="GV131" s="57"/>
      <c r="GW131" s="57"/>
      <c r="GX131" s="57"/>
      <c r="GY131" s="57"/>
      <c r="GZ131" s="57"/>
      <c r="HA131" s="57"/>
      <c r="HB131" s="57"/>
      <c r="HC131" s="57"/>
      <c r="HD131" s="57"/>
      <c r="HE131" s="57"/>
      <c r="HF131" s="57"/>
      <c r="HG131" s="57"/>
      <c r="HH131" s="57"/>
      <c r="HI131" s="57"/>
      <c r="HJ131" s="57"/>
      <c r="HK131" s="57"/>
      <c r="HL131" s="57"/>
      <c r="HM131" s="57"/>
      <c r="HN131" s="57"/>
      <c r="HO131" s="57"/>
      <c r="HP131" s="57"/>
      <c r="HQ131" s="57"/>
      <c r="HR131" s="57"/>
      <c r="HS131" s="57"/>
      <c r="HT131" s="57"/>
      <c r="HU131" s="57"/>
      <c r="HV131" s="57"/>
      <c r="HW131" s="57"/>
      <c r="HX131" s="57"/>
      <c r="HY131" s="57"/>
      <c r="HZ131" s="57"/>
      <c r="IA131" s="57"/>
      <c r="IB131" s="57"/>
      <c r="IC131" s="57"/>
      <c r="ID131" s="57"/>
      <c r="IE131" s="57"/>
      <c r="IF131" s="57"/>
      <c r="IG131" s="57"/>
      <c r="IH131" s="57"/>
      <c r="II131" s="57"/>
      <c r="IJ131" s="57"/>
      <c r="IK131" s="57"/>
      <c r="IL131" s="57"/>
      <c r="IM131" s="57"/>
      <c r="IN131" s="57"/>
      <c r="IO131" s="57"/>
      <c r="IP131" s="57"/>
      <c r="IQ131" s="57"/>
      <c r="IR131" s="57"/>
      <c r="IS131" s="57"/>
      <c r="IT131" s="57"/>
      <c r="IU131" s="57"/>
      <c r="IV131" s="57"/>
    </row>
    <row r="132" spans="1:256" s="54" customFormat="1" ht="13.2" outlineLevel="1">
      <c r="A132" s="70" t="s">
        <v>32</v>
      </c>
      <c r="B132" s="496">
        <f>NPV(0.1,D132:Y132)</f>
        <v>94528.681779874794</v>
      </c>
      <c r="C132" s="496">
        <f>B132-B122</f>
        <v>-45.617977100017015</v>
      </c>
      <c r="D132" s="503">
        <v>2147.340743643158</v>
      </c>
      <c r="E132" s="504">
        <v>4194.2114719130741</v>
      </c>
      <c r="F132" s="504">
        <v>3605.2530016090495</v>
      </c>
      <c r="G132" s="504">
        <v>14791.332007599718</v>
      </c>
      <c r="H132" s="504">
        <v>19153.585830884153</v>
      </c>
      <c r="I132" s="504">
        <v>17428.778780267086</v>
      </c>
      <c r="J132" s="504">
        <v>14151.496747390389</v>
      </c>
      <c r="K132" s="504">
        <v>14088.332326219066</v>
      </c>
      <c r="L132" s="504">
        <v>14056.646645403684</v>
      </c>
      <c r="M132" s="504">
        <v>14016.198309665275</v>
      </c>
      <c r="N132" s="505">
        <v>14375.139698927251</v>
      </c>
      <c r="O132" s="75">
        <v>13643.776349014781</v>
      </c>
      <c r="P132" s="75">
        <v>13511.511092798153</v>
      </c>
      <c r="Q132" s="75">
        <v>13368.525300442021</v>
      </c>
      <c r="R132" s="75">
        <v>13186.564517617762</v>
      </c>
      <c r="S132" s="75">
        <v>11241.420232797009</v>
      </c>
      <c r="T132" s="75">
        <v>9304.104824912316</v>
      </c>
      <c r="U132" s="75">
        <v>9002.6007132055674</v>
      </c>
      <c r="V132" s="75">
        <v>8664.949058161088</v>
      </c>
      <c r="W132" s="75">
        <v>13916.39215057141</v>
      </c>
      <c r="X132" s="75">
        <v>0</v>
      </c>
      <c r="Y132" s="60"/>
      <c r="Z132" s="60"/>
      <c r="AA132" s="60"/>
      <c r="AB132" s="60"/>
      <c r="AC132" s="60"/>
      <c r="AD132" s="60"/>
      <c r="AE132"/>
    </row>
    <row r="133" spans="1:256" s="54" customFormat="1" ht="13.2" outlineLevel="1">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c r="AA133" s="60"/>
      <c r="AB133" s="60"/>
      <c r="AC133" s="60"/>
      <c r="AD133" s="60"/>
      <c r="AE133"/>
    </row>
    <row r="134" spans="1:256" ht="13.2">
      <c r="A134" s="71" t="s">
        <v>485</v>
      </c>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c r="AB134" s="60"/>
      <c r="AC134" s="60"/>
      <c r="AD134" s="60"/>
      <c r="AE134"/>
    </row>
    <row r="135" spans="1:256" ht="13.2">
      <c r="A135" s="442">
        <v>36249</v>
      </c>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c r="AA135" s="60"/>
      <c r="AB135" s="60"/>
      <c r="AC135" s="60"/>
      <c r="AD135" s="60"/>
      <c r="AE135"/>
    </row>
    <row r="136" spans="1:256" ht="13.2">
      <c r="A136" s="64" t="s">
        <v>368</v>
      </c>
      <c r="B136" s="65">
        <v>56476.729739094859</v>
      </c>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c r="AB136" s="60"/>
      <c r="AC136" s="60"/>
      <c r="AD136" s="60"/>
      <c r="AE136"/>
    </row>
    <row r="137" spans="1:256" ht="13.2">
      <c r="A137" s="66" t="s">
        <v>369</v>
      </c>
      <c r="B137" s="67">
        <v>90675.935631488115</v>
      </c>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c r="AA137" s="60"/>
      <c r="AB137" s="60"/>
      <c r="AC137" s="60"/>
      <c r="AD137" s="60"/>
      <c r="AE137"/>
    </row>
    <row r="138" spans="1:256" ht="13.2">
      <c r="A138" s="68" t="s">
        <v>370</v>
      </c>
      <c r="B138" s="495" t="s">
        <v>468</v>
      </c>
      <c r="C138" s="495" t="s">
        <v>469</v>
      </c>
      <c r="D138" s="497">
        <v>2000</v>
      </c>
      <c r="E138" s="498">
        <v>2001</v>
      </c>
      <c r="F138" s="498">
        <v>2002</v>
      </c>
      <c r="G138" s="498">
        <v>2003</v>
      </c>
      <c r="H138" s="498">
        <v>2004</v>
      </c>
      <c r="I138" s="498">
        <v>2005</v>
      </c>
      <c r="J138" s="498">
        <v>2006</v>
      </c>
      <c r="K138" s="498">
        <v>2007</v>
      </c>
      <c r="L138" s="498">
        <v>2008</v>
      </c>
      <c r="M138" s="498">
        <v>2009</v>
      </c>
      <c r="N138" s="499">
        <v>2010</v>
      </c>
      <c r="O138" s="69">
        <v>2011</v>
      </c>
      <c r="P138" s="69">
        <v>2012</v>
      </c>
      <c r="Q138" s="69">
        <v>2013</v>
      </c>
      <c r="R138" s="69">
        <v>2014</v>
      </c>
      <c r="S138" s="69">
        <v>2015</v>
      </c>
      <c r="T138" s="69">
        <v>2016</v>
      </c>
      <c r="U138" s="69">
        <v>2017</v>
      </c>
      <c r="V138" s="69">
        <v>2018</v>
      </c>
      <c r="W138" s="69">
        <v>2019</v>
      </c>
      <c r="X138" s="69">
        <v>2020</v>
      </c>
      <c r="Y138" s="60"/>
      <c r="Z138" s="60"/>
      <c r="AA138" s="60"/>
      <c r="AB138" s="60"/>
      <c r="AC138" s="60"/>
      <c r="AD138" s="60"/>
      <c r="AE138"/>
    </row>
    <row r="139" spans="1:256" ht="13.2">
      <c r="A139" s="68" t="s">
        <v>371</v>
      </c>
      <c r="B139" s="496">
        <f>NPV(0.1,D139:Y139)</f>
        <v>446264.54204574286</v>
      </c>
      <c r="C139" s="496">
        <f>B139-B129</f>
        <v>6103.7895559862372</v>
      </c>
      <c r="D139" s="500">
        <v>25189.762342667505</v>
      </c>
      <c r="E139" s="501">
        <v>35376.433791805001</v>
      </c>
      <c r="F139" s="501">
        <v>35645.332165780004</v>
      </c>
      <c r="G139" s="501">
        <v>45529.944323530937</v>
      </c>
      <c r="H139" s="501">
        <v>53562.887944764712</v>
      </c>
      <c r="I139" s="501">
        <v>54768.636314981719</v>
      </c>
      <c r="J139" s="501">
        <v>55804.995130143914</v>
      </c>
      <c r="K139" s="501">
        <v>56945.283321483759</v>
      </c>
      <c r="L139" s="501">
        <v>58187.519046010966</v>
      </c>
      <c r="M139" s="501">
        <v>59535.800461611754</v>
      </c>
      <c r="N139" s="502">
        <v>61016.394858283551</v>
      </c>
      <c r="O139" s="75">
        <v>62490.473965212397</v>
      </c>
      <c r="P139" s="75">
        <v>64091.691905629341</v>
      </c>
      <c r="Q139" s="75">
        <v>65758.175670493118</v>
      </c>
      <c r="R139" s="75">
        <v>67483.490782344117</v>
      </c>
      <c r="S139" s="75">
        <v>69236.188163651619</v>
      </c>
      <c r="T139" s="75">
        <v>70857.911235672073</v>
      </c>
      <c r="U139" s="75">
        <v>72647.37291222802</v>
      </c>
      <c r="V139" s="75">
        <v>74205.210050484689</v>
      </c>
      <c r="W139" s="75">
        <v>75758.395147332514</v>
      </c>
      <c r="X139" s="75">
        <v>76682.678933859192</v>
      </c>
      <c r="Y139" s="60"/>
      <c r="Z139" s="60"/>
      <c r="AA139" s="60"/>
      <c r="AB139" s="60"/>
      <c r="AC139" s="60"/>
      <c r="AD139" s="60"/>
      <c r="AE139"/>
    </row>
    <row r="140" spans="1:256" ht="13.2">
      <c r="A140" s="70" t="s">
        <v>372</v>
      </c>
      <c r="B140" s="496">
        <f>NPV(0.1,D140:Y140)</f>
        <v>204810.67576054562</v>
      </c>
      <c r="C140" s="496">
        <f>B140-B130</f>
        <v>3144.4717601781886</v>
      </c>
      <c r="D140" s="500">
        <v>15895.576509334169</v>
      </c>
      <c r="E140" s="501">
        <v>20122.017091804999</v>
      </c>
      <c r="F140" s="501">
        <v>20486.852964780002</v>
      </c>
      <c r="G140" s="501">
        <v>20788.8581103006</v>
      </c>
      <c r="H140" s="501">
        <v>21157.215760409217</v>
      </c>
      <c r="I140" s="501">
        <v>21597.823232928997</v>
      </c>
      <c r="J140" s="501">
        <v>22108.375347366469</v>
      </c>
      <c r="K140" s="501">
        <v>22721.964267711959</v>
      </c>
      <c r="L140" s="501">
        <v>23439.067122789664</v>
      </c>
      <c r="M140" s="501">
        <v>24262.268483922362</v>
      </c>
      <c r="N140" s="502">
        <v>25755.350729588885</v>
      </c>
      <c r="O140" s="75">
        <v>26820.791165875849</v>
      </c>
      <c r="P140" s="75">
        <v>28022.865355128222</v>
      </c>
      <c r="Q140" s="75">
        <v>29303.705558276964</v>
      </c>
      <c r="R140" s="75">
        <v>30656.932538605477</v>
      </c>
      <c r="S140" s="75">
        <v>32052.20452360014</v>
      </c>
      <c r="T140" s="75">
        <v>33501.462156254187</v>
      </c>
      <c r="U140" s="75">
        <v>35146.708852357813</v>
      </c>
      <c r="V140" s="75">
        <v>36589.317715506499</v>
      </c>
      <c r="W140" s="75">
        <v>38058.077138393746</v>
      </c>
      <c r="X140" s="75">
        <v>38929.636613623661</v>
      </c>
      <c r="Y140" s="60"/>
      <c r="Z140" s="60"/>
      <c r="AA140" s="60"/>
      <c r="AB140" s="60"/>
      <c r="AC140" s="60"/>
      <c r="AD140" s="60"/>
      <c r="AE140"/>
    </row>
    <row r="141" spans="1:256" ht="13.2">
      <c r="A141" s="70" t="s">
        <v>34</v>
      </c>
      <c r="B141" s="496">
        <f>NPV(0.1,D141:Y141)</f>
        <v>79674.195648189489</v>
      </c>
      <c r="C141" s="496">
        <f>B141-B131</f>
        <v>2720.5662292744091</v>
      </c>
      <c r="D141" s="500">
        <v>-406.26331711929743</v>
      </c>
      <c r="E141" s="501">
        <v>-255.9607710695544</v>
      </c>
      <c r="F141" s="501">
        <v>-227.2603259751009</v>
      </c>
      <c r="G141" s="501">
        <v>5776.9630619810596</v>
      </c>
      <c r="H141" s="501">
        <v>10547.063917185977</v>
      </c>
      <c r="I141" s="501">
        <v>11308.931998134496</v>
      </c>
      <c r="J141" s="501">
        <v>11914.970442811265</v>
      </c>
      <c r="K141" s="501">
        <v>12399.465359057545</v>
      </c>
      <c r="L141" s="501">
        <v>12969.981166611509</v>
      </c>
      <c r="M141" s="501">
        <v>13569.628155384155</v>
      </c>
      <c r="N141" s="502">
        <v>13867.050989188105</v>
      </c>
      <c r="O141" s="75">
        <v>14381.71186295575</v>
      </c>
      <c r="P141" s="75">
        <v>14991.426434215033</v>
      </c>
      <c r="Q141" s="75">
        <v>15628.710374382346</v>
      </c>
      <c r="R141" s="75">
        <v>16296.109153914493</v>
      </c>
      <c r="S141" s="75">
        <v>16919.791499812753</v>
      </c>
      <c r="T141" s="75">
        <v>17548.885723454929</v>
      </c>
      <c r="U141" s="75">
        <v>18204.580256463305</v>
      </c>
      <c r="V141" s="75">
        <v>18889.356290011721</v>
      </c>
      <c r="W141" s="75">
        <v>19355.896904669091</v>
      </c>
      <c r="X141" s="75">
        <v>20132.870086538496</v>
      </c>
      <c r="Y141" s="60"/>
      <c r="Z141" s="60"/>
      <c r="AA141" s="60"/>
      <c r="AB141" s="60"/>
      <c r="AC141" s="60"/>
      <c r="AD141" s="60"/>
      <c r="AE141"/>
    </row>
    <row r="142" spans="1:256" ht="13.2">
      <c r="A142" s="70" t="s">
        <v>32</v>
      </c>
      <c r="B142" s="496">
        <f>NPV(0.1,D142:Y142)</f>
        <v>97746.353493866292</v>
      </c>
      <c r="C142" s="496">
        <f>B142-B132</f>
        <v>3217.6717139914981</v>
      </c>
      <c r="D142" s="503">
        <v>2147.340743643158</v>
      </c>
      <c r="E142" s="504">
        <v>4194.2114719130714</v>
      </c>
      <c r="F142" s="504">
        <v>3605.2530016090495</v>
      </c>
      <c r="G142" s="504">
        <v>14791.332007599714</v>
      </c>
      <c r="H142" s="504">
        <v>19153.585830884153</v>
      </c>
      <c r="I142" s="504">
        <v>17428.77878026709</v>
      </c>
      <c r="J142" s="504">
        <v>14151.496747390389</v>
      </c>
      <c r="K142" s="504">
        <v>14088.332326219066</v>
      </c>
      <c r="L142" s="504">
        <v>14056.646645403684</v>
      </c>
      <c r="M142" s="504">
        <v>14016.198309665275</v>
      </c>
      <c r="N142" s="505">
        <v>14375.139698927251</v>
      </c>
      <c r="O142" s="75">
        <v>13643.776349014779</v>
      </c>
      <c r="P142" s="75">
        <v>13511.511092798157</v>
      </c>
      <c r="Q142" s="75">
        <v>13368.525300442019</v>
      </c>
      <c r="R142" s="75">
        <v>13186.56451761776</v>
      </c>
      <c r="S142" s="75">
        <v>11241.420232797009</v>
      </c>
      <c r="T142" s="75">
        <v>9304.104824912316</v>
      </c>
      <c r="U142" s="75">
        <v>9002.6007132055711</v>
      </c>
      <c r="V142" s="75">
        <v>8664.9490581610935</v>
      </c>
      <c r="W142" s="75">
        <v>13916.392150571406</v>
      </c>
      <c r="X142" s="75">
        <v>23811.57492210684</v>
      </c>
      <c r="Y142" s="60"/>
      <c r="Z142" s="60"/>
      <c r="AA142" s="60"/>
      <c r="AB142" s="60"/>
      <c r="AC142" s="60"/>
      <c r="AD142" s="60"/>
      <c r="AE142"/>
    </row>
    <row r="143" spans="1:256" ht="13.2">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c r="AA143" s="60"/>
      <c r="AB143" s="60"/>
      <c r="AC143" s="60"/>
      <c r="AD143" s="60"/>
      <c r="AE143"/>
    </row>
    <row r="144" spans="1:256" ht="13.2">
      <c r="A144" s="71" t="s">
        <v>486</v>
      </c>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c r="AB144" s="60"/>
      <c r="AC144" s="60"/>
      <c r="AD144" s="60"/>
      <c r="AE144"/>
    </row>
    <row r="145" spans="1:31" ht="13.2">
      <c r="A145" s="442">
        <v>36257</v>
      </c>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c r="AA145" s="60"/>
      <c r="AB145" s="60"/>
      <c r="AC145" s="60"/>
      <c r="AD145" s="60"/>
      <c r="AE145"/>
    </row>
    <row r="146" spans="1:31" ht="13.2">
      <c r="A146" s="64" t="s">
        <v>368</v>
      </c>
      <c r="B146" s="65">
        <v>56334.761692566412</v>
      </c>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c r="AB146" s="60"/>
      <c r="AC146" s="60"/>
      <c r="AD146" s="60"/>
      <c r="AE146"/>
    </row>
    <row r="147" spans="1:31" ht="13.2">
      <c r="A147" s="66" t="s">
        <v>369</v>
      </c>
      <c r="B147" s="67">
        <v>90675.935631488101</v>
      </c>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c r="AA147" s="60"/>
      <c r="AB147" s="60"/>
      <c r="AC147" s="60"/>
      <c r="AD147" s="60"/>
      <c r="AE147"/>
    </row>
    <row r="148" spans="1:31" ht="13.2">
      <c r="A148" s="68" t="s">
        <v>370</v>
      </c>
      <c r="B148" s="495" t="s">
        <v>468</v>
      </c>
      <c r="C148" s="495" t="s">
        <v>469</v>
      </c>
      <c r="D148" s="497">
        <v>2000</v>
      </c>
      <c r="E148" s="498">
        <v>2001</v>
      </c>
      <c r="F148" s="498">
        <v>2002</v>
      </c>
      <c r="G148" s="498">
        <v>2003</v>
      </c>
      <c r="H148" s="498">
        <v>2004</v>
      </c>
      <c r="I148" s="498">
        <v>2005</v>
      </c>
      <c r="J148" s="498">
        <v>2006</v>
      </c>
      <c r="K148" s="498">
        <v>2007</v>
      </c>
      <c r="L148" s="498">
        <v>2008</v>
      </c>
      <c r="M148" s="498">
        <v>2009</v>
      </c>
      <c r="N148" s="499">
        <v>2010</v>
      </c>
      <c r="O148" s="69">
        <v>2011</v>
      </c>
      <c r="P148" s="69">
        <v>2012</v>
      </c>
      <c r="Q148" s="69">
        <v>2013</v>
      </c>
      <c r="R148" s="69">
        <v>2014</v>
      </c>
      <c r="S148" s="69">
        <v>2015</v>
      </c>
      <c r="T148" s="69">
        <v>2016</v>
      </c>
      <c r="U148" s="69">
        <v>2017</v>
      </c>
      <c r="V148" s="69">
        <v>2018</v>
      </c>
      <c r="W148" s="69">
        <v>2019</v>
      </c>
      <c r="X148" s="69">
        <v>2020</v>
      </c>
      <c r="Y148" s="60"/>
      <c r="Z148" s="60"/>
      <c r="AA148" s="60"/>
      <c r="AB148" s="60"/>
      <c r="AC148" s="60"/>
      <c r="AD148" s="60"/>
      <c r="AE148"/>
    </row>
    <row r="149" spans="1:31" ht="13.2" outlineLevel="1">
      <c r="A149" s="68" t="s">
        <v>371</v>
      </c>
      <c r="B149" s="496">
        <f>NPV(0.1,D149:Y149)</f>
        <v>446264.54204574286</v>
      </c>
      <c r="C149" s="496">
        <f>B149-B139</f>
        <v>0</v>
      </c>
      <c r="D149" s="500">
        <v>25189.762342667505</v>
      </c>
      <c r="E149" s="501">
        <v>35376.433791805001</v>
      </c>
      <c r="F149" s="501">
        <v>35645.332165780004</v>
      </c>
      <c r="G149" s="501">
        <v>45529.944323530937</v>
      </c>
      <c r="H149" s="501">
        <v>53562.887944764712</v>
      </c>
      <c r="I149" s="501">
        <v>54768.636314981719</v>
      </c>
      <c r="J149" s="501">
        <v>55804.995130143914</v>
      </c>
      <c r="K149" s="501">
        <v>56945.283321483759</v>
      </c>
      <c r="L149" s="501">
        <v>58187.519046010966</v>
      </c>
      <c r="M149" s="501">
        <v>59535.800461611754</v>
      </c>
      <c r="N149" s="502">
        <v>61016.394858283551</v>
      </c>
      <c r="O149" s="75">
        <v>62490.473965212397</v>
      </c>
      <c r="P149" s="75">
        <v>64091.691905629341</v>
      </c>
      <c r="Q149" s="75">
        <v>65758.175670493118</v>
      </c>
      <c r="R149" s="75">
        <v>67483.490782344117</v>
      </c>
      <c r="S149" s="75">
        <v>69236.188163651619</v>
      </c>
      <c r="T149" s="75">
        <v>70857.911235672073</v>
      </c>
      <c r="U149" s="75">
        <v>72647.37291222802</v>
      </c>
      <c r="V149" s="75">
        <v>74205.210050484689</v>
      </c>
      <c r="W149" s="75">
        <v>75758.395147332514</v>
      </c>
      <c r="X149" s="75">
        <v>76682.678933859192</v>
      </c>
      <c r="Y149" s="60"/>
      <c r="Z149" s="60"/>
      <c r="AA149" s="60"/>
      <c r="AB149" s="60"/>
      <c r="AC149" s="60"/>
      <c r="AD149" s="60"/>
      <c r="AE149"/>
    </row>
    <row r="150" spans="1:31" ht="13.2" outlineLevel="1">
      <c r="A150" s="70" t="s">
        <v>372</v>
      </c>
      <c r="B150" s="496">
        <f>NPV(0.1,D150:Y150)</f>
        <v>204810.67576054562</v>
      </c>
      <c r="C150" s="496">
        <f>B150-B140</f>
        <v>0</v>
      </c>
      <c r="D150" s="500">
        <v>15895.576509334169</v>
      </c>
      <c r="E150" s="501">
        <v>20122.017091804999</v>
      </c>
      <c r="F150" s="501">
        <v>20486.852964780002</v>
      </c>
      <c r="G150" s="501">
        <v>20788.8581103006</v>
      </c>
      <c r="H150" s="501">
        <v>21157.215760409217</v>
      </c>
      <c r="I150" s="501">
        <v>21597.823232928997</v>
      </c>
      <c r="J150" s="501">
        <v>22108.375347366469</v>
      </c>
      <c r="K150" s="501">
        <v>22721.964267711959</v>
      </c>
      <c r="L150" s="501">
        <v>23439.067122789664</v>
      </c>
      <c r="M150" s="501">
        <v>24262.268483922362</v>
      </c>
      <c r="N150" s="502">
        <v>25755.350729588885</v>
      </c>
      <c r="O150" s="75">
        <v>26820.791165875849</v>
      </c>
      <c r="P150" s="75">
        <v>28022.865355128222</v>
      </c>
      <c r="Q150" s="75">
        <v>29303.705558276964</v>
      </c>
      <c r="R150" s="75">
        <v>30656.932538605477</v>
      </c>
      <c r="S150" s="75">
        <v>32052.20452360014</v>
      </c>
      <c r="T150" s="75">
        <v>33501.462156254187</v>
      </c>
      <c r="U150" s="75">
        <v>35146.708852357813</v>
      </c>
      <c r="V150" s="75">
        <v>36589.317715506499</v>
      </c>
      <c r="W150" s="75">
        <v>38058.077138393746</v>
      </c>
      <c r="X150" s="75">
        <v>38929.636613623661</v>
      </c>
      <c r="Y150" s="60"/>
      <c r="Z150" s="60"/>
      <c r="AA150" s="60"/>
      <c r="AB150" s="60"/>
      <c r="AC150" s="60"/>
      <c r="AD150" s="60"/>
      <c r="AE150"/>
    </row>
    <row r="151" spans="1:31" ht="13.2" outlineLevel="1">
      <c r="A151" s="70" t="s">
        <v>34</v>
      </c>
      <c r="B151" s="496">
        <f>NPV(0.1,D151:Y151)</f>
        <v>84571.180552848527</v>
      </c>
      <c r="C151" s="496">
        <f>B151-B141</f>
        <v>4896.9849046590389</v>
      </c>
      <c r="D151" s="500">
        <v>374.86325255585382</v>
      </c>
      <c r="E151" s="501">
        <v>285.00620551642044</v>
      </c>
      <c r="F151" s="501">
        <v>313.70665061087391</v>
      </c>
      <c r="G151" s="501">
        <v>6317.930038567034</v>
      </c>
      <c r="H151" s="501">
        <v>11088.030893771953</v>
      </c>
      <c r="I151" s="501">
        <v>11849.898974720472</v>
      </c>
      <c r="J151" s="501">
        <v>12455.937419397238</v>
      </c>
      <c r="K151" s="501">
        <v>12940.43233564352</v>
      </c>
      <c r="L151" s="501">
        <v>13510.948143197482</v>
      </c>
      <c r="M151" s="501">
        <v>14110.595131970127</v>
      </c>
      <c r="N151" s="502">
        <v>14408.017965774079</v>
      </c>
      <c r="O151" s="75">
        <v>14922.678839541724</v>
      </c>
      <c r="P151" s="75">
        <v>15532.393410801009</v>
      </c>
      <c r="Q151" s="75">
        <v>16169.677350968321</v>
      </c>
      <c r="R151" s="75">
        <v>16837.076130500471</v>
      </c>
      <c r="S151" s="75">
        <v>17460.758476398732</v>
      </c>
      <c r="T151" s="75">
        <v>18089.852700040901</v>
      </c>
      <c r="U151" s="75">
        <v>18745.547233049278</v>
      </c>
      <c r="V151" s="75">
        <v>19430.323266597698</v>
      </c>
      <c r="W151" s="75">
        <v>19896.863881255071</v>
      </c>
      <c r="X151" s="75">
        <v>20673.837063124472</v>
      </c>
      <c r="Y151" s="60"/>
      <c r="Z151" s="60"/>
      <c r="AA151" s="60"/>
      <c r="AB151" s="60"/>
      <c r="AC151" s="60"/>
      <c r="AD151" s="60"/>
      <c r="AE151"/>
    </row>
    <row r="152" spans="1:31" ht="13.2" outlineLevel="1">
      <c r="A152" s="70" t="s">
        <v>32</v>
      </c>
      <c r="B152" s="496">
        <f>NPV(0.1,D152:Y152)</f>
        <v>97592.229226218114</v>
      </c>
      <c r="C152" s="496">
        <f>B152-B142</f>
        <v>-154.12426764817792</v>
      </c>
      <c r="D152" s="503">
        <v>2147.340743643158</v>
      </c>
      <c r="E152" s="504">
        <v>4194.2114719130714</v>
      </c>
      <c r="F152" s="504">
        <v>3605.2530016090495</v>
      </c>
      <c r="G152" s="504">
        <v>14761.701919474188</v>
      </c>
      <c r="H152" s="504">
        <v>19123.955742758622</v>
      </c>
      <c r="I152" s="504">
        <v>17270.719290923364</v>
      </c>
      <c r="J152" s="504">
        <v>14149.019002608788</v>
      </c>
      <c r="K152" s="504">
        <v>14085.883025187472</v>
      </c>
      <c r="L152" s="504">
        <v>14054.168900622091</v>
      </c>
      <c r="M152" s="504">
        <v>14013.74900863368</v>
      </c>
      <c r="N152" s="505">
        <v>14372.661954145657</v>
      </c>
      <c r="O152" s="75">
        <v>13641.327047983183</v>
      </c>
      <c r="P152" s="75">
        <v>13509.033348016561</v>
      </c>
      <c r="Q152" s="75">
        <v>13366.075999410423</v>
      </c>
      <c r="R152" s="75">
        <v>13184.086772836163</v>
      </c>
      <c r="S152" s="75">
        <v>11230.551581765412</v>
      </c>
      <c r="T152" s="75">
        <v>9284.8452676307206</v>
      </c>
      <c r="U152" s="75">
        <v>8983.3411559239757</v>
      </c>
      <c r="V152" s="75">
        <v>8645.6895008794982</v>
      </c>
      <c r="W152" s="75">
        <v>13897.132593289814</v>
      </c>
      <c r="X152" s="75">
        <v>23792.315364825248</v>
      </c>
      <c r="Y152" s="60"/>
      <c r="Z152" s="60"/>
      <c r="AA152" s="60"/>
      <c r="AB152" s="60"/>
      <c r="AC152" s="60"/>
      <c r="AD152" s="60"/>
      <c r="AE152"/>
    </row>
    <row r="153" spans="1:31" ht="13.2" outlineLevel="1">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c r="AA153" s="60"/>
      <c r="AB153" s="60"/>
      <c r="AC153" s="60"/>
      <c r="AD153" s="60"/>
      <c r="AE153"/>
    </row>
    <row r="154" spans="1:31" ht="13.2" outlineLevel="1">
      <c r="A154" s="71" t="s">
        <v>487</v>
      </c>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c r="AA154" s="60"/>
      <c r="AB154" s="60"/>
      <c r="AC154" s="60"/>
      <c r="AD154" s="60"/>
      <c r="AE154"/>
    </row>
    <row r="155" spans="1:31" ht="13.2" outlineLevel="1">
      <c r="A155" s="442">
        <v>36257</v>
      </c>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c r="AA155" s="60"/>
      <c r="AB155" s="60"/>
      <c r="AC155" s="60"/>
      <c r="AD155" s="60"/>
      <c r="AE155"/>
    </row>
    <row r="156" spans="1:31" ht="13.2" outlineLevel="1">
      <c r="A156" s="64" t="s">
        <v>368</v>
      </c>
      <c r="B156" s="65">
        <v>56499.468065229936</v>
      </c>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c r="AA156" s="60"/>
      <c r="AB156" s="60"/>
      <c r="AC156" s="60"/>
      <c r="AD156" s="60"/>
      <c r="AE156"/>
    </row>
    <row r="157" spans="1:31" ht="13.2" outlineLevel="1">
      <c r="A157" s="66" t="s">
        <v>369</v>
      </c>
      <c r="B157" s="67">
        <v>91003.794047275631</v>
      </c>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c r="AA157" s="60"/>
      <c r="AB157" s="60"/>
      <c r="AC157" s="60"/>
      <c r="AD157" s="60"/>
      <c r="AE157"/>
    </row>
    <row r="158" spans="1:31" ht="13.2" outlineLevel="1">
      <c r="A158" s="68" t="s">
        <v>370</v>
      </c>
      <c r="B158" s="495" t="s">
        <v>468</v>
      </c>
      <c r="C158" s="495" t="s">
        <v>469</v>
      </c>
      <c r="D158" s="497">
        <v>2000</v>
      </c>
      <c r="E158" s="498">
        <v>2001</v>
      </c>
      <c r="F158" s="498">
        <v>2002</v>
      </c>
      <c r="G158" s="498">
        <v>2003</v>
      </c>
      <c r="H158" s="498">
        <v>2004</v>
      </c>
      <c r="I158" s="498">
        <v>2005</v>
      </c>
      <c r="J158" s="498">
        <v>2006</v>
      </c>
      <c r="K158" s="498">
        <v>2007</v>
      </c>
      <c r="L158" s="498">
        <v>2008</v>
      </c>
      <c r="M158" s="498">
        <v>2009</v>
      </c>
      <c r="N158" s="499">
        <v>2010</v>
      </c>
      <c r="O158" s="69">
        <v>2011</v>
      </c>
      <c r="P158" s="69">
        <v>2012</v>
      </c>
      <c r="Q158" s="69">
        <v>2013</v>
      </c>
      <c r="R158" s="69">
        <v>2014</v>
      </c>
      <c r="S158" s="69">
        <v>2015</v>
      </c>
      <c r="T158" s="69">
        <v>2016</v>
      </c>
      <c r="U158" s="69">
        <v>2017</v>
      </c>
      <c r="V158" s="69">
        <v>2018</v>
      </c>
      <c r="W158" s="69">
        <v>2019</v>
      </c>
      <c r="X158" s="69">
        <v>2020</v>
      </c>
      <c r="Y158" s="60"/>
      <c r="Z158" s="60"/>
      <c r="AA158" s="60"/>
      <c r="AB158" s="60"/>
      <c r="AC158" s="60"/>
      <c r="AD158" s="60"/>
      <c r="AE158"/>
    </row>
    <row r="159" spans="1:31" ht="13.2" outlineLevel="1">
      <c r="A159" s="68" t="s">
        <v>371</v>
      </c>
      <c r="B159" s="496">
        <f>NPV(0.1,D159:Y159)</f>
        <v>446264.54204574286</v>
      </c>
      <c r="C159" s="496">
        <f>B159-B149</f>
        <v>0</v>
      </c>
      <c r="D159" s="500">
        <v>25189.762342667505</v>
      </c>
      <c r="E159" s="501">
        <v>35376.433791805001</v>
      </c>
      <c r="F159" s="501">
        <v>35645.332165780004</v>
      </c>
      <c r="G159" s="501">
        <v>45529.944323530937</v>
      </c>
      <c r="H159" s="501">
        <v>53562.887944764712</v>
      </c>
      <c r="I159" s="501">
        <v>54768.636314981719</v>
      </c>
      <c r="J159" s="501">
        <v>55804.995130143914</v>
      </c>
      <c r="K159" s="501">
        <v>56945.283321483759</v>
      </c>
      <c r="L159" s="501">
        <v>58187.519046010966</v>
      </c>
      <c r="M159" s="501">
        <v>59535.800461611754</v>
      </c>
      <c r="N159" s="502">
        <v>61016.394858283551</v>
      </c>
      <c r="O159" s="75">
        <v>62490.473965212397</v>
      </c>
      <c r="P159" s="75">
        <v>64091.691905629341</v>
      </c>
      <c r="Q159" s="75">
        <v>65758.175670493118</v>
      </c>
      <c r="R159" s="75">
        <v>67483.490782344117</v>
      </c>
      <c r="S159" s="75">
        <v>69236.188163651619</v>
      </c>
      <c r="T159" s="75">
        <v>70857.911235672073</v>
      </c>
      <c r="U159" s="75">
        <v>72647.37291222802</v>
      </c>
      <c r="V159" s="75">
        <v>74205.210050484689</v>
      </c>
      <c r="W159" s="75">
        <v>75758.395147332514</v>
      </c>
      <c r="X159" s="75">
        <v>76682.678933859192</v>
      </c>
      <c r="Y159" s="60"/>
      <c r="Z159" s="60"/>
      <c r="AA159" s="60"/>
      <c r="AB159" s="60"/>
      <c r="AC159" s="60"/>
      <c r="AD159" s="60"/>
      <c r="AE159"/>
    </row>
    <row r="160" spans="1:31" ht="13.2" outlineLevel="1">
      <c r="A160" s="70" t="s">
        <v>372</v>
      </c>
      <c r="B160" s="496">
        <f>NPV(0.1,D160:Y160)</f>
        <v>204810.67576054562</v>
      </c>
      <c r="C160" s="496">
        <f>B160-B150</f>
        <v>0</v>
      </c>
      <c r="D160" s="500">
        <v>15895.576509334169</v>
      </c>
      <c r="E160" s="501">
        <v>20122.017091804999</v>
      </c>
      <c r="F160" s="501">
        <v>20486.852964780002</v>
      </c>
      <c r="G160" s="501">
        <v>20788.8581103006</v>
      </c>
      <c r="H160" s="501">
        <v>21157.215760409217</v>
      </c>
      <c r="I160" s="501">
        <v>21597.823232928997</v>
      </c>
      <c r="J160" s="501">
        <v>22108.375347366469</v>
      </c>
      <c r="K160" s="501">
        <v>22721.964267711959</v>
      </c>
      <c r="L160" s="501">
        <v>23439.067122789664</v>
      </c>
      <c r="M160" s="501">
        <v>24262.268483922362</v>
      </c>
      <c r="N160" s="502">
        <v>25755.350729588885</v>
      </c>
      <c r="O160" s="75">
        <v>26820.791165875849</v>
      </c>
      <c r="P160" s="75">
        <v>28022.865355128222</v>
      </c>
      <c r="Q160" s="75">
        <v>29303.705558276964</v>
      </c>
      <c r="R160" s="75">
        <v>30656.932538605477</v>
      </c>
      <c r="S160" s="75">
        <v>32052.20452360014</v>
      </c>
      <c r="T160" s="75">
        <v>33501.462156254187</v>
      </c>
      <c r="U160" s="75">
        <v>35146.708852357813</v>
      </c>
      <c r="V160" s="75">
        <v>36589.317715506499</v>
      </c>
      <c r="W160" s="75">
        <v>38058.077138393746</v>
      </c>
      <c r="X160" s="75">
        <v>38929.636613623661</v>
      </c>
      <c r="Y160" s="60"/>
      <c r="Z160" s="60"/>
      <c r="AA160" s="60"/>
      <c r="AB160" s="60"/>
      <c r="AC160" s="60"/>
      <c r="AD160" s="60"/>
      <c r="AE160"/>
    </row>
    <row r="161" spans="1:31" ht="13.2" outlineLevel="1">
      <c r="A161" s="70" t="s">
        <v>34</v>
      </c>
      <c r="B161" s="496">
        <f>NPV(0.1,D161:Y161)</f>
        <v>84840.121049627051</v>
      </c>
      <c r="C161" s="496">
        <f>B161-B151</f>
        <v>268.94049677852308</v>
      </c>
      <c r="D161" s="500">
        <v>343.72987557435397</v>
      </c>
      <c r="E161" s="501">
        <v>218.32867886778794</v>
      </c>
      <c r="F161" s="501">
        <v>232.37510865267055</v>
      </c>
      <c r="G161" s="501">
        <v>6331.6888766955763</v>
      </c>
      <c r="H161" s="501">
        <v>11146.505433734979</v>
      </c>
      <c r="I161" s="501">
        <v>11899.111134053295</v>
      </c>
      <c r="J161" s="501">
        <v>12493.574132441732</v>
      </c>
      <c r="K161" s="501">
        <v>13025.969223519285</v>
      </c>
      <c r="L161" s="501">
        <v>13583.950943776064</v>
      </c>
      <c r="M161" s="501">
        <v>14170.5651717356</v>
      </c>
      <c r="N161" s="502">
        <v>14450.270842159685</v>
      </c>
      <c r="O161" s="75">
        <v>15017.414771651334</v>
      </c>
      <c r="P161" s="75">
        <v>15611.533109310714</v>
      </c>
      <c r="Q161" s="75">
        <v>16232.555262656293</v>
      </c>
      <c r="R161" s="75">
        <v>16883.009449505553</v>
      </c>
      <c r="S161" s="75">
        <v>17564.966593085857</v>
      </c>
      <c r="T161" s="75">
        <v>18174.359522288862</v>
      </c>
      <c r="U161" s="75">
        <v>18809.502369399703</v>
      </c>
      <c r="V161" s="75">
        <v>19472.851677213461</v>
      </c>
      <c r="W161" s="75">
        <v>20166.404336419895</v>
      </c>
      <c r="X161" s="75">
        <v>20920.106462609911</v>
      </c>
      <c r="Y161" s="60"/>
      <c r="Z161" s="60"/>
      <c r="AA161" s="60"/>
      <c r="AB161" s="60"/>
      <c r="AC161" s="60"/>
      <c r="AD161" s="60"/>
      <c r="AE161"/>
    </row>
    <row r="162" spans="1:31" ht="13.2" outlineLevel="1">
      <c r="A162" s="70" t="s">
        <v>32</v>
      </c>
      <c r="B162" s="496">
        <f>NPV(0.1,D162:Y162)</f>
        <v>97824.425440673265</v>
      </c>
      <c r="C162" s="496">
        <f>B162-B152</f>
        <v>232.19621445515077</v>
      </c>
      <c r="D162" s="503">
        <v>2097.1862901892719</v>
      </c>
      <c r="E162" s="504">
        <v>4086.7970109406469</v>
      </c>
      <c r="F162" s="504">
        <v>3474.2315888692938</v>
      </c>
      <c r="G162" s="504">
        <v>14783.113176231611</v>
      </c>
      <c r="H162" s="504">
        <v>19214.952771521061</v>
      </c>
      <c r="I162" s="504">
        <v>17384.880708937111</v>
      </c>
      <c r="J162" s="504">
        <v>14185.315769848556</v>
      </c>
      <c r="K162" s="504">
        <v>14168.374620720015</v>
      </c>
      <c r="L162" s="504">
        <v>14124.572648614629</v>
      </c>
      <c r="M162" s="504">
        <v>14071.583989391796</v>
      </c>
      <c r="N162" s="505">
        <v>14413.410539644236</v>
      </c>
      <c r="O162" s="75">
        <v>13732.690182509836</v>
      </c>
      <c r="P162" s="75">
        <v>13585.355507521734</v>
      </c>
      <c r="Q162" s="75">
        <v>13426.71532576081</v>
      </c>
      <c r="R162" s="75">
        <v>13228.384769489232</v>
      </c>
      <c r="S162" s="75">
        <v>11331.049671261579</v>
      </c>
      <c r="T162" s="75">
        <v>9366.3434700290127</v>
      </c>
      <c r="U162" s="75">
        <v>9045.0193554828675</v>
      </c>
      <c r="V162" s="75">
        <v>8686.703811012605</v>
      </c>
      <c r="W162" s="75">
        <v>14157.076843768147</v>
      </c>
      <c r="X162" s="75">
        <v>24041.421375194812</v>
      </c>
      <c r="Y162" s="60"/>
      <c r="Z162" s="60"/>
      <c r="AA162" s="60"/>
      <c r="AB162" s="60"/>
      <c r="AC162" s="60"/>
      <c r="AD162" s="60"/>
      <c r="AE162"/>
    </row>
    <row r="163" spans="1:31" ht="13.2" outlineLevel="1">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c r="AA163" s="60"/>
      <c r="AB163" s="60"/>
      <c r="AC163" s="60"/>
      <c r="AD163" s="60"/>
      <c r="AE163"/>
    </row>
    <row r="164" spans="1:31" ht="13.2" outlineLevel="1">
      <c r="A164" s="71" t="s">
        <v>492</v>
      </c>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c r="AA164" s="60"/>
      <c r="AB164" s="60"/>
      <c r="AC164" s="60"/>
      <c r="AD164" s="60"/>
      <c r="AE164"/>
    </row>
    <row r="165" spans="1:31" ht="13.2" outlineLevel="1">
      <c r="A165" s="442">
        <v>36257</v>
      </c>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c r="AA165" s="60"/>
      <c r="AB165" s="60"/>
      <c r="AC165" s="60"/>
      <c r="AD165" s="60"/>
      <c r="AE165"/>
    </row>
    <row r="166" spans="1:31" ht="13.2" outlineLevel="1">
      <c r="A166" s="64" t="s">
        <v>368</v>
      </c>
      <c r="B166" s="65">
        <v>55173.746394289541</v>
      </c>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c r="AA166" s="60"/>
      <c r="AB166" s="60"/>
      <c r="AC166" s="60"/>
      <c r="AD166" s="60"/>
      <c r="AE166"/>
    </row>
    <row r="167" spans="1:31" ht="13.2" outlineLevel="1">
      <c r="A167" s="66" t="s">
        <v>369</v>
      </c>
      <c r="B167" s="67">
        <v>89269.199918918457</v>
      </c>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c r="AA167" s="60"/>
      <c r="AB167" s="60"/>
      <c r="AC167" s="60"/>
      <c r="AD167" s="60"/>
      <c r="AE167"/>
    </row>
    <row r="168" spans="1:31" ht="13.2" outlineLevel="1">
      <c r="A168" s="68" t="s">
        <v>370</v>
      </c>
      <c r="B168" s="495" t="s">
        <v>468</v>
      </c>
      <c r="C168" s="495" t="s">
        <v>469</v>
      </c>
      <c r="D168" s="497">
        <v>2000</v>
      </c>
      <c r="E168" s="498">
        <v>2001</v>
      </c>
      <c r="F168" s="498">
        <v>2002</v>
      </c>
      <c r="G168" s="498">
        <v>2003</v>
      </c>
      <c r="H168" s="498">
        <v>2004</v>
      </c>
      <c r="I168" s="498">
        <v>2005</v>
      </c>
      <c r="J168" s="498">
        <v>2006</v>
      </c>
      <c r="K168" s="498">
        <v>2007</v>
      </c>
      <c r="L168" s="498">
        <v>2008</v>
      </c>
      <c r="M168" s="498">
        <v>2009</v>
      </c>
      <c r="N168" s="499">
        <v>2010</v>
      </c>
      <c r="O168" s="69">
        <v>2011</v>
      </c>
      <c r="P168" s="69">
        <v>2012</v>
      </c>
      <c r="Q168" s="69">
        <v>2013</v>
      </c>
      <c r="R168" s="69">
        <v>2014</v>
      </c>
      <c r="S168" s="69">
        <v>2015</v>
      </c>
      <c r="T168" s="69">
        <v>2016</v>
      </c>
      <c r="U168" s="69">
        <v>2017</v>
      </c>
      <c r="V168" s="69">
        <v>2018</v>
      </c>
      <c r="W168" s="69">
        <v>2019</v>
      </c>
      <c r="X168" s="69">
        <v>2020</v>
      </c>
      <c r="Y168" s="60"/>
      <c r="Z168" s="60"/>
      <c r="AA168" s="60"/>
      <c r="AB168" s="60"/>
      <c r="AC168" s="60"/>
      <c r="AD168" s="60"/>
      <c r="AE168"/>
    </row>
    <row r="169" spans="1:31" ht="13.2" outlineLevel="1">
      <c r="A169" s="68" t="s">
        <v>371</v>
      </c>
      <c r="B169" s="496">
        <f>NPV(0.1,D169:Y169)</f>
        <v>446264.54204574286</v>
      </c>
      <c r="C169" s="496">
        <f>B169-B159</f>
        <v>0</v>
      </c>
      <c r="D169" s="500">
        <v>25189.762342667505</v>
      </c>
      <c r="E169" s="501">
        <v>35376.433791805001</v>
      </c>
      <c r="F169" s="501">
        <v>35645.332165780004</v>
      </c>
      <c r="G169" s="501">
        <v>45529.944323530937</v>
      </c>
      <c r="H169" s="501">
        <v>53562.887944764712</v>
      </c>
      <c r="I169" s="501">
        <v>54768.636314981719</v>
      </c>
      <c r="J169" s="501">
        <v>55804.995130143914</v>
      </c>
      <c r="K169" s="501">
        <v>56945.283321483759</v>
      </c>
      <c r="L169" s="501">
        <v>58187.519046010966</v>
      </c>
      <c r="M169" s="501">
        <v>59535.800461611754</v>
      </c>
      <c r="N169" s="502">
        <v>61016.394858283551</v>
      </c>
      <c r="O169" s="75">
        <v>62490.473965212397</v>
      </c>
      <c r="P169" s="75">
        <v>64091.691905629341</v>
      </c>
      <c r="Q169" s="75">
        <v>65758.175670493118</v>
      </c>
      <c r="R169" s="75">
        <v>67483.490782344117</v>
      </c>
      <c r="S169" s="75">
        <v>69236.188163651619</v>
      </c>
      <c r="T169" s="75">
        <v>70857.911235672073</v>
      </c>
      <c r="U169" s="75">
        <v>72647.37291222802</v>
      </c>
      <c r="V169" s="75">
        <v>74205.210050484689</v>
      </c>
      <c r="W169" s="75">
        <v>75758.395147332514</v>
      </c>
      <c r="X169" s="75">
        <v>76682.678933859192</v>
      </c>
      <c r="Y169" s="60"/>
      <c r="Z169" s="60"/>
      <c r="AA169" s="60"/>
      <c r="AB169" s="60"/>
      <c r="AC169" s="60"/>
      <c r="AD169" s="60"/>
      <c r="AE169"/>
    </row>
    <row r="170" spans="1:31" ht="13.2" outlineLevel="1">
      <c r="A170" s="70" t="s">
        <v>372</v>
      </c>
      <c r="B170" s="496">
        <f>NPV(0.1,D170:Y170)</f>
        <v>206542.328904514</v>
      </c>
      <c r="C170" s="496">
        <f>B170-B160</f>
        <v>1731.6531439683749</v>
      </c>
      <c r="D170" s="500">
        <v>15993.497789610985</v>
      </c>
      <c r="E170" s="501">
        <v>20294.918095265206</v>
      </c>
      <c r="F170" s="501">
        <v>20664.940998344016</v>
      </c>
      <c r="G170" s="501">
        <v>20972.288784871533</v>
      </c>
      <c r="H170" s="501">
        <v>21346.14935521728</v>
      </c>
      <c r="I170" s="501">
        <v>21792.4248355813</v>
      </c>
      <c r="J170" s="501">
        <v>22308.814998098343</v>
      </c>
      <c r="K170" s="501">
        <v>22928.41710796579</v>
      </c>
      <c r="L170" s="501">
        <v>23651.713548251108</v>
      </c>
      <c r="M170" s="501">
        <v>24481.294302147649</v>
      </c>
      <c r="N170" s="502">
        <v>25980.947322360931</v>
      </c>
      <c r="O170" s="75">
        <v>27053.155656431056</v>
      </c>
      <c r="P170" s="75">
        <v>28262.200780400086</v>
      </c>
      <c r="Q170" s="75">
        <v>29550.221046306986</v>
      </c>
      <c r="R170" s="75">
        <v>30910.843491276399</v>
      </c>
      <c r="S170" s="75">
        <v>32313.732804851188</v>
      </c>
      <c r="T170" s="75">
        <v>33770.836285942773</v>
      </c>
      <c r="U170" s="75">
        <v>35424.16420593705</v>
      </c>
      <c r="V170" s="75">
        <v>36875.096729693112</v>
      </c>
      <c r="W170" s="75">
        <v>38352.429523005958</v>
      </c>
      <c r="X170" s="75">
        <v>39232.819569774234</v>
      </c>
      <c r="Y170" s="60"/>
      <c r="Z170" s="60"/>
      <c r="AA170" s="60"/>
      <c r="AB170" s="60"/>
      <c r="AC170" s="60"/>
      <c r="AD170" s="60"/>
      <c r="AE170"/>
    </row>
    <row r="171" spans="1:31" ht="13.2" outlineLevel="1">
      <c r="A171" s="70" t="s">
        <v>34</v>
      </c>
      <c r="B171" s="496">
        <f>NPV(0.1,D171:Y171)</f>
        <v>84046.805123060563</v>
      </c>
      <c r="C171" s="496">
        <f>B171-B161</f>
        <v>-793.31592656648718</v>
      </c>
      <c r="D171" s="500">
        <v>310.0719677714593</v>
      </c>
      <c r="E171" s="501">
        <v>156.00177265650626</v>
      </c>
      <c r="F171" s="501">
        <v>163.98126977774217</v>
      </c>
      <c r="G171" s="501">
        <v>6256.7208199526031</v>
      </c>
      <c r="H171" s="501">
        <v>11067.660660464408</v>
      </c>
      <c r="I171" s="501">
        <v>11816.143128773278</v>
      </c>
      <c r="J171" s="501">
        <v>12406.218567087075</v>
      </c>
      <c r="K171" s="501">
        <v>12933.94258969445</v>
      </c>
      <c r="L171" s="501">
        <v>13486.94907730619</v>
      </c>
      <c r="M171" s="501">
        <v>14068.261660950908</v>
      </c>
      <c r="N171" s="502">
        <v>14342.315310665073</v>
      </c>
      <c r="O171" s="75">
        <v>14903.431025594593</v>
      </c>
      <c r="P171" s="75">
        <v>15491.117138365595</v>
      </c>
      <c r="Q171" s="75">
        <v>16105.273083075615</v>
      </c>
      <c r="R171" s="75">
        <v>16748.394776669669</v>
      </c>
      <c r="S171" s="75">
        <v>17422.518329967694</v>
      </c>
      <c r="T171" s="75">
        <v>18023.539049172166</v>
      </c>
      <c r="U171" s="75">
        <v>18649.730619016129</v>
      </c>
      <c r="V171" s="75">
        <v>19303.505978199126</v>
      </c>
      <c r="W171" s="75">
        <v>19986.815006626337</v>
      </c>
      <c r="X171" s="75">
        <v>20729.553132329063</v>
      </c>
      <c r="Y171" s="60"/>
      <c r="Z171" s="60"/>
      <c r="AA171" s="60"/>
      <c r="AB171" s="60"/>
      <c r="AC171" s="60"/>
      <c r="AD171" s="60"/>
      <c r="AE171"/>
    </row>
    <row r="172" spans="1:31" ht="13.2" outlineLevel="1">
      <c r="A172" s="70" t="s">
        <v>32</v>
      </c>
      <c r="B172" s="496">
        <f>NPV(0.1,D172:Y172)</f>
        <v>97346.743287145087</v>
      </c>
      <c r="C172" s="496">
        <f>B172-B162</f>
        <v>-477.68215352817788</v>
      </c>
      <c r="D172" s="503">
        <v>2073.3650556603934</v>
      </c>
      <c r="E172" s="504">
        <v>4044.7355168296581</v>
      </c>
      <c r="F172" s="504">
        <v>3430.9082499349724</v>
      </c>
      <c r="G172" s="504">
        <v>14674.868072397247</v>
      </c>
      <c r="H172" s="504">
        <v>19103.549466314002</v>
      </c>
      <c r="I172" s="504">
        <v>17510.782605698081</v>
      </c>
      <c r="J172" s="504">
        <v>14119.026799772206</v>
      </c>
      <c r="K172" s="504">
        <v>14101.422682138802</v>
      </c>
      <c r="L172" s="504">
        <v>14057.043908521202</v>
      </c>
      <c r="M172" s="504">
        <v>14003.575684272408</v>
      </c>
      <c r="N172" s="505">
        <v>14345.03198632225</v>
      </c>
      <c r="O172" s="75">
        <v>13664.063873615243</v>
      </c>
      <c r="P172" s="75">
        <v>13516.618298469533</v>
      </c>
      <c r="Q172" s="75">
        <v>13358.019720675018</v>
      </c>
      <c r="R172" s="75">
        <v>13159.900314107865</v>
      </c>
      <c r="S172" s="75">
        <v>11262.964461504338</v>
      </c>
      <c r="T172" s="75">
        <v>9298.8657856074587</v>
      </c>
      <c r="U172" s="75">
        <v>8978.379428687349</v>
      </c>
      <c r="V172" s="75">
        <v>8621.155741624596</v>
      </c>
      <c r="W172" s="75">
        <v>14026.400285980551</v>
      </c>
      <c r="X172" s="75">
        <v>23848.673189800786</v>
      </c>
      <c r="Y172" s="60"/>
      <c r="Z172" s="60"/>
      <c r="AA172" s="60"/>
      <c r="AB172" s="60"/>
      <c r="AC172" s="60"/>
      <c r="AD172" s="60"/>
      <c r="AE172"/>
    </row>
    <row r="173" spans="1:31" ht="13.2" outlineLevel="1">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c r="AA173" s="60"/>
      <c r="AB173" s="60"/>
      <c r="AC173" s="60"/>
      <c r="AD173" s="60"/>
      <c r="AE173"/>
    </row>
    <row r="174" spans="1:31" ht="13.2" outlineLevel="1">
      <c r="A174" s="71" t="s">
        <v>493</v>
      </c>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c r="AA174" s="60"/>
      <c r="AB174" s="60"/>
      <c r="AC174" s="60"/>
      <c r="AD174" s="60"/>
      <c r="AE174"/>
    </row>
    <row r="175" spans="1:31" ht="13.2" outlineLevel="1">
      <c r="A175" s="442">
        <v>36258</v>
      </c>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c r="AA175" s="60"/>
      <c r="AB175" s="60"/>
      <c r="AC175" s="60"/>
      <c r="AD175" s="60"/>
      <c r="AE175"/>
    </row>
    <row r="176" spans="1:31" ht="13.2" outlineLevel="1">
      <c r="A176" s="64" t="s">
        <v>368</v>
      </c>
      <c r="B176" s="65">
        <v>50631.458039207726</v>
      </c>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c r="AA176" s="60"/>
      <c r="AB176" s="60"/>
      <c r="AC176" s="60"/>
      <c r="AD176" s="60"/>
      <c r="AE176"/>
    </row>
    <row r="177" spans="1:31" ht="13.2" outlineLevel="1">
      <c r="A177" s="66" t="s">
        <v>369</v>
      </c>
      <c r="B177" s="67">
        <v>83326.001672456186</v>
      </c>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c r="AA177" s="60"/>
      <c r="AB177" s="60"/>
      <c r="AC177" s="60"/>
      <c r="AD177" s="60"/>
      <c r="AE177"/>
    </row>
    <row r="178" spans="1:31" ht="13.2" outlineLevel="1">
      <c r="A178" s="68" t="s">
        <v>370</v>
      </c>
      <c r="B178" s="495" t="s">
        <v>468</v>
      </c>
      <c r="C178" s="495" t="s">
        <v>469</v>
      </c>
      <c r="D178" s="497">
        <v>2000</v>
      </c>
      <c r="E178" s="498">
        <v>2001</v>
      </c>
      <c r="F178" s="498">
        <v>2002</v>
      </c>
      <c r="G178" s="498">
        <v>2003</v>
      </c>
      <c r="H178" s="498">
        <v>2004</v>
      </c>
      <c r="I178" s="498">
        <v>2005</v>
      </c>
      <c r="J178" s="498">
        <v>2006</v>
      </c>
      <c r="K178" s="498">
        <v>2007</v>
      </c>
      <c r="L178" s="498">
        <v>2008</v>
      </c>
      <c r="M178" s="498">
        <v>2009</v>
      </c>
      <c r="N178" s="499">
        <v>2010</v>
      </c>
      <c r="O178" s="69">
        <v>2011</v>
      </c>
      <c r="P178" s="69">
        <v>2012</v>
      </c>
      <c r="Q178" s="69">
        <v>2013</v>
      </c>
      <c r="R178" s="69">
        <v>2014</v>
      </c>
      <c r="S178" s="69">
        <v>2015</v>
      </c>
      <c r="T178" s="69">
        <v>2016</v>
      </c>
      <c r="U178" s="69">
        <v>2017</v>
      </c>
      <c r="V178" s="69">
        <v>2018</v>
      </c>
      <c r="W178" s="69">
        <v>2019</v>
      </c>
      <c r="X178" s="69">
        <v>2020</v>
      </c>
      <c r="Y178" s="60"/>
      <c r="Z178" s="60"/>
      <c r="AA178" s="60"/>
      <c r="AB178" s="60"/>
      <c r="AC178" s="60"/>
      <c r="AD178" s="60"/>
      <c r="AE178"/>
    </row>
    <row r="179" spans="1:31" ht="13.2" outlineLevel="1">
      <c r="A179" s="68" t="s">
        <v>371</v>
      </c>
      <c r="B179" s="496">
        <f>NPV(0.1,D179:Y179)</f>
        <v>446264.54204574286</v>
      </c>
      <c r="C179" s="496">
        <f>B179-B169</f>
        <v>0</v>
      </c>
      <c r="D179" s="500">
        <v>25189.762342667505</v>
      </c>
      <c r="E179" s="501">
        <v>35376.433791805001</v>
      </c>
      <c r="F179" s="501">
        <v>35645.332165780004</v>
      </c>
      <c r="G179" s="501">
        <v>45529.944323530937</v>
      </c>
      <c r="H179" s="501">
        <v>53562.887944764712</v>
      </c>
      <c r="I179" s="501">
        <v>54768.636314981719</v>
      </c>
      <c r="J179" s="501">
        <v>55804.995130143914</v>
      </c>
      <c r="K179" s="501">
        <v>56945.283321483759</v>
      </c>
      <c r="L179" s="501">
        <v>58187.519046010966</v>
      </c>
      <c r="M179" s="501">
        <v>59535.800461611754</v>
      </c>
      <c r="N179" s="502">
        <v>61016.394858283551</v>
      </c>
      <c r="O179" s="75">
        <v>62490.473965212397</v>
      </c>
      <c r="P179" s="75">
        <v>64091.691905629341</v>
      </c>
      <c r="Q179" s="75">
        <v>65758.175670493118</v>
      </c>
      <c r="R179" s="75">
        <v>67483.490782344117</v>
      </c>
      <c r="S179" s="75">
        <v>69236.188163651619</v>
      </c>
      <c r="T179" s="75">
        <v>70857.911235672073</v>
      </c>
      <c r="U179" s="75">
        <v>72647.37291222802</v>
      </c>
      <c r="V179" s="75">
        <v>74205.210050484689</v>
      </c>
      <c r="W179" s="75">
        <v>75758.395147332514</v>
      </c>
      <c r="X179" s="75">
        <v>76682.678933859192</v>
      </c>
      <c r="Y179" s="60"/>
      <c r="Z179" s="60"/>
      <c r="AA179" s="60"/>
      <c r="AB179" s="60"/>
      <c r="AC179" s="60"/>
      <c r="AD179" s="60"/>
      <c r="AE179"/>
    </row>
    <row r="180" spans="1:31" ht="13.2" outlineLevel="1">
      <c r="A180" s="70" t="s">
        <v>372</v>
      </c>
      <c r="B180" s="496">
        <f>NPV(0.1,D180:Y180)</f>
        <v>212475.45052672323</v>
      </c>
      <c r="C180" s="496">
        <f>B180-B170</f>
        <v>5933.1216222092335</v>
      </c>
      <c r="D180" s="500">
        <v>16329.003122944319</v>
      </c>
      <c r="E180" s="501">
        <v>20887.324655265205</v>
      </c>
      <c r="F180" s="501">
        <v>21275.119755144016</v>
      </c>
      <c r="G180" s="501">
        <v>21600.772904375532</v>
      </c>
      <c r="H180" s="501">
        <v>21993.487998306398</v>
      </c>
      <c r="I180" s="501">
        <v>22459.183637963091</v>
      </c>
      <c r="J180" s="501">
        <v>22995.576564551589</v>
      </c>
      <c r="K180" s="501">
        <v>23635.781521412631</v>
      </c>
      <c r="L180" s="501">
        <v>24380.298894101361</v>
      </c>
      <c r="M180" s="501">
        <v>25231.737208373404</v>
      </c>
      <c r="N180" s="502">
        <v>26753.903515773462</v>
      </c>
      <c r="O180" s="75">
        <v>27849.300535645962</v>
      </c>
      <c r="P180" s="75">
        <v>29082.230005991441</v>
      </c>
      <c r="Q180" s="75">
        <v>30394.851148666079</v>
      </c>
      <c r="R180" s="75">
        <v>31780.812496706269</v>
      </c>
      <c r="S180" s="75">
        <v>33209.800880443952</v>
      </c>
      <c r="T180" s="75">
        <v>34693.786403803315</v>
      </c>
      <c r="U180" s="75">
        <v>36374.802827333406</v>
      </c>
      <c r="V180" s="75">
        <v>37854.25450973137</v>
      </c>
      <c r="W180" s="75">
        <v>39360.962036445359</v>
      </c>
      <c r="X180" s="75">
        <v>40271.608058616817</v>
      </c>
      <c r="Y180" s="60"/>
      <c r="Z180" s="60"/>
      <c r="AA180" s="60"/>
      <c r="AB180" s="60"/>
      <c r="AC180" s="60"/>
      <c r="AD180" s="60"/>
      <c r="AE180"/>
    </row>
    <row r="181" spans="1:31" ht="13.2" outlineLevel="1">
      <c r="A181" s="70" t="s">
        <v>34</v>
      </c>
      <c r="B181" s="496">
        <f>NPV(0.1,D181:Y181)</f>
        <v>81328.685796710866</v>
      </c>
      <c r="C181" s="496">
        <f>B181-B171</f>
        <v>-2718.1193263496971</v>
      </c>
      <c r="D181" s="500">
        <v>194.75068577034392</v>
      </c>
      <c r="E181" s="501">
        <v>-57.547410778779515</v>
      </c>
      <c r="F181" s="501">
        <v>-70.354899488131906</v>
      </c>
      <c r="G181" s="501">
        <v>5999.8595657308406</v>
      </c>
      <c r="H181" s="501">
        <v>10797.516705412421</v>
      </c>
      <c r="I181" s="501">
        <v>11531.87184280988</v>
      </c>
      <c r="J181" s="501">
        <v>12106.914289304124</v>
      </c>
      <c r="K181" s="501">
        <v>12618.633942078117</v>
      </c>
      <c r="L181" s="501">
        <v>13154.593909441475</v>
      </c>
      <c r="M181" s="501">
        <v>13717.741596364773</v>
      </c>
      <c r="N181" s="502">
        <v>13972.429863121035</v>
      </c>
      <c r="O181" s="75">
        <v>14512.891251122292</v>
      </c>
      <c r="P181" s="75">
        <v>15078.538786077021</v>
      </c>
      <c r="Q181" s="75">
        <v>15669.16920486972</v>
      </c>
      <c r="R181" s="75">
        <v>16287.167752741034</v>
      </c>
      <c r="S181" s="75">
        <v>16934.451263594514</v>
      </c>
      <c r="T181" s="75">
        <v>17506.786480542974</v>
      </c>
      <c r="U181" s="75">
        <v>18102.308503842054</v>
      </c>
      <c r="V181" s="75">
        <v>18723.280872524934</v>
      </c>
      <c r="W181" s="75">
        <v>19371.492394573448</v>
      </c>
      <c r="X181" s="75">
        <v>20076.664828449415</v>
      </c>
      <c r="Y181" s="60"/>
      <c r="Z181" s="60"/>
      <c r="AA181" s="60"/>
      <c r="AB181" s="60"/>
      <c r="AC181" s="60"/>
      <c r="AD181" s="60"/>
      <c r="AE181"/>
    </row>
    <row r="182" spans="1:31" ht="13.2">
      <c r="A182" s="70" t="s">
        <v>32</v>
      </c>
      <c r="B182" s="496">
        <f>NPV(0.1,D182:Y182)</f>
        <v>95710.072384826373</v>
      </c>
      <c r="C182" s="496">
        <f>B182-B172</f>
        <v>-1636.6709023187141</v>
      </c>
      <c r="D182" s="503">
        <v>1991.7469313014185</v>
      </c>
      <c r="E182" s="504">
        <v>3900.6212286758096</v>
      </c>
      <c r="F182" s="504">
        <v>3282.4705331365103</v>
      </c>
      <c r="G182" s="504">
        <v>14303.990470092776</v>
      </c>
      <c r="H182" s="504">
        <v>18721.850994416312</v>
      </c>
      <c r="I182" s="504">
        <v>17942.157253993901</v>
      </c>
      <c r="J182" s="504">
        <v>13891.90249197193</v>
      </c>
      <c r="K182" s="504">
        <v>13872.026861255918</v>
      </c>
      <c r="L182" s="504">
        <v>13825.671806455344</v>
      </c>
      <c r="M182" s="504">
        <v>13770.560460063572</v>
      </c>
      <c r="N182" s="505">
        <v>14110.748189579666</v>
      </c>
      <c r="O182" s="75">
        <v>13428.93119789831</v>
      </c>
      <c r="P182" s="75">
        <v>13281.105648203236</v>
      </c>
      <c r="Q182" s="75">
        <v>13122.649617080655</v>
      </c>
      <c r="R182" s="75">
        <v>12925.25366767999</v>
      </c>
      <c r="S182" s="75">
        <v>11029.685740779889</v>
      </c>
      <c r="T182" s="75">
        <v>9067.6686143652478</v>
      </c>
      <c r="U182" s="75">
        <v>8750.0526463001479</v>
      </c>
      <c r="V182" s="75">
        <v>8396.5699640774401</v>
      </c>
      <c r="W182" s="75">
        <v>13578.666331160497</v>
      </c>
      <c r="X182" s="75">
        <v>23188.26470650472</v>
      </c>
      <c r="Y182" s="60"/>
      <c r="Z182" s="60"/>
      <c r="AA182" s="60"/>
      <c r="AB182" s="60"/>
      <c r="AC182" s="60"/>
      <c r="AD182" s="60"/>
      <c r="AE182"/>
    </row>
    <row r="183" spans="1:31" ht="13.2">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c r="AA183" s="60"/>
      <c r="AB183" s="60"/>
      <c r="AC183" s="60"/>
      <c r="AD183" s="60"/>
      <c r="AE183"/>
    </row>
    <row r="184" spans="1:31" ht="13.2">
      <c r="A184" s="71" t="s">
        <v>495</v>
      </c>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c r="AA184" s="60"/>
      <c r="AB184" s="60"/>
      <c r="AC184" s="60"/>
      <c r="AD184" s="60"/>
      <c r="AE184"/>
    </row>
    <row r="185" spans="1:31" ht="13.2">
      <c r="A185" s="442">
        <v>36258</v>
      </c>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c r="AA185" s="60"/>
      <c r="AB185" s="60"/>
      <c r="AC185" s="60"/>
      <c r="AD185" s="60"/>
      <c r="AE185"/>
    </row>
    <row r="186" spans="1:31" ht="13.2">
      <c r="A186" s="64" t="s">
        <v>368</v>
      </c>
      <c r="B186" s="65">
        <v>51736.646131296358</v>
      </c>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c r="AA186" s="60"/>
      <c r="AB186" s="60"/>
      <c r="AC186" s="60"/>
      <c r="AD186" s="60"/>
      <c r="AE186"/>
    </row>
    <row r="187" spans="1:31" ht="13.2">
      <c r="A187" s="66" t="s">
        <v>369</v>
      </c>
      <c r="B187" s="67">
        <v>84846.674267848342</v>
      </c>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c r="AA187" s="60"/>
      <c r="AB187" s="60"/>
      <c r="AC187" s="60"/>
      <c r="AD187" s="60"/>
      <c r="AE187"/>
    </row>
    <row r="188" spans="1:31" ht="13.2">
      <c r="A188" s="68" t="s">
        <v>370</v>
      </c>
      <c r="B188" s="495" t="s">
        <v>468</v>
      </c>
      <c r="C188" s="495" t="s">
        <v>469</v>
      </c>
      <c r="D188" s="497">
        <v>2000</v>
      </c>
      <c r="E188" s="498">
        <v>2001</v>
      </c>
      <c r="F188" s="498">
        <v>2002</v>
      </c>
      <c r="G188" s="498">
        <v>2003</v>
      </c>
      <c r="H188" s="498">
        <v>2004</v>
      </c>
      <c r="I188" s="498">
        <v>2005</v>
      </c>
      <c r="J188" s="498">
        <v>2006</v>
      </c>
      <c r="K188" s="498">
        <v>2007</v>
      </c>
      <c r="L188" s="498">
        <v>2008</v>
      </c>
      <c r="M188" s="498">
        <v>2009</v>
      </c>
      <c r="N188" s="499">
        <v>2010</v>
      </c>
      <c r="O188" s="69">
        <v>2011</v>
      </c>
      <c r="P188" s="69">
        <v>2012</v>
      </c>
      <c r="Q188" s="69">
        <v>2013</v>
      </c>
      <c r="R188" s="69">
        <v>2014</v>
      </c>
      <c r="S188" s="69">
        <v>2015</v>
      </c>
      <c r="T188" s="69">
        <v>2016</v>
      </c>
      <c r="U188" s="69">
        <v>2017</v>
      </c>
      <c r="V188" s="69">
        <v>2018</v>
      </c>
      <c r="W188" s="69">
        <v>2019</v>
      </c>
      <c r="X188" s="69">
        <v>2020</v>
      </c>
      <c r="Y188" s="60"/>
      <c r="Z188" s="60"/>
      <c r="AA188" s="60"/>
      <c r="AB188" s="60"/>
      <c r="AC188" s="60"/>
      <c r="AD188" s="60"/>
      <c r="AE188"/>
    </row>
    <row r="189" spans="1:31" ht="13.2">
      <c r="A189" s="68" t="s">
        <v>371</v>
      </c>
      <c r="B189" s="496">
        <f>NPV(0.1,D189:Y189)</f>
        <v>448587.12563072768</v>
      </c>
      <c r="C189" s="496">
        <f>B189-B179</f>
        <v>2322.5835849848227</v>
      </c>
      <c r="D189" s="500">
        <v>25319.238727273754</v>
      </c>
      <c r="E189" s="501">
        <v>35559.758833942498</v>
      </c>
      <c r="F189" s="501">
        <v>35829.963215730008</v>
      </c>
      <c r="G189" s="501">
        <v>45766.921059227599</v>
      </c>
      <c r="H189" s="501">
        <v>53842.374964197326</v>
      </c>
      <c r="I189" s="501">
        <v>55054.388265019734</v>
      </c>
      <c r="J189" s="501">
        <v>56096.105499388374</v>
      </c>
      <c r="K189" s="501">
        <v>57242.294092737859</v>
      </c>
      <c r="L189" s="501">
        <v>58490.961677128616</v>
      </c>
      <c r="M189" s="501">
        <v>59846.227780583533</v>
      </c>
      <c r="N189" s="502">
        <v>61334.497372443147</v>
      </c>
      <c r="O189" s="75">
        <v>62816.204674786029</v>
      </c>
      <c r="P189" s="75">
        <v>64425.713344335178</v>
      </c>
      <c r="Q189" s="75">
        <v>66100.825569039211</v>
      </c>
      <c r="R189" s="75">
        <v>67835.072929349</v>
      </c>
      <c r="S189" s="75">
        <v>69596.841155687696</v>
      </c>
      <c r="T189" s="75">
        <v>71226.932218456597</v>
      </c>
      <c r="U189" s="75">
        <v>73025.63586072094</v>
      </c>
      <c r="V189" s="75">
        <v>74591.49337592446</v>
      </c>
      <c r="W189" s="75">
        <v>76152.667861783484</v>
      </c>
      <c r="X189" s="75">
        <v>77081.634565422035</v>
      </c>
      <c r="Y189" s="60"/>
      <c r="Z189" s="60"/>
      <c r="AA189" s="60"/>
      <c r="AB189" s="60"/>
      <c r="AC189" s="60"/>
      <c r="AD189" s="60"/>
      <c r="AE189"/>
    </row>
    <row r="190" spans="1:31" ht="13.2">
      <c r="A190" s="70" t="s">
        <v>372</v>
      </c>
      <c r="B190" s="496">
        <f>NPV(0.1,D190:Y190)</f>
        <v>213292.81888470543</v>
      </c>
      <c r="C190" s="496">
        <f>B190-B180</f>
        <v>817.36835798219545</v>
      </c>
      <c r="D190" s="500">
        <v>16397.749259569024</v>
      </c>
      <c r="E190" s="501">
        <v>20966.567430966719</v>
      </c>
      <c r="F190" s="501">
        <v>21355.696070664952</v>
      </c>
      <c r="G190" s="501">
        <v>21682.337315435096</v>
      </c>
      <c r="H190" s="501">
        <v>22076.361717286745</v>
      </c>
      <c r="I190" s="501">
        <v>22543.728661719102</v>
      </c>
      <c r="J190" s="501">
        <v>23082.131632484277</v>
      </c>
      <c r="K190" s="501">
        <v>23724.868800057055</v>
      </c>
      <c r="L190" s="501">
        <v>24472.431849604738</v>
      </c>
      <c r="M190" s="501">
        <v>25327.452628889383</v>
      </c>
      <c r="N190" s="502">
        <v>26853.87795397329</v>
      </c>
      <c r="O190" s="75">
        <v>27954.254245522538</v>
      </c>
      <c r="P190" s="75">
        <v>29192.86290110707</v>
      </c>
      <c r="Q190" s="75">
        <v>30511.542966394925</v>
      </c>
      <c r="R190" s="75">
        <v>31903.913903122477</v>
      </c>
      <c r="S190" s="75">
        <v>33339.502474806395</v>
      </c>
      <c r="T190" s="75">
        <v>34830.345780688011</v>
      </c>
      <c r="U190" s="75">
        <v>36519.21120546465</v>
      </c>
      <c r="V190" s="75">
        <v>38005.415937925165</v>
      </c>
      <c r="W190" s="75">
        <v>39518.979956266347</v>
      </c>
      <c r="X190" s="75">
        <v>40433.31963403018</v>
      </c>
      <c r="Y190" s="60"/>
      <c r="Z190" s="60"/>
      <c r="AA190" s="60"/>
      <c r="AB190" s="60"/>
      <c r="AC190" s="60"/>
      <c r="AD190" s="60"/>
      <c r="AE190"/>
    </row>
    <row r="191" spans="1:31" ht="13.2">
      <c r="A191" s="70" t="s">
        <v>34</v>
      </c>
      <c r="B191" s="496">
        <f>NPV(0.1,D191:Y191)</f>
        <v>82009.942553009954</v>
      </c>
      <c r="C191" s="496">
        <f>B191-B181</f>
        <v>681.25675629908801</v>
      </c>
      <c r="D191" s="500">
        <v>209.56106475278111</v>
      </c>
      <c r="E191" s="501">
        <v>-31.737925267053001</v>
      </c>
      <c r="F191" s="501">
        <v>-43.780581318944229</v>
      </c>
      <c r="G191" s="501">
        <v>6059.5543443493698</v>
      </c>
      <c r="H191" s="501">
        <v>10883.155128054012</v>
      </c>
      <c r="I191" s="501">
        <v>11621.268138555493</v>
      </c>
      <c r="J191" s="501">
        <v>12199.446713031628</v>
      </c>
      <c r="K191" s="501">
        <v>12714.463992050169</v>
      </c>
      <c r="L191" s="501">
        <v>13253.894254281309</v>
      </c>
      <c r="M191" s="501">
        <v>13820.696944167797</v>
      </c>
      <c r="N191" s="502">
        <v>14079.23790019885</v>
      </c>
      <c r="O191" s="75">
        <v>14623.274057414435</v>
      </c>
      <c r="P191" s="75">
        <v>15192.678277887066</v>
      </c>
      <c r="Q191" s="75">
        <v>15787.260080777927</v>
      </c>
      <c r="R191" s="75">
        <v>16409.418503583478</v>
      </c>
      <c r="S191" s="75">
        <v>17061.085264078363</v>
      </c>
      <c r="T191" s="75">
        <v>17637.475590168702</v>
      </c>
      <c r="U191" s="75">
        <v>18237.2575069099</v>
      </c>
      <c r="V191" s="75">
        <v>18862.709226663133</v>
      </c>
      <c r="W191" s="75">
        <v>19515.635409701405</v>
      </c>
      <c r="X191" s="75">
        <v>20225.774941902389</v>
      </c>
      <c r="Y191" s="60"/>
      <c r="Z191" s="60"/>
      <c r="AA191" s="60"/>
      <c r="AB191" s="60"/>
      <c r="AC191" s="60"/>
      <c r="AD191" s="60"/>
      <c r="AE191"/>
    </row>
    <row r="192" spans="1:31" ht="13.2">
      <c r="A192" s="70" t="s">
        <v>32</v>
      </c>
      <c r="B192" s="496">
        <f>NPV(0.1,D192:Y192)</f>
        <v>96096.480206813343</v>
      </c>
      <c r="C192" s="496">
        <f>B192-B182</f>
        <v>386.40782198696979</v>
      </c>
      <c r="D192" s="503">
        <v>2031.1148801243232</v>
      </c>
      <c r="E192" s="504">
        <v>3874.4304470700699</v>
      </c>
      <c r="F192" s="504">
        <v>3259.499834328326</v>
      </c>
      <c r="G192" s="504">
        <v>14372.3735600604</v>
      </c>
      <c r="H192" s="504">
        <v>18837.586014491753</v>
      </c>
      <c r="I192" s="504">
        <v>17915.096559105234</v>
      </c>
      <c r="J192" s="504">
        <v>13957.365166159045</v>
      </c>
      <c r="K192" s="504">
        <v>13937.420450650454</v>
      </c>
      <c r="L192" s="504">
        <v>13890.89569094231</v>
      </c>
      <c r="M192" s="504">
        <v>13835.505039807755</v>
      </c>
      <c r="N192" s="505">
        <v>14175.29419642531</v>
      </c>
      <c r="O192" s="75">
        <v>13492.788379958463</v>
      </c>
      <c r="P192" s="75">
        <v>13344.133491139411</v>
      </c>
      <c r="Q192" s="75">
        <v>13184.696508160747</v>
      </c>
      <c r="R192" s="75">
        <v>12986.156093339512</v>
      </c>
      <c r="S192" s="75">
        <v>11089.267424985575</v>
      </c>
      <c r="T192" s="75">
        <v>9125.5534435918016</v>
      </c>
      <c r="U192" s="75">
        <v>8806.0364041041357</v>
      </c>
      <c r="V192" s="75">
        <v>8450.4338056680026</v>
      </c>
      <c r="W192" s="75">
        <v>13670.207418227765</v>
      </c>
      <c r="X192" s="75">
        <v>23339.092318646683</v>
      </c>
      <c r="Y192" s="60"/>
      <c r="Z192" s="60"/>
      <c r="AA192" s="60"/>
      <c r="AB192" s="60"/>
      <c r="AC192" s="60"/>
      <c r="AD192" s="60"/>
      <c r="AE192"/>
    </row>
    <row r="193" spans="1:31" ht="13.2">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c r="AA193" s="60"/>
      <c r="AB193" s="60"/>
      <c r="AC193" s="60"/>
      <c r="AD193" s="60"/>
      <c r="AE193"/>
    </row>
    <row r="194" spans="1:31" ht="13.2">
      <c r="A194" s="71" t="s">
        <v>496</v>
      </c>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c r="AA194" s="60"/>
      <c r="AB194" s="60"/>
      <c r="AC194" s="60"/>
      <c r="AD194" s="60"/>
      <c r="AE194"/>
    </row>
    <row r="195" spans="1:31" ht="13.2">
      <c r="A195" s="442">
        <v>36260</v>
      </c>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c r="AA195" s="60"/>
      <c r="AB195" s="60"/>
      <c r="AC195" s="60"/>
      <c r="AD195" s="60"/>
      <c r="AE195"/>
    </row>
    <row r="196" spans="1:31" ht="13.2">
      <c r="A196" s="64" t="s">
        <v>368</v>
      </c>
      <c r="B196" s="65">
        <v>51736.646131296366</v>
      </c>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c r="AA196" s="60"/>
      <c r="AB196" s="60"/>
      <c r="AC196" s="60"/>
      <c r="AD196" s="60"/>
      <c r="AE196"/>
    </row>
    <row r="197" spans="1:31" ht="13.2">
      <c r="A197" s="66" t="s">
        <v>369</v>
      </c>
      <c r="B197" s="67">
        <v>84846.674267848386</v>
      </c>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c r="AA197" s="60"/>
      <c r="AB197" s="60"/>
      <c r="AC197" s="60"/>
      <c r="AD197" s="60"/>
      <c r="AE197"/>
    </row>
    <row r="198" spans="1:31" ht="13.2">
      <c r="A198" s="68" t="s">
        <v>370</v>
      </c>
      <c r="B198" s="495" t="s">
        <v>468</v>
      </c>
      <c r="C198" s="495" t="s">
        <v>469</v>
      </c>
      <c r="D198" s="497">
        <v>2000</v>
      </c>
      <c r="E198" s="498">
        <v>2001</v>
      </c>
      <c r="F198" s="498">
        <v>2002</v>
      </c>
      <c r="G198" s="498">
        <v>2003</v>
      </c>
      <c r="H198" s="498">
        <v>2004</v>
      </c>
      <c r="I198" s="498">
        <v>2005</v>
      </c>
      <c r="J198" s="498">
        <v>2006</v>
      </c>
      <c r="K198" s="498">
        <v>2007</v>
      </c>
      <c r="L198" s="498">
        <v>2008</v>
      </c>
      <c r="M198" s="498">
        <v>2009</v>
      </c>
      <c r="N198" s="499">
        <v>2010</v>
      </c>
      <c r="O198" s="69">
        <v>2011</v>
      </c>
      <c r="P198" s="69">
        <v>2012</v>
      </c>
      <c r="Q198" s="69">
        <v>2013</v>
      </c>
      <c r="R198" s="69">
        <v>2014</v>
      </c>
      <c r="S198" s="69">
        <v>2015</v>
      </c>
      <c r="T198" s="69">
        <v>2016</v>
      </c>
      <c r="U198" s="69">
        <v>2017</v>
      </c>
      <c r="V198" s="69">
        <v>2018</v>
      </c>
      <c r="W198" s="69">
        <v>2019</v>
      </c>
      <c r="X198" s="69">
        <v>2020</v>
      </c>
      <c r="Y198" s="60"/>
      <c r="Z198" s="60"/>
      <c r="AA198" s="60"/>
      <c r="AB198" s="60"/>
      <c r="AC198" s="60"/>
      <c r="AD198" s="60"/>
      <c r="AE198"/>
    </row>
    <row r="199" spans="1:31" ht="13.2">
      <c r="A199" s="68" t="s">
        <v>371</v>
      </c>
      <c r="B199" s="496">
        <f>NPV(0.1,D199:Y199)</f>
        <v>449920.81283256959</v>
      </c>
      <c r="C199" s="496">
        <f>B199-B189</f>
        <v>1333.687201841909</v>
      </c>
      <c r="D199" s="500">
        <v>25431.803913050499</v>
      </c>
      <c r="E199" s="501">
        <v>35689.015720383002</v>
      </c>
      <c r="F199" s="501">
        <v>35961.371851326003</v>
      </c>
      <c r="G199" s="501">
        <v>45899.908606955592</v>
      </c>
      <c r="H199" s="501">
        <v>53977.47093727233</v>
      </c>
      <c r="I199" s="501">
        <v>55192.189569247726</v>
      </c>
      <c r="J199" s="501">
        <v>56237.17053052337</v>
      </c>
      <c r="K199" s="501">
        <v>57387.484513193354</v>
      </c>
      <c r="L199" s="501">
        <v>58641.124708048621</v>
      </c>
      <c r="M199" s="501">
        <v>60002.249153164033</v>
      </c>
      <c r="N199" s="502">
        <v>61497.493878192145</v>
      </c>
      <c r="O199" s="75">
        <v>62987.365311559042</v>
      </c>
      <c r="P199" s="75">
        <v>64606.193413692185</v>
      </c>
      <c r="Q199" s="75">
        <v>66291.250859325213</v>
      </c>
      <c r="R199" s="75">
        <v>68036.021091343995</v>
      </c>
      <c r="S199" s="75">
        <v>69808.625083564199</v>
      </c>
      <c r="T199" s="75">
        <v>71449.975522786612</v>
      </c>
      <c r="U199" s="75">
        <v>73261.575218714454</v>
      </c>
      <c r="V199" s="75">
        <v>74838.514001380958</v>
      </c>
      <c r="W199" s="75">
        <v>76410.938236180489</v>
      </c>
      <c r="X199" s="75">
        <v>77345.921903635957</v>
      </c>
      <c r="Y199" s="60"/>
      <c r="Z199" s="60"/>
      <c r="AA199" s="60"/>
      <c r="AB199" s="60"/>
      <c r="AC199" s="60"/>
      <c r="AD199" s="60"/>
      <c r="AE199"/>
    </row>
    <row r="200" spans="1:31" s="54" customFormat="1" ht="13.2">
      <c r="A200" s="70" t="s">
        <v>372</v>
      </c>
      <c r="B200" s="496">
        <f>NPV(0.1,D200:Y200)</f>
        <v>214626.50608654739</v>
      </c>
      <c r="C200" s="496">
        <f>B200-B190</f>
        <v>1333.6872018419672</v>
      </c>
      <c r="D200" s="500">
        <v>16510.314445345772</v>
      </c>
      <c r="E200" s="501">
        <v>21095.824317407219</v>
      </c>
      <c r="F200" s="501">
        <v>21487.10470626095</v>
      </c>
      <c r="G200" s="501">
        <v>21815.324863163092</v>
      </c>
      <c r="H200" s="501">
        <v>22211.457690361745</v>
      </c>
      <c r="I200" s="501">
        <v>22681.529965947102</v>
      </c>
      <c r="J200" s="501">
        <v>23223.196663619274</v>
      </c>
      <c r="K200" s="501">
        <v>23870.05922051255</v>
      </c>
      <c r="L200" s="501">
        <v>24622.594880524735</v>
      </c>
      <c r="M200" s="501">
        <v>25483.474001469884</v>
      </c>
      <c r="N200" s="502">
        <v>27016.874459722294</v>
      </c>
      <c r="O200" s="75">
        <v>28125.414882295539</v>
      </c>
      <c r="P200" s="75">
        <v>29373.342970464069</v>
      </c>
      <c r="Q200" s="75">
        <v>30701.968256680924</v>
      </c>
      <c r="R200" s="75">
        <v>32104.862065117475</v>
      </c>
      <c r="S200" s="75">
        <v>33551.286402682897</v>
      </c>
      <c r="T200" s="75">
        <v>35053.389085018011</v>
      </c>
      <c r="U200" s="75">
        <v>36755.150563458148</v>
      </c>
      <c r="V200" s="75">
        <v>38252.436563381663</v>
      </c>
      <c r="W200" s="75">
        <v>39777.250330663344</v>
      </c>
      <c r="X200" s="75">
        <v>40697.606972244103</v>
      </c>
      <c r="Y200" s="60"/>
      <c r="Z200" s="60"/>
      <c r="AA200" s="60"/>
      <c r="AB200" s="60"/>
      <c r="AC200" s="60"/>
      <c r="AD200" s="60"/>
      <c r="AE200"/>
    </row>
    <row r="201" spans="1:31" s="54" customFormat="1" ht="13.2">
      <c r="A201" s="70" t="s">
        <v>34</v>
      </c>
      <c r="B201" s="496">
        <f>NPV(0.1,D201:Y201)</f>
        <v>82009.942553009969</v>
      </c>
      <c r="C201" s="496">
        <f>B201-B191</f>
        <v>0</v>
      </c>
      <c r="D201" s="500">
        <v>209.56106475277886</v>
      </c>
      <c r="E201" s="501">
        <v>-31.737925267050745</v>
      </c>
      <c r="F201" s="501">
        <v>-43.780581318946489</v>
      </c>
      <c r="G201" s="501">
        <v>6059.554344349368</v>
      </c>
      <c r="H201" s="501">
        <v>10883.155128054015</v>
      </c>
      <c r="I201" s="501">
        <v>11621.26813855549</v>
      </c>
      <c r="J201" s="501">
        <v>12199.446713031628</v>
      </c>
      <c r="K201" s="501">
        <v>12714.463992050169</v>
      </c>
      <c r="L201" s="501">
        <v>13253.894254281317</v>
      </c>
      <c r="M201" s="501">
        <v>13820.696944167797</v>
      </c>
      <c r="N201" s="502">
        <v>14079.23790019885</v>
      </c>
      <c r="O201" s="75">
        <v>14623.274057414439</v>
      </c>
      <c r="P201" s="75">
        <v>15192.678277887073</v>
      </c>
      <c r="Q201" s="75">
        <v>15787.260080777931</v>
      </c>
      <c r="R201" s="75">
        <v>16409.418503583474</v>
      </c>
      <c r="S201" s="75">
        <v>17061.08526407836</v>
      </c>
      <c r="T201" s="75">
        <v>17637.475590168709</v>
      </c>
      <c r="U201" s="75">
        <v>18237.257506909911</v>
      </c>
      <c r="V201" s="75">
        <v>18862.709226663133</v>
      </c>
      <c r="W201" s="75">
        <v>19515.635409701412</v>
      </c>
      <c r="X201" s="75">
        <v>20225.774941902389</v>
      </c>
      <c r="Y201" s="60"/>
      <c r="Z201" s="60"/>
      <c r="AA201" s="60"/>
      <c r="AB201" s="60"/>
      <c r="AC201" s="60"/>
      <c r="AD201" s="60"/>
      <c r="AE201"/>
    </row>
    <row r="202" spans="1:31" s="54" customFormat="1" ht="13.2">
      <c r="A202" s="70" t="s">
        <v>32</v>
      </c>
      <c r="B202" s="496">
        <f>NPV(0.1,D202:Y202)</f>
        <v>96096.480206813329</v>
      </c>
      <c r="C202" s="496">
        <f>B202-B192</f>
        <v>0</v>
      </c>
      <c r="D202" s="503">
        <v>2031.1148801243219</v>
      </c>
      <c r="E202" s="504">
        <v>3874.4304470700699</v>
      </c>
      <c r="F202" s="504">
        <v>3259.499834328326</v>
      </c>
      <c r="G202" s="504">
        <v>14372.373560060401</v>
      </c>
      <c r="H202" s="504">
        <v>18837.586014491753</v>
      </c>
      <c r="I202" s="504">
        <v>17915.096559105237</v>
      </c>
      <c r="J202" s="504">
        <v>13957.365166159048</v>
      </c>
      <c r="K202" s="504">
        <v>13937.420450650457</v>
      </c>
      <c r="L202" s="504">
        <v>13890.895690942312</v>
      </c>
      <c r="M202" s="504">
        <v>13835.505039807758</v>
      </c>
      <c r="N202" s="505">
        <v>14175.294196425306</v>
      </c>
      <c r="O202" s="75">
        <v>13492.788379958469</v>
      </c>
      <c r="P202" s="75">
        <v>13344.133491139415</v>
      </c>
      <c r="Q202" s="75">
        <v>13184.696508160749</v>
      </c>
      <c r="R202" s="75">
        <v>12986.156093339505</v>
      </c>
      <c r="S202" s="75">
        <v>11089.26742498557</v>
      </c>
      <c r="T202" s="75">
        <v>9125.5534435918053</v>
      </c>
      <c r="U202" s="75">
        <v>8806.0364041041394</v>
      </c>
      <c r="V202" s="75">
        <v>8450.4338056680062</v>
      </c>
      <c r="W202" s="75">
        <v>13670.207418227768</v>
      </c>
      <c r="X202" s="75">
        <v>23339.092318646683</v>
      </c>
      <c r="Y202" s="60"/>
      <c r="Z202" s="60"/>
      <c r="AA202" s="60"/>
      <c r="AB202" s="60"/>
      <c r="AC202" s="60"/>
      <c r="AD202" s="60"/>
      <c r="AE202"/>
    </row>
    <row r="203" spans="1:31" ht="13.2">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c r="AA203" s="60"/>
      <c r="AB203" s="60"/>
      <c r="AC203" s="60"/>
      <c r="AD203" s="60"/>
      <c r="AE203"/>
    </row>
    <row r="204" spans="1:31" ht="13.2">
      <c r="A204" s="71" t="s">
        <v>498</v>
      </c>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c r="AA204" s="60"/>
      <c r="AB204" s="60"/>
      <c r="AC204" s="60"/>
      <c r="AD204" s="60"/>
      <c r="AE204"/>
    </row>
    <row r="205" spans="1:31" ht="13.2">
      <c r="A205" s="442">
        <v>36260</v>
      </c>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c r="AA205" s="60"/>
      <c r="AB205" s="60"/>
      <c r="AC205" s="60"/>
      <c r="AD205" s="60"/>
      <c r="AE205"/>
    </row>
    <row r="206" spans="1:31" ht="13.2">
      <c r="A206" s="64" t="s">
        <v>368</v>
      </c>
      <c r="B206" s="65">
        <v>51736.646131296366</v>
      </c>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c r="AA206" s="60"/>
      <c r="AB206" s="60"/>
      <c r="AC206" s="60"/>
      <c r="AD206" s="60"/>
      <c r="AE206"/>
    </row>
    <row r="207" spans="1:31" ht="13.2">
      <c r="A207" s="66" t="s">
        <v>369</v>
      </c>
      <c r="B207" s="67">
        <v>84846.674267848372</v>
      </c>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c r="AA207" s="60"/>
      <c r="AB207" s="60"/>
      <c r="AC207" s="60"/>
      <c r="AD207" s="60"/>
      <c r="AE207"/>
    </row>
    <row r="208" spans="1:31" ht="13.2">
      <c r="A208" s="68" t="s">
        <v>370</v>
      </c>
      <c r="B208" s="495" t="s">
        <v>468</v>
      </c>
      <c r="C208" s="495" t="s">
        <v>469</v>
      </c>
      <c r="D208" s="497">
        <v>2000</v>
      </c>
      <c r="E208" s="498">
        <v>2001</v>
      </c>
      <c r="F208" s="498">
        <v>2002</v>
      </c>
      <c r="G208" s="498">
        <v>2003</v>
      </c>
      <c r="H208" s="498">
        <v>2004</v>
      </c>
      <c r="I208" s="498">
        <v>2005</v>
      </c>
      <c r="J208" s="498">
        <v>2006</v>
      </c>
      <c r="K208" s="498">
        <v>2007</v>
      </c>
      <c r="L208" s="498">
        <v>2008</v>
      </c>
      <c r="M208" s="498">
        <v>2009</v>
      </c>
      <c r="N208" s="499">
        <v>2010</v>
      </c>
      <c r="O208" s="69">
        <v>2011</v>
      </c>
      <c r="P208" s="69">
        <v>2012</v>
      </c>
      <c r="Q208" s="69">
        <v>2013</v>
      </c>
      <c r="R208" s="69">
        <v>2014</v>
      </c>
      <c r="S208" s="69">
        <v>2015</v>
      </c>
      <c r="T208" s="69">
        <v>2016</v>
      </c>
      <c r="U208" s="69">
        <v>2017</v>
      </c>
      <c r="V208" s="69">
        <v>2018</v>
      </c>
      <c r="W208" s="69">
        <v>2019</v>
      </c>
      <c r="X208" s="69">
        <v>2020</v>
      </c>
      <c r="Y208" s="60"/>
      <c r="Z208" s="60"/>
      <c r="AA208" s="60"/>
      <c r="AB208" s="60"/>
      <c r="AC208" s="60"/>
      <c r="AD208" s="60"/>
      <c r="AE208"/>
    </row>
    <row r="209" spans="1:31" ht="13.2">
      <c r="A209" s="68" t="s">
        <v>371</v>
      </c>
      <c r="B209" s="496">
        <f>NPV(0.1,D209:Y209)</f>
        <v>435770.30304321484</v>
      </c>
      <c r="C209" s="496">
        <f>B209-B199</f>
        <v>-14150.50978935475</v>
      </c>
      <c r="D209" s="500">
        <v>28662.1113</v>
      </c>
      <c r="E209" s="501">
        <v>36968.644369000001</v>
      </c>
      <c r="F209" s="501">
        <v>36989.53593007</v>
      </c>
      <c r="G209" s="501">
        <v>46743.552822347599</v>
      </c>
      <c r="H209" s="501">
        <v>54574.713627822326</v>
      </c>
      <c r="I209" s="501">
        <v>55473.273225639728</v>
      </c>
      <c r="J209" s="501">
        <v>56136.838127913376</v>
      </c>
      <c r="K209" s="501">
        <v>56805.037711520359</v>
      </c>
      <c r="L209" s="501">
        <v>57477.552848928623</v>
      </c>
      <c r="M209" s="501">
        <v>58154.041093741034</v>
      </c>
      <c r="N209" s="502">
        <v>58834.135568778147</v>
      </c>
      <c r="O209" s="75">
        <v>59369.904294081032</v>
      </c>
      <c r="P209" s="75">
        <v>59899.615153990177</v>
      </c>
      <c r="Q209" s="75">
        <v>60422.422484729213</v>
      </c>
      <c r="R209" s="75">
        <v>60937.435334773996</v>
      </c>
      <c r="S209" s="75">
        <v>61443.7155086852</v>
      </c>
      <c r="T209" s="75">
        <v>61769.236800406601</v>
      </c>
      <c r="U209" s="75">
        <v>62073.736758773448</v>
      </c>
      <c r="V209" s="75">
        <v>62355.661134621965</v>
      </c>
      <c r="W209" s="75">
        <v>62613.381343038483</v>
      </c>
      <c r="X209" s="75">
        <v>62845.191402038836</v>
      </c>
      <c r="Y209" s="60"/>
      <c r="Z209" s="60"/>
      <c r="AA209" s="60"/>
      <c r="AB209" s="60"/>
      <c r="AC209" s="60"/>
      <c r="AD209" s="60"/>
      <c r="AE209"/>
    </row>
    <row r="210" spans="1:31" ht="13.2">
      <c r="A210" s="70" t="s">
        <v>372</v>
      </c>
      <c r="B210" s="496">
        <f>NPV(0.1,D210:Y210)</f>
        <v>200475.99629719273</v>
      </c>
      <c r="C210" s="496">
        <f>B210-B200</f>
        <v>-14150.509789354663</v>
      </c>
      <c r="D210" s="500">
        <v>19740.62183229527</v>
      </c>
      <c r="E210" s="501">
        <v>22375.452966024222</v>
      </c>
      <c r="F210" s="501">
        <v>22515.268785004948</v>
      </c>
      <c r="G210" s="501">
        <v>22658.969078555099</v>
      </c>
      <c r="H210" s="501">
        <v>22808.700380911749</v>
      </c>
      <c r="I210" s="501">
        <v>22962.6136223391</v>
      </c>
      <c r="J210" s="501">
        <v>23122.864261009279</v>
      </c>
      <c r="K210" s="501">
        <v>23287.612418839555</v>
      </c>
      <c r="L210" s="501">
        <v>23459.023021404741</v>
      </c>
      <c r="M210" s="501">
        <v>23635.265942046881</v>
      </c>
      <c r="N210" s="502">
        <v>24353.516150308289</v>
      </c>
      <c r="O210" s="75">
        <v>24507.953864817537</v>
      </c>
      <c r="P210" s="75">
        <v>24666.764710762061</v>
      </c>
      <c r="Q210" s="75">
        <v>24833.139882084924</v>
      </c>
      <c r="R210" s="75">
        <v>25006.276308547473</v>
      </c>
      <c r="S210" s="75">
        <v>25186.376827803895</v>
      </c>
      <c r="T210" s="75">
        <v>25372.650362638011</v>
      </c>
      <c r="U210" s="75">
        <v>25567.31210351715</v>
      </c>
      <c r="V210" s="75">
        <v>25769.583696622667</v>
      </c>
      <c r="W210" s="75">
        <v>25979.693437521346</v>
      </c>
      <c r="X210" s="75">
        <v>26196.876470646988</v>
      </c>
      <c r="Y210" s="60"/>
      <c r="Z210" s="60"/>
      <c r="AA210" s="60"/>
      <c r="AB210" s="60"/>
      <c r="AC210" s="60"/>
      <c r="AD210" s="60"/>
      <c r="AE210"/>
    </row>
    <row r="211" spans="1:31" ht="13.2">
      <c r="A211" s="70" t="s">
        <v>34</v>
      </c>
      <c r="B211" s="496">
        <f>NPV(0.1,D211:Y211)</f>
        <v>82009.942553009954</v>
      </c>
      <c r="C211" s="496">
        <f>B211-B201</f>
        <v>0</v>
      </c>
      <c r="D211" s="500">
        <v>209.56106475278111</v>
      </c>
      <c r="E211" s="501">
        <v>-31.737925267053001</v>
      </c>
      <c r="F211" s="501">
        <v>-43.780581318946489</v>
      </c>
      <c r="G211" s="501">
        <v>6059.554344349368</v>
      </c>
      <c r="H211" s="501">
        <v>10883.15512805401</v>
      </c>
      <c r="I211" s="501">
        <v>11621.268138555492</v>
      </c>
      <c r="J211" s="501">
        <v>12199.446713031628</v>
      </c>
      <c r="K211" s="501">
        <v>12714.463992050169</v>
      </c>
      <c r="L211" s="501">
        <v>13253.894254281313</v>
      </c>
      <c r="M211" s="501">
        <v>13820.696944167797</v>
      </c>
      <c r="N211" s="502">
        <v>14079.23790019885</v>
      </c>
      <c r="O211" s="75">
        <v>14623.274057414435</v>
      </c>
      <c r="P211" s="75">
        <v>15192.678277887075</v>
      </c>
      <c r="Q211" s="75">
        <v>15787.260080777931</v>
      </c>
      <c r="R211" s="75">
        <v>16409.418503583478</v>
      </c>
      <c r="S211" s="75">
        <v>17061.085264078363</v>
      </c>
      <c r="T211" s="75">
        <v>17637.475590168709</v>
      </c>
      <c r="U211" s="75">
        <v>18237.257506909908</v>
      </c>
      <c r="V211" s="75">
        <v>18862.709226663137</v>
      </c>
      <c r="W211" s="75">
        <v>19515.635409701408</v>
      </c>
      <c r="X211" s="75">
        <v>20225.774941902386</v>
      </c>
      <c r="Y211" s="60"/>
      <c r="Z211" s="60"/>
      <c r="AA211" s="60"/>
      <c r="AB211" s="60"/>
      <c r="AC211" s="60"/>
      <c r="AD211" s="60"/>
      <c r="AE211"/>
    </row>
    <row r="212" spans="1:31" ht="13.2">
      <c r="A212" s="70" t="s">
        <v>32</v>
      </c>
      <c r="B212" s="496">
        <f>NPV(0.1,D212:Y212)</f>
        <v>96096.480206813329</v>
      </c>
      <c r="C212" s="496">
        <f>B212-B202</f>
        <v>0</v>
      </c>
      <c r="D212" s="503">
        <v>2031.1148801243228</v>
      </c>
      <c r="E212" s="504">
        <v>3874.430447070069</v>
      </c>
      <c r="F212" s="504">
        <v>3259.499834328326</v>
      </c>
      <c r="G212" s="504">
        <v>14372.373560060401</v>
      </c>
      <c r="H212" s="504">
        <v>18837.58601449175</v>
      </c>
      <c r="I212" s="504">
        <v>17915.096559105245</v>
      </c>
      <c r="J212" s="504">
        <v>13957.365166159045</v>
      </c>
      <c r="K212" s="504">
        <v>13937.420450650454</v>
      </c>
      <c r="L212" s="504">
        <v>13890.895690942314</v>
      </c>
      <c r="M212" s="504">
        <v>13835.505039807755</v>
      </c>
      <c r="N212" s="505">
        <v>14175.29419642531</v>
      </c>
      <c r="O212" s="75">
        <v>13492.788379958463</v>
      </c>
      <c r="P212" s="75">
        <v>13344.133491139419</v>
      </c>
      <c r="Q212" s="75">
        <v>13184.696508160749</v>
      </c>
      <c r="R212" s="75">
        <v>12986.156093339505</v>
      </c>
      <c r="S212" s="75">
        <v>11089.26742498557</v>
      </c>
      <c r="T212" s="75">
        <v>9125.5534435917998</v>
      </c>
      <c r="U212" s="75">
        <v>8806.0364041041394</v>
      </c>
      <c r="V212" s="75">
        <v>8450.4338056680026</v>
      </c>
      <c r="W212" s="75">
        <v>13670.207418227768</v>
      </c>
      <c r="X212" s="75">
        <v>23339.092318646679</v>
      </c>
      <c r="Y212" s="60"/>
      <c r="Z212" s="60"/>
      <c r="AA212" s="60"/>
      <c r="AB212" s="60"/>
      <c r="AC212" s="60"/>
      <c r="AD212" s="60"/>
      <c r="AE212"/>
    </row>
    <row r="213" spans="1:31" ht="13.2">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c r="AA213" s="60"/>
      <c r="AB213" s="60"/>
      <c r="AC213" s="60"/>
      <c r="AD213" s="60"/>
      <c r="AE213"/>
    </row>
    <row r="214" spans="1:31" ht="13.2">
      <c r="A214" s="71" t="s">
        <v>524</v>
      </c>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c r="AA214" s="60"/>
      <c r="AB214" s="60"/>
      <c r="AC214" s="60"/>
      <c r="AD214" s="60"/>
      <c r="AE214"/>
    </row>
    <row r="215" spans="1:31" ht="13.2">
      <c r="A215" s="442">
        <v>36263</v>
      </c>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c r="AA215" s="60"/>
      <c r="AB215" s="60"/>
      <c r="AC215" s="60"/>
      <c r="AD215" s="60"/>
      <c r="AE215"/>
    </row>
    <row r="216" spans="1:31" ht="13.2">
      <c r="A216" s="64" t="s">
        <v>368</v>
      </c>
      <c r="B216" s="65">
        <v>66330.864281209462</v>
      </c>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c r="AA216" s="60"/>
      <c r="AB216" s="60"/>
      <c r="AC216" s="60"/>
      <c r="AD216" s="60"/>
      <c r="AE216"/>
    </row>
    <row r="217" spans="1:31" ht="13.2">
      <c r="A217" s="66" t="s">
        <v>369</v>
      </c>
      <c r="B217" s="67">
        <v>103817.90334033538</v>
      </c>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c r="AA217" s="60"/>
      <c r="AB217" s="60"/>
      <c r="AC217" s="60"/>
      <c r="AD217" s="60"/>
      <c r="AE217"/>
    </row>
    <row r="218" spans="1:31" ht="13.2">
      <c r="A218" s="68" t="s">
        <v>370</v>
      </c>
      <c r="B218" s="495" t="s">
        <v>468</v>
      </c>
      <c r="C218" s="495" t="s">
        <v>469</v>
      </c>
      <c r="D218" s="497">
        <v>2000</v>
      </c>
      <c r="E218" s="498">
        <v>2001</v>
      </c>
      <c r="F218" s="498">
        <v>2002</v>
      </c>
      <c r="G218" s="498">
        <v>2003</v>
      </c>
      <c r="H218" s="498">
        <v>2004</v>
      </c>
      <c r="I218" s="498">
        <v>2005</v>
      </c>
      <c r="J218" s="498">
        <v>2006</v>
      </c>
      <c r="K218" s="498">
        <v>2007</v>
      </c>
      <c r="L218" s="498">
        <v>2008</v>
      </c>
      <c r="M218" s="498">
        <v>2009</v>
      </c>
      <c r="N218" s="499">
        <v>2010</v>
      </c>
      <c r="O218" s="69">
        <v>2011</v>
      </c>
      <c r="P218" s="69">
        <v>2012</v>
      </c>
      <c r="Q218" s="69">
        <v>2013</v>
      </c>
      <c r="R218" s="69">
        <v>2014</v>
      </c>
      <c r="S218" s="69">
        <v>2015</v>
      </c>
      <c r="T218" s="69">
        <v>2016</v>
      </c>
      <c r="U218" s="69">
        <v>2017</v>
      </c>
      <c r="V218" s="69">
        <v>2018</v>
      </c>
      <c r="W218" s="69">
        <v>2019</v>
      </c>
      <c r="X218" s="69">
        <v>2020</v>
      </c>
      <c r="Y218" s="60"/>
      <c r="Z218" s="60"/>
      <c r="AA218" s="60"/>
      <c r="AB218" s="60"/>
      <c r="AC218" s="60"/>
      <c r="AD218" s="60"/>
      <c r="AE218"/>
    </row>
    <row r="219" spans="1:31" ht="13.2">
      <c r="A219" s="68" t="s">
        <v>371</v>
      </c>
      <c r="B219" s="496">
        <f>NPV(0.1,D219:Y219)</f>
        <v>455265.88297756651</v>
      </c>
      <c r="C219" s="496">
        <f>B219-B209</f>
        <v>19495.57993435167</v>
      </c>
      <c r="D219" s="500">
        <v>29974.238299999997</v>
      </c>
      <c r="E219" s="501">
        <v>37753.118929000004</v>
      </c>
      <c r="F219" s="501">
        <v>37840.159726869999</v>
      </c>
      <c r="G219" s="501">
        <v>48490.935333051588</v>
      </c>
      <c r="H219" s="501">
        <v>56984.148863847448</v>
      </c>
      <c r="I219" s="501">
        <v>57954.991518745599</v>
      </c>
      <c r="J219" s="501">
        <v>58693.007969812417</v>
      </c>
      <c r="K219" s="501">
        <v>59437.892648676381</v>
      </c>
      <c r="L219" s="501">
        <v>60189.39343419933</v>
      </c>
      <c r="M219" s="501">
        <v>60947.236896569848</v>
      </c>
      <c r="N219" s="502">
        <v>61711.127245691823</v>
      </c>
      <c r="O219" s="75">
        <v>62333.205721302125</v>
      </c>
      <c r="P219" s="75">
        <v>62951.815624027906</v>
      </c>
      <c r="Q219" s="75">
        <v>63566.188968868075</v>
      </c>
      <c r="R219" s="75">
        <v>64175.514813437025</v>
      </c>
      <c r="S219" s="75">
        <v>64778.937371708125</v>
      </c>
      <c r="T219" s="75">
        <v>65204.515319320206</v>
      </c>
      <c r="U219" s="75">
        <v>65612.073633254462</v>
      </c>
      <c r="V219" s="75">
        <v>66000.148115337404</v>
      </c>
      <c r="W219" s="75">
        <v>66367.202933175387</v>
      </c>
      <c r="X219" s="75">
        <v>66711.627639879851</v>
      </c>
      <c r="Y219" s="60"/>
      <c r="Z219" s="60"/>
      <c r="AA219" s="60"/>
      <c r="AB219" s="60"/>
      <c r="AC219" s="60"/>
      <c r="AD219" s="60"/>
      <c r="AE219"/>
    </row>
    <row r="220" spans="1:31" ht="13.2">
      <c r="A220" s="70" t="s">
        <v>372</v>
      </c>
      <c r="B220" s="496">
        <f>NPV(0.1,D220:Y220)</f>
        <v>201286.88720628369</v>
      </c>
      <c r="C220" s="496">
        <f>B220-B210</f>
        <v>810.8909090909583</v>
      </c>
      <c r="D220" s="500">
        <v>20632.60183229527</v>
      </c>
      <c r="E220" s="501">
        <v>22375.452966024222</v>
      </c>
      <c r="F220" s="501">
        <v>22515.268785004948</v>
      </c>
      <c r="G220" s="501">
        <v>22658.969078555096</v>
      </c>
      <c r="H220" s="501">
        <v>22808.700380911749</v>
      </c>
      <c r="I220" s="501">
        <v>22962.6136223391</v>
      </c>
      <c r="J220" s="501">
        <v>23122.864261009276</v>
      </c>
      <c r="K220" s="501">
        <v>23287.612418839552</v>
      </c>
      <c r="L220" s="501">
        <v>23459.023021404741</v>
      </c>
      <c r="M220" s="501">
        <v>23635.265942046884</v>
      </c>
      <c r="N220" s="502">
        <v>24353.516150308289</v>
      </c>
      <c r="O220" s="75">
        <v>24507.953864817537</v>
      </c>
      <c r="P220" s="75">
        <v>24666.764710762065</v>
      </c>
      <c r="Q220" s="75">
        <v>24833.139882084924</v>
      </c>
      <c r="R220" s="75">
        <v>25006.276308547473</v>
      </c>
      <c r="S220" s="75">
        <v>25186.376827803895</v>
      </c>
      <c r="T220" s="75">
        <v>25372.650362638014</v>
      </c>
      <c r="U220" s="75">
        <v>25567.312103517153</v>
      </c>
      <c r="V220" s="75">
        <v>25769.583696622663</v>
      </c>
      <c r="W220" s="75">
        <v>25979.693437521346</v>
      </c>
      <c r="X220" s="75">
        <v>26196.876470646988</v>
      </c>
      <c r="Y220" s="60"/>
      <c r="Z220" s="60"/>
      <c r="AA220" s="60"/>
      <c r="AB220" s="60"/>
      <c r="AC220" s="60"/>
      <c r="AD220" s="60"/>
      <c r="AE220"/>
    </row>
    <row r="221" spans="1:31" ht="13.2">
      <c r="A221" s="70" t="s">
        <v>34</v>
      </c>
      <c r="B221" s="496">
        <f>NPV(0.1,D221:Y221)</f>
        <v>90196.007121183429</v>
      </c>
      <c r="C221" s="496">
        <f>B221-B211</f>
        <v>8186.064568173475</v>
      </c>
      <c r="D221" s="500">
        <v>192.83967758076676</v>
      </c>
      <c r="E221" s="501">
        <v>-26.251662408959781</v>
      </c>
      <c r="F221" s="501">
        <v>-5.4746011196558841</v>
      </c>
      <c r="G221" s="501">
        <v>6654.4952538023026</v>
      </c>
      <c r="H221" s="501">
        <v>11888.647957889352</v>
      </c>
      <c r="I221" s="501">
        <v>12679.343784591205</v>
      </c>
      <c r="J221" s="501">
        <v>13313.47610225815</v>
      </c>
      <c r="K221" s="501">
        <v>13888.062654668018</v>
      </c>
      <c r="L221" s="501">
        <v>14490.941139829372</v>
      </c>
      <c r="M221" s="501">
        <v>15125.354720378104</v>
      </c>
      <c r="N221" s="502">
        <v>15455.974852518942</v>
      </c>
      <c r="O221" s="75">
        <v>16076.887716553492</v>
      </c>
      <c r="P221" s="75">
        <v>16728.320912909607</v>
      </c>
      <c r="Q221" s="75">
        <v>17410.466206249192</v>
      </c>
      <c r="R221" s="75">
        <v>18126.134561128776</v>
      </c>
      <c r="S221" s="75">
        <v>18877.701651524705</v>
      </c>
      <c r="T221" s="75">
        <v>19560.861225267094</v>
      </c>
      <c r="U221" s="75">
        <v>20274.797127572205</v>
      </c>
      <c r="V221" s="75">
        <v>21022.343645777131</v>
      </c>
      <c r="W221" s="75">
        <v>21805.904960007196</v>
      </c>
      <c r="X221" s="75">
        <v>22655.866365225193</v>
      </c>
      <c r="Y221" s="60"/>
      <c r="Z221" s="60"/>
      <c r="AA221" s="60"/>
      <c r="AB221" s="60"/>
      <c r="AC221" s="60"/>
      <c r="AD221" s="60"/>
      <c r="AE221"/>
    </row>
    <row r="222" spans="1:31" ht="13.2">
      <c r="A222" s="70" t="s">
        <v>32</v>
      </c>
      <c r="B222" s="496">
        <f>NPV(0.1,D222:Y222)</f>
        <v>102017.38790670654</v>
      </c>
      <c r="C222" s="496">
        <f>B222-B212</f>
        <v>5920.9076998932142</v>
      </c>
      <c r="D222" s="503">
        <v>2143.2672176243227</v>
      </c>
      <c r="E222" s="504">
        <v>4082.3149698392999</v>
      </c>
      <c r="F222" s="504">
        <v>3483.4764310498631</v>
      </c>
      <c r="G222" s="504">
        <v>15433.596304492832</v>
      </c>
      <c r="H222" s="504">
        <v>20258.291788116701</v>
      </c>
      <c r="I222" s="504">
        <v>17763.742394842811</v>
      </c>
      <c r="J222" s="504">
        <v>14802.73615708328</v>
      </c>
      <c r="K222" s="504">
        <v>14791.246156458083</v>
      </c>
      <c r="L222" s="504">
        <v>14752.077239892282</v>
      </c>
      <c r="M222" s="504">
        <v>14702.802392951784</v>
      </c>
      <c r="N222" s="505">
        <v>15047.313256507283</v>
      </c>
      <c r="O222" s="75">
        <v>14367.967021093991</v>
      </c>
      <c r="P222" s="75">
        <v>14220.726421500198</v>
      </c>
      <c r="Q222" s="75">
        <v>14060.758870822836</v>
      </c>
      <c r="R222" s="75">
        <v>13859.525702823175</v>
      </c>
      <c r="S222" s="75">
        <v>11957.545528770817</v>
      </c>
      <c r="T222" s="75">
        <v>9986.0838889890256</v>
      </c>
      <c r="U222" s="75">
        <v>9655.8830812415817</v>
      </c>
      <c r="V222" s="75">
        <v>9286.3562269681279</v>
      </c>
      <c r="W222" s="75">
        <v>14790.35526813873</v>
      </c>
      <c r="X222" s="75">
        <v>25797.174323808806</v>
      </c>
      <c r="Y222" s="60"/>
      <c r="Z222" s="60"/>
      <c r="AA222" s="60"/>
      <c r="AB222" s="60"/>
      <c r="AC222" s="60"/>
      <c r="AD222" s="60"/>
      <c r="AE222"/>
    </row>
    <row r="223" spans="1:31" ht="13.2">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c r="AA223" s="60"/>
      <c r="AB223" s="60"/>
      <c r="AC223" s="60"/>
      <c r="AD223" s="60"/>
      <c r="AE223"/>
    </row>
    <row r="224" spans="1:31" ht="13.2">
      <c r="A224" s="71" t="s">
        <v>525</v>
      </c>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c r="AA224" s="60"/>
      <c r="AB224" s="60"/>
      <c r="AC224" s="60"/>
      <c r="AD224" s="60"/>
      <c r="AE224"/>
    </row>
    <row r="225" spans="1:31" ht="13.2">
      <c r="A225" s="442">
        <v>36263</v>
      </c>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c r="AA225" s="60"/>
      <c r="AB225" s="60"/>
      <c r="AC225" s="60"/>
      <c r="AD225" s="60"/>
      <c r="AE225"/>
    </row>
    <row r="226" spans="1:31" ht="13.2">
      <c r="A226" s="64" t="s">
        <v>368</v>
      </c>
      <c r="B226" s="65">
        <v>71203.506013474151</v>
      </c>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c r="AA226" s="60"/>
      <c r="AB226" s="60"/>
      <c r="AC226" s="60"/>
      <c r="AD226" s="60"/>
      <c r="AE226"/>
    </row>
    <row r="227" spans="1:31" ht="13.2">
      <c r="A227" s="66" t="s">
        <v>369</v>
      </c>
      <c r="B227" s="67">
        <v>108603.77307248949</v>
      </c>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c r="AA227" s="60"/>
      <c r="AB227" s="60"/>
      <c r="AC227" s="60"/>
      <c r="AD227" s="60"/>
      <c r="AE227"/>
    </row>
    <row r="228" spans="1:31" ht="13.2">
      <c r="A228" s="68" t="s">
        <v>370</v>
      </c>
      <c r="B228" s="495" t="s">
        <v>468</v>
      </c>
      <c r="C228" s="495" t="s">
        <v>469</v>
      </c>
      <c r="D228" s="497">
        <v>2000</v>
      </c>
      <c r="E228" s="498">
        <v>2001</v>
      </c>
      <c r="F228" s="498">
        <v>2002</v>
      </c>
      <c r="G228" s="498">
        <v>2003</v>
      </c>
      <c r="H228" s="498">
        <v>2004</v>
      </c>
      <c r="I228" s="498">
        <v>2005</v>
      </c>
      <c r="J228" s="498">
        <v>2006</v>
      </c>
      <c r="K228" s="498">
        <v>2007</v>
      </c>
      <c r="L228" s="498">
        <v>2008</v>
      </c>
      <c r="M228" s="498">
        <v>2009</v>
      </c>
      <c r="N228" s="499">
        <v>2010</v>
      </c>
      <c r="O228" s="69">
        <v>2011</v>
      </c>
      <c r="P228" s="69">
        <v>2012</v>
      </c>
      <c r="Q228" s="69">
        <v>2013</v>
      </c>
      <c r="R228" s="69">
        <v>2014</v>
      </c>
      <c r="S228" s="69">
        <v>2015</v>
      </c>
      <c r="T228" s="69">
        <v>2016</v>
      </c>
      <c r="U228" s="69">
        <v>2017</v>
      </c>
      <c r="V228" s="69">
        <v>2018</v>
      </c>
      <c r="W228" s="69">
        <v>2019</v>
      </c>
      <c r="X228" s="69">
        <v>2020</v>
      </c>
      <c r="Y228" s="60"/>
      <c r="Z228" s="60"/>
      <c r="AA228" s="60"/>
      <c r="AB228" s="60"/>
      <c r="AC228" s="60"/>
      <c r="AD228" s="60"/>
      <c r="AE228"/>
    </row>
    <row r="229" spans="1:31" ht="13.2">
      <c r="A229" s="68" t="s">
        <v>371</v>
      </c>
      <c r="B229" s="496">
        <f>NPV(0.1,D229:Y229)</f>
        <v>455265.88297756651</v>
      </c>
      <c r="C229" s="496">
        <f>B229-B219</f>
        <v>0</v>
      </c>
      <c r="D229" s="500">
        <v>29974.238299999997</v>
      </c>
      <c r="E229" s="501">
        <v>37753.118929000004</v>
      </c>
      <c r="F229" s="501">
        <v>37840.159726869999</v>
      </c>
      <c r="G229" s="501">
        <v>48490.935333051588</v>
      </c>
      <c r="H229" s="501">
        <v>56984.148863847448</v>
      </c>
      <c r="I229" s="501">
        <v>57954.991518745599</v>
      </c>
      <c r="J229" s="501">
        <v>58693.007969812417</v>
      </c>
      <c r="K229" s="501">
        <v>59437.892648676381</v>
      </c>
      <c r="L229" s="501">
        <v>60189.39343419933</v>
      </c>
      <c r="M229" s="501">
        <v>60947.236896569848</v>
      </c>
      <c r="N229" s="502">
        <v>61711.127245691823</v>
      </c>
      <c r="O229" s="75">
        <v>62333.205721302125</v>
      </c>
      <c r="P229" s="75">
        <v>62951.815624027906</v>
      </c>
      <c r="Q229" s="75">
        <v>63566.188968868075</v>
      </c>
      <c r="R229" s="75">
        <v>64175.514813437025</v>
      </c>
      <c r="S229" s="75">
        <v>64778.937371708125</v>
      </c>
      <c r="T229" s="75">
        <v>65204.515319320206</v>
      </c>
      <c r="U229" s="75">
        <v>65612.073633254462</v>
      </c>
      <c r="V229" s="75">
        <v>66000.148115337404</v>
      </c>
      <c r="W229" s="75">
        <v>66367.202933175387</v>
      </c>
      <c r="X229" s="75">
        <v>66711.627639879851</v>
      </c>
      <c r="Y229" s="60"/>
      <c r="Z229" s="60"/>
      <c r="AA229" s="60"/>
      <c r="AB229" s="60"/>
      <c r="AC229" s="60"/>
      <c r="AD229" s="60"/>
      <c r="AE229"/>
    </row>
    <row r="230" spans="1:31" ht="13.2">
      <c r="A230" s="70" t="s">
        <v>372</v>
      </c>
      <c r="B230" s="496">
        <f>NPV(0.1,D230:Y230)</f>
        <v>201286.88720628369</v>
      </c>
      <c r="C230" s="496">
        <f>B230-B220</f>
        <v>0</v>
      </c>
      <c r="D230" s="500">
        <v>20632.60183229527</v>
      </c>
      <c r="E230" s="501">
        <v>22375.452966024222</v>
      </c>
      <c r="F230" s="501">
        <v>22515.268785004948</v>
      </c>
      <c r="G230" s="501">
        <v>22658.969078555096</v>
      </c>
      <c r="H230" s="501">
        <v>22808.700380911749</v>
      </c>
      <c r="I230" s="501">
        <v>22962.6136223391</v>
      </c>
      <c r="J230" s="501">
        <v>23122.864261009276</v>
      </c>
      <c r="K230" s="501">
        <v>23287.612418839552</v>
      </c>
      <c r="L230" s="501">
        <v>23459.023021404741</v>
      </c>
      <c r="M230" s="501">
        <v>23635.265942046884</v>
      </c>
      <c r="N230" s="502">
        <v>24353.516150308289</v>
      </c>
      <c r="O230" s="75">
        <v>24507.953864817537</v>
      </c>
      <c r="P230" s="75">
        <v>24666.764710762065</v>
      </c>
      <c r="Q230" s="75">
        <v>24833.139882084924</v>
      </c>
      <c r="R230" s="75">
        <v>25006.276308547473</v>
      </c>
      <c r="S230" s="75">
        <v>25186.376827803895</v>
      </c>
      <c r="T230" s="75">
        <v>25372.650362638014</v>
      </c>
      <c r="U230" s="75">
        <v>25567.312103517153</v>
      </c>
      <c r="V230" s="75">
        <v>25769.583696622663</v>
      </c>
      <c r="W230" s="75">
        <v>25979.693437521346</v>
      </c>
      <c r="X230" s="75">
        <v>26196.876470646988</v>
      </c>
      <c r="Y230" s="60"/>
      <c r="Z230" s="60"/>
      <c r="AA230" s="60"/>
      <c r="AB230" s="60"/>
      <c r="AC230" s="60"/>
      <c r="AD230" s="60"/>
      <c r="AE230"/>
    </row>
    <row r="231" spans="1:31" ht="13.2">
      <c r="A231" s="70" t="s">
        <v>34</v>
      </c>
      <c r="B231" s="496">
        <f>NPV(0.1,D231:Y231)</f>
        <v>90061.301478597161</v>
      </c>
      <c r="C231" s="496">
        <f>B231-B221</f>
        <v>-134.70564258626837</v>
      </c>
      <c r="D231" s="500">
        <v>175.24160729048336</v>
      </c>
      <c r="E231" s="501">
        <v>-56.419782906587955</v>
      </c>
      <c r="F231" s="501">
        <v>-35.64272161728406</v>
      </c>
      <c r="G231" s="501">
        <v>6624.327133304676</v>
      </c>
      <c r="H231" s="501">
        <v>11858.479837391722</v>
      </c>
      <c r="I231" s="501">
        <v>12663.659830760243</v>
      </c>
      <c r="J231" s="501">
        <v>13308.137981760519</v>
      </c>
      <c r="K231" s="501">
        <v>13882.724534170386</v>
      </c>
      <c r="L231" s="501">
        <v>14485.603019331744</v>
      </c>
      <c r="M231" s="501">
        <v>15120.016599880477</v>
      </c>
      <c r="N231" s="502">
        <v>15450.636732021316</v>
      </c>
      <c r="O231" s="75">
        <v>16071.549596055866</v>
      </c>
      <c r="P231" s="75">
        <v>16722.982792411982</v>
      </c>
      <c r="Q231" s="75">
        <v>17405.128085751567</v>
      </c>
      <c r="R231" s="75">
        <v>18120.796440631151</v>
      </c>
      <c r="S231" s="75">
        <v>18872.363531027077</v>
      </c>
      <c r="T231" s="75">
        <v>19555.523104769469</v>
      </c>
      <c r="U231" s="75">
        <v>20269.459007074576</v>
      </c>
      <c r="V231" s="75">
        <v>21017.005525279506</v>
      </c>
      <c r="W231" s="75">
        <v>21800.566839509571</v>
      </c>
      <c r="X231" s="75">
        <v>22650.528244727568</v>
      </c>
      <c r="Y231" s="60"/>
      <c r="Z231" s="60"/>
      <c r="AA231" s="60"/>
      <c r="AB231" s="60"/>
      <c r="AC231" s="60"/>
      <c r="AD231" s="60"/>
      <c r="AE231"/>
    </row>
    <row r="232" spans="1:31" ht="13.2">
      <c r="A232" s="70" t="s">
        <v>32</v>
      </c>
      <c r="B232" s="496">
        <f>NPV(0.1,D232:Y232)</f>
        <v>101232.1948509808</v>
      </c>
      <c r="C232" s="496">
        <f>B232-B222</f>
        <v>-785.19305572574376</v>
      </c>
      <c r="D232" s="503">
        <v>2143.2672176243227</v>
      </c>
      <c r="E232" s="504">
        <v>4082.3149698392999</v>
      </c>
      <c r="F232" s="504">
        <v>3483.4764310498631</v>
      </c>
      <c r="G232" s="504">
        <v>15435.248686445178</v>
      </c>
      <c r="H232" s="504">
        <v>20259.94417006904</v>
      </c>
      <c r="I232" s="504">
        <v>17886.729382723868</v>
      </c>
      <c r="J232" s="504">
        <v>14809.340191107432</v>
      </c>
      <c r="K232" s="504">
        <v>14797.861061644533</v>
      </c>
      <c r="L232" s="504">
        <v>14758.681273916432</v>
      </c>
      <c r="M232" s="504">
        <v>14709.417298138231</v>
      </c>
      <c r="N232" s="505">
        <v>15053.917290531432</v>
      </c>
      <c r="O232" s="75">
        <v>14374.581926280447</v>
      </c>
      <c r="P232" s="75">
        <v>14227.330455524349</v>
      </c>
      <c r="Q232" s="75">
        <v>14067.373776009281</v>
      </c>
      <c r="R232" s="75">
        <v>13866.129736847328</v>
      </c>
      <c r="S232" s="75">
        <v>11960.942569917406</v>
      </c>
      <c r="T232" s="75">
        <v>9986.2739372580527</v>
      </c>
      <c r="U232" s="75">
        <v>9656.073129510607</v>
      </c>
      <c r="V232" s="75">
        <v>9286.5462752371532</v>
      </c>
      <c r="W232" s="75">
        <v>8876.0584075709139</v>
      </c>
      <c r="X232" s="75">
        <v>25797.364372077831</v>
      </c>
      <c r="Y232" s="60"/>
      <c r="Z232" s="60"/>
      <c r="AA232" s="60"/>
      <c r="AB232" s="60"/>
      <c r="AC232" s="60"/>
      <c r="AD232" s="60"/>
      <c r="AE232"/>
    </row>
    <row r="233" spans="1:31" ht="13.2">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c r="AA233" s="60"/>
      <c r="AB233" s="60"/>
      <c r="AC233" s="60"/>
      <c r="AD233" s="60"/>
      <c r="AE233"/>
    </row>
    <row r="234" spans="1:31" ht="13.2">
      <c r="A234" s="71" t="s">
        <v>556</v>
      </c>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c r="AA234" s="60"/>
      <c r="AB234" s="60"/>
      <c r="AC234" s="60"/>
      <c r="AD234" s="60"/>
      <c r="AE234"/>
    </row>
    <row r="235" spans="1:31" ht="13.2">
      <c r="A235" s="442">
        <v>36266</v>
      </c>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c r="AA235" s="60"/>
      <c r="AB235" s="60"/>
      <c r="AC235" s="60"/>
      <c r="AD235" s="60"/>
      <c r="AE235"/>
    </row>
    <row r="236" spans="1:31" ht="13.2">
      <c r="A236" s="64" t="s">
        <v>368</v>
      </c>
      <c r="B236" s="65">
        <v>70196.405051662776</v>
      </c>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c r="AA236" s="60"/>
      <c r="AB236" s="60"/>
      <c r="AC236" s="60"/>
      <c r="AD236" s="60"/>
      <c r="AE236"/>
    </row>
    <row r="237" spans="1:31" ht="13.2">
      <c r="A237" s="66" t="s">
        <v>369</v>
      </c>
      <c r="B237" s="67">
        <v>107190.35861299794</v>
      </c>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c r="AA237" s="60"/>
      <c r="AB237" s="60"/>
      <c r="AC237" s="60"/>
      <c r="AD237" s="60"/>
      <c r="AE237"/>
    </row>
    <row r="238" spans="1:31" ht="13.2">
      <c r="A238" s="68" t="s">
        <v>370</v>
      </c>
      <c r="B238" s="495" t="s">
        <v>468</v>
      </c>
      <c r="C238" s="495" t="s">
        <v>469</v>
      </c>
      <c r="D238" s="497">
        <v>2000</v>
      </c>
      <c r="E238" s="498">
        <v>2001</v>
      </c>
      <c r="F238" s="498">
        <v>2002</v>
      </c>
      <c r="G238" s="498">
        <v>2003</v>
      </c>
      <c r="H238" s="498">
        <v>2004</v>
      </c>
      <c r="I238" s="498">
        <v>2005</v>
      </c>
      <c r="J238" s="498">
        <v>2006</v>
      </c>
      <c r="K238" s="498">
        <v>2007</v>
      </c>
      <c r="L238" s="498">
        <v>2008</v>
      </c>
      <c r="M238" s="498">
        <v>2009</v>
      </c>
      <c r="N238" s="499">
        <v>2010</v>
      </c>
      <c r="O238" s="69">
        <v>2011</v>
      </c>
      <c r="P238" s="69">
        <v>2012</v>
      </c>
      <c r="Q238" s="69">
        <v>2013</v>
      </c>
      <c r="R238" s="69">
        <v>2014</v>
      </c>
      <c r="S238" s="69">
        <v>2015</v>
      </c>
      <c r="T238" s="69">
        <v>2016</v>
      </c>
      <c r="U238" s="69">
        <v>2017</v>
      </c>
      <c r="V238" s="69">
        <v>2018</v>
      </c>
      <c r="W238" s="69">
        <v>2019</v>
      </c>
      <c r="X238" s="69">
        <v>2020</v>
      </c>
      <c r="Y238" s="60"/>
      <c r="Z238" s="60"/>
      <c r="AA238" s="60"/>
      <c r="AB238" s="60"/>
      <c r="AC238" s="60"/>
      <c r="AD238" s="60"/>
      <c r="AE238"/>
    </row>
    <row r="239" spans="1:31" ht="13.2">
      <c r="A239" s="68" t="s">
        <v>371</v>
      </c>
      <c r="B239" s="496">
        <f>NPV(0.1,D239:Y239)</f>
        <v>455265.88297756651</v>
      </c>
      <c r="C239" s="496">
        <f>B239-B229</f>
        <v>0</v>
      </c>
      <c r="D239" s="500">
        <v>29974.238299999997</v>
      </c>
      <c r="E239" s="501">
        <v>37753.118929000004</v>
      </c>
      <c r="F239" s="501">
        <v>37840.159726869999</v>
      </c>
      <c r="G239" s="501">
        <v>48490.935333051588</v>
      </c>
      <c r="H239" s="501">
        <v>56984.148863847448</v>
      </c>
      <c r="I239" s="501">
        <v>57954.991518745599</v>
      </c>
      <c r="J239" s="501">
        <v>58693.007969812417</v>
      </c>
      <c r="K239" s="501">
        <v>59437.892648676381</v>
      </c>
      <c r="L239" s="501">
        <v>60189.39343419933</v>
      </c>
      <c r="M239" s="501">
        <v>60947.236896569848</v>
      </c>
      <c r="N239" s="502">
        <v>61711.127245691823</v>
      </c>
      <c r="O239" s="75">
        <v>62333.205721302125</v>
      </c>
      <c r="P239" s="75">
        <v>62951.815624027906</v>
      </c>
      <c r="Q239" s="75">
        <v>63566.188968868075</v>
      </c>
      <c r="R239" s="75">
        <v>64175.514813437025</v>
      </c>
      <c r="S239" s="75">
        <v>64778.937371708125</v>
      </c>
      <c r="T239" s="75">
        <v>65204.515319320206</v>
      </c>
      <c r="U239" s="75">
        <v>65612.073633254462</v>
      </c>
      <c r="V239" s="75">
        <v>66000.148115337404</v>
      </c>
      <c r="W239" s="75">
        <v>66367.202933175387</v>
      </c>
      <c r="X239" s="75">
        <v>66711.627639879851</v>
      </c>
      <c r="Y239" s="60"/>
      <c r="Z239" s="60"/>
      <c r="AA239" s="60"/>
      <c r="AB239" s="60"/>
      <c r="AC239" s="60"/>
      <c r="AD239" s="60"/>
      <c r="AE239"/>
    </row>
    <row r="240" spans="1:31" ht="13.2">
      <c r="A240" s="70" t="s">
        <v>372</v>
      </c>
      <c r="B240" s="496">
        <f>NPV(0.1,D240:Y240)</f>
        <v>202890.3669880036</v>
      </c>
      <c r="C240" s="496">
        <f>B240-B230</f>
        <v>1603.4797817199142</v>
      </c>
      <c r="D240" s="500">
        <v>20632.601832295266</v>
      </c>
      <c r="E240" s="501">
        <v>21875.480732597418</v>
      </c>
      <c r="F240" s="501">
        <v>22353.435384444143</v>
      </c>
      <c r="G240" s="501">
        <v>22837.850205024624</v>
      </c>
      <c r="H240" s="501">
        <v>23166.575229649949</v>
      </c>
      <c r="I240" s="501">
        <v>23363.396801049261</v>
      </c>
      <c r="J240" s="501">
        <v>23559.252993034075</v>
      </c>
      <c r="K240" s="501">
        <v>23722.790044235073</v>
      </c>
      <c r="L240" s="501">
        <v>23910.897870142941</v>
      </c>
      <c r="M240" s="501">
        <v>24158.41161571498</v>
      </c>
      <c r="N240" s="502">
        <v>24411.932648906288</v>
      </c>
      <c r="O240" s="75">
        <v>24624.370363415535</v>
      </c>
      <c r="P240" s="75">
        <v>24843.18120936006</v>
      </c>
      <c r="Q240" s="75">
        <v>25068.556380682923</v>
      </c>
      <c r="R240" s="75">
        <v>25300.692807145471</v>
      </c>
      <c r="S240" s="75">
        <v>25539.793326401894</v>
      </c>
      <c r="T240" s="75">
        <v>25786.06686123601</v>
      </c>
      <c r="U240" s="75">
        <v>26039.728602115152</v>
      </c>
      <c r="V240" s="75">
        <v>26301.000195220662</v>
      </c>
      <c r="W240" s="75">
        <v>26570.109936119345</v>
      </c>
      <c r="X240" s="75">
        <v>26847.292969244983</v>
      </c>
      <c r="Y240" s="60"/>
      <c r="Z240" s="60"/>
      <c r="AA240" s="60"/>
      <c r="AB240" s="60"/>
      <c r="AC240" s="60"/>
      <c r="AD240" s="60"/>
      <c r="AE240"/>
    </row>
    <row r="241" spans="1:31" ht="13.2">
      <c r="A241" s="70" t="s">
        <v>34</v>
      </c>
      <c r="B241" s="496">
        <f>NPV(0.1,D241:Y241)</f>
        <v>89426.666953584558</v>
      </c>
      <c r="C241" s="496">
        <f>B241-B231</f>
        <v>-634.63452501260326</v>
      </c>
      <c r="D241" s="500">
        <v>192.58345405244083</v>
      </c>
      <c r="E241" s="501">
        <v>288.89032632925159</v>
      </c>
      <c r="F241" s="501">
        <v>118.05420625374148</v>
      </c>
      <c r="G241" s="501">
        <v>6573.899325696304</v>
      </c>
      <c r="H241" s="501">
        <v>11696.959555166221</v>
      </c>
      <c r="I241" s="501">
        <v>12473.135028109085</v>
      </c>
      <c r="J241" s="501">
        <v>13092.183292587993</v>
      </c>
      <c r="K241" s="501">
        <v>13663.528188699496</v>
      </c>
      <c r="L241" s="501">
        <v>14251.613293853085</v>
      </c>
      <c r="M241" s="501">
        <v>14836.257879036464</v>
      </c>
      <c r="N241" s="502">
        <v>15452.176348046898</v>
      </c>
      <c r="O241" s="75">
        <v>16038.535677647225</v>
      </c>
      <c r="P241" s="75">
        <v>16653.158209564383</v>
      </c>
      <c r="Q241" s="75">
        <v>17298.001499684888</v>
      </c>
      <c r="R241" s="75">
        <v>17975.178279337862</v>
      </c>
      <c r="S241" s="75">
        <v>18686.969056739064</v>
      </c>
      <c r="T241" s="75">
        <v>19328.336291322143</v>
      </c>
      <c r="U241" s="75">
        <v>19999.589981710193</v>
      </c>
      <c r="V241" s="75">
        <v>20702.8342992947</v>
      </c>
      <c r="W241" s="75">
        <v>21440.343825104712</v>
      </c>
      <c r="X241" s="75">
        <v>22241.735377704052</v>
      </c>
      <c r="Y241" s="60"/>
      <c r="Z241" s="60"/>
      <c r="AA241" s="60"/>
      <c r="AB241" s="60"/>
      <c r="AC241" s="60"/>
      <c r="AD241" s="60"/>
      <c r="AE241"/>
    </row>
    <row r="242" spans="1:31" ht="13.2">
      <c r="A242" s="70" t="s">
        <v>32</v>
      </c>
      <c r="B242" s="496">
        <f>NPV(0.1,D242:Y242)</f>
        <v>100733.20639754523</v>
      </c>
      <c r="C242" s="496">
        <f>B242-B232</f>
        <v>-498.98845343556604</v>
      </c>
      <c r="D242" s="503">
        <v>2143.2672176243232</v>
      </c>
      <c r="E242" s="504">
        <v>3703.9705970442155</v>
      </c>
      <c r="F242" s="504">
        <v>3860.9843507830601</v>
      </c>
      <c r="G242" s="504">
        <v>15669.160578218816</v>
      </c>
      <c r="H242" s="504">
        <v>20228.586409500342</v>
      </c>
      <c r="I242" s="504">
        <v>17617.304928562691</v>
      </c>
      <c r="J242" s="504">
        <v>14717.284572354733</v>
      </c>
      <c r="K242" s="504">
        <v>14671.826499983639</v>
      </c>
      <c r="L242" s="504">
        <v>14649.892750185227</v>
      </c>
      <c r="M242" s="504">
        <v>14643.727467395876</v>
      </c>
      <c r="N242" s="505">
        <v>14552.412561190686</v>
      </c>
      <c r="O242" s="75">
        <v>14382.62218722555</v>
      </c>
      <c r="P242" s="75">
        <v>14224.420893952465</v>
      </c>
      <c r="Q242" s="75">
        <v>14051.44457024405</v>
      </c>
      <c r="R242" s="75">
        <v>13838.950012503276</v>
      </c>
      <c r="S242" s="75">
        <v>11923.342982658223</v>
      </c>
      <c r="T242" s="75">
        <v>9939.9454620755314</v>
      </c>
      <c r="U242" s="75">
        <v>9600.2036194958837</v>
      </c>
      <c r="V242" s="75">
        <v>9223.1831447536497</v>
      </c>
      <c r="W242" s="75">
        <v>8806.3328641311346</v>
      </c>
      <c r="X242" s="75">
        <v>25443.862896114777</v>
      </c>
      <c r="Y242" s="60"/>
      <c r="Z242" s="60"/>
      <c r="AA242" s="60"/>
      <c r="AB242" s="60"/>
      <c r="AC242" s="60"/>
      <c r="AD242" s="60"/>
      <c r="AE242"/>
    </row>
    <row r="243" spans="1:31" ht="13.2">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c r="AA243" s="60"/>
      <c r="AB243" s="60"/>
      <c r="AC243" s="60"/>
      <c r="AD243" s="60"/>
      <c r="AE243"/>
    </row>
    <row r="244" spans="1:31" ht="13.2">
      <c r="A244" s="71" t="s">
        <v>581</v>
      </c>
      <c r="B244" s="60"/>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c r="AA244" s="60"/>
      <c r="AB244" s="60"/>
      <c r="AC244" s="60"/>
      <c r="AD244" s="60"/>
      <c r="AE244"/>
    </row>
    <row r="245" spans="1:31" ht="13.2">
      <c r="A245" s="442">
        <v>36266</v>
      </c>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c r="AA245" s="60"/>
      <c r="AB245" s="60"/>
      <c r="AC245" s="60"/>
      <c r="AD245" s="60"/>
      <c r="AE245"/>
    </row>
    <row r="246" spans="1:31" ht="13.2">
      <c r="A246" s="64" t="s">
        <v>368</v>
      </c>
      <c r="B246" s="65">
        <v>71216.831200085988</v>
      </c>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c r="AA246" s="60"/>
      <c r="AB246" s="60"/>
      <c r="AC246" s="60"/>
      <c r="AD246" s="60"/>
      <c r="AE246"/>
    </row>
    <row r="247" spans="1:31" ht="13.2">
      <c r="A247" s="66" t="s">
        <v>369</v>
      </c>
      <c r="B247" s="67">
        <v>108639.59579157468</v>
      </c>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c r="AA247" s="60"/>
      <c r="AB247" s="60"/>
      <c r="AC247" s="60"/>
      <c r="AD247" s="60"/>
      <c r="AE247"/>
    </row>
    <row r="248" spans="1:31" ht="13.2">
      <c r="A248" s="68" t="s">
        <v>370</v>
      </c>
      <c r="B248" s="495" t="s">
        <v>468</v>
      </c>
      <c r="C248" s="495" t="s">
        <v>469</v>
      </c>
      <c r="D248" s="497">
        <v>2000</v>
      </c>
      <c r="E248" s="498">
        <v>2001</v>
      </c>
      <c r="F248" s="498">
        <v>2002</v>
      </c>
      <c r="G248" s="498">
        <v>2003</v>
      </c>
      <c r="H248" s="498">
        <v>2004</v>
      </c>
      <c r="I248" s="498">
        <v>2005</v>
      </c>
      <c r="J248" s="498">
        <v>2006</v>
      </c>
      <c r="K248" s="498">
        <v>2007</v>
      </c>
      <c r="L248" s="498">
        <v>2008</v>
      </c>
      <c r="M248" s="498">
        <v>2009</v>
      </c>
      <c r="N248" s="499">
        <v>2010</v>
      </c>
      <c r="O248" s="69">
        <v>2011</v>
      </c>
      <c r="P248" s="69">
        <v>2012</v>
      </c>
      <c r="Q248" s="69">
        <v>2013</v>
      </c>
      <c r="R248" s="69">
        <v>2014</v>
      </c>
      <c r="S248" s="69">
        <v>2015</v>
      </c>
      <c r="T248" s="69">
        <v>2016</v>
      </c>
      <c r="U248" s="69">
        <v>2017</v>
      </c>
      <c r="V248" s="69">
        <v>2018</v>
      </c>
      <c r="W248" s="69">
        <v>2019</v>
      </c>
      <c r="X248" s="69">
        <v>2020</v>
      </c>
      <c r="Y248" s="60"/>
      <c r="Z248" s="60"/>
      <c r="AA248" s="60"/>
      <c r="AB248" s="60"/>
      <c r="AC248" s="60"/>
      <c r="AD248" s="60"/>
      <c r="AE248"/>
    </row>
    <row r="249" spans="1:31" ht="13.2">
      <c r="A249" s="68" t="s">
        <v>371</v>
      </c>
      <c r="B249" s="496">
        <f>NPV(0.1,D249:Y249)</f>
        <v>456664.61953628837</v>
      </c>
      <c r="C249" s="496">
        <f>B249-B239</f>
        <v>1398.7365587218665</v>
      </c>
      <c r="D249" s="500">
        <v>29974.238299999997</v>
      </c>
      <c r="E249" s="501">
        <v>37753.118929000004</v>
      </c>
      <c r="F249" s="501">
        <v>37840.159726869999</v>
      </c>
      <c r="G249" s="501">
        <v>48694.756179399126</v>
      </c>
      <c r="H249" s="501">
        <v>57464.001370677062</v>
      </c>
      <c r="I249" s="501">
        <v>58572.801621288752</v>
      </c>
      <c r="J249" s="501">
        <v>59202.083494307968</v>
      </c>
      <c r="K249" s="501">
        <v>59831.153491349192</v>
      </c>
      <c r="L249" s="501">
        <v>60459.432546167991</v>
      </c>
      <c r="M249" s="501">
        <v>61086.30703923371</v>
      </c>
      <c r="N249" s="502">
        <v>61711.12724569183</v>
      </c>
      <c r="O249" s="75">
        <v>62333.205721302118</v>
      </c>
      <c r="P249" s="75">
        <v>62951.815624027899</v>
      </c>
      <c r="Q249" s="75">
        <v>63566.188968868075</v>
      </c>
      <c r="R249" s="75">
        <v>64175.514813437025</v>
      </c>
      <c r="S249" s="75">
        <v>64778.937371708118</v>
      </c>
      <c r="T249" s="75">
        <v>65204.515319320213</v>
      </c>
      <c r="U249" s="75">
        <v>65612.073633254462</v>
      </c>
      <c r="V249" s="75">
        <v>66000.148115337419</v>
      </c>
      <c r="W249" s="75">
        <v>66367.202933175402</v>
      </c>
      <c r="X249" s="75">
        <v>66711.627639879851</v>
      </c>
      <c r="Y249" s="60"/>
      <c r="Z249" s="60"/>
      <c r="AA249" s="60"/>
      <c r="AB249" s="60"/>
      <c r="AC249" s="60"/>
      <c r="AD249" s="60"/>
      <c r="AE249"/>
    </row>
    <row r="250" spans="1:31" ht="13.2">
      <c r="A250" s="70" t="s">
        <v>372</v>
      </c>
      <c r="B250" s="496">
        <f>NPV(0.1,D250:Y250)</f>
        <v>202890.3669880036</v>
      </c>
      <c r="C250" s="496">
        <f>B250-B240</f>
        <v>0</v>
      </c>
      <c r="D250" s="500">
        <v>20632.601832295266</v>
      </c>
      <c r="E250" s="501">
        <v>21875.480732597418</v>
      </c>
      <c r="F250" s="501">
        <v>22353.435384444143</v>
      </c>
      <c r="G250" s="501">
        <v>22837.850205024624</v>
      </c>
      <c r="H250" s="501">
        <v>23166.575229649949</v>
      </c>
      <c r="I250" s="501">
        <v>23363.396801049261</v>
      </c>
      <c r="J250" s="501">
        <v>23559.252993034075</v>
      </c>
      <c r="K250" s="501">
        <v>23722.790044235073</v>
      </c>
      <c r="L250" s="501">
        <v>23910.897870142941</v>
      </c>
      <c r="M250" s="501">
        <v>24158.41161571498</v>
      </c>
      <c r="N250" s="502">
        <v>24411.932648906288</v>
      </c>
      <c r="O250" s="75">
        <v>24624.370363415535</v>
      </c>
      <c r="P250" s="75">
        <v>24843.18120936006</v>
      </c>
      <c r="Q250" s="75">
        <v>25068.556380682923</v>
      </c>
      <c r="R250" s="75">
        <v>25300.692807145471</v>
      </c>
      <c r="S250" s="75">
        <v>25539.793326401894</v>
      </c>
      <c r="T250" s="75">
        <v>25786.06686123601</v>
      </c>
      <c r="U250" s="75">
        <v>26039.728602115152</v>
      </c>
      <c r="V250" s="75">
        <v>26301.000195220662</v>
      </c>
      <c r="W250" s="75">
        <v>26570.109936119345</v>
      </c>
      <c r="X250" s="75">
        <v>26847.292969244983</v>
      </c>
      <c r="Y250" s="60"/>
      <c r="Z250" s="60"/>
      <c r="AA250" s="60"/>
      <c r="AB250" s="60"/>
      <c r="AC250" s="60"/>
      <c r="AD250" s="60"/>
      <c r="AE250"/>
    </row>
    <row r="251" spans="1:31" ht="13.2">
      <c r="A251" s="70" t="s">
        <v>34</v>
      </c>
      <c r="B251" s="496">
        <f>NPV(0.1,D251:Y251)</f>
        <v>90142.013279138686</v>
      </c>
      <c r="C251" s="496">
        <f>B251-B241</f>
        <v>715.34632555412827</v>
      </c>
      <c r="D251" s="500">
        <v>173.64156327761378</v>
      </c>
      <c r="E251" s="501">
        <v>254.95051703735527</v>
      </c>
      <c r="F251" s="501">
        <v>81.484061741721973</v>
      </c>
      <c r="G251" s="501">
        <v>6662.5983077344663</v>
      </c>
      <c r="H251" s="501">
        <v>11960.043374449095</v>
      </c>
      <c r="I251" s="501">
        <v>12829.377641455903</v>
      </c>
      <c r="J251" s="501">
        <v>13389.792837876437</v>
      </c>
      <c r="K251" s="501">
        <v>13896.671461363077</v>
      </c>
      <c r="L251" s="501">
        <v>14414.00029864211</v>
      </c>
      <c r="M251" s="501">
        <v>14921.106907007472</v>
      </c>
      <c r="N251" s="502">
        <v>15452.176348046902</v>
      </c>
      <c r="O251" s="75">
        <v>16038.535677647216</v>
      </c>
      <c r="P251" s="75">
        <v>16653.158209564375</v>
      </c>
      <c r="Q251" s="75">
        <v>17298.001499684884</v>
      </c>
      <c r="R251" s="75">
        <v>17975.178279337859</v>
      </c>
      <c r="S251" s="75">
        <v>18686.969056739061</v>
      </c>
      <c r="T251" s="75">
        <v>19328.33629132215</v>
      </c>
      <c r="U251" s="75">
        <v>19999.589981710193</v>
      </c>
      <c r="V251" s="75">
        <v>20702.834299294707</v>
      </c>
      <c r="W251" s="75">
        <v>21440.343825104719</v>
      </c>
      <c r="X251" s="75">
        <v>22241.735377704052</v>
      </c>
      <c r="Y251" s="60"/>
      <c r="Z251" s="60"/>
      <c r="AA251" s="60"/>
      <c r="AB251" s="60"/>
      <c r="AC251" s="60"/>
      <c r="AD251" s="60"/>
      <c r="AE251"/>
    </row>
    <row r="252" spans="1:31" ht="13.2">
      <c r="A252" s="70" t="s">
        <v>32</v>
      </c>
      <c r="B252" s="496">
        <f>NPV(0.1,D252:Y252)</f>
        <v>101126.24640394104</v>
      </c>
      <c r="C252" s="496">
        <f>B252-B242</f>
        <v>393.04000639580772</v>
      </c>
      <c r="D252" s="503">
        <v>2143.2672176243241</v>
      </c>
      <c r="E252" s="504">
        <v>3703.9705970442164</v>
      </c>
      <c r="F252" s="504">
        <v>3860.9843507830583</v>
      </c>
      <c r="G252" s="504">
        <v>15789.14258581039</v>
      </c>
      <c r="H252" s="504">
        <v>20508.086323891399</v>
      </c>
      <c r="I252" s="504">
        <v>17611.854135298228</v>
      </c>
      <c r="J252" s="504">
        <v>14836.67191990969</v>
      </c>
      <c r="K252" s="504">
        <v>14761.958447983761</v>
      </c>
      <c r="L252" s="504">
        <v>14710.299319037567</v>
      </c>
      <c r="M252" s="504">
        <v>14674.048232030946</v>
      </c>
      <c r="N252" s="505">
        <v>14552.412561190686</v>
      </c>
      <c r="O252" s="75">
        <v>14382.622187225548</v>
      </c>
      <c r="P252" s="75">
        <v>14224.42089395246</v>
      </c>
      <c r="Q252" s="75">
        <v>14051.444570244044</v>
      </c>
      <c r="R252" s="75">
        <v>13838.950012503272</v>
      </c>
      <c r="S252" s="75">
        <v>11923.342982658221</v>
      </c>
      <c r="T252" s="75">
        <v>9939.9454620755241</v>
      </c>
      <c r="U252" s="75">
        <v>9600.2036194958837</v>
      </c>
      <c r="V252" s="75">
        <v>9223.183144753657</v>
      </c>
      <c r="W252" s="75">
        <v>8806.3328641311346</v>
      </c>
      <c r="X252" s="75">
        <v>25443.862896114777</v>
      </c>
      <c r="Y252" s="60"/>
      <c r="Z252" s="60"/>
      <c r="AA252" s="60"/>
      <c r="AB252" s="60"/>
      <c r="AC252" s="60"/>
      <c r="AD252" s="60"/>
      <c r="AE252"/>
    </row>
    <row r="253" spans="1:31" ht="13.2">
      <c r="A253" s="60"/>
      <c r="B253" s="60"/>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c r="AA253" s="60"/>
      <c r="AB253" s="60"/>
      <c r="AC253" s="60"/>
      <c r="AD253" s="60"/>
      <c r="AE253"/>
    </row>
    <row r="254" spans="1:31" ht="13.2">
      <c r="A254" s="71" t="s">
        <v>582</v>
      </c>
      <c r="B254" s="60"/>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c r="AA254" s="60"/>
      <c r="AB254" s="60"/>
      <c r="AC254" s="60"/>
      <c r="AD254" s="60"/>
      <c r="AE254"/>
    </row>
    <row r="255" spans="1:31" ht="13.2">
      <c r="A255" s="442">
        <v>36266</v>
      </c>
      <c r="B255" s="60"/>
      <c r="C255" s="60"/>
      <c r="D255" s="60"/>
      <c r="E255" s="60"/>
      <c r="F255" s="60"/>
      <c r="G255" s="60"/>
      <c r="H255" s="60"/>
      <c r="I255" s="60"/>
      <c r="J255" s="60"/>
      <c r="K255" s="60"/>
      <c r="L255" s="60"/>
      <c r="M255" s="60"/>
      <c r="N255" s="60"/>
      <c r="O255" s="60"/>
      <c r="P255" s="60"/>
      <c r="Q255" s="60"/>
      <c r="R255" s="60"/>
      <c r="S255" s="60"/>
      <c r="T255" s="60"/>
      <c r="U255" s="60"/>
      <c r="V255" s="60"/>
      <c r="W255" s="60"/>
      <c r="X255" s="60"/>
      <c r="Y255" s="60"/>
      <c r="Z255" s="60"/>
      <c r="AA255" s="60"/>
      <c r="AB255" s="60"/>
      <c r="AC255" s="60"/>
      <c r="AD255" s="60"/>
      <c r="AE255"/>
    </row>
    <row r="256" spans="1:31" ht="13.2">
      <c r="A256" s="64" t="s">
        <v>368</v>
      </c>
      <c r="B256" s="65">
        <v>71216.831200086017</v>
      </c>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c r="AA256" s="60"/>
      <c r="AB256" s="60"/>
      <c r="AC256" s="60"/>
      <c r="AD256" s="60"/>
      <c r="AE256"/>
    </row>
    <row r="257" spans="1:31" ht="13.2">
      <c r="A257" s="66" t="s">
        <v>369</v>
      </c>
      <c r="B257" s="67">
        <v>108639.59579157471</v>
      </c>
      <c r="C257" s="60"/>
      <c r="D257" s="60"/>
      <c r="E257" s="60"/>
      <c r="F257" s="60"/>
      <c r="G257" s="60"/>
      <c r="H257" s="60"/>
      <c r="I257" s="60"/>
      <c r="J257" s="60"/>
      <c r="K257" s="60"/>
      <c r="L257" s="60"/>
      <c r="M257" s="60"/>
      <c r="N257" s="60"/>
      <c r="O257" s="60"/>
      <c r="P257" s="60"/>
      <c r="Q257" s="60"/>
      <c r="R257" s="60"/>
      <c r="S257" s="60"/>
      <c r="T257" s="60"/>
      <c r="U257" s="60"/>
      <c r="V257" s="60"/>
      <c r="W257" s="60"/>
      <c r="X257" s="60"/>
      <c r="Y257" s="60"/>
      <c r="Z257" s="60"/>
      <c r="AA257" s="60"/>
      <c r="AB257" s="60"/>
      <c r="AC257" s="60"/>
      <c r="AD257" s="60"/>
      <c r="AE257"/>
    </row>
    <row r="258" spans="1:31" ht="13.2">
      <c r="A258" s="68" t="s">
        <v>370</v>
      </c>
      <c r="B258" s="495" t="s">
        <v>468</v>
      </c>
      <c r="C258" s="495" t="s">
        <v>469</v>
      </c>
      <c r="D258" s="497">
        <v>2000</v>
      </c>
      <c r="E258" s="498">
        <v>2001</v>
      </c>
      <c r="F258" s="498">
        <v>2002</v>
      </c>
      <c r="G258" s="498">
        <v>2003</v>
      </c>
      <c r="H258" s="498">
        <v>2004</v>
      </c>
      <c r="I258" s="498">
        <v>2005</v>
      </c>
      <c r="J258" s="498">
        <v>2006</v>
      </c>
      <c r="K258" s="498">
        <v>2007</v>
      </c>
      <c r="L258" s="498">
        <v>2008</v>
      </c>
      <c r="M258" s="498">
        <v>2009</v>
      </c>
      <c r="N258" s="499">
        <v>2010</v>
      </c>
      <c r="O258" s="69">
        <v>2011</v>
      </c>
      <c r="P258" s="69">
        <v>2012</v>
      </c>
      <c r="Q258" s="69">
        <v>2013</v>
      </c>
      <c r="R258" s="69">
        <v>2014</v>
      </c>
      <c r="S258" s="69">
        <v>2015</v>
      </c>
      <c r="T258" s="69">
        <v>2016</v>
      </c>
      <c r="U258" s="69">
        <v>2017</v>
      </c>
      <c r="V258" s="69">
        <v>2018</v>
      </c>
      <c r="W258" s="69">
        <v>2019</v>
      </c>
      <c r="X258" s="69">
        <v>2020</v>
      </c>
      <c r="Y258" s="60"/>
      <c r="Z258" s="60"/>
      <c r="AA258" s="60"/>
      <c r="AB258" s="60"/>
      <c r="AC258" s="60"/>
      <c r="AD258" s="60"/>
      <c r="AE258"/>
    </row>
    <row r="259" spans="1:31" ht="13.2">
      <c r="A259" s="68" t="s">
        <v>371</v>
      </c>
      <c r="B259" s="496">
        <f>NPV(0.1,D259:Y259)</f>
        <v>456743.18427522492</v>
      </c>
      <c r="C259" s="496">
        <f>B259-B249</f>
        <v>78.564738936547656</v>
      </c>
      <c r="D259" s="500">
        <v>29983.3223</v>
      </c>
      <c r="E259" s="501">
        <v>37762.202928999999</v>
      </c>
      <c r="F259" s="501">
        <v>37849.243726870001</v>
      </c>
      <c r="G259" s="501">
        <v>48703.840179399129</v>
      </c>
      <c r="H259" s="501">
        <v>57473.085370677058</v>
      </c>
      <c r="I259" s="501">
        <v>58581.885621288755</v>
      </c>
      <c r="J259" s="501">
        <v>59211.167494307971</v>
      </c>
      <c r="K259" s="501">
        <v>59840.237491349188</v>
      </c>
      <c r="L259" s="501">
        <v>60468.516546167994</v>
      </c>
      <c r="M259" s="501">
        <v>61095.391039233713</v>
      </c>
      <c r="N259" s="502">
        <v>61720.211245691833</v>
      </c>
      <c r="O259" s="75">
        <v>62342.289721302121</v>
      </c>
      <c r="P259" s="75">
        <v>62960.899624027901</v>
      </c>
      <c r="Q259" s="75">
        <v>63575.272968868077</v>
      </c>
      <c r="R259" s="75">
        <v>64184.59881343702</v>
      </c>
      <c r="S259" s="75">
        <v>64788.021371708121</v>
      </c>
      <c r="T259" s="75">
        <v>65213.599319320216</v>
      </c>
      <c r="U259" s="75">
        <v>65621.157633254465</v>
      </c>
      <c r="V259" s="75">
        <v>66009.232115337421</v>
      </c>
      <c r="W259" s="75">
        <v>66376.286933175405</v>
      </c>
      <c r="X259" s="75">
        <v>66720.711639879853</v>
      </c>
      <c r="Y259" s="60"/>
      <c r="Z259" s="60"/>
      <c r="AA259" s="60"/>
      <c r="AB259" s="60"/>
      <c r="AC259" s="60"/>
      <c r="AD259" s="60"/>
      <c r="AE259"/>
    </row>
    <row r="260" spans="1:31" ht="13.2">
      <c r="A260" s="70" t="s">
        <v>372</v>
      </c>
      <c r="B260" s="496">
        <f>NPV(0.1,D260:Y260)</f>
        <v>202968.93172694012</v>
      </c>
      <c r="C260" s="496">
        <f>B260-B250</f>
        <v>78.564738936518552</v>
      </c>
      <c r="D260" s="500">
        <v>20641.685832295268</v>
      </c>
      <c r="E260" s="501">
        <v>21884.564732597417</v>
      </c>
      <c r="F260" s="501">
        <v>22362.519384444142</v>
      </c>
      <c r="G260" s="501">
        <v>22846.934205024623</v>
      </c>
      <c r="H260" s="501">
        <v>23175.659229649948</v>
      </c>
      <c r="I260" s="501">
        <v>23372.480801049263</v>
      </c>
      <c r="J260" s="501">
        <v>23568.336993034074</v>
      </c>
      <c r="K260" s="501">
        <v>23731.874044235075</v>
      </c>
      <c r="L260" s="501">
        <v>23919.981870142939</v>
      </c>
      <c r="M260" s="501">
        <v>24167.495615714979</v>
      </c>
      <c r="N260" s="502">
        <v>24421.016648906287</v>
      </c>
      <c r="O260" s="75">
        <v>24633.454363415534</v>
      </c>
      <c r="P260" s="75">
        <v>24852.265209360059</v>
      </c>
      <c r="Q260" s="75">
        <v>25077.640380682922</v>
      </c>
      <c r="R260" s="75">
        <v>25309.77680714547</v>
      </c>
      <c r="S260" s="75">
        <v>25548.877326401893</v>
      </c>
      <c r="T260" s="75">
        <v>25795.150861236008</v>
      </c>
      <c r="U260" s="75">
        <v>26048.812602115151</v>
      </c>
      <c r="V260" s="75">
        <v>26310.084195220661</v>
      </c>
      <c r="W260" s="75">
        <v>26579.193936119347</v>
      </c>
      <c r="X260" s="75">
        <v>26856.376969244982</v>
      </c>
      <c r="Y260" s="60"/>
      <c r="Z260" s="60"/>
      <c r="AA260" s="60"/>
      <c r="AB260" s="60"/>
      <c r="AC260" s="60"/>
      <c r="AD260" s="60"/>
      <c r="AE260"/>
    </row>
    <row r="261" spans="1:31" ht="13.2">
      <c r="A261" s="70" t="s">
        <v>34</v>
      </c>
      <c r="B261" s="496">
        <f>NPV(0.1,D261:Y261)</f>
        <v>90142.013279138657</v>
      </c>
      <c r="C261" s="496">
        <f>B261-B251</f>
        <v>0</v>
      </c>
      <c r="D261" s="500">
        <v>173.64156327761265</v>
      </c>
      <c r="E261" s="501">
        <v>254.95051703735186</v>
      </c>
      <c r="F261" s="501">
        <v>81.48406174172311</v>
      </c>
      <c r="G261" s="501">
        <v>6662.5983077344699</v>
      </c>
      <c r="H261" s="501">
        <v>11960.043374449095</v>
      </c>
      <c r="I261" s="501">
        <v>12829.3776414559</v>
      </c>
      <c r="J261" s="501">
        <v>13389.792837876439</v>
      </c>
      <c r="K261" s="501">
        <v>13896.671461363074</v>
      </c>
      <c r="L261" s="501">
        <v>14414.000298642108</v>
      </c>
      <c r="M261" s="501">
        <v>14921.106907007477</v>
      </c>
      <c r="N261" s="502">
        <v>15452.1763480469</v>
      </c>
      <c r="O261" s="75">
        <v>16038.535677647218</v>
      </c>
      <c r="P261" s="75">
        <v>16653.158209564375</v>
      </c>
      <c r="Q261" s="75">
        <v>17298.001499684884</v>
      </c>
      <c r="R261" s="75">
        <v>17975.178279337859</v>
      </c>
      <c r="S261" s="75">
        <v>18686.969056739057</v>
      </c>
      <c r="T261" s="75">
        <v>19328.33629132215</v>
      </c>
      <c r="U261" s="75">
        <v>19999.589981710189</v>
      </c>
      <c r="V261" s="75">
        <v>20702.834299294707</v>
      </c>
      <c r="W261" s="75">
        <v>21440.343825104719</v>
      </c>
      <c r="X261" s="75">
        <v>22241.735377704052</v>
      </c>
      <c r="Y261" s="60"/>
      <c r="Z261" s="60"/>
      <c r="AA261" s="60"/>
      <c r="AB261" s="60"/>
      <c r="AC261" s="60"/>
      <c r="AD261" s="60"/>
      <c r="AE261"/>
    </row>
    <row r="262" spans="1:31" ht="13.2">
      <c r="A262" s="70" t="s">
        <v>32</v>
      </c>
      <c r="B262" s="496">
        <f>NPV(0.1,D262:Y262)</f>
        <v>101126.24640394104</v>
      </c>
      <c r="C262" s="496">
        <f>B262-B252</f>
        <v>0</v>
      </c>
      <c r="D262" s="503">
        <v>2143.2672176243236</v>
      </c>
      <c r="E262" s="504">
        <v>3703.9705970442142</v>
      </c>
      <c r="F262" s="504">
        <v>3860.9843507830601</v>
      </c>
      <c r="G262" s="504">
        <v>15789.142585810398</v>
      </c>
      <c r="H262" s="504">
        <v>20508.086323891406</v>
      </c>
      <c r="I262" s="504">
        <v>17611.854135298221</v>
      </c>
      <c r="J262" s="504">
        <v>14836.671919909686</v>
      </c>
      <c r="K262" s="504">
        <v>14761.958447983758</v>
      </c>
      <c r="L262" s="504">
        <v>14710.299319037567</v>
      </c>
      <c r="M262" s="504">
        <v>14674.048232030949</v>
      </c>
      <c r="N262" s="505">
        <v>14552.412561190686</v>
      </c>
      <c r="O262" s="75">
        <v>14382.62218722555</v>
      </c>
      <c r="P262" s="75">
        <v>14224.420893952467</v>
      </c>
      <c r="Q262" s="75">
        <v>14051.444570244044</v>
      </c>
      <c r="R262" s="75">
        <v>13838.950012503276</v>
      </c>
      <c r="S262" s="75">
        <v>11923.342982658225</v>
      </c>
      <c r="T262" s="75">
        <v>9939.9454620755387</v>
      </c>
      <c r="U262" s="75">
        <v>9600.2036194958819</v>
      </c>
      <c r="V262" s="75">
        <v>9223.183144753657</v>
      </c>
      <c r="W262" s="75">
        <v>8806.3328641311364</v>
      </c>
      <c r="X262" s="75">
        <v>25443.862896114777</v>
      </c>
      <c r="Y262" s="60"/>
      <c r="Z262" s="60"/>
      <c r="AA262" s="60"/>
      <c r="AB262" s="60"/>
      <c r="AC262" s="60"/>
      <c r="AD262" s="60"/>
      <c r="AE262"/>
    </row>
    <row r="263" spans="1:31" ht="13.2">
      <c r="A263" s="60"/>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c r="AA263" s="60"/>
      <c r="AB263" s="60"/>
      <c r="AC263" s="60"/>
      <c r="AD263" s="60"/>
      <c r="AE263"/>
    </row>
    <row r="264" spans="1:31" ht="13.2">
      <c r="A264" s="71" t="s">
        <v>584</v>
      </c>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c r="AA264" s="60"/>
      <c r="AB264" s="60"/>
      <c r="AC264" s="60"/>
      <c r="AD264" s="60"/>
      <c r="AE264"/>
    </row>
    <row r="265" spans="1:31">
      <c r="A265" s="442">
        <v>36268</v>
      </c>
    </row>
    <row r="266" spans="1:31" ht="13.2">
      <c r="A266" s="64" t="s">
        <v>368</v>
      </c>
      <c r="B266" s="65">
        <v>69561.002613065546</v>
      </c>
      <c r="C266" s="60"/>
      <c r="D266" s="60"/>
      <c r="E266" s="60"/>
      <c r="F266" s="60"/>
      <c r="G266" s="60"/>
      <c r="H266" s="60"/>
      <c r="I266" s="60"/>
      <c r="J266" s="60"/>
      <c r="K266" s="60"/>
      <c r="L266" s="60"/>
      <c r="M266" s="60"/>
      <c r="N266" s="60"/>
      <c r="O266" s="60"/>
      <c r="P266" s="60"/>
      <c r="Q266" s="60"/>
      <c r="R266" s="60"/>
      <c r="S266" s="60"/>
      <c r="T266" s="60"/>
      <c r="U266" s="60"/>
      <c r="V266" s="60"/>
      <c r="W266" s="60"/>
      <c r="X266" s="60"/>
    </row>
    <row r="267" spans="1:31" ht="13.2">
      <c r="A267" s="66" t="s">
        <v>369</v>
      </c>
      <c r="B267" s="67">
        <v>106476.86275838743</v>
      </c>
      <c r="C267" s="60"/>
      <c r="D267" s="60"/>
      <c r="E267" s="60"/>
      <c r="F267" s="60"/>
      <c r="G267" s="60"/>
      <c r="H267" s="60"/>
      <c r="I267" s="60"/>
      <c r="J267" s="60"/>
      <c r="K267" s="60"/>
      <c r="L267" s="60"/>
      <c r="M267" s="60"/>
      <c r="N267" s="60"/>
      <c r="O267" s="60"/>
      <c r="P267" s="60"/>
      <c r="Q267" s="60"/>
      <c r="R267" s="60"/>
      <c r="S267" s="60"/>
      <c r="T267" s="60"/>
      <c r="U267" s="60"/>
      <c r="V267" s="60"/>
      <c r="W267" s="60"/>
      <c r="X267" s="60"/>
    </row>
    <row r="268" spans="1:31" ht="13.2">
      <c r="A268" s="68" t="s">
        <v>370</v>
      </c>
      <c r="B268" s="495" t="s">
        <v>468</v>
      </c>
      <c r="C268" s="495" t="s">
        <v>469</v>
      </c>
      <c r="D268" s="497">
        <v>2000</v>
      </c>
      <c r="E268" s="498">
        <v>2001</v>
      </c>
      <c r="F268" s="498">
        <v>2002</v>
      </c>
      <c r="G268" s="498">
        <v>2003</v>
      </c>
      <c r="H268" s="498">
        <v>2004</v>
      </c>
      <c r="I268" s="498">
        <v>2005</v>
      </c>
      <c r="J268" s="498">
        <v>2006</v>
      </c>
      <c r="K268" s="498">
        <v>2007</v>
      </c>
      <c r="L268" s="498">
        <v>2008</v>
      </c>
      <c r="M268" s="498">
        <v>2009</v>
      </c>
      <c r="N268" s="499">
        <v>2010</v>
      </c>
      <c r="O268" s="69">
        <v>2011</v>
      </c>
      <c r="P268" s="69">
        <v>2012</v>
      </c>
      <c r="Q268" s="69">
        <v>2013</v>
      </c>
      <c r="R268" s="69">
        <v>2014</v>
      </c>
      <c r="S268" s="69">
        <v>2015</v>
      </c>
      <c r="T268" s="69">
        <v>2016</v>
      </c>
      <c r="U268" s="69">
        <v>2017</v>
      </c>
      <c r="V268" s="69">
        <v>2018</v>
      </c>
      <c r="W268" s="69">
        <v>2019</v>
      </c>
      <c r="X268" s="69">
        <v>2020</v>
      </c>
    </row>
    <row r="269" spans="1:31" ht="13.2">
      <c r="A269" s="68" t="s">
        <v>371</v>
      </c>
      <c r="B269" s="496">
        <f>NPV(0.1,D269:Y269)</f>
        <v>453600.41846226779</v>
      </c>
      <c r="C269" s="496">
        <f>B269-B259</f>
        <v>-3142.7658129571355</v>
      </c>
      <c r="D269" s="500">
        <v>29783.802</v>
      </c>
      <c r="E269" s="501">
        <v>37505.801139999996</v>
      </c>
      <c r="F269" s="501">
        <v>37592.835254200007</v>
      </c>
      <c r="G269" s="501">
        <v>48367.852899618658</v>
      </c>
      <c r="H269" s="501">
        <v>57072.953381118517</v>
      </c>
      <c r="I269" s="501">
        <v>58174.253383272131</v>
      </c>
      <c r="J269" s="501">
        <v>58799.60036647856</v>
      </c>
      <c r="K269" s="501">
        <v>59424.758538232432</v>
      </c>
      <c r="L269" s="501">
        <v>60049.153757561689</v>
      </c>
      <c r="M269" s="501">
        <v>60672.177604966309</v>
      </c>
      <c r="N269" s="502">
        <v>61293.185842433391</v>
      </c>
      <c r="O269" s="75">
        <v>61911.496811904042</v>
      </c>
      <c r="P269" s="75">
        <v>62526.389769884721</v>
      </c>
      <c r="Q269" s="75">
        <v>63137.103155813544</v>
      </c>
      <c r="R269" s="75">
        <v>63742.832791705194</v>
      </c>
      <c r="S269" s="75">
        <v>64342.730010510109</v>
      </c>
      <c r="T269" s="75">
        <v>64766.125254471866</v>
      </c>
      <c r="U269" s="75">
        <v>65171.662953661864</v>
      </c>
      <c r="V269" s="75">
        <v>65557.89059967424</v>
      </c>
      <c r="W269" s="75">
        <v>65923.284605389053</v>
      </c>
      <c r="X269" s="75">
        <v>66266.247347507058</v>
      </c>
    </row>
    <row r="270" spans="1:31" ht="13.2">
      <c r="A270" s="70" t="s">
        <v>372</v>
      </c>
      <c r="B270" s="496">
        <f>NPV(0.1,D270:Y270)</f>
        <v>201918.68350453128</v>
      </c>
      <c r="C270" s="496">
        <f>B270-B260</f>
        <v>-1050.2482224088453</v>
      </c>
      <c r="D270" s="500">
        <v>20521.062879469435</v>
      </c>
      <c r="E270" s="501">
        <v>21763.378116607801</v>
      </c>
      <c r="F270" s="501">
        <v>22241.287539974837</v>
      </c>
      <c r="G270" s="501">
        <v>22725.655775221236</v>
      </c>
      <c r="H270" s="501">
        <v>23054.332816952458</v>
      </c>
      <c r="I270" s="501">
        <v>23251.104965970848</v>
      </c>
      <c r="J270" s="501">
        <v>23446.910252903308</v>
      </c>
      <c r="K270" s="501">
        <v>23610.394871900386</v>
      </c>
      <c r="L270" s="501">
        <v>23798.448692638209</v>
      </c>
      <c r="M270" s="501">
        <v>24045.906812885107</v>
      </c>
      <c r="N270" s="502">
        <v>24299.37055199152</v>
      </c>
      <c r="O270" s="75">
        <v>24511.749253593323</v>
      </c>
      <c r="P270" s="75">
        <v>24730.499316243182</v>
      </c>
      <c r="Q270" s="75">
        <v>24955.81188077254</v>
      </c>
      <c r="R270" s="75">
        <v>25187.883822237778</v>
      </c>
      <c r="S270" s="75">
        <v>25426.917921946966</v>
      </c>
      <c r="T270" s="75">
        <v>25673.123044647436</v>
      </c>
      <c r="U270" s="75">
        <v>25926.714321028921</v>
      </c>
      <c r="V270" s="75">
        <v>26187.913335701847</v>
      </c>
      <c r="W270" s="75">
        <v>26456.948320814965</v>
      </c>
      <c r="X270" s="75">
        <v>26734.054355481469</v>
      </c>
    </row>
    <row r="271" spans="1:31" ht="13.2">
      <c r="A271" s="70" t="s">
        <v>34</v>
      </c>
      <c r="B271" s="496">
        <f>NPV(0.1,D271:Y271)</f>
        <v>89197.239252286046</v>
      </c>
      <c r="C271" s="496">
        <f>B271-B261</f>
        <v>-944.7740268526104</v>
      </c>
      <c r="D271" s="500">
        <v>156.34343662367371</v>
      </c>
      <c r="E271" s="501">
        <v>224.9028545132486</v>
      </c>
      <c r="F271" s="501">
        <v>50.71438495068243</v>
      </c>
      <c r="G271" s="501">
        <v>6581.0392366968681</v>
      </c>
      <c r="H271" s="501">
        <v>11838.204929387641</v>
      </c>
      <c r="I271" s="501">
        <v>12701.58956627853</v>
      </c>
      <c r="J271" s="501">
        <v>13258.047585294655</v>
      </c>
      <c r="K271" s="501">
        <v>13760.78605147754</v>
      </c>
      <c r="L271" s="501">
        <v>14273.779489537363</v>
      </c>
      <c r="M271" s="501">
        <v>14776.342236138362</v>
      </c>
      <c r="N271" s="502">
        <v>15302.645096137947</v>
      </c>
      <c r="O271" s="75">
        <v>15883.999748838218</v>
      </c>
      <c r="P271" s="75">
        <v>16493.36292103029</v>
      </c>
      <c r="Q271" s="75">
        <v>17132.67427341338</v>
      </c>
      <c r="R271" s="75">
        <v>17804.027228158429</v>
      </c>
      <c r="S271" s="75">
        <v>18509.681456061662</v>
      </c>
      <c r="T271" s="75">
        <v>19145.371537846098</v>
      </c>
      <c r="U271" s="75">
        <v>19810.661377415174</v>
      </c>
      <c r="V271" s="75">
        <v>20507.634603501214</v>
      </c>
      <c r="W271" s="75">
        <v>21238.543603925566</v>
      </c>
      <c r="X271" s="75">
        <v>22032.981218869885</v>
      </c>
    </row>
    <row r="272" spans="1:31" ht="13.2">
      <c r="A272" s="70" t="s">
        <v>32</v>
      </c>
      <c r="B272" s="496">
        <f>NPV(0.1,D272:Y272)</f>
        <v>100519.98505269593</v>
      </c>
      <c r="C272" s="496">
        <f>B272-B262</f>
        <v>-606.2613512451062</v>
      </c>
      <c r="D272" s="503">
        <v>2125.0294206675303</v>
      </c>
      <c r="E272" s="504">
        <v>3672.7149059176486</v>
      </c>
      <c r="F272" s="504">
        <v>3829.7380364227001</v>
      </c>
      <c r="G272" s="504">
        <v>15662.100605558318</v>
      </c>
      <c r="H272" s="504">
        <v>20343.991298530527</v>
      </c>
      <c r="I272" s="504">
        <v>17685.755702210128</v>
      </c>
      <c r="J272" s="504">
        <v>14744.14169301406</v>
      </c>
      <c r="K272" s="504">
        <v>14669.741188791289</v>
      </c>
      <c r="L272" s="504">
        <v>14618.539369687214</v>
      </c>
      <c r="M272" s="504">
        <v>14582.901696468885</v>
      </c>
      <c r="N272" s="505">
        <v>14462.048151606792</v>
      </c>
      <c r="O272" s="75">
        <v>14293.222132341338</v>
      </c>
      <c r="P272" s="75">
        <v>14136.181913841821</v>
      </c>
      <c r="Q272" s="75">
        <v>13964.578922731927</v>
      </c>
      <c r="R272" s="75">
        <v>13753.686616579966</v>
      </c>
      <c r="S272" s="75">
        <v>11839.928624770277</v>
      </c>
      <c r="T272" s="75">
        <v>9858.9067011583666</v>
      </c>
      <c r="U272" s="75">
        <v>9521.8263585703062</v>
      </c>
      <c r="V272" s="75">
        <v>9147.7737665268833</v>
      </c>
      <c r="W272" s="75">
        <v>8734.2196395486681</v>
      </c>
      <c r="X272" s="75">
        <v>25232.704239116032</v>
      </c>
    </row>
    <row r="274" spans="1:24">
      <c r="A274" s="71" t="s">
        <v>585</v>
      </c>
    </row>
    <row r="275" spans="1:24">
      <c r="A275" s="442">
        <v>36268</v>
      </c>
    </row>
    <row r="276" spans="1:24" ht="13.2">
      <c r="A276" s="64" t="s">
        <v>368</v>
      </c>
      <c r="B276" s="65">
        <v>77822.544759923738</v>
      </c>
      <c r="C276" s="60"/>
      <c r="D276" s="60"/>
      <c r="E276" s="60"/>
      <c r="F276" s="60"/>
      <c r="G276" s="60"/>
      <c r="H276" s="60"/>
      <c r="I276" s="60"/>
      <c r="J276" s="60"/>
      <c r="K276" s="60"/>
      <c r="L276" s="60"/>
      <c r="M276" s="60"/>
      <c r="N276" s="60"/>
      <c r="O276" s="60"/>
      <c r="P276" s="60"/>
      <c r="Q276" s="60"/>
      <c r="R276" s="60"/>
      <c r="S276" s="60"/>
      <c r="T276" s="60"/>
      <c r="U276" s="60"/>
      <c r="V276" s="60"/>
      <c r="W276" s="60"/>
      <c r="X276" s="60"/>
    </row>
    <row r="277" spans="1:24" ht="13.2">
      <c r="A277" s="66" t="s">
        <v>369</v>
      </c>
      <c r="B277" s="67">
        <v>117306.53907634704</v>
      </c>
      <c r="C277" s="60"/>
      <c r="D277" s="60"/>
      <c r="E277" s="60"/>
      <c r="F277" s="60"/>
      <c r="G277" s="60"/>
      <c r="H277" s="60"/>
      <c r="I277" s="60"/>
      <c r="J277" s="60"/>
      <c r="K277" s="60"/>
      <c r="L277" s="60"/>
      <c r="M277" s="60"/>
      <c r="N277" s="60"/>
      <c r="O277" s="60"/>
      <c r="P277" s="60"/>
      <c r="Q277" s="60"/>
      <c r="R277" s="60"/>
      <c r="S277" s="60"/>
      <c r="T277" s="60"/>
      <c r="U277" s="60"/>
      <c r="V277" s="60"/>
      <c r="W277" s="60"/>
      <c r="X277" s="60"/>
    </row>
    <row r="278" spans="1:24" ht="13.2">
      <c r="A278" s="68" t="s">
        <v>370</v>
      </c>
      <c r="B278" s="495" t="s">
        <v>468</v>
      </c>
      <c r="C278" s="495" t="s">
        <v>469</v>
      </c>
      <c r="D278" s="497">
        <v>2000</v>
      </c>
      <c r="E278" s="498">
        <v>2001</v>
      </c>
      <c r="F278" s="498">
        <v>2002</v>
      </c>
      <c r="G278" s="498">
        <v>2003</v>
      </c>
      <c r="H278" s="498">
        <v>2004</v>
      </c>
      <c r="I278" s="498">
        <v>2005</v>
      </c>
      <c r="J278" s="498">
        <v>2006</v>
      </c>
      <c r="K278" s="498">
        <v>2007</v>
      </c>
      <c r="L278" s="498">
        <v>2008</v>
      </c>
      <c r="M278" s="498">
        <v>2009</v>
      </c>
      <c r="N278" s="499">
        <v>2010</v>
      </c>
      <c r="O278" s="69">
        <v>2011</v>
      </c>
      <c r="P278" s="69">
        <v>2012</v>
      </c>
      <c r="Q278" s="69">
        <v>2013</v>
      </c>
      <c r="R278" s="69">
        <v>2014</v>
      </c>
      <c r="S278" s="69">
        <v>2015</v>
      </c>
      <c r="T278" s="69">
        <v>2016</v>
      </c>
      <c r="U278" s="69">
        <v>2017</v>
      </c>
      <c r="V278" s="69">
        <v>2018</v>
      </c>
      <c r="W278" s="69">
        <v>2019</v>
      </c>
      <c r="X278" s="69">
        <v>2020</v>
      </c>
    </row>
    <row r="279" spans="1:24" ht="13.2">
      <c r="A279" s="68" t="s">
        <v>371</v>
      </c>
      <c r="B279" s="496">
        <f>NPV(0.1,D279:Y279)</f>
        <v>463721.34087193926</v>
      </c>
      <c r="C279" s="496">
        <f>B279-B269</f>
        <v>10120.922409671475</v>
      </c>
      <c r="D279" s="500">
        <v>32251.302</v>
      </c>
      <c r="E279" s="501">
        <v>41735.801139999996</v>
      </c>
      <c r="F279" s="501">
        <v>41822.835254200007</v>
      </c>
      <c r="G279" s="501">
        <v>50130.352899618658</v>
      </c>
      <c r="H279" s="501">
        <v>57072.953381118517</v>
      </c>
      <c r="I279" s="501">
        <v>58174.253383272131</v>
      </c>
      <c r="J279" s="501">
        <v>58799.60036647856</v>
      </c>
      <c r="K279" s="501">
        <v>59424.758538232432</v>
      </c>
      <c r="L279" s="501">
        <v>60049.153757561689</v>
      </c>
      <c r="M279" s="501">
        <v>60672.177604966309</v>
      </c>
      <c r="N279" s="502">
        <v>61293.185842433391</v>
      </c>
      <c r="O279" s="75">
        <v>61911.496811904042</v>
      </c>
      <c r="P279" s="75">
        <v>62526.389769884721</v>
      </c>
      <c r="Q279" s="75">
        <v>63137.103155813544</v>
      </c>
      <c r="R279" s="75">
        <v>63742.832791705194</v>
      </c>
      <c r="S279" s="75">
        <v>64342.730010510109</v>
      </c>
      <c r="T279" s="75">
        <v>64766.125254471866</v>
      </c>
      <c r="U279" s="75">
        <v>65171.662953661864</v>
      </c>
      <c r="V279" s="75">
        <v>65557.89059967424</v>
      </c>
      <c r="W279" s="75">
        <v>65923.284605389053</v>
      </c>
      <c r="X279" s="75">
        <v>66266.247347507058</v>
      </c>
    </row>
    <row r="280" spans="1:24" ht="13.2">
      <c r="A280" s="70" t="s">
        <v>372</v>
      </c>
      <c r="B280" s="496">
        <f>NPV(0.1,D280:Y280)</f>
        <v>201918.68350453128</v>
      </c>
      <c r="C280" s="496">
        <f>B280-B270</f>
        <v>0</v>
      </c>
      <c r="D280" s="500">
        <v>20521.062879469435</v>
      </c>
      <c r="E280" s="501">
        <v>21763.378116607801</v>
      </c>
      <c r="F280" s="501">
        <v>22241.287539974837</v>
      </c>
      <c r="G280" s="501">
        <v>22725.655775221236</v>
      </c>
      <c r="H280" s="501">
        <v>23054.332816952458</v>
      </c>
      <c r="I280" s="501">
        <v>23251.104965970848</v>
      </c>
      <c r="J280" s="501">
        <v>23446.910252903308</v>
      </c>
      <c r="K280" s="501">
        <v>23610.394871900386</v>
      </c>
      <c r="L280" s="501">
        <v>23798.448692638209</v>
      </c>
      <c r="M280" s="501">
        <v>24045.906812885107</v>
      </c>
      <c r="N280" s="502">
        <v>24299.37055199152</v>
      </c>
      <c r="O280" s="75">
        <v>24511.749253593323</v>
      </c>
      <c r="P280" s="75">
        <v>24730.499316243182</v>
      </c>
      <c r="Q280" s="75">
        <v>24955.81188077254</v>
      </c>
      <c r="R280" s="75">
        <v>25187.883822237778</v>
      </c>
      <c r="S280" s="75">
        <v>25426.917921946966</v>
      </c>
      <c r="T280" s="75">
        <v>25673.123044647436</v>
      </c>
      <c r="U280" s="75">
        <v>25926.714321028921</v>
      </c>
      <c r="V280" s="75">
        <v>26187.913335701847</v>
      </c>
      <c r="W280" s="75">
        <v>26456.948320814965</v>
      </c>
      <c r="X280" s="75">
        <v>26734.054355481469</v>
      </c>
    </row>
    <row r="281" spans="1:24" ht="13.2">
      <c r="A281" s="70" t="s">
        <v>34</v>
      </c>
      <c r="B281" s="496">
        <f>NPV(0.1,D281:Y281)</f>
        <v>94947.260665685928</v>
      </c>
      <c r="C281" s="496">
        <f>B281-B271</f>
        <v>5750.0214133998816</v>
      </c>
      <c r="D281" s="500">
        <v>1484.3176717374249</v>
      </c>
      <c r="E281" s="501">
        <v>2575.4704063865975</v>
      </c>
      <c r="F281" s="501">
        <v>2533.9462737348404</v>
      </c>
      <c r="G281" s="501">
        <v>7656.3700656899227</v>
      </c>
      <c r="H281" s="501">
        <v>11838.204929387641</v>
      </c>
      <c r="I281" s="501">
        <v>12701.58956627853</v>
      </c>
      <c r="J281" s="501">
        <v>13258.047585294655</v>
      </c>
      <c r="K281" s="501">
        <v>13760.78605147754</v>
      </c>
      <c r="L281" s="501">
        <v>14273.779489537363</v>
      </c>
      <c r="M281" s="501">
        <v>14776.342236138362</v>
      </c>
      <c r="N281" s="502">
        <v>15302.645096137947</v>
      </c>
      <c r="O281" s="75">
        <v>15883.999748838218</v>
      </c>
      <c r="P281" s="75">
        <v>16493.36292103029</v>
      </c>
      <c r="Q281" s="75">
        <v>17132.67427341338</v>
      </c>
      <c r="R281" s="75">
        <v>17804.027228158429</v>
      </c>
      <c r="S281" s="75">
        <v>18509.681456061662</v>
      </c>
      <c r="T281" s="75">
        <v>19145.371537846098</v>
      </c>
      <c r="U281" s="75">
        <v>19810.661377415174</v>
      </c>
      <c r="V281" s="75">
        <v>20507.634603501214</v>
      </c>
      <c r="W281" s="75">
        <v>21238.543603925566</v>
      </c>
      <c r="X281" s="75">
        <v>22032.981218869885</v>
      </c>
    </row>
    <row r="282" spans="1:24" ht="13.2">
      <c r="A282" s="70" t="s">
        <v>32</v>
      </c>
      <c r="B282" s="496">
        <f>NPV(0.1,D282:Y282)</f>
        <v>100724.84631205388</v>
      </c>
      <c r="C282" s="496">
        <f>B282-B272</f>
        <v>204.86125935794553</v>
      </c>
      <c r="D282" s="503">
        <v>2695.6862475906078</v>
      </c>
      <c r="E282" s="504">
        <v>4650.9837520714909</v>
      </c>
      <c r="F282" s="504">
        <v>4808.0068825765475</v>
      </c>
      <c r="G282" s="504">
        <v>16682.733348613874</v>
      </c>
      <c r="H282" s="504">
        <v>18639.814682636632</v>
      </c>
      <c r="I282" s="504">
        <v>15034.900799873099</v>
      </c>
      <c r="J282" s="504">
        <v>14744.14169301406</v>
      </c>
      <c r="K282" s="504">
        <v>14669.741188791289</v>
      </c>
      <c r="L282" s="504">
        <v>14618.539369687214</v>
      </c>
      <c r="M282" s="504">
        <v>14582.901696468885</v>
      </c>
      <c r="N282" s="505">
        <v>14462.048151606792</v>
      </c>
      <c r="O282" s="75">
        <v>14293.222132341338</v>
      </c>
      <c r="P282" s="75">
        <v>14136.181913841821</v>
      </c>
      <c r="Q282" s="75">
        <v>13964.578922731927</v>
      </c>
      <c r="R282" s="75">
        <v>13753.686616579966</v>
      </c>
      <c r="S282" s="75">
        <v>11839.928624770277</v>
      </c>
      <c r="T282" s="75">
        <v>9858.9067011583666</v>
      </c>
      <c r="U282" s="75">
        <v>9521.8263585703062</v>
      </c>
      <c r="V282" s="75">
        <v>9147.7737665268833</v>
      </c>
      <c r="W282" s="75">
        <v>8734.2196395486681</v>
      </c>
      <c r="X282" s="75">
        <v>25232.704239116032</v>
      </c>
    </row>
    <row r="284" spans="1:24">
      <c r="A284" s="71" t="s">
        <v>591</v>
      </c>
    </row>
    <row r="285" spans="1:24">
      <c r="A285" s="442">
        <v>36269</v>
      </c>
    </row>
    <row r="286" spans="1:24" ht="13.2">
      <c r="A286" s="64" t="s">
        <v>368</v>
      </c>
      <c r="B286" s="65">
        <v>78760.947356733275</v>
      </c>
      <c r="C286" s="60"/>
      <c r="D286" s="60"/>
      <c r="E286" s="60"/>
      <c r="F286" s="60"/>
      <c r="G286" s="60"/>
      <c r="H286" s="60"/>
      <c r="I286" s="60"/>
      <c r="J286" s="60"/>
      <c r="K286" s="60"/>
      <c r="L286" s="60"/>
      <c r="M286" s="60"/>
      <c r="N286" s="60"/>
      <c r="O286" s="60"/>
      <c r="P286" s="60"/>
      <c r="Q286" s="60"/>
      <c r="R286" s="60"/>
      <c r="S286" s="60"/>
      <c r="T286" s="60"/>
      <c r="U286" s="60"/>
      <c r="V286" s="60"/>
      <c r="W286" s="60"/>
      <c r="X286" s="60"/>
    </row>
    <row r="287" spans="1:24" ht="13.2">
      <c r="A287" s="66" t="s">
        <v>369</v>
      </c>
      <c r="B287" s="67">
        <v>118533.05628530512</v>
      </c>
      <c r="C287" s="60"/>
      <c r="D287" s="60"/>
      <c r="E287" s="60"/>
      <c r="F287" s="60"/>
      <c r="G287" s="60"/>
      <c r="H287" s="60"/>
      <c r="I287" s="60"/>
      <c r="J287" s="60"/>
      <c r="K287" s="60"/>
      <c r="L287" s="60"/>
      <c r="M287" s="60"/>
      <c r="N287" s="60"/>
      <c r="O287" s="60"/>
      <c r="P287" s="60"/>
      <c r="Q287" s="60"/>
      <c r="R287" s="60"/>
      <c r="S287" s="60"/>
      <c r="T287" s="60"/>
      <c r="U287" s="60"/>
      <c r="V287" s="60"/>
      <c r="W287" s="60"/>
      <c r="X287" s="60"/>
    </row>
    <row r="288" spans="1:24" ht="13.2">
      <c r="A288" s="68" t="s">
        <v>370</v>
      </c>
      <c r="B288" s="495" t="s">
        <v>468</v>
      </c>
      <c r="C288" s="495" t="s">
        <v>469</v>
      </c>
      <c r="D288" s="497">
        <v>2000</v>
      </c>
      <c r="E288" s="498">
        <v>2001</v>
      </c>
      <c r="F288" s="498">
        <v>2002</v>
      </c>
      <c r="G288" s="498">
        <v>2003</v>
      </c>
      <c r="H288" s="498">
        <v>2004</v>
      </c>
      <c r="I288" s="498">
        <v>2005</v>
      </c>
      <c r="J288" s="498">
        <v>2006</v>
      </c>
      <c r="K288" s="498">
        <v>2007</v>
      </c>
      <c r="L288" s="498">
        <v>2008</v>
      </c>
      <c r="M288" s="498">
        <v>2009</v>
      </c>
      <c r="N288" s="499">
        <v>2010</v>
      </c>
      <c r="O288" s="69">
        <v>2011</v>
      </c>
      <c r="P288" s="69">
        <v>2012</v>
      </c>
      <c r="Q288" s="69">
        <v>2013</v>
      </c>
      <c r="R288" s="69">
        <v>2014</v>
      </c>
      <c r="S288" s="69">
        <v>2015</v>
      </c>
      <c r="T288" s="69">
        <v>2016</v>
      </c>
      <c r="U288" s="69">
        <v>2017</v>
      </c>
      <c r="V288" s="69">
        <v>2018</v>
      </c>
      <c r="W288" s="69">
        <v>2019</v>
      </c>
      <c r="X288" s="69">
        <v>2020</v>
      </c>
    </row>
    <row r="289" spans="1:24" ht="13.2">
      <c r="A289" s="68" t="s">
        <v>371</v>
      </c>
      <c r="B289" s="496">
        <f>NPV(0.1,D289:Y289)</f>
        <v>463721.34087193926</v>
      </c>
      <c r="C289" s="496">
        <f>B289-B279</f>
        <v>0</v>
      </c>
      <c r="D289" s="500">
        <v>32251.302</v>
      </c>
      <c r="E289" s="501">
        <v>41735.801139999996</v>
      </c>
      <c r="F289" s="501">
        <v>41822.835254200007</v>
      </c>
      <c r="G289" s="501">
        <v>50130.352899618658</v>
      </c>
      <c r="H289" s="501">
        <v>57072.953381118517</v>
      </c>
      <c r="I289" s="501">
        <v>58174.253383272131</v>
      </c>
      <c r="J289" s="501">
        <v>58799.60036647856</v>
      </c>
      <c r="K289" s="501">
        <v>59424.758538232432</v>
      </c>
      <c r="L289" s="501">
        <v>60049.153757561689</v>
      </c>
      <c r="M289" s="501">
        <v>60672.177604966309</v>
      </c>
      <c r="N289" s="502">
        <v>61293.185842433391</v>
      </c>
      <c r="O289" s="75">
        <v>61911.496811904042</v>
      </c>
      <c r="P289" s="75">
        <v>62526.389769884721</v>
      </c>
      <c r="Q289" s="75">
        <v>63137.103155813544</v>
      </c>
      <c r="R289" s="75">
        <v>63742.832791705194</v>
      </c>
      <c r="S289" s="75">
        <v>64342.730010510109</v>
      </c>
      <c r="T289" s="75">
        <v>64766.125254471866</v>
      </c>
      <c r="U289" s="75">
        <v>65171.662953661864</v>
      </c>
      <c r="V289" s="75">
        <v>65557.89059967424</v>
      </c>
      <c r="W289" s="75">
        <v>65923.284605389053</v>
      </c>
      <c r="X289" s="75">
        <v>66266.247347507058</v>
      </c>
    </row>
    <row r="290" spans="1:24" ht="13.2">
      <c r="A290" s="70" t="s">
        <v>372</v>
      </c>
      <c r="B290" s="496">
        <f>NPV(0.1,D290:Y290)</f>
        <v>200733.84785091682</v>
      </c>
      <c r="C290" s="496">
        <f>B290-B280</f>
        <v>-1184.8356536144565</v>
      </c>
      <c r="D290" s="500">
        <v>20492.737879469438</v>
      </c>
      <c r="E290" s="501">
        <v>21641.374616607802</v>
      </c>
      <c r="F290" s="501">
        <v>22115.623934974839</v>
      </c>
      <c r="G290" s="501">
        <v>22596.222262071238</v>
      </c>
      <c r="H290" s="501">
        <v>22921.016298407958</v>
      </c>
      <c r="I290" s="501">
        <v>23113.788951870014</v>
      </c>
      <c r="J290" s="501">
        <v>23305.474758379449</v>
      </c>
      <c r="K290" s="501">
        <v>23464.716312540808</v>
      </c>
      <c r="L290" s="501">
        <v>23648.399776497845</v>
      </c>
      <c r="M290" s="501">
        <v>23891.356429260533</v>
      </c>
      <c r="N290" s="502">
        <v>24140.183656858211</v>
      </c>
      <c r="O290" s="75">
        <v>24347.786751606011</v>
      </c>
      <c r="P290" s="75">
        <v>24561.617939196254</v>
      </c>
      <c r="Q290" s="75">
        <v>24781.864062414203</v>
      </c>
      <c r="R290" s="75">
        <v>25008.717569328688</v>
      </c>
      <c r="S290" s="75">
        <v>25242.376681450605</v>
      </c>
      <c r="T290" s="75">
        <v>25483.045566936187</v>
      </c>
      <c r="U290" s="75">
        <v>25730.934518986331</v>
      </c>
      <c r="V290" s="75">
        <v>25986.260139597984</v>
      </c>
      <c r="W290" s="75">
        <v>26249.245528827982</v>
      </c>
      <c r="X290" s="75">
        <v>26520.120479734876</v>
      </c>
    </row>
    <row r="291" spans="1:24" ht="13.2">
      <c r="A291" s="70" t="s">
        <v>34</v>
      </c>
      <c r="B291" s="496">
        <f>NPV(0.1,D291:Y291)</f>
        <v>95484.515451264931</v>
      </c>
      <c r="C291" s="496">
        <f>B291-B281</f>
        <v>537.25478557900351</v>
      </c>
      <c r="D291" s="500">
        <v>1483.2847780069651</v>
      </c>
      <c r="E291" s="501">
        <v>2619.4499122874886</v>
      </c>
      <c r="F291" s="501">
        <v>2582.206767047117</v>
      </c>
      <c r="G291" s="501">
        <v>7709.2695002090886</v>
      </c>
      <c r="H291" s="501">
        <v>11893.839877150851</v>
      </c>
      <c r="I291" s="501">
        <v>12760.133975099787</v>
      </c>
      <c r="J291" s="501">
        <v>13319.687972015716</v>
      </c>
      <c r="K291" s="501">
        <v>13825.722467086203</v>
      </c>
      <c r="L291" s="501">
        <v>14342.226560283143</v>
      </c>
      <c r="M291" s="501">
        <v>14848.530286688874</v>
      </c>
      <c r="N291" s="502">
        <v>15378.821361301929</v>
      </c>
      <c r="O291" s="75">
        <v>15964.429680901829</v>
      </c>
      <c r="P291" s="75">
        <v>16578.331600316087</v>
      </c>
      <c r="Q291" s="75">
        <v>17222.487930278854</v>
      </c>
      <c r="R291" s="75">
        <v>17899.014885307064</v>
      </c>
      <c r="S291" s="75">
        <v>18610.196700748129</v>
      </c>
      <c r="T291" s="75">
        <v>19251.794434322386</v>
      </c>
      <c r="U291" s="75">
        <v>19923.400530790932</v>
      </c>
      <c r="V291" s="75">
        <v>20627.129387083831</v>
      </c>
      <c r="W291" s="75">
        <v>21365.266563069701</v>
      </c>
      <c r="X291" s="75">
        <v>22167.440665406702</v>
      </c>
    </row>
    <row r="292" spans="1:24" ht="13.2">
      <c r="A292" s="70" t="s">
        <v>32</v>
      </c>
      <c r="B292" s="496">
        <f>NPV(0.1,D292:Y292)</f>
        <v>101047.69556850819</v>
      </c>
      <c r="C292" s="496">
        <f>B292-B282</f>
        <v>322.84925645431213</v>
      </c>
      <c r="D292" s="503">
        <v>2702.5768485521457</v>
      </c>
      <c r="E292" s="504">
        <v>4680.6634496676443</v>
      </c>
      <c r="F292" s="504">
        <v>4838.576971100586</v>
      </c>
      <c r="G292" s="504">
        <v>16759.113943644341</v>
      </c>
      <c r="H292" s="504">
        <v>18598.471471816301</v>
      </c>
      <c r="I292" s="504">
        <v>15081.154585484632</v>
      </c>
      <c r="J292" s="504">
        <v>14790.916935487256</v>
      </c>
      <c r="K292" s="504">
        <v>14716.984239295454</v>
      </c>
      <c r="L292" s="504">
        <v>14666.189426523835</v>
      </c>
      <c r="M292" s="504">
        <v>14630.890147013328</v>
      </c>
      <c r="N292" s="505">
        <v>14510.297859030492</v>
      </c>
      <c r="O292" s="75">
        <v>14341.646662619718</v>
      </c>
      <c r="P292" s="75">
        <v>14184.684698191073</v>
      </c>
      <c r="Q292" s="75">
        <v>14013.052350227183</v>
      </c>
      <c r="R292" s="75">
        <v>13802.01105128485</v>
      </c>
      <c r="S292" s="75">
        <v>11887.971341251856</v>
      </c>
      <c r="T292" s="75">
        <v>9906.5207317687746</v>
      </c>
      <c r="U292" s="75">
        <v>9568.8492453441741</v>
      </c>
      <c r="V292" s="75">
        <v>9194.026209968717</v>
      </c>
      <c r="W292" s="75">
        <v>8779.5040359636914</v>
      </c>
      <c r="X292" s="75">
        <v>25368.712433204579</v>
      </c>
    </row>
    <row r="294" spans="1:24">
      <c r="A294" s="71" t="s">
        <v>605</v>
      </c>
    </row>
    <row r="295" spans="1:24">
      <c r="A295" s="442">
        <v>36271</v>
      </c>
    </row>
    <row r="296" spans="1:24" ht="13.2">
      <c r="A296" s="64" t="s">
        <v>368</v>
      </c>
      <c r="B296" s="65">
        <v>78760.165417065858</v>
      </c>
      <c r="C296" s="60"/>
      <c r="D296" s="60"/>
      <c r="E296" s="60"/>
      <c r="F296" s="60"/>
      <c r="G296" s="60"/>
      <c r="H296" s="60"/>
      <c r="I296" s="60"/>
      <c r="J296" s="60"/>
      <c r="K296" s="60"/>
      <c r="L296" s="60"/>
      <c r="M296" s="60"/>
      <c r="N296" s="60"/>
      <c r="O296" s="60"/>
      <c r="P296" s="60"/>
      <c r="Q296" s="60"/>
      <c r="R296" s="60"/>
      <c r="S296" s="60"/>
      <c r="T296" s="60"/>
      <c r="U296" s="60"/>
      <c r="V296" s="60"/>
      <c r="W296" s="60"/>
      <c r="X296" s="60"/>
    </row>
    <row r="297" spans="1:24" ht="13.2">
      <c r="A297" s="66" t="s">
        <v>369</v>
      </c>
      <c r="B297" s="67">
        <v>118532.1182853051</v>
      </c>
      <c r="C297" s="60"/>
      <c r="D297" s="60"/>
      <c r="E297" s="60"/>
      <c r="F297" s="60"/>
      <c r="G297" s="60"/>
      <c r="H297" s="60"/>
      <c r="I297" s="60"/>
      <c r="J297" s="60"/>
      <c r="K297" s="60"/>
      <c r="L297" s="60"/>
      <c r="M297" s="60"/>
      <c r="N297" s="60"/>
      <c r="O297" s="60"/>
      <c r="P297" s="60"/>
      <c r="Q297" s="60"/>
      <c r="R297" s="60"/>
      <c r="S297" s="60"/>
      <c r="T297" s="60"/>
      <c r="U297" s="60"/>
      <c r="V297" s="60"/>
      <c r="W297" s="60"/>
      <c r="X297" s="60"/>
    </row>
    <row r="298" spans="1:24" ht="13.2">
      <c r="A298" s="68" t="s">
        <v>370</v>
      </c>
      <c r="B298" s="495" t="s">
        <v>468</v>
      </c>
      <c r="C298" s="495" t="s">
        <v>469</v>
      </c>
      <c r="D298" s="497">
        <v>2000</v>
      </c>
      <c r="E298" s="498">
        <v>2001</v>
      </c>
      <c r="F298" s="498">
        <v>2002</v>
      </c>
      <c r="G298" s="498">
        <v>2003</v>
      </c>
      <c r="H298" s="498">
        <v>2004</v>
      </c>
      <c r="I298" s="498">
        <v>2005</v>
      </c>
      <c r="J298" s="498">
        <v>2006</v>
      </c>
      <c r="K298" s="498">
        <v>2007</v>
      </c>
      <c r="L298" s="498">
        <v>2008</v>
      </c>
      <c r="M298" s="498">
        <v>2009</v>
      </c>
      <c r="N298" s="499">
        <v>2010</v>
      </c>
      <c r="O298" s="69">
        <v>2011</v>
      </c>
      <c r="P298" s="69">
        <v>2012</v>
      </c>
      <c r="Q298" s="69">
        <v>2013</v>
      </c>
      <c r="R298" s="69">
        <v>2014</v>
      </c>
      <c r="S298" s="69">
        <v>2015</v>
      </c>
      <c r="T298" s="69">
        <v>2016</v>
      </c>
      <c r="U298" s="69">
        <v>2017</v>
      </c>
      <c r="V298" s="69">
        <v>2018</v>
      </c>
      <c r="W298" s="69">
        <v>2019</v>
      </c>
      <c r="X298" s="69">
        <v>2020</v>
      </c>
    </row>
    <row r="299" spans="1:24" ht="13.2">
      <c r="A299" s="68" t="s">
        <v>371</v>
      </c>
      <c r="B299" s="496">
        <f>NPV(0.1,D299:Y299)</f>
        <v>467830.9409380462</v>
      </c>
      <c r="C299" s="496">
        <f>B299-B289</f>
        <v>4109.6000661069411</v>
      </c>
      <c r="D299" s="500">
        <v>32726.471999999998</v>
      </c>
      <c r="E299" s="501">
        <v>42210.971139999994</v>
      </c>
      <c r="F299" s="501">
        <v>42298.005254200005</v>
      </c>
      <c r="G299" s="501">
        <v>50605.522899618656</v>
      </c>
      <c r="H299" s="501">
        <v>57548.123381118516</v>
      </c>
      <c r="I299" s="501">
        <v>58649.423383272129</v>
      </c>
      <c r="J299" s="501">
        <v>59274.770366478559</v>
      </c>
      <c r="K299" s="501">
        <v>59899.928538232431</v>
      </c>
      <c r="L299" s="501">
        <v>60524.323757561688</v>
      </c>
      <c r="M299" s="501">
        <v>61147.347604966308</v>
      </c>
      <c r="N299" s="502">
        <v>61768.35584243339</v>
      </c>
      <c r="O299" s="75">
        <v>62386.666811904041</v>
      </c>
      <c r="P299" s="75">
        <v>63001.55976988472</v>
      </c>
      <c r="Q299" s="75">
        <v>63612.273155813542</v>
      </c>
      <c r="R299" s="75">
        <v>64218.002791705192</v>
      </c>
      <c r="S299" s="75">
        <v>64817.900010510108</v>
      </c>
      <c r="T299" s="75">
        <v>65241.295254471865</v>
      </c>
      <c r="U299" s="75">
        <v>65646.832953661855</v>
      </c>
      <c r="V299" s="75">
        <v>66033.060599674238</v>
      </c>
      <c r="W299" s="75">
        <v>66398.454605389052</v>
      </c>
      <c r="X299" s="75">
        <v>66741.417347507057</v>
      </c>
    </row>
    <row r="300" spans="1:24" ht="13.2">
      <c r="A300" s="70" t="s">
        <v>372</v>
      </c>
      <c r="B300" s="496">
        <f>NPV(0.1,D300:Y300)</f>
        <v>204843.44791702379</v>
      </c>
      <c r="C300" s="496">
        <f>B300-B290</f>
        <v>4109.6000661069702</v>
      </c>
      <c r="D300" s="500">
        <v>20967.907879469436</v>
      </c>
      <c r="E300" s="501">
        <v>22116.5446166078</v>
      </c>
      <c r="F300" s="501">
        <v>22590.793934974838</v>
      </c>
      <c r="G300" s="501">
        <v>23071.392262071236</v>
      </c>
      <c r="H300" s="501">
        <v>23396.186298407956</v>
      </c>
      <c r="I300" s="501">
        <v>23588.958951870012</v>
      </c>
      <c r="J300" s="501">
        <v>23780.644758379447</v>
      </c>
      <c r="K300" s="501">
        <v>23939.886312540806</v>
      </c>
      <c r="L300" s="501">
        <v>24123.569776497843</v>
      </c>
      <c r="M300" s="501">
        <v>24366.526429260532</v>
      </c>
      <c r="N300" s="502">
        <v>24615.353656858209</v>
      </c>
      <c r="O300" s="75">
        <v>24822.956751606009</v>
      </c>
      <c r="P300" s="75">
        <v>25036.787939196252</v>
      </c>
      <c r="Q300" s="75">
        <v>25257.034062414201</v>
      </c>
      <c r="R300" s="75">
        <v>25483.887569328686</v>
      </c>
      <c r="S300" s="75">
        <v>25717.546681450604</v>
      </c>
      <c r="T300" s="75">
        <v>25958.215566936185</v>
      </c>
      <c r="U300" s="75">
        <v>26206.104518986329</v>
      </c>
      <c r="V300" s="75">
        <v>26461.430139597982</v>
      </c>
      <c r="W300" s="75">
        <v>26724.41552882798</v>
      </c>
      <c r="X300" s="75">
        <v>26995.290479734875</v>
      </c>
    </row>
    <row r="301" spans="1:24" ht="13.2">
      <c r="A301" s="70" t="s">
        <v>34</v>
      </c>
      <c r="B301" s="496">
        <f>NPV(0.1,D301:Y301)</f>
        <v>95484.37099332537</v>
      </c>
      <c r="C301" s="496">
        <f>B301-B291</f>
        <v>-0.1444579395611072</v>
      </c>
      <c r="D301" s="500">
        <v>1483.274588395715</v>
      </c>
      <c r="E301" s="501">
        <v>2619.432444382488</v>
      </c>
      <c r="F301" s="501">
        <v>2582.1892991421169</v>
      </c>
      <c r="G301" s="501">
        <v>7709.2520323040881</v>
      </c>
      <c r="H301" s="501">
        <v>11893.822409245851</v>
      </c>
      <c r="I301" s="501">
        <v>12760.116507194783</v>
      </c>
      <c r="J301" s="501">
        <v>13319.670504110716</v>
      </c>
      <c r="K301" s="501">
        <v>13825.704999181205</v>
      </c>
      <c r="L301" s="501">
        <v>14342.209092378143</v>
      </c>
      <c r="M301" s="501">
        <v>14848.512818783875</v>
      </c>
      <c r="N301" s="502">
        <v>15378.803893396927</v>
      </c>
      <c r="O301" s="75">
        <v>15964.412212996827</v>
      </c>
      <c r="P301" s="75">
        <v>16578.314132411084</v>
      </c>
      <c r="Q301" s="75">
        <v>17222.470462373854</v>
      </c>
      <c r="R301" s="75">
        <v>17898.997417402064</v>
      </c>
      <c r="S301" s="75">
        <v>18610.179232843126</v>
      </c>
      <c r="T301" s="75">
        <v>19251.776966417383</v>
      </c>
      <c r="U301" s="75">
        <v>19923.383062885925</v>
      </c>
      <c r="V301" s="75">
        <v>20627.111919178831</v>
      </c>
      <c r="W301" s="75">
        <v>21365.249095164698</v>
      </c>
      <c r="X301" s="75">
        <v>22167.423197501703</v>
      </c>
    </row>
    <row r="302" spans="1:24" ht="13.2">
      <c r="A302" s="70" t="s">
        <v>32</v>
      </c>
      <c r="B302" s="496">
        <f>NPV(0.1,D302:Y302)</f>
        <v>101047.8657251571</v>
      </c>
      <c r="C302" s="496">
        <f>B302-B292</f>
        <v>0.17015664890641347</v>
      </c>
      <c r="D302" s="503">
        <v>2702.5768485521457</v>
      </c>
      <c r="E302" s="504">
        <v>4680.6634496676443</v>
      </c>
      <c r="F302" s="504">
        <v>4838.5769711005823</v>
      </c>
      <c r="G302" s="504">
        <v>16759.11490040434</v>
      </c>
      <c r="H302" s="504">
        <v>18598.605800357498</v>
      </c>
      <c r="I302" s="504">
        <v>15081.177369762576</v>
      </c>
      <c r="J302" s="504">
        <v>14790.938545834755</v>
      </c>
      <c r="K302" s="504">
        <v>14717.005885216608</v>
      </c>
      <c r="L302" s="504">
        <v>14666.211036871337</v>
      </c>
      <c r="M302" s="504">
        <v>14630.911792934477</v>
      </c>
      <c r="N302" s="505">
        <v>14510.319469377995</v>
      </c>
      <c r="O302" s="75">
        <v>14341.668308540862</v>
      </c>
      <c r="P302" s="75">
        <v>14184.706308538574</v>
      </c>
      <c r="Q302" s="75">
        <v>14013.073996148332</v>
      </c>
      <c r="R302" s="75">
        <v>13802.032661632351</v>
      </c>
      <c r="S302" s="75">
        <v>11887.9824573726</v>
      </c>
      <c r="T302" s="75">
        <v>9906.5213536627743</v>
      </c>
      <c r="U302" s="75">
        <v>9568.8498672381702</v>
      </c>
      <c r="V302" s="75">
        <v>9194.0268318627186</v>
      </c>
      <c r="W302" s="75">
        <v>8779.5046578576912</v>
      </c>
      <c r="X302" s="75">
        <v>25368.713055098578</v>
      </c>
    </row>
    <row r="304" spans="1:24">
      <c r="A304" s="71" t="s">
        <v>606</v>
      </c>
    </row>
    <row r="305" spans="1:24">
      <c r="A305" s="442">
        <v>36271</v>
      </c>
    </row>
    <row r="306" spans="1:24" ht="13.2">
      <c r="A306" s="64" t="s">
        <v>368</v>
      </c>
      <c r="B306" s="65">
        <v>78232.314893796574</v>
      </c>
      <c r="C306" s="60"/>
      <c r="D306" s="60"/>
      <c r="E306" s="60"/>
      <c r="F306" s="60"/>
      <c r="G306" s="60"/>
      <c r="H306" s="60"/>
      <c r="I306" s="60"/>
      <c r="J306" s="60"/>
      <c r="K306" s="60"/>
      <c r="L306" s="60"/>
      <c r="M306" s="60"/>
      <c r="N306" s="60"/>
      <c r="O306" s="60"/>
      <c r="P306" s="60"/>
      <c r="Q306" s="60"/>
      <c r="R306" s="60"/>
      <c r="S306" s="60"/>
      <c r="T306" s="60"/>
      <c r="U306" s="60"/>
      <c r="V306" s="60"/>
      <c r="W306" s="60"/>
      <c r="X306" s="60"/>
    </row>
    <row r="307" spans="1:24" ht="13.2">
      <c r="A307" s="66" t="s">
        <v>369</v>
      </c>
      <c r="B307" s="67">
        <v>117850.79421799866</v>
      </c>
      <c r="C307" s="60"/>
      <c r="D307" s="60"/>
      <c r="E307" s="60"/>
      <c r="F307" s="60"/>
      <c r="G307" s="60"/>
      <c r="H307" s="60"/>
      <c r="I307" s="60"/>
      <c r="J307" s="60"/>
      <c r="K307" s="60"/>
      <c r="L307" s="60"/>
      <c r="M307" s="60"/>
      <c r="N307" s="60"/>
      <c r="O307" s="60"/>
      <c r="P307" s="60"/>
      <c r="Q307" s="60"/>
      <c r="R307" s="60"/>
      <c r="S307" s="60"/>
      <c r="T307" s="60"/>
      <c r="U307" s="60"/>
      <c r="V307" s="60"/>
      <c r="W307" s="60"/>
      <c r="X307" s="60"/>
    </row>
    <row r="308" spans="1:24" ht="13.2">
      <c r="A308" s="68" t="s">
        <v>370</v>
      </c>
      <c r="B308" s="495" t="s">
        <v>468</v>
      </c>
      <c r="C308" s="495" t="s">
        <v>469</v>
      </c>
      <c r="D308" s="497">
        <v>2000</v>
      </c>
      <c r="E308" s="498">
        <v>2001</v>
      </c>
      <c r="F308" s="498">
        <v>2002</v>
      </c>
      <c r="G308" s="498">
        <v>2003</v>
      </c>
      <c r="H308" s="498">
        <v>2004</v>
      </c>
      <c r="I308" s="498">
        <v>2005</v>
      </c>
      <c r="J308" s="498">
        <v>2006</v>
      </c>
      <c r="K308" s="498">
        <v>2007</v>
      </c>
      <c r="L308" s="498">
        <v>2008</v>
      </c>
      <c r="M308" s="498">
        <v>2009</v>
      </c>
      <c r="N308" s="499">
        <v>2010</v>
      </c>
      <c r="O308" s="69">
        <v>2011</v>
      </c>
      <c r="P308" s="69">
        <v>2012</v>
      </c>
      <c r="Q308" s="69">
        <v>2013</v>
      </c>
      <c r="R308" s="69">
        <v>2014</v>
      </c>
      <c r="S308" s="69">
        <v>2015</v>
      </c>
      <c r="T308" s="69">
        <v>2016</v>
      </c>
      <c r="U308" s="69">
        <v>2017</v>
      </c>
      <c r="V308" s="69">
        <v>2018</v>
      </c>
      <c r="W308" s="69">
        <v>2019</v>
      </c>
      <c r="X308" s="69">
        <v>2020</v>
      </c>
    </row>
    <row r="309" spans="1:24" ht="13.2">
      <c r="A309" s="68" t="s">
        <v>371</v>
      </c>
      <c r="B309" s="496">
        <f>NPV(0.1,D309:Y309)</f>
        <v>457491.71558128949</v>
      </c>
      <c r="C309" s="496">
        <f>B309-B299</f>
        <v>-10339.22535675671</v>
      </c>
      <c r="D309" s="500">
        <v>22235.353999999999</v>
      </c>
      <c r="E309" s="501">
        <v>42210.971139999994</v>
      </c>
      <c r="F309" s="501">
        <v>42298.005254200005</v>
      </c>
      <c r="G309" s="501">
        <v>49431.541112791143</v>
      </c>
      <c r="H309" s="501">
        <v>57548.123381118516</v>
      </c>
      <c r="I309" s="501">
        <v>58649.423383272129</v>
      </c>
      <c r="J309" s="501">
        <v>59274.770366478559</v>
      </c>
      <c r="K309" s="501">
        <v>59899.928538232431</v>
      </c>
      <c r="L309" s="501">
        <v>60524.323757561688</v>
      </c>
      <c r="M309" s="501">
        <v>61147.347604966308</v>
      </c>
      <c r="N309" s="502">
        <v>61768.35584243339</v>
      </c>
      <c r="O309" s="75">
        <v>62386.666811904041</v>
      </c>
      <c r="P309" s="75">
        <v>63001.55976988472</v>
      </c>
      <c r="Q309" s="75">
        <v>63612.273155813542</v>
      </c>
      <c r="R309" s="75">
        <v>64218.002791705192</v>
      </c>
      <c r="S309" s="75">
        <v>64817.900010510108</v>
      </c>
      <c r="T309" s="75">
        <v>65241.295254471865</v>
      </c>
      <c r="U309" s="75">
        <v>65646.832953661855</v>
      </c>
      <c r="V309" s="75">
        <v>66033.060599674238</v>
      </c>
      <c r="W309" s="75">
        <v>66398.454605389052</v>
      </c>
      <c r="X309" s="75">
        <v>66741.417347507057</v>
      </c>
    </row>
    <row r="310" spans="1:24" ht="13.2">
      <c r="A310" s="70" t="s">
        <v>372</v>
      </c>
      <c r="B310" s="496">
        <f>NPV(0.1,D310:Y310)</f>
        <v>197153.08286774202</v>
      </c>
      <c r="C310" s="496">
        <f>B310-B300</f>
        <v>-7690.3650492817687</v>
      </c>
      <c r="D310" s="500">
        <v>12508.506325259514</v>
      </c>
      <c r="E310" s="501">
        <v>22116.5446166078</v>
      </c>
      <c r="F310" s="501">
        <v>22590.793934974838</v>
      </c>
      <c r="G310" s="501">
        <v>23071.392262071236</v>
      </c>
      <c r="H310" s="501">
        <v>23396.186298407956</v>
      </c>
      <c r="I310" s="501">
        <v>23588.958951870012</v>
      </c>
      <c r="J310" s="501">
        <v>23780.644758379447</v>
      </c>
      <c r="K310" s="501">
        <v>23939.886312540806</v>
      </c>
      <c r="L310" s="501">
        <v>24123.569776497843</v>
      </c>
      <c r="M310" s="501">
        <v>24366.526429260532</v>
      </c>
      <c r="N310" s="502">
        <v>24615.353656858209</v>
      </c>
      <c r="O310" s="75">
        <v>24822.956751606009</v>
      </c>
      <c r="P310" s="75">
        <v>25036.787939196252</v>
      </c>
      <c r="Q310" s="75">
        <v>25257.034062414201</v>
      </c>
      <c r="R310" s="75">
        <v>25483.887569328686</v>
      </c>
      <c r="S310" s="75">
        <v>25717.546681450604</v>
      </c>
      <c r="T310" s="75">
        <v>25958.215566936185</v>
      </c>
      <c r="U310" s="75">
        <v>26206.104518986329</v>
      </c>
      <c r="V310" s="75">
        <v>26461.430139597982</v>
      </c>
      <c r="W310" s="75">
        <v>26724.41552882798</v>
      </c>
      <c r="X310" s="75">
        <v>26995.290479734875</v>
      </c>
    </row>
    <row r="311" spans="1:24" ht="13.2">
      <c r="A311" s="70" t="s">
        <v>34</v>
      </c>
      <c r="B311" s="496">
        <f>NPV(0.1,D311:Y311)</f>
        <v>94641.438442826402</v>
      </c>
      <c r="C311" s="496">
        <f>B311-B301</f>
        <v>-842.93255049896834</v>
      </c>
      <c r="D311" s="500">
        <v>1073.4132952198099</v>
      </c>
      <c r="E311" s="501">
        <v>2638.030594664835</v>
      </c>
      <c r="F311" s="501">
        <v>2602.2288060713449</v>
      </c>
      <c r="G311" s="501">
        <v>6992.9860419199867</v>
      </c>
      <c r="H311" s="501">
        <v>11893.822409245851</v>
      </c>
      <c r="I311" s="501">
        <v>12740.604265528122</v>
      </c>
      <c r="J311" s="501">
        <v>13319.670504110716</v>
      </c>
      <c r="K311" s="501">
        <v>13825.704999181205</v>
      </c>
      <c r="L311" s="501">
        <v>14342.209092378143</v>
      </c>
      <c r="M311" s="501">
        <v>14848.512818783875</v>
      </c>
      <c r="N311" s="502">
        <v>15378.803893396927</v>
      </c>
      <c r="O311" s="75">
        <v>15964.412212996827</v>
      </c>
      <c r="P311" s="75">
        <v>16578.314132411084</v>
      </c>
      <c r="Q311" s="75">
        <v>17222.470462373854</v>
      </c>
      <c r="R311" s="75">
        <v>17898.997417402064</v>
      </c>
      <c r="S311" s="75">
        <v>18610.179232843126</v>
      </c>
      <c r="T311" s="75">
        <v>19251.776966417383</v>
      </c>
      <c r="U311" s="75">
        <v>19923.383062885925</v>
      </c>
      <c r="V311" s="75">
        <v>20627.111919178831</v>
      </c>
      <c r="W311" s="75">
        <v>21365.249095164698</v>
      </c>
      <c r="X311" s="75">
        <v>22163.543510001698</v>
      </c>
    </row>
    <row r="312" spans="1:24" ht="13.2">
      <c r="A312" s="70" t="s">
        <v>32</v>
      </c>
      <c r="B312" s="496">
        <f>NPV(0.1,D312:Y312)</f>
        <v>100649.30001469905</v>
      </c>
      <c r="C312" s="496">
        <f>B312-B302</f>
        <v>-398.56571045804594</v>
      </c>
      <c r="D312" s="503">
        <v>2230.8827516435981</v>
      </c>
      <c r="E312" s="504">
        <v>4680.6634496676452</v>
      </c>
      <c r="F312" s="504">
        <v>4838.5769711005869</v>
      </c>
      <c r="G312" s="504">
        <v>16079.282701035814</v>
      </c>
      <c r="H312" s="504">
        <v>19383.635544269462</v>
      </c>
      <c r="I312" s="504">
        <v>15093.793138095916</v>
      </c>
      <c r="J312" s="504">
        <v>14790.938545834755</v>
      </c>
      <c r="K312" s="504">
        <v>14717.005885216608</v>
      </c>
      <c r="L312" s="504">
        <v>14666.211036871337</v>
      </c>
      <c r="M312" s="504">
        <v>14630.911792934477</v>
      </c>
      <c r="N312" s="505">
        <v>14510.319469377995</v>
      </c>
      <c r="O312" s="75">
        <v>14341.668308540862</v>
      </c>
      <c r="P312" s="75">
        <v>14184.706308538574</v>
      </c>
      <c r="Q312" s="75">
        <v>14013.073996148332</v>
      </c>
      <c r="R312" s="75">
        <v>13802.032661632351</v>
      </c>
      <c r="S312" s="75">
        <v>11887.9824573726</v>
      </c>
      <c r="T312" s="75">
        <v>9906.5213536627743</v>
      </c>
      <c r="U312" s="75">
        <v>9568.8498672381702</v>
      </c>
      <c r="V312" s="75">
        <v>9194.0268318627186</v>
      </c>
      <c r="W312" s="75">
        <v>8779.5046578576912</v>
      </c>
      <c r="X312" s="75">
        <v>25368.85118009858</v>
      </c>
    </row>
    <row r="314" spans="1:24">
      <c r="A314" s="71" t="s">
        <v>609</v>
      </c>
    </row>
    <row r="315" spans="1:24">
      <c r="A315" s="442">
        <v>36284</v>
      </c>
    </row>
    <row r="316" spans="1:24" ht="13.2">
      <c r="A316" s="64" t="s">
        <v>368</v>
      </c>
      <c r="B316" s="65">
        <v>74444.289864177525</v>
      </c>
      <c r="C316" s="60"/>
      <c r="D316" s="60"/>
      <c r="E316" s="60"/>
      <c r="F316" s="60"/>
      <c r="G316" s="60"/>
      <c r="H316" s="60"/>
      <c r="I316" s="60"/>
      <c r="J316" s="60"/>
      <c r="K316" s="60"/>
      <c r="L316" s="60"/>
      <c r="M316" s="60"/>
      <c r="N316" s="60"/>
      <c r="O316" s="60"/>
      <c r="P316" s="60"/>
      <c r="Q316" s="60"/>
      <c r="R316" s="60"/>
      <c r="S316" s="60"/>
      <c r="T316" s="60"/>
      <c r="U316" s="60"/>
      <c r="V316" s="60"/>
      <c r="W316" s="60"/>
      <c r="X316" s="60"/>
    </row>
    <row r="317" spans="1:24" ht="13.2">
      <c r="A317" s="66" t="s">
        <v>369</v>
      </c>
      <c r="B317" s="67">
        <v>112891.78382078002</v>
      </c>
      <c r="C317" s="60"/>
      <c r="D317" s="60"/>
      <c r="E317" s="60"/>
      <c r="F317" s="60"/>
      <c r="G317" s="60"/>
      <c r="H317" s="60"/>
      <c r="I317" s="60"/>
      <c r="J317" s="60"/>
      <c r="K317" s="60"/>
      <c r="L317" s="60"/>
      <c r="M317" s="60"/>
      <c r="N317" s="60"/>
      <c r="O317" s="60"/>
      <c r="P317" s="60"/>
      <c r="Q317" s="60"/>
      <c r="R317" s="60"/>
      <c r="S317" s="60"/>
      <c r="T317" s="60"/>
      <c r="U317" s="60"/>
      <c r="V317" s="60"/>
      <c r="W317" s="60"/>
      <c r="X317" s="60"/>
    </row>
    <row r="318" spans="1:24" ht="13.2">
      <c r="A318" s="68" t="s">
        <v>370</v>
      </c>
      <c r="B318" s="495" t="s">
        <v>468</v>
      </c>
      <c r="C318" s="495" t="s">
        <v>469</v>
      </c>
      <c r="D318" s="497">
        <v>2000</v>
      </c>
      <c r="E318" s="498">
        <v>2001</v>
      </c>
      <c r="F318" s="498">
        <v>2002</v>
      </c>
      <c r="G318" s="498">
        <v>2003</v>
      </c>
      <c r="H318" s="498">
        <v>2004</v>
      </c>
      <c r="I318" s="498">
        <v>2005</v>
      </c>
      <c r="J318" s="498">
        <v>2006</v>
      </c>
      <c r="K318" s="498">
        <v>2007</v>
      </c>
      <c r="L318" s="498">
        <v>2008</v>
      </c>
      <c r="M318" s="498">
        <v>2009</v>
      </c>
      <c r="N318" s="499">
        <v>2010</v>
      </c>
      <c r="O318" s="69">
        <v>2011</v>
      </c>
      <c r="P318" s="69">
        <v>2012</v>
      </c>
      <c r="Q318" s="69">
        <v>2013</v>
      </c>
      <c r="R318" s="69">
        <v>2014</v>
      </c>
      <c r="S318" s="69">
        <v>2015</v>
      </c>
      <c r="T318" s="69">
        <v>2016</v>
      </c>
      <c r="U318" s="69">
        <v>2017</v>
      </c>
      <c r="V318" s="69">
        <v>2018</v>
      </c>
      <c r="W318" s="69">
        <v>2019</v>
      </c>
      <c r="X318" s="69">
        <v>2020</v>
      </c>
    </row>
    <row r="319" spans="1:24" ht="13.2">
      <c r="A319" s="68" t="s">
        <v>371</v>
      </c>
      <c r="B319" s="496">
        <f>NPV(0.1,D319:Y319)</f>
        <v>450773.16998954362</v>
      </c>
      <c r="C319" s="496">
        <f>B319-B309</f>
        <v>-6718.5455917458748</v>
      </c>
      <c r="D319" s="500">
        <v>22235.353999999999</v>
      </c>
      <c r="E319" s="501">
        <v>42210.971139999994</v>
      </c>
      <c r="F319" s="501">
        <v>42298.005254200005</v>
      </c>
      <c r="G319" s="501">
        <v>48962.653116770263</v>
      </c>
      <c r="H319" s="501">
        <v>56449.419298216642</v>
      </c>
      <c r="I319" s="501">
        <v>57530.138961468809</v>
      </c>
      <c r="J319" s="501">
        <v>58144.468035986974</v>
      </c>
      <c r="K319" s="501">
        <v>58758.656746210894</v>
      </c>
      <c r="L319" s="501">
        <v>59372.143774115873</v>
      </c>
      <c r="M319" s="501">
        <v>59984.334248923558</v>
      </c>
      <c r="N319" s="502">
        <v>60594.598239122999</v>
      </c>
      <c r="O319" s="75">
        <v>61202.269184210374</v>
      </c>
      <c r="P319" s="75">
        <v>61806.642263887785</v>
      </c>
      <c r="Q319" s="75">
        <v>62406.972702380051</v>
      </c>
      <c r="R319" s="75">
        <v>63002.474005444354</v>
      </c>
      <c r="S319" s="75">
        <v>63592.316127560371</v>
      </c>
      <c r="T319" s="75">
        <v>64009.244599760699</v>
      </c>
      <c r="U319" s="75">
        <v>64408.732712078243</v>
      </c>
      <c r="V319" s="75">
        <v>64789.358807295059</v>
      </c>
      <c r="W319" s="75">
        <v>65149.63162508401</v>
      </c>
      <c r="X319" s="75">
        <v>65487.987405313739</v>
      </c>
    </row>
    <row r="320" spans="1:24" ht="13.2">
      <c r="A320" s="70" t="s">
        <v>372</v>
      </c>
      <c r="B320" s="496">
        <f>NPV(0.1,D320:Y320)</f>
        <v>195226.97667789931</v>
      </c>
      <c r="C320" s="496">
        <f>B320-B310</f>
        <v>-1926.1061898427142</v>
      </c>
      <c r="D320" s="500">
        <v>12508.506325259514</v>
      </c>
      <c r="E320" s="501">
        <v>22116.5446166078</v>
      </c>
      <c r="F320" s="501">
        <v>22590.793934974838</v>
      </c>
      <c r="G320" s="501">
        <v>22905.928762071235</v>
      </c>
      <c r="H320" s="501">
        <v>23065.25929840796</v>
      </c>
      <c r="I320" s="501">
        <v>23258.031951870013</v>
      </c>
      <c r="J320" s="501">
        <v>23449.717758379451</v>
      </c>
      <c r="K320" s="501">
        <v>23608.95931254081</v>
      </c>
      <c r="L320" s="501">
        <v>23792.642776497847</v>
      </c>
      <c r="M320" s="501">
        <v>24035.599429260532</v>
      </c>
      <c r="N320" s="502">
        <v>24284.426656858213</v>
      </c>
      <c r="O320" s="75">
        <v>24492.029751606013</v>
      </c>
      <c r="P320" s="75">
        <v>24705.860939196256</v>
      </c>
      <c r="Q320" s="75">
        <v>24926.107062414198</v>
      </c>
      <c r="R320" s="75">
        <v>25152.96056932869</v>
      </c>
      <c r="S320" s="75">
        <v>25386.619681450607</v>
      </c>
      <c r="T320" s="75">
        <v>25627.288566936186</v>
      </c>
      <c r="U320" s="75">
        <v>25875.177518986329</v>
      </c>
      <c r="V320" s="75">
        <v>26130.503139597986</v>
      </c>
      <c r="W320" s="75">
        <v>26393.488528827984</v>
      </c>
      <c r="X320" s="75">
        <v>26664.363479734875</v>
      </c>
    </row>
    <row r="321" spans="1:24" ht="13.2">
      <c r="A321" s="70" t="s">
        <v>34</v>
      </c>
      <c r="B321" s="496">
        <f>NPV(0.1,D321:Y321)</f>
        <v>92584.037083479314</v>
      </c>
      <c r="C321" s="496">
        <f>B321-B311</f>
        <v>-2057.4013593470881</v>
      </c>
      <c r="D321" s="500">
        <v>1132.3151467230728</v>
      </c>
      <c r="E321" s="501">
        <v>2760.3991911628618</v>
      </c>
      <c r="F321" s="501">
        <v>2734.0809687979681</v>
      </c>
      <c r="G321" s="501">
        <v>6944.3516069041525</v>
      </c>
      <c r="H321" s="501">
        <v>11558.676452307882</v>
      </c>
      <c r="I321" s="501">
        <v>12389.064979681239</v>
      </c>
      <c r="J321" s="501">
        <v>12957.062487102248</v>
      </c>
      <c r="K321" s="501">
        <v>13451.508330985511</v>
      </c>
      <c r="L321" s="501">
        <v>13955.868845105066</v>
      </c>
      <c r="M321" s="501">
        <v>14449.436322173133</v>
      </c>
      <c r="N321" s="502">
        <v>14966.357779592452</v>
      </c>
      <c r="O321" s="75">
        <v>15537.919222766117</v>
      </c>
      <c r="P321" s="75">
        <v>16137.049663539363</v>
      </c>
      <c r="Q321" s="75">
        <v>16765.658839411666</v>
      </c>
      <c r="R321" s="75">
        <v>17425.807860270019</v>
      </c>
      <c r="S321" s="75">
        <v>18119.721499987259</v>
      </c>
      <c r="T321" s="75">
        <v>18745.230742999473</v>
      </c>
      <c r="U321" s="75">
        <v>19399.920172454807</v>
      </c>
      <c r="V321" s="75">
        <v>20085.844632019602</v>
      </c>
      <c r="W321" s="75">
        <v>20805.22535307629</v>
      </c>
      <c r="X321" s="75">
        <v>21583.741762368125</v>
      </c>
    </row>
    <row r="322" spans="1:24" ht="13.2">
      <c r="A322" s="70" t="s">
        <v>32</v>
      </c>
      <c r="B322" s="496">
        <f>NPV(0.1,D322:Y322)</f>
        <v>99034.088213247785</v>
      </c>
      <c r="C322" s="496">
        <f>B322-B312</f>
        <v>-1615.2118014512671</v>
      </c>
      <c r="D322" s="503">
        <v>2230.8827516435986</v>
      </c>
      <c r="E322" s="504">
        <v>4680.6634496676443</v>
      </c>
      <c r="F322" s="504">
        <v>4838.5769711005814</v>
      </c>
      <c r="G322" s="504">
        <v>15896.099024513458</v>
      </c>
      <c r="H322" s="504">
        <v>18967.540328114992</v>
      </c>
      <c r="I322" s="504">
        <v>14838.214257313302</v>
      </c>
      <c r="J322" s="504">
        <v>14535.767756998226</v>
      </c>
      <c r="K322" s="504">
        <v>14462.60901992676</v>
      </c>
      <c r="L322" s="504">
        <v>14412.984415349365</v>
      </c>
      <c r="M322" s="504">
        <v>14379.284436571495</v>
      </c>
      <c r="N322" s="505">
        <v>14260.755475596126</v>
      </c>
      <c r="O322" s="75">
        <v>14094.669400273164</v>
      </c>
      <c r="P322" s="75">
        <v>13940.814571592357</v>
      </c>
      <c r="Q322" s="75">
        <v>13772.874818748953</v>
      </c>
      <c r="R322" s="75">
        <v>13566.157891558774</v>
      </c>
      <c r="S322" s="75">
        <v>11657.113793298391</v>
      </c>
      <c r="T322" s="75">
        <v>9682.0939113966961</v>
      </c>
      <c r="U322" s="75">
        <v>9351.6546354625771</v>
      </c>
      <c r="V322" s="75">
        <v>8984.9122001673677</v>
      </c>
      <c r="W322" s="75">
        <v>8579.380407999266</v>
      </c>
      <c r="X322" s="75">
        <v>24782.371087727861</v>
      </c>
    </row>
    <row r="324" spans="1:24">
      <c r="A324" s="71" t="s">
        <v>613</v>
      </c>
    </row>
    <row r="325" spans="1:24">
      <c r="A325" s="442">
        <v>36284</v>
      </c>
    </row>
    <row r="326" spans="1:24" ht="13.2">
      <c r="A326" s="64" t="s">
        <v>368</v>
      </c>
      <c r="B326" s="65">
        <v>71987.412426425508</v>
      </c>
      <c r="C326" s="60"/>
      <c r="D326" s="60"/>
      <c r="E326" s="60"/>
      <c r="F326" s="60"/>
      <c r="G326" s="60"/>
      <c r="H326" s="60"/>
      <c r="I326" s="60"/>
      <c r="J326" s="60"/>
      <c r="K326" s="60"/>
      <c r="L326" s="60"/>
      <c r="M326" s="60"/>
      <c r="N326" s="60"/>
      <c r="O326" s="60"/>
      <c r="P326" s="60"/>
      <c r="Q326" s="60"/>
      <c r="R326" s="60"/>
      <c r="S326" s="60"/>
      <c r="T326" s="60"/>
      <c r="U326" s="60"/>
      <c r="V326" s="60"/>
      <c r="W326" s="60"/>
      <c r="X326" s="60"/>
    </row>
    <row r="327" spans="1:24" ht="13.2">
      <c r="A327" s="66" t="s">
        <v>369</v>
      </c>
      <c r="B327" s="67">
        <v>109695.2407657134</v>
      </c>
      <c r="C327" s="60"/>
      <c r="D327" s="60"/>
      <c r="E327" s="60"/>
      <c r="F327" s="60"/>
      <c r="G327" s="60"/>
      <c r="H327" s="60"/>
      <c r="I327" s="60"/>
      <c r="J327" s="60"/>
      <c r="K327" s="60"/>
      <c r="L327" s="60"/>
      <c r="M327" s="60"/>
      <c r="N327" s="60"/>
      <c r="O327" s="60"/>
      <c r="P327" s="60"/>
      <c r="Q327" s="60"/>
      <c r="R327" s="60"/>
      <c r="S327" s="60"/>
      <c r="T327" s="60"/>
      <c r="U327" s="60"/>
      <c r="V327" s="60"/>
      <c r="W327" s="60"/>
      <c r="X327" s="60"/>
    </row>
    <row r="328" spans="1:24" ht="13.2">
      <c r="A328" s="68" t="s">
        <v>370</v>
      </c>
      <c r="B328" s="495" t="s">
        <v>468</v>
      </c>
      <c r="C328" s="495" t="s">
        <v>469</v>
      </c>
      <c r="D328" s="497">
        <v>2000</v>
      </c>
      <c r="E328" s="498">
        <v>2001</v>
      </c>
      <c r="F328" s="498">
        <v>2002</v>
      </c>
      <c r="G328" s="498">
        <v>2003</v>
      </c>
      <c r="H328" s="498">
        <v>2004</v>
      </c>
      <c r="I328" s="498">
        <v>2005</v>
      </c>
      <c r="J328" s="498">
        <v>2006</v>
      </c>
      <c r="K328" s="498">
        <v>2007</v>
      </c>
      <c r="L328" s="498">
        <v>2008</v>
      </c>
      <c r="M328" s="498">
        <v>2009</v>
      </c>
      <c r="N328" s="499">
        <v>2010</v>
      </c>
      <c r="O328" s="69">
        <v>2011</v>
      </c>
      <c r="P328" s="69">
        <v>2012</v>
      </c>
      <c r="Q328" s="69">
        <v>2013</v>
      </c>
      <c r="R328" s="69">
        <v>2014</v>
      </c>
      <c r="S328" s="69">
        <v>2015</v>
      </c>
      <c r="T328" s="69">
        <v>2016</v>
      </c>
      <c r="U328" s="69">
        <v>2017</v>
      </c>
      <c r="V328" s="69">
        <v>2018</v>
      </c>
      <c r="W328" s="69">
        <v>2019</v>
      </c>
      <c r="X328" s="69">
        <v>2020</v>
      </c>
    </row>
    <row r="329" spans="1:24" ht="13.2">
      <c r="A329" s="68" t="s">
        <v>371</v>
      </c>
      <c r="B329" s="496">
        <f>NPV(0.1,D329:Y329)</f>
        <v>450773.16998954362</v>
      </c>
      <c r="C329" s="496">
        <f>B329-B319</f>
        <v>0</v>
      </c>
      <c r="D329" s="500">
        <v>22235.353999999999</v>
      </c>
      <c r="E329" s="501">
        <v>42210.971139999994</v>
      </c>
      <c r="F329" s="501">
        <v>42298.005254200005</v>
      </c>
      <c r="G329" s="501">
        <v>48962.653116770263</v>
      </c>
      <c r="H329" s="501">
        <v>56449.419298216642</v>
      </c>
      <c r="I329" s="501">
        <v>57530.138961468809</v>
      </c>
      <c r="J329" s="501">
        <v>58144.468035986974</v>
      </c>
      <c r="K329" s="501">
        <v>58758.656746210894</v>
      </c>
      <c r="L329" s="501">
        <v>59372.143774115873</v>
      </c>
      <c r="M329" s="501">
        <v>59984.334248923558</v>
      </c>
      <c r="N329" s="502">
        <v>60594.598239122999</v>
      </c>
      <c r="O329" s="75">
        <v>61202.269184210374</v>
      </c>
      <c r="P329" s="75">
        <v>61806.642263887785</v>
      </c>
      <c r="Q329" s="75">
        <v>62406.972702380051</v>
      </c>
      <c r="R329" s="75">
        <v>63002.474005444354</v>
      </c>
      <c r="S329" s="75">
        <v>63592.316127560371</v>
      </c>
      <c r="T329" s="75">
        <v>64009.244599760699</v>
      </c>
      <c r="U329" s="75">
        <v>64408.732712078243</v>
      </c>
      <c r="V329" s="75">
        <v>64789.358807295059</v>
      </c>
      <c r="W329" s="75">
        <v>65149.63162508401</v>
      </c>
      <c r="X329" s="75">
        <v>65487.987405313739</v>
      </c>
    </row>
    <row r="330" spans="1:24" ht="13.2">
      <c r="A330" s="70" t="s">
        <v>372</v>
      </c>
      <c r="B330" s="496">
        <f>NPV(0.1,D330:Y330)</f>
        <v>198321.00077327382</v>
      </c>
      <c r="C330" s="496">
        <f>B330-B320</f>
        <v>3094.0240953745088</v>
      </c>
      <c r="D330" s="500">
        <v>12508.506325259514</v>
      </c>
      <c r="E330" s="501">
        <v>22116.5446166078</v>
      </c>
      <c r="F330" s="501">
        <v>22590.793934974838</v>
      </c>
      <c r="G330" s="501">
        <v>23123.660692383357</v>
      </c>
      <c r="H330" s="501">
        <v>23513.787074850927</v>
      </c>
      <c r="I330" s="501">
        <v>23720.015561606269</v>
      </c>
      <c r="J330" s="501">
        <v>23925.560876407795</v>
      </c>
      <c r="K330" s="501">
        <v>24099.077724110004</v>
      </c>
      <c r="L330" s="501">
        <v>24297.464740414118</v>
      </c>
      <c r="M330" s="501">
        <v>24555.566052094291</v>
      </c>
      <c r="N330" s="502">
        <v>24819.992278376983</v>
      </c>
      <c r="O330" s="75">
        <v>25043.662341770349</v>
      </c>
      <c r="P330" s="75">
        <v>25274.042507065518</v>
      </c>
      <c r="Q330" s="75">
        <v>25511.334077319541</v>
      </c>
      <c r="R330" s="75">
        <v>25755.744394681191</v>
      </c>
      <c r="S330" s="75">
        <v>26007.487021563684</v>
      </c>
      <c r="T330" s="75">
        <v>26266.781927252654</v>
      </c>
      <c r="U330" s="75">
        <v>26533.855680112294</v>
      </c>
      <c r="V330" s="75">
        <v>26808.941645557727</v>
      </c>
      <c r="W330" s="75">
        <v>27092.280189966517</v>
      </c>
      <c r="X330" s="75">
        <v>27384.118890707567</v>
      </c>
    </row>
    <row r="331" spans="1:24" ht="13.2">
      <c r="A331" s="70" t="s">
        <v>34</v>
      </c>
      <c r="B331" s="496">
        <f>NPV(0.1,D331:Y331)</f>
        <v>91272.156555294074</v>
      </c>
      <c r="C331" s="496">
        <f>B331-B321</f>
        <v>-1311.8805281852401</v>
      </c>
      <c r="D331" s="500">
        <v>1170.3395615271143</v>
      </c>
      <c r="E331" s="501">
        <v>2839.3949129182593</v>
      </c>
      <c r="F331" s="501">
        <v>2819.1988589894099</v>
      </c>
      <c r="G331" s="501">
        <v>6899.2195741474152</v>
      </c>
      <c r="H331" s="501">
        <v>11371.499201617633</v>
      </c>
      <c r="I331" s="501">
        <v>12192.09918880662</v>
      </c>
      <c r="J331" s="501">
        <v>12749.680642024634</v>
      </c>
      <c r="K331" s="501">
        <v>13233.037383640687</v>
      </c>
      <c r="L331" s="501">
        <v>13725.586710671805</v>
      </c>
      <c r="M331" s="501">
        <v>14206.568100345345</v>
      </c>
      <c r="N331" s="502">
        <v>14710.071677879383</v>
      </c>
      <c r="O331" s="75">
        <v>15267.322158112762</v>
      </c>
      <c r="P331" s="75">
        <v>15851.182516666404</v>
      </c>
      <c r="Q331" s="75">
        <v>16463.491334230119</v>
      </c>
      <c r="R331" s="75">
        <v>17106.233038518425</v>
      </c>
      <c r="S331" s="75">
        <v>17781.549758855359</v>
      </c>
      <c r="T331" s="75">
        <v>18387.183400927635</v>
      </c>
      <c r="U331" s="75">
        <v>19020.622525518353</v>
      </c>
      <c r="V331" s="75">
        <v>19683.818460304399</v>
      </c>
      <c r="W331" s="75">
        <v>20378.880833209325</v>
      </c>
      <c r="X331" s="75">
        <v>21131.368738864807</v>
      </c>
    </row>
    <row r="332" spans="1:24" ht="13.2">
      <c r="A332" s="70" t="s">
        <v>32</v>
      </c>
      <c r="B332" s="496">
        <f>NPV(0.1,D332:Y332)</f>
        <v>97972.986594957765</v>
      </c>
      <c r="C332" s="496">
        <f>B332-B322</f>
        <v>-1061.1016182900203</v>
      </c>
      <c r="D332" s="503">
        <v>2230.8827516435981</v>
      </c>
      <c r="E332" s="504">
        <v>4680.6634496676443</v>
      </c>
      <c r="F332" s="504">
        <v>4838.576971100586</v>
      </c>
      <c r="G332" s="504">
        <v>15765.210209325729</v>
      </c>
      <c r="H332" s="504">
        <v>18717.049034681135</v>
      </c>
      <c r="I332" s="504">
        <v>14682.598825415538</v>
      </c>
      <c r="J332" s="504">
        <v>14378.397944703884</v>
      </c>
      <c r="K332" s="504">
        <v>14303.665322428787</v>
      </c>
      <c r="L332" s="504">
        <v>14252.671392824852</v>
      </c>
      <c r="M332" s="504">
        <v>14217.832928141526</v>
      </c>
      <c r="N332" s="505">
        <v>14098.424999065166</v>
      </c>
      <c r="O332" s="75">
        <v>13931.750752770322</v>
      </c>
      <c r="P332" s="75">
        <v>13777.632647454411</v>
      </c>
      <c r="Q332" s="75">
        <v>13609.791662300044</v>
      </c>
      <c r="R332" s="75">
        <v>13403.576003862625</v>
      </c>
      <c r="S332" s="75">
        <v>11495.479713493285</v>
      </c>
      <c r="T332" s="75">
        <v>9521.9020948811194</v>
      </c>
      <c r="U332" s="75">
        <v>9193.451652989912</v>
      </c>
      <c r="V332" s="75">
        <v>8829.3012838419727</v>
      </c>
      <c r="W332" s="75">
        <v>8427.0263722552772</v>
      </c>
      <c r="X332" s="75">
        <v>24324.787484896235</v>
      </c>
    </row>
    <row r="334" spans="1:24">
      <c r="A334" s="71" t="s">
        <v>618</v>
      </c>
    </row>
    <row r="335" spans="1:24">
      <c r="A335" s="442">
        <v>36284</v>
      </c>
    </row>
    <row r="336" spans="1:24" ht="13.2">
      <c r="A336" s="64" t="s">
        <v>368</v>
      </c>
      <c r="B336" s="65">
        <v>66470.671673338089</v>
      </c>
      <c r="C336" s="60"/>
      <c r="D336" s="60"/>
      <c r="E336" s="60"/>
      <c r="F336" s="60"/>
      <c r="G336" s="60"/>
      <c r="H336" s="60"/>
      <c r="I336" s="60"/>
      <c r="J336" s="60"/>
      <c r="K336" s="60"/>
      <c r="L336" s="60"/>
      <c r="M336" s="60"/>
      <c r="N336" s="60"/>
      <c r="O336" s="60"/>
      <c r="P336" s="60"/>
      <c r="Q336" s="60"/>
      <c r="R336" s="60"/>
      <c r="S336" s="60"/>
      <c r="T336" s="60"/>
      <c r="U336" s="60"/>
      <c r="V336" s="60"/>
      <c r="W336" s="60"/>
      <c r="X336" s="60"/>
    </row>
    <row r="337" spans="1:24" ht="13.2">
      <c r="A337" s="66" t="s">
        <v>369</v>
      </c>
      <c r="B337" s="67">
        <v>102517.28287125521</v>
      </c>
      <c r="C337" s="60"/>
      <c r="D337" s="60"/>
      <c r="E337" s="60"/>
      <c r="F337" s="60"/>
      <c r="G337" s="60"/>
      <c r="H337" s="60"/>
      <c r="I337" s="60"/>
      <c r="J337" s="60"/>
      <c r="K337" s="60"/>
      <c r="L337" s="60"/>
      <c r="M337" s="60"/>
      <c r="N337" s="60"/>
      <c r="O337" s="60"/>
      <c r="P337" s="60"/>
      <c r="Q337" s="60"/>
      <c r="R337" s="60"/>
      <c r="S337" s="60"/>
      <c r="T337" s="60"/>
      <c r="U337" s="60"/>
      <c r="V337" s="60"/>
      <c r="W337" s="60"/>
      <c r="X337" s="60"/>
    </row>
    <row r="338" spans="1:24" ht="13.2">
      <c r="A338" s="68" t="s">
        <v>370</v>
      </c>
      <c r="B338" s="495" t="s">
        <v>468</v>
      </c>
      <c r="C338" s="495" t="s">
        <v>469</v>
      </c>
      <c r="D338" s="497">
        <v>2000</v>
      </c>
      <c r="E338" s="498">
        <v>2001</v>
      </c>
      <c r="F338" s="498">
        <v>2002</v>
      </c>
      <c r="G338" s="498">
        <v>2003</v>
      </c>
      <c r="H338" s="498">
        <v>2004</v>
      </c>
      <c r="I338" s="498">
        <v>2005</v>
      </c>
      <c r="J338" s="498">
        <v>2006</v>
      </c>
      <c r="K338" s="498">
        <v>2007</v>
      </c>
      <c r="L338" s="498">
        <v>2008</v>
      </c>
      <c r="M338" s="498">
        <v>2009</v>
      </c>
      <c r="N338" s="499">
        <v>2010</v>
      </c>
      <c r="O338" s="69">
        <v>2011</v>
      </c>
      <c r="P338" s="69">
        <v>2012</v>
      </c>
      <c r="Q338" s="69">
        <v>2013</v>
      </c>
      <c r="R338" s="69">
        <v>2014</v>
      </c>
      <c r="S338" s="69">
        <v>2015</v>
      </c>
      <c r="T338" s="69">
        <v>2016</v>
      </c>
      <c r="U338" s="69">
        <v>2017</v>
      </c>
      <c r="V338" s="69">
        <v>2018</v>
      </c>
      <c r="W338" s="69">
        <v>2019</v>
      </c>
      <c r="X338" s="69">
        <v>2020</v>
      </c>
    </row>
    <row r="339" spans="1:24" ht="13.2">
      <c r="A339" s="68" t="s">
        <v>371</v>
      </c>
      <c r="B339" s="496">
        <f>NPV(0.1,D339:Y339)</f>
        <v>443825.78703187744</v>
      </c>
      <c r="C339" s="496">
        <f>B339-B329</f>
        <v>-6947.382957666181</v>
      </c>
      <c r="D339" s="500">
        <v>22235.353999999999</v>
      </c>
      <c r="E339" s="501">
        <v>42210.971139999994</v>
      </c>
      <c r="F339" s="501">
        <v>42298.005254200005</v>
      </c>
      <c r="G339" s="501">
        <v>48352.83367309795</v>
      </c>
      <c r="H339" s="501">
        <v>55322.575276411386</v>
      </c>
      <c r="I339" s="501">
        <v>56489.685324703736</v>
      </c>
      <c r="J339" s="501">
        <v>57108.334374957718</v>
      </c>
      <c r="K339" s="501">
        <v>57728.038667734691</v>
      </c>
      <c r="L339" s="501">
        <v>58348.304733440833</v>
      </c>
      <c r="M339" s="501">
        <v>58968.60854458838</v>
      </c>
      <c r="N339" s="502">
        <v>59588.394126444677</v>
      </c>
      <c r="O339" s="75">
        <v>60207.072111822221</v>
      </c>
      <c r="P339" s="75">
        <v>60824.018237908633</v>
      </c>
      <c r="Q339" s="75">
        <v>60720.971990873266</v>
      </c>
      <c r="R339" s="75">
        <v>61310.906154750555</v>
      </c>
      <c r="S339" s="75">
        <v>61896.364509968706</v>
      </c>
      <c r="T339" s="75">
        <v>62476.547567260663</v>
      </c>
      <c r="U339" s="75">
        <v>63050.611896231174</v>
      </c>
      <c r="V339" s="75">
        <v>63617.668208429372</v>
      </c>
      <c r="W339" s="75">
        <v>63319.927685223454</v>
      </c>
      <c r="X339" s="75">
        <v>63844.40107565889</v>
      </c>
    </row>
    <row r="340" spans="1:24" ht="13.2">
      <c r="A340" s="70" t="s">
        <v>372</v>
      </c>
      <c r="B340" s="496">
        <f>NPV(0.1,D340:Y340)</f>
        <v>198321.00077327382</v>
      </c>
      <c r="C340" s="496">
        <f>B340-B330</f>
        <v>0</v>
      </c>
      <c r="D340" s="500">
        <v>12508.506325259514</v>
      </c>
      <c r="E340" s="501">
        <v>22116.5446166078</v>
      </c>
      <c r="F340" s="501">
        <v>22590.793934974838</v>
      </c>
      <c r="G340" s="501">
        <v>23123.660692383357</v>
      </c>
      <c r="H340" s="501">
        <v>23513.787074850927</v>
      </c>
      <c r="I340" s="501">
        <v>23720.015561606269</v>
      </c>
      <c r="J340" s="501">
        <v>23925.560876407795</v>
      </c>
      <c r="K340" s="501">
        <v>24099.077724110004</v>
      </c>
      <c r="L340" s="501">
        <v>24297.464740414118</v>
      </c>
      <c r="M340" s="501">
        <v>24555.566052094291</v>
      </c>
      <c r="N340" s="502">
        <v>24819.992278376983</v>
      </c>
      <c r="O340" s="75">
        <v>25043.662341770349</v>
      </c>
      <c r="P340" s="75">
        <v>25274.042507065518</v>
      </c>
      <c r="Q340" s="75">
        <v>25511.334077319541</v>
      </c>
      <c r="R340" s="75">
        <v>25755.744394681191</v>
      </c>
      <c r="S340" s="75">
        <v>26007.487021563684</v>
      </c>
      <c r="T340" s="75">
        <v>26266.781927252654</v>
      </c>
      <c r="U340" s="75">
        <v>26533.855680112294</v>
      </c>
      <c r="V340" s="75">
        <v>26808.941645557727</v>
      </c>
      <c r="W340" s="75">
        <v>27092.280189966517</v>
      </c>
      <c r="X340" s="75">
        <v>27384.118890707567</v>
      </c>
    </row>
    <row r="341" spans="1:24" ht="13.2">
      <c r="A341" s="70" t="s">
        <v>34</v>
      </c>
      <c r="B341" s="496">
        <f>NPV(0.1,D341:Y341)</f>
        <v>88323.627652014984</v>
      </c>
      <c r="C341" s="496">
        <f>B341-B331</f>
        <v>-2948.5289032790897</v>
      </c>
      <c r="D341" s="500">
        <v>1255.6519774442909</v>
      </c>
      <c r="E341" s="501">
        <v>3016.6314569861934</v>
      </c>
      <c r="F341" s="501">
        <v>3010.1712352226095</v>
      </c>
      <c r="G341" s="501">
        <v>6721.7150721333546</v>
      </c>
      <c r="H341" s="501">
        <v>10873.388270543797</v>
      </c>
      <c r="I341" s="501">
        <v>11742.711483054734</v>
      </c>
      <c r="J341" s="501">
        <v>12298.704283218409</v>
      </c>
      <c r="K341" s="501">
        <v>12780.965330007244</v>
      </c>
      <c r="L341" s="501">
        <v>13272.957633997696</v>
      </c>
      <c r="M341" s="501">
        <v>13753.96986162989</v>
      </c>
      <c r="N341" s="502">
        <v>14258.145064505277</v>
      </c>
      <c r="O341" s="75">
        <v>14816.764902626419</v>
      </c>
      <c r="P341" s="75">
        <v>15402.753618833083</v>
      </c>
      <c r="Q341" s="75">
        <v>15566.997512901791</v>
      </c>
      <c r="R341" s="75">
        <v>16185.803374454586</v>
      </c>
      <c r="S341" s="75">
        <v>16836.182479495877</v>
      </c>
      <c r="T341" s="75">
        <v>17520.379112825605</v>
      </c>
      <c r="U341" s="75">
        <v>18240.816345649873</v>
      </c>
      <c r="V341" s="75">
        <v>19000.11054652794</v>
      </c>
      <c r="W341" s="75">
        <v>19262.54775266345</v>
      </c>
      <c r="X341" s="75">
        <v>20098.359322054894</v>
      </c>
    </row>
    <row r="342" spans="1:24" ht="13.2">
      <c r="A342" s="70" t="s">
        <v>32</v>
      </c>
      <c r="B342" s="496">
        <f>NPV(0.1,D342:Y342)</f>
        <v>95587.738685672768</v>
      </c>
      <c r="C342" s="496">
        <f>B342-B332</f>
        <v>-2385.2479092849971</v>
      </c>
      <c r="D342" s="503">
        <v>2230.8827516435977</v>
      </c>
      <c r="E342" s="504">
        <v>4680.6634496676434</v>
      </c>
      <c r="F342" s="504">
        <v>4838.5769711005823</v>
      </c>
      <c r="G342" s="504">
        <v>15401.418157013168</v>
      </c>
      <c r="H342" s="504">
        <v>18176.877424511975</v>
      </c>
      <c r="I342" s="504">
        <v>14335.875553168413</v>
      </c>
      <c r="J342" s="504">
        <v>14035.347811688152</v>
      </c>
      <c r="K342" s="504">
        <v>13964.701912432231</v>
      </c>
      <c r="L342" s="504">
        <v>13918.220290396339</v>
      </c>
      <c r="M342" s="504">
        <v>13888.33130573595</v>
      </c>
      <c r="N342" s="505">
        <v>13774.321107762455</v>
      </c>
      <c r="O342" s="75">
        <v>13613.503306286098</v>
      </c>
      <c r="P342" s="75">
        <v>13465.710088240376</v>
      </c>
      <c r="Q342" s="75">
        <v>13156.750209893395</v>
      </c>
      <c r="R342" s="75">
        <v>12962.600555436755</v>
      </c>
      <c r="S342" s="75">
        <v>11067.942787220481</v>
      </c>
      <c r="T342" s="75">
        <v>9143.5631826597091</v>
      </c>
      <c r="U342" s="75">
        <v>8865.7914737269384</v>
      </c>
      <c r="V342" s="75">
        <v>8553.6966457527014</v>
      </c>
      <c r="W342" s="75">
        <v>8028.1052131214346</v>
      </c>
      <c r="X342" s="75">
        <v>23279.879530301074</v>
      </c>
    </row>
    <row r="344" spans="1:24">
      <c r="A344" s="71" t="s">
        <v>619</v>
      </c>
    </row>
    <row r="345" spans="1:24">
      <c r="A345" s="442">
        <v>36284</v>
      </c>
    </row>
    <row r="346" spans="1:24" ht="13.2">
      <c r="A346" s="64" t="s">
        <v>368</v>
      </c>
      <c r="B346" s="65">
        <v>66470.671673338089</v>
      </c>
      <c r="C346" s="60"/>
      <c r="D346" s="60"/>
      <c r="E346" s="60"/>
      <c r="F346" s="60"/>
      <c r="G346" s="60"/>
      <c r="H346" s="60"/>
      <c r="I346" s="60"/>
      <c r="J346" s="60"/>
      <c r="K346" s="60"/>
      <c r="L346" s="60"/>
      <c r="M346" s="60"/>
      <c r="N346" s="60"/>
      <c r="O346" s="60"/>
      <c r="P346" s="60"/>
      <c r="Q346" s="60"/>
      <c r="R346" s="60"/>
      <c r="S346" s="60"/>
      <c r="T346" s="60"/>
      <c r="U346" s="60"/>
      <c r="V346" s="60"/>
      <c r="W346" s="60"/>
      <c r="X346" s="60"/>
    </row>
    <row r="347" spans="1:24" ht="13.2">
      <c r="A347" s="66" t="s">
        <v>369</v>
      </c>
      <c r="B347" s="67">
        <v>102517.28287125523</v>
      </c>
      <c r="C347" s="60"/>
      <c r="D347" s="60"/>
      <c r="E347" s="60"/>
      <c r="F347" s="60"/>
      <c r="G347" s="60"/>
      <c r="H347" s="60"/>
      <c r="I347" s="60"/>
      <c r="J347" s="60"/>
      <c r="K347" s="60"/>
      <c r="L347" s="60"/>
      <c r="M347" s="60"/>
      <c r="N347" s="60"/>
      <c r="O347" s="60"/>
      <c r="P347" s="60"/>
      <c r="Q347" s="60"/>
      <c r="R347" s="60"/>
      <c r="S347" s="60"/>
      <c r="T347" s="60"/>
      <c r="U347" s="60"/>
      <c r="V347" s="60"/>
      <c r="W347" s="60"/>
      <c r="X347" s="60"/>
    </row>
    <row r="348" spans="1:24" ht="13.2">
      <c r="A348" s="68" t="s">
        <v>370</v>
      </c>
      <c r="B348" s="495" t="s">
        <v>468</v>
      </c>
      <c r="C348" s="495" t="s">
        <v>469</v>
      </c>
      <c r="D348" s="497">
        <v>2000</v>
      </c>
      <c r="E348" s="498">
        <v>2001</v>
      </c>
      <c r="F348" s="498">
        <v>2002</v>
      </c>
      <c r="G348" s="498">
        <v>2003</v>
      </c>
      <c r="H348" s="498">
        <v>2004</v>
      </c>
      <c r="I348" s="498">
        <v>2005</v>
      </c>
      <c r="J348" s="498">
        <v>2006</v>
      </c>
      <c r="K348" s="498">
        <v>2007</v>
      </c>
      <c r="L348" s="498">
        <v>2008</v>
      </c>
      <c r="M348" s="498">
        <v>2009</v>
      </c>
      <c r="N348" s="499">
        <v>2010</v>
      </c>
      <c r="O348" s="69">
        <v>2011</v>
      </c>
      <c r="P348" s="69">
        <v>2012</v>
      </c>
      <c r="Q348" s="69">
        <v>2013</v>
      </c>
      <c r="R348" s="69">
        <v>2014</v>
      </c>
      <c r="S348" s="69">
        <v>2015</v>
      </c>
      <c r="T348" s="69">
        <v>2016</v>
      </c>
      <c r="U348" s="69">
        <v>2017</v>
      </c>
      <c r="V348" s="69">
        <v>2018</v>
      </c>
      <c r="W348" s="69">
        <v>2019</v>
      </c>
      <c r="X348" s="69">
        <v>2020</v>
      </c>
    </row>
    <row r="349" spans="1:24" ht="13.2">
      <c r="A349" s="68" t="s">
        <v>371</v>
      </c>
      <c r="B349" s="496">
        <f>NPV(0.1,D349:Y349)</f>
        <v>443898.22849525634</v>
      </c>
      <c r="C349" s="496">
        <f>B349-B339</f>
        <v>72.441463378898334</v>
      </c>
      <c r="D349" s="500">
        <v>22243.73</v>
      </c>
      <c r="E349" s="501">
        <v>42219.347139999998</v>
      </c>
      <c r="F349" s="501">
        <v>42306.381254200001</v>
      </c>
      <c r="G349" s="501">
        <v>48361.209673097954</v>
      </c>
      <c r="H349" s="501">
        <v>55330.95127641139</v>
      </c>
      <c r="I349" s="501">
        <v>56498.061324703733</v>
      </c>
      <c r="J349" s="501">
        <v>57116.710374957715</v>
      </c>
      <c r="K349" s="501">
        <v>57736.414667734694</v>
      </c>
      <c r="L349" s="501">
        <v>58356.680733440829</v>
      </c>
      <c r="M349" s="501">
        <v>58976.984544588377</v>
      </c>
      <c r="N349" s="502">
        <v>59596.77012644468</v>
      </c>
      <c r="O349" s="75">
        <v>60215.448111822225</v>
      </c>
      <c r="P349" s="75">
        <v>60832.394237908629</v>
      </c>
      <c r="Q349" s="75">
        <v>60729.347990873262</v>
      </c>
      <c r="R349" s="75">
        <v>61319.282154750559</v>
      </c>
      <c r="S349" s="75">
        <v>61904.740509968702</v>
      </c>
      <c r="T349" s="75">
        <v>62484.923567260659</v>
      </c>
      <c r="U349" s="75">
        <v>63058.98789623117</v>
      </c>
      <c r="V349" s="75">
        <v>63626.044208429375</v>
      </c>
      <c r="W349" s="75">
        <v>63328.303685223458</v>
      </c>
      <c r="X349" s="75">
        <v>63852.777075658894</v>
      </c>
    </row>
    <row r="350" spans="1:24" ht="13.2">
      <c r="A350" s="70" t="s">
        <v>372</v>
      </c>
      <c r="B350" s="496">
        <f>NPV(0.1,D350:Y350)</f>
        <v>198393.44223665269</v>
      </c>
      <c r="C350" s="496">
        <f>B350-B340</f>
        <v>72.44146337886923</v>
      </c>
      <c r="D350" s="500">
        <v>12516.882325259514</v>
      </c>
      <c r="E350" s="501">
        <v>22124.9206166078</v>
      </c>
      <c r="F350" s="501">
        <v>22599.169934974838</v>
      </c>
      <c r="G350" s="501">
        <v>23132.036692383357</v>
      </c>
      <c r="H350" s="501">
        <v>23522.163074850927</v>
      </c>
      <c r="I350" s="501">
        <v>23728.39156160627</v>
      </c>
      <c r="J350" s="501">
        <v>23933.936876407795</v>
      </c>
      <c r="K350" s="501">
        <v>24107.453724110004</v>
      </c>
      <c r="L350" s="501">
        <v>24305.840740414118</v>
      </c>
      <c r="M350" s="501">
        <v>24563.942052094291</v>
      </c>
      <c r="N350" s="502">
        <v>24828.36827837698</v>
      </c>
      <c r="O350" s="75">
        <v>25052.038341770345</v>
      </c>
      <c r="P350" s="75">
        <v>25282.418507065518</v>
      </c>
      <c r="Q350" s="75">
        <v>25519.710077319542</v>
      </c>
      <c r="R350" s="75">
        <v>25764.120394681191</v>
      </c>
      <c r="S350" s="75">
        <v>26015.863021563684</v>
      </c>
      <c r="T350" s="75">
        <v>26275.157927252654</v>
      </c>
      <c r="U350" s="75">
        <v>26542.231680112294</v>
      </c>
      <c r="V350" s="75">
        <v>26817.317645557723</v>
      </c>
      <c r="W350" s="75">
        <v>27100.656189966518</v>
      </c>
      <c r="X350" s="75">
        <v>27392.494890707567</v>
      </c>
    </row>
    <row r="351" spans="1:24" ht="13.2">
      <c r="A351" s="70" t="s">
        <v>34</v>
      </c>
      <c r="B351" s="496">
        <f>NPV(0.1,D351:Y351)</f>
        <v>88323.627652014984</v>
      </c>
      <c r="C351" s="496">
        <f>B351-B341</f>
        <v>0</v>
      </c>
      <c r="D351" s="500">
        <v>1255.6519774442909</v>
      </c>
      <c r="E351" s="501">
        <v>3016.6314569861961</v>
      </c>
      <c r="F351" s="501">
        <v>3010.1712352226073</v>
      </c>
      <c r="G351" s="501">
        <v>6721.7150721333574</v>
      </c>
      <c r="H351" s="501">
        <v>10873.388270543797</v>
      </c>
      <c r="I351" s="501">
        <v>11742.711483054734</v>
      </c>
      <c r="J351" s="501">
        <v>12298.704283218403</v>
      </c>
      <c r="K351" s="501">
        <v>12780.96533000725</v>
      </c>
      <c r="L351" s="501">
        <v>13272.957633997692</v>
      </c>
      <c r="M351" s="501">
        <v>13753.96986162989</v>
      </c>
      <c r="N351" s="502">
        <v>14258.145064505286</v>
      </c>
      <c r="O351" s="75">
        <v>14816.764902626419</v>
      </c>
      <c r="P351" s="75">
        <v>15402.753618833083</v>
      </c>
      <c r="Q351" s="75">
        <v>15566.997512901786</v>
      </c>
      <c r="R351" s="75">
        <v>16185.80337445459</v>
      </c>
      <c r="S351" s="75">
        <v>16836.182479495877</v>
      </c>
      <c r="T351" s="75">
        <v>17520.379112825598</v>
      </c>
      <c r="U351" s="75">
        <v>18240.816345649866</v>
      </c>
      <c r="V351" s="75">
        <v>19000.110546527947</v>
      </c>
      <c r="W351" s="75">
        <v>19262.54775266345</v>
      </c>
      <c r="X351" s="75">
        <v>20098.359322054894</v>
      </c>
    </row>
    <row r="352" spans="1:24" ht="13.2">
      <c r="A352" s="70" t="s">
        <v>32</v>
      </c>
      <c r="B352" s="496">
        <f>NPV(0.1,D352:Y352)</f>
        <v>95587.738685672768</v>
      </c>
      <c r="C352" s="496">
        <f>B352-B342</f>
        <v>0</v>
      </c>
      <c r="D352" s="503">
        <v>2230.8827516435977</v>
      </c>
      <c r="E352" s="504">
        <v>4680.6634496676452</v>
      </c>
      <c r="F352" s="504">
        <v>4838.5769711005842</v>
      </c>
      <c r="G352" s="504">
        <v>15401.41815701317</v>
      </c>
      <c r="H352" s="504">
        <v>18176.877424511968</v>
      </c>
      <c r="I352" s="504">
        <v>14335.875553168413</v>
      </c>
      <c r="J352" s="504">
        <v>14035.347811688152</v>
      </c>
      <c r="K352" s="504">
        <v>13964.70191243224</v>
      </c>
      <c r="L352" s="504">
        <v>13918.220290396332</v>
      </c>
      <c r="M352" s="504">
        <v>13888.33130573595</v>
      </c>
      <c r="N352" s="505">
        <v>13774.321107762455</v>
      </c>
      <c r="O352" s="75">
        <v>13613.503306286098</v>
      </c>
      <c r="P352" s="75">
        <v>13465.710088240376</v>
      </c>
      <c r="Q352" s="75">
        <v>13156.750209893395</v>
      </c>
      <c r="R352" s="75">
        <v>12962.600555436755</v>
      </c>
      <c r="S352" s="75">
        <v>11067.942787220481</v>
      </c>
      <c r="T352" s="75">
        <v>9143.5631826597073</v>
      </c>
      <c r="U352" s="75">
        <v>8865.7914737269439</v>
      </c>
      <c r="V352" s="75">
        <v>8553.6966457527014</v>
      </c>
      <c r="W352" s="75">
        <v>8028.1052131214346</v>
      </c>
      <c r="X352" s="75">
        <v>23279.879530301074</v>
      </c>
    </row>
    <row r="354" spans="1:24">
      <c r="A354" s="71" t="s">
        <v>620</v>
      </c>
    </row>
    <row r="355" spans="1:24">
      <c r="A355" s="442">
        <v>36285</v>
      </c>
    </row>
    <row r="356" spans="1:24" ht="13.2">
      <c r="A356" s="64" t="s">
        <v>368</v>
      </c>
      <c r="B356" s="65">
        <v>66440.543344777077</v>
      </c>
      <c r="C356" s="60"/>
      <c r="D356" s="60"/>
      <c r="E356" s="60"/>
      <c r="F356" s="60"/>
      <c r="G356" s="60"/>
      <c r="H356" s="60"/>
      <c r="I356" s="60"/>
      <c r="J356" s="60"/>
      <c r="K356" s="60"/>
      <c r="L356" s="60"/>
      <c r="M356" s="60"/>
      <c r="N356" s="60"/>
      <c r="O356" s="60"/>
      <c r="P356" s="60"/>
      <c r="Q356" s="60"/>
      <c r="R356" s="60"/>
      <c r="S356" s="60"/>
      <c r="T356" s="60"/>
      <c r="U356" s="60"/>
      <c r="V356" s="60"/>
      <c r="W356" s="60"/>
      <c r="X356" s="60"/>
    </row>
    <row r="357" spans="1:24" ht="13.2">
      <c r="A357" s="66" t="s">
        <v>369</v>
      </c>
      <c r="B357" s="67">
        <v>102481.07387125523</v>
      </c>
      <c r="C357" s="60"/>
      <c r="D357" s="60"/>
      <c r="E357" s="60"/>
      <c r="F357" s="60"/>
      <c r="G357" s="60"/>
      <c r="H357" s="60"/>
      <c r="I357" s="60"/>
      <c r="J357" s="60"/>
      <c r="K357" s="60"/>
      <c r="L357" s="60"/>
      <c r="M357" s="60"/>
      <c r="N357" s="60"/>
      <c r="O357" s="60"/>
      <c r="P357" s="60"/>
      <c r="Q357" s="60"/>
      <c r="R357" s="60"/>
      <c r="S357" s="60"/>
      <c r="T357" s="60"/>
      <c r="U357" s="60"/>
      <c r="V357" s="60"/>
      <c r="W357" s="60"/>
      <c r="X357" s="60"/>
    </row>
    <row r="358" spans="1:24" ht="13.2">
      <c r="A358" s="68" t="s">
        <v>370</v>
      </c>
      <c r="B358" s="495" t="s">
        <v>468</v>
      </c>
      <c r="C358" s="495" t="s">
        <v>469</v>
      </c>
      <c r="D358" s="497">
        <v>2000</v>
      </c>
      <c r="E358" s="498">
        <v>2001</v>
      </c>
      <c r="F358" s="498">
        <v>2002</v>
      </c>
      <c r="G358" s="498">
        <v>2003</v>
      </c>
      <c r="H358" s="498">
        <v>2004</v>
      </c>
      <c r="I358" s="498">
        <v>2005</v>
      </c>
      <c r="J358" s="498">
        <v>2006</v>
      </c>
      <c r="K358" s="498">
        <v>2007</v>
      </c>
      <c r="L358" s="498">
        <v>2008</v>
      </c>
      <c r="M358" s="498">
        <v>2009</v>
      </c>
      <c r="N358" s="499">
        <v>2010</v>
      </c>
      <c r="O358" s="69">
        <v>2011</v>
      </c>
      <c r="P358" s="69">
        <v>2012</v>
      </c>
      <c r="Q358" s="69">
        <v>2013</v>
      </c>
      <c r="R358" s="69">
        <v>2014</v>
      </c>
      <c r="S358" s="69">
        <v>2015</v>
      </c>
      <c r="T358" s="69">
        <v>2016</v>
      </c>
      <c r="U358" s="69">
        <v>2017</v>
      </c>
      <c r="V358" s="69">
        <v>2018</v>
      </c>
      <c r="W358" s="69">
        <v>2019</v>
      </c>
      <c r="X358" s="69">
        <v>2020</v>
      </c>
    </row>
    <row r="359" spans="1:24" ht="13.2">
      <c r="A359" s="68" t="s">
        <v>371</v>
      </c>
      <c r="B359" s="496">
        <f>NPV(0.1,D359:Y359)</f>
        <v>443898.22849525634</v>
      </c>
      <c r="C359" s="496">
        <f>B359-B349</f>
        <v>0</v>
      </c>
      <c r="D359" s="500">
        <v>22243.73</v>
      </c>
      <c r="E359" s="501">
        <v>42219.347139999998</v>
      </c>
      <c r="F359" s="501">
        <v>42306.381254200001</v>
      </c>
      <c r="G359" s="501">
        <v>48361.209673097954</v>
      </c>
      <c r="H359" s="501">
        <v>55330.95127641139</v>
      </c>
      <c r="I359" s="501">
        <v>56498.061324703733</v>
      </c>
      <c r="J359" s="501">
        <v>57116.710374957715</v>
      </c>
      <c r="K359" s="501">
        <v>57736.414667734694</v>
      </c>
      <c r="L359" s="501">
        <v>58356.680733440829</v>
      </c>
      <c r="M359" s="501">
        <v>58976.984544588377</v>
      </c>
      <c r="N359" s="502">
        <v>59596.77012644468</v>
      </c>
      <c r="O359" s="75">
        <v>60215.448111822225</v>
      </c>
      <c r="P359" s="75">
        <v>60832.394237908629</v>
      </c>
      <c r="Q359" s="75">
        <v>60729.347990873262</v>
      </c>
      <c r="R359" s="75">
        <v>61319.282154750559</v>
      </c>
      <c r="S359" s="75">
        <v>61904.740509968702</v>
      </c>
      <c r="T359" s="75">
        <v>62484.923567260659</v>
      </c>
      <c r="U359" s="75">
        <v>63058.98789623117</v>
      </c>
      <c r="V359" s="75">
        <v>63626.044208429375</v>
      </c>
      <c r="W359" s="75">
        <v>63328.303685223458</v>
      </c>
      <c r="X359" s="75">
        <v>63852.777075658894</v>
      </c>
    </row>
    <row r="360" spans="1:24" ht="13.2">
      <c r="A360" s="70" t="s">
        <v>372</v>
      </c>
      <c r="B360" s="496">
        <f>NPV(0.1,D360:Y360)</f>
        <v>198393.44223665269</v>
      </c>
      <c r="C360" s="496">
        <f>B360-B350</f>
        <v>0</v>
      </c>
      <c r="D360" s="500">
        <v>12516.882325259514</v>
      </c>
      <c r="E360" s="501">
        <v>22124.9206166078</v>
      </c>
      <c r="F360" s="501">
        <v>22599.169934974838</v>
      </c>
      <c r="G360" s="501">
        <v>23132.036692383357</v>
      </c>
      <c r="H360" s="501">
        <v>23522.163074850927</v>
      </c>
      <c r="I360" s="501">
        <v>23728.39156160627</v>
      </c>
      <c r="J360" s="501">
        <v>23933.936876407795</v>
      </c>
      <c r="K360" s="501">
        <v>24107.453724110004</v>
      </c>
      <c r="L360" s="501">
        <v>24305.840740414118</v>
      </c>
      <c r="M360" s="501">
        <v>24563.942052094291</v>
      </c>
      <c r="N360" s="502">
        <v>24828.36827837698</v>
      </c>
      <c r="O360" s="75">
        <v>25052.038341770345</v>
      </c>
      <c r="P360" s="75">
        <v>25282.418507065518</v>
      </c>
      <c r="Q360" s="75">
        <v>25519.710077319542</v>
      </c>
      <c r="R360" s="75">
        <v>25764.120394681191</v>
      </c>
      <c r="S360" s="75">
        <v>26015.863021563684</v>
      </c>
      <c r="T360" s="75">
        <v>26275.157927252654</v>
      </c>
      <c r="U360" s="75">
        <v>26542.231680112294</v>
      </c>
      <c r="V360" s="75">
        <v>26817.317645557723</v>
      </c>
      <c r="W360" s="75">
        <v>27100.656189966518</v>
      </c>
      <c r="X360" s="75">
        <v>27392.494890707567</v>
      </c>
    </row>
    <row r="361" spans="1:24" ht="13.2">
      <c r="A361" s="70" t="s">
        <v>34</v>
      </c>
      <c r="B361" s="496">
        <f>NPV(0.1,D361:Y361)</f>
        <v>88318.102320226579</v>
      </c>
      <c r="C361" s="496">
        <f>B361-B351</f>
        <v>-5.5253317884053104</v>
      </c>
      <c r="D361" s="500">
        <v>1255.3148263930411</v>
      </c>
      <c r="E361" s="501">
        <v>3015.9571548836957</v>
      </c>
      <c r="F361" s="501">
        <v>3009.4969331201073</v>
      </c>
      <c r="G361" s="501">
        <v>6721.0407700308569</v>
      </c>
      <c r="H361" s="501">
        <v>10872.713968441298</v>
      </c>
      <c r="I361" s="501">
        <v>11742.037180952233</v>
      </c>
      <c r="J361" s="501">
        <v>12298.029981115902</v>
      </c>
      <c r="K361" s="501">
        <v>12780.291027904748</v>
      </c>
      <c r="L361" s="501">
        <v>13272.283331895191</v>
      </c>
      <c r="M361" s="501">
        <v>13753.295559527391</v>
      </c>
      <c r="N361" s="502">
        <v>14257.470762402787</v>
      </c>
      <c r="O361" s="75">
        <v>14816.090600523919</v>
      </c>
      <c r="P361" s="75">
        <v>15402.079316730584</v>
      </c>
      <c r="Q361" s="75">
        <v>15566.323210799286</v>
      </c>
      <c r="R361" s="75">
        <v>16185.129072352091</v>
      </c>
      <c r="S361" s="75">
        <v>16835.508177393378</v>
      </c>
      <c r="T361" s="75">
        <v>17519.704810723098</v>
      </c>
      <c r="U361" s="75">
        <v>18240.14204354737</v>
      </c>
      <c r="V361" s="75">
        <v>18999.436244425448</v>
      </c>
      <c r="W361" s="75">
        <v>19261.873450560946</v>
      </c>
      <c r="X361" s="75">
        <v>20097.685019952394</v>
      </c>
    </row>
    <row r="362" spans="1:24" ht="13.2">
      <c r="A362" s="70" t="s">
        <v>32</v>
      </c>
      <c r="B362" s="496">
        <f>NPV(0.1,D362:Y362)</f>
        <v>95594.307131409107</v>
      </c>
      <c r="C362" s="496">
        <f>B362-B352</f>
        <v>6.5684457363386173</v>
      </c>
      <c r="D362" s="503">
        <v>2230.8827516435977</v>
      </c>
      <c r="E362" s="504">
        <v>4680.6634496676452</v>
      </c>
      <c r="F362" s="504">
        <v>4838.5769711005842</v>
      </c>
      <c r="G362" s="504">
        <v>15401.455090193169</v>
      </c>
      <c r="H362" s="504">
        <v>18182.062821258569</v>
      </c>
      <c r="I362" s="504">
        <v>14336.755079735887</v>
      </c>
      <c r="J362" s="504">
        <v>14036.182021786903</v>
      </c>
      <c r="K362" s="504">
        <v>13965.537495757315</v>
      </c>
      <c r="L362" s="504">
        <v>13919.05450049508</v>
      </c>
      <c r="M362" s="504">
        <v>13889.166889061024</v>
      </c>
      <c r="N362" s="505">
        <v>13775.155317861203</v>
      </c>
      <c r="O362" s="75">
        <v>13614.338889611172</v>
      </c>
      <c r="P362" s="75">
        <v>13466.544298339124</v>
      </c>
      <c r="Q362" s="75">
        <v>13157.58579321847</v>
      </c>
      <c r="R362" s="75">
        <v>12963.434765535505</v>
      </c>
      <c r="S362" s="75">
        <v>11068.371895553355</v>
      </c>
      <c r="T362" s="75">
        <v>9143.587189226706</v>
      </c>
      <c r="U362" s="75">
        <v>8865.8154802939443</v>
      </c>
      <c r="V362" s="75">
        <v>8553.7206523197019</v>
      </c>
      <c r="W362" s="75">
        <v>8028.1292196884333</v>
      </c>
      <c r="X362" s="75">
        <v>23279.903536868078</v>
      </c>
    </row>
    <row r="365" spans="1:24">
      <c r="A365" s="71" t="s">
        <v>621</v>
      </c>
    </row>
    <row r="366" spans="1:24">
      <c r="A366" s="442">
        <v>36285</v>
      </c>
    </row>
    <row r="367" spans="1:24" ht="13.2">
      <c r="A367" s="64" t="s">
        <v>368</v>
      </c>
      <c r="B367" s="65">
        <v>66670.394440872755</v>
      </c>
      <c r="C367" s="60"/>
      <c r="D367" s="60"/>
      <c r="E367" s="60"/>
      <c r="F367" s="60"/>
      <c r="G367" s="60"/>
      <c r="H367" s="60"/>
      <c r="I367" s="60"/>
      <c r="J367" s="60"/>
      <c r="K367" s="60"/>
      <c r="L367" s="60"/>
      <c r="M367" s="60"/>
      <c r="N367" s="60"/>
      <c r="O367" s="60"/>
      <c r="P367" s="60"/>
      <c r="Q367" s="60"/>
      <c r="R367" s="60"/>
      <c r="S367" s="60"/>
      <c r="T367" s="60"/>
      <c r="U367" s="60"/>
      <c r="V367" s="60"/>
      <c r="W367" s="60"/>
      <c r="X367" s="60"/>
    </row>
    <row r="368" spans="1:24" ht="13.2">
      <c r="A368" s="66" t="s">
        <v>369</v>
      </c>
      <c r="B368" s="67">
        <v>102869.45239413319</v>
      </c>
      <c r="C368" s="60"/>
      <c r="D368" s="60"/>
      <c r="E368" s="60"/>
      <c r="F368" s="60"/>
      <c r="G368" s="60"/>
      <c r="H368" s="60"/>
      <c r="I368" s="60"/>
      <c r="J368" s="60"/>
      <c r="K368" s="60"/>
      <c r="L368" s="60"/>
      <c r="M368" s="60"/>
      <c r="N368" s="60"/>
      <c r="O368" s="60"/>
      <c r="P368" s="60"/>
      <c r="Q368" s="60"/>
      <c r="R368" s="60"/>
      <c r="S368" s="60"/>
      <c r="T368" s="60"/>
      <c r="U368" s="60"/>
      <c r="V368" s="60"/>
      <c r="W368" s="60"/>
      <c r="X368" s="60"/>
    </row>
    <row r="369" spans="1:24" ht="13.2">
      <c r="A369" s="68" t="s">
        <v>370</v>
      </c>
      <c r="B369" s="495" t="s">
        <v>468</v>
      </c>
      <c r="C369" s="495" t="s">
        <v>469</v>
      </c>
      <c r="D369" s="497">
        <v>2000</v>
      </c>
      <c r="E369" s="498">
        <v>2001</v>
      </c>
      <c r="F369" s="498">
        <v>2002</v>
      </c>
      <c r="G369" s="498">
        <v>2003</v>
      </c>
      <c r="H369" s="498">
        <v>2004</v>
      </c>
      <c r="I369" s="498">
        <v>2005</v>
      </c>
      <c r="J369" s="498">
        <v>2006</v>
      </c>
      <c r="K369" s="498">
        <v>2007</v>
      </c>
      <c r="L369" s="498">
        <v>2008</v>
      </c>
      <c r="M369" s="498">
        <v>2009</v>
      </c>
      <c r="N369" s="499">
        <v>2010</v>
      </c>
      <c r="O369" s="69">
        <v>2011</v>
      </c>
      <c r="P369" s="69">
        <v>2012</v>
      </c>
      <c r="Q369" s="69">
        <v>2013</v>
      </c>
      <c r="R369" s="69">
        <v>2014</v>
      </c>
      <c r="S369" s="69">
        <v>2015</v>
      </c>
      <c r="T369" s="69">
        <v>2016</v>
      </c>
      <c r="U369" s="69">
        <v>2017</v>
      </c>
      <c r="V369" s="69">
        <v>2018</v>
      </c>
      <c r="W369" s="69">
        <v>2019</v>
      </c>
      <c r="X369" s="69">
        <v>2020</v>
      </c>
    </row>
    <row r="370" spans="1:24" ht="13.2">
      <c r="A370" s="68" t="s">
        <v>371</v>
      </c>
      <c r="B370" s="496">
        <f>NPV(0.1,D370:Y370)</f>
        <v>447582.54753523704</v>
      </c>
      <c r="C370" s="496">
        <v>3684.3190399807063</v>
      </c>
      <c r="D370" s="500">
        <v>25558.916333333334</v>
      </c>
      <c r="E370" s="501">
        <v>42219.347139999998</v>
      </c>
      <c r="F370" s="501">
        <v>42306.381254200001</v>
      </c>
      <c r="G370" s="501">
        <v>49342.90816986702</v>
      </c>
      <c r="H370" s="501">
        <v>55330.95127641139</v>
      </c>
      <c r="I370" s="501">
        <v>56498.061324703733</v>
      </c>
      <c r="J370" s="501">
        <v>57116.710374957715</v>
      </c>
      <c r="K370" s="501">
        <v>57736.414667734694</v>
      </c>
      <c r="L370" s="501">
        <v>58356.680733440829</v>
      </c>
      <c r="M370" s="501">
        <v>58976.984544588377</v>
      </c>
      <c r="N370" s="502">
        <v>59596.77012644468</v>
      </c>
      <c r="O370" s="75">
        <v>60215.448111822225</v>
      </c>
      <c r="P370" s="75">
        <v>60832.394237908629</v>
      </c>
      <c r="Q370" s="75">
        <v>60729.347990873262</v>
      </c>
      <c r="R370" s="75">
        <v>61319.282154750559</v>
      </c>
      <c r="S370" s="75">
        <v>61904.740509968702</v>
      </c>
      <c r="T370" s="75">
        <v>62484.923567260659</v>
      </c>
      <c r="U370" s="75">
        <v>63058.98789623117</v>
      </c>
      <c r="V370" s="75">
        <v>63626.044208429375</v>
      </c>
      <c r="W370" s="75">
        <v>63328.303685223458</v>
      </c>
      <c r="X370" s="75">
        <v>63852.777075658894</v>
      </c>
    </row>
    <row r="371" spans="1:24" ht="13.2">
      <c r="A371" s="70" t="s">
        <v>372</v>
      </c>
      <c r="B371" s="496">
        <f>NPV(0.1,D371:Y371)</f>
        <v>199822.20047461826</v>
      </c>
      <c r="C371" s="496">
        <v>1428.7582379655796</v>
      </c>
      <c r="D371" s="500">
        <v>14081.971379469436</v>
      </c>
      <c r="E371" s="501">
        <v>22124.9206166078</v>
      </c>
      <c r="F371" s="501">
        <v>22599.169934974838</v>
      </c>
      <c r="G371" s="501">
        <v>23140.748097435378</v>
      </c>
      <c r="H371" s="501">
        <v>23522.163074850927</v>
      </c>
      <c r="I371" s="501">
        <v>23728.39156160627</v>
      </c>
      <c r="J371" s="501">
        <v>23933.936876407795</v>
      </c>
      <c r="K371" s="501">
        <v>24107.453724110004</v>
      </c>
      <c r="L371" s="501">
        <v>24305.840740414118</v>
      </c>
      <c r="M371" s="501">
        <v>24563.942052094291</v>
      </c>
      <c r="N371" s="502">
        <v>24828.36827837698</v>
      </c>
      <c r="O371" s="75">
        <v>25052.038341770345</v>
      </c>
      <c r="P371" s="75">
        <v>25282.418507065518</v>
      </c>
      <c r="Q371" s="75">
        <v>25519.710077319542</v>
      </c>
      <c r="R371" s="75">
        <v>25764.120394681191</v>
      </c>
      <c r="S371" s="75">
        <v>26015.863021563684</v>
      </c>
      <c r="T371" s="75">
        <v>26275.157927252654</v>
      </c>
      <c r="U371" s="75">
        <v>26542.231680112294</v>
      </c>
      <c r="V371" s="75">
        <v>26817.317645557723</v>
      </c>
      <c r="W371" s="75">
        <v>27100.656189966518</v>
      </c>
      <c r="X371" s="75">
        <v>27392.494890707567</v>
      </c>
    </row>
    <row r="372" spans="1:24" ht="13.2">
      <c r="A372" s="70" t="s">
        <v>34</v>
      </c>
      <c r="B372" s="496">
        <f>NPV(0.1,D372:Y372)</f>
        <v>83757.095335596779</v>
      </c>
      <c r="C372" s="496">
        <v>603.45995692750148</v>
      </c>
      <c r="D372" s="500">
        <v>1333.8899214691421</v>
      </c>
      <c r="E372" s="501">
        <v>2692.4671850363602</v>
      </c>
      <c r="F372" s="501">
        <v>2683.7679685794033</v>
      </c>
      <c r="G372" s="501">
        <v>6914.0337499995012</v>
      </c>
      <c r="H372" s="501">
        <v>10277.188757121114</v>
      </c>
      <c r="I372" s="501">
        <v>11117.340513446057</v>
      </c>
      <c r="J372" s="501">
        <v>11624.436715940004</v>
      </c>
      <c r="K372" s="501">
        <v>12080.283142365062</v>
      </c>
      <c r="L372" s="501">
        <v>12545.327821167144</v>
      </c>
      <c r="M372" s="501">
        <v>12999.993829323717</v>
      </c>
      <c r="N372" s="502">
        <v>13476.554119758095</v>
      </c>
      <c r="O372" s="75">
        <v>14004.576979230626</v>
      </c>
      <c r="P372" s="75">
        <v>14558.469656208892</v>
      </c>
      <c r="Q372" s="75">
        <v>14713.717509362034</v>
      </c>
      <c r="R372" s="75">
        <v>15298.629856145937</v>
      </c>
      <c r="S372" s="75">
        <v>15913.386102433451</v>
      </c>
      <c r="T372" s="75">
        <v>16560.10760804153</v>
      </c>
      <c r="U372" s="75">
        <v>17241.08472662331</v>
      </c>
      <c r="V372" s="75">
        <v>17958.790521814954</v>
      </c>
      <c r="W372" s="75">
        <v>18206.853398496394</v>
      </c>
      <c r="X372" s="75">
        <v>19000.552705755446</v>
      </c>
    </row>
    <row r="373" spans="1:24" ht="13.2">
      <c r="A373" s="70" t="s">
        <v>32</v>
      </c>
      <c r="B373" s="496">
        <f>NPV(0.1,D373:Y373)</f>
        <v>95880.824337974613</v>
      </c>
      <c r="C373" s="496">
        <v>359.39355362058268</v>
      </c>
      <c r="D373" s="503">
        <v>2601.1050245072774</v>
      </c>
      <c r="E373" s="504">
        <v>4643.3074839876454</v>
      </c>
      <c r="F373" s="504">
        <v>4800.1765960501843</v>
      </c>
      <c r="G373" s="504">
        <v>15964.894797641009</v>
      </c>
      <c r="H373" s="504">
        <v>17589.359724170528</v>
      </c>
      <c r="I373" s="504">
        <v>14324.139311402552</v>
      </c>
      <c r="J373" s="504">
        <v>14036.182021786908</v>
      </c>
      <c r="K373" s="504">
        <v>13965.537495757317</v>
      </c>
      <c r="L373" s="504">
        <v>13919.054500495078</v>
      </c>
      <c r="M373" s="504">
        <v>13889.166889061024</v>
      </c>
      <c r="N373" s="505">
        <v>13775.155317861201</v>
      </c>
      <c r="O373" s="75">
        <v>13614.338889611172</v>
      </c>
      <c r="P373" s="75">
        <v>13466.544298339117</v>
      </c>
      <c r="Q373" s="75">
        <v>13157.585793218466</v>
      </c>
      <c r="R373" s="75">
        <v>12963.434765535503</v>
      </c>
      <c r="S373" s="75">
        <v>11068.371895553362</v>
      </c>
      <c r="T373" s="75">
        <v>9143.5871892267114</v>
      </c>
      <c r="U373" s="75">
        <v>8865.8154802939407</v>
      </c>
      <c r="V373" s="75">
        <v>8553.7206523197019</v>
      </c>
      <c r="W373" s="75">
        <v>8028.1292196884333</v>
      </c>
      <c r="X373" s="75">
        <v>23279.765411868077</v>
      </c>
    </row>
    <row r="375" spans="1:24">
      <c r="A375" s="71" t="s">
        <v>627</v>
      </c>
    </row>
    <row r="376" spans="1:24">
      <c r="A376" s="442">
        <v>36287</v>
      </c>
    </row>
    <row r="377" spans="1:24" ht="13.2">
      <c r="A377" s="64" t="s">
        <v>368</v>
      </c>
      <c r="B377" s="65">
        <v>63486.542363520435</v>
      </c>
      <c r="C377" s="60"/>
      <c r="D377" s="60"/>
      <c r="E377" s="60"/>
      <c r="F377" s="60"/>
      <c r="G377" s="60"/>
      <c r="H377" s="60"/>
      <c r="I377" s="60"/>
      <c r="J377" s="60"/>
      <c r="K377" s="60"/>
      <c r="L377" s="60"/>
      <c r="M377" s="60"/>
      <c r="N377" s="60"/>
      <c r="O377" s="60"/>
      <c r="P377" s="60"/>
      <c r="Q377" s="60"/>
      <c r="R377" s="60"/>
      <c r="S377" s="60"/>
      <c r="T377" s="60"/>
      <c r="U377" s="60"/>
      <c r="V377" s="60"/>
      <c r="W377" s="60"/>
      <c r="X377" s="60"/>
    </row>
    <row r="378" spans="1:24" ht="13.2">
      <c r="A378" s="66" t="s">
        <v>369</v>
      </c>
      <c r="B378" s="67">
        <v>98691.808227284986</v>
      </c>
      <c r="C378" s="60"/>
      <c r="D378" s="60"/>
      <c r="E378" s="60"/>
      <c r="F378" s="60"/>
      <c r="G378" s="60"/>
      <c r="H378" s="60"/>
      <c r="I378" s="60"/>
      <c r="J378" s="60"/>
      <c r="K378" s="60"/>
      <c r="L378" s="60"/>
      <c r="M378" s="60"/>
      <c r="N378" s="60"/>
      <c r="O378" s="60"/>
      <c r="P378" s="60"/>
      <c r="Q378" s="60"/>
      <c r="R378" s="60"/>
      <c r="S378" s="60"/>
      <c r="T378" s="60"/>
      <c r="U378" s="60"/>
      <c r="V378" s="60"/>
      <c r="W378" s="60"/>
      <c r="X378" s="60"/>
    </row>
    <row r="379" spans="1:24" ht="13.2">
      <c r="A379" s="68" t="s">
        <v>370</v>
      </c>
      <c r="B379" s="495" t="s">
        <v>468</v>
      </c>
      <c r="C379" s="495" t="s">
        <v>469</v>
      </c>
      <c r="D379" s="497">
        <v>2000</v>
      </c>
      <c r="E379" s="498">
        <v>2001</v>
      </c>
      <c r="F379" s="498">
        <v>2002</v>
      </c>
      <c r="G379" s="498">
        <v>2003</v>
      </c>
      <c r="H379" s="498">
        <v>2004</v>
      </c>
      <c r="I379" s="498">
        <v>2005</v>
      </c>
      <c r="J379" s="498">
        <v>2006</v>
      </c>
      <c r="K379" s="498">
        <v>2007</v>
      </c>
      <c r="L379" s="498">
        <v>2008</v>
      </c>
      <c r="M379" s="498">
        <v>2009</v>
      </c>
      <c r="N379" s="499">
        <v>2010</v>
      </c>
      <c r="O379" s="69">
        <v>2011</v>
      </c>
      <c r="P379" s="69">
        <v>2012</v>
      </c>
      <c r="Q379" s="69">
        <v>2013</v>
      </c>
      <c r="R379" s="69">
        <v>2014</v>
      </c>
      <c r="S379" s="69">
        <v>2015</v>
      </c>
      <c r="T379" s="69">
        <v>2016</v>
      </c>
      <c r="U379" s="69">
        <v>2017</v>
      </c>
      <c r="V379" s="69">
        <v>2018</v>
      </c>
      <c r="W379" s="69">
        <v>2019</v>
      </c>
      <c r="X379" s="69">
        <v>2020</v>
      </c>
    </row>
    <row r="380" spans="1:24" ht="13.2">
      <c r="A380" s="68" t="s">
        <v>371</v>
      </c>
      <c r="B380" s="496">
        <f>NPV(0.1,D380:Y380)</f>
        <v>441311.69251040497</v>
      </c>
      <c r="C380" s="496">
        <f>B380-B370</f>
        <v>-6270.855024832068</v>
      </c>
      <c r="D380" s="500">
        <v>25347.056333333334</v>
      </c>
      <c r="E380" s="501">
        <v>42007.487139999997</v>
      </c>
      <c r="F380" s="501">
        <v>42094.521254200001</v>
      </c>
      <c r="G380" s="501">
        <v>48788.242100414391</v>
      </c>
      <c r="H380" s="501">
        <v>54415.171042295762</v>
      </c>
      <c r="I380" s="501">
        <v>55560.831851564632</v>
      </c>
      <c r="J380" s="501">
        <v>56169.05767161418</v>
      </c>
      <c r="K380" s="501">
        <v>56778.376121860289</v>
      </c>
      <c r="L380" s="501">
        <v>57388.305356876706</v>
      </c>
      <c r="M380" s="501">
        <v>57998.333637144453</v>
      </c>
      <c r="N380" s="502">
        <v>58607.917969067057</v>
      </c>
      <c r="O380" s="75">
        <v>59216.482690291588</v>
      </c>
      <c r="P380" s="75">
        <v>59823.417998277444</v>
      </c>
      <c r="Q380" s="75">
        <v>59724.83062373659</v>
      </c>
      <c r="R380" s="75">
        <v>60305.435990316771</v>
      </c>
      <c r="S380" s="75">
        <v>60881.729160990384</v>
      </c>
      <c r="T380" s="75">
        <v>61452.928859173138</v>
      </c>
      <c r="U380" s="75">
        <v>62018.210812661964</v>
      </c>
      <c r="V380" s="75">
        <v>62576.705877046865</v>
      </c>
      <c r="W380" s="75">
        <v>62287.783439088656</v>
      </c>
      <c r="X380" s="75">
        <v>62804.716534742474</v>
      </c>
    </row>
    <row r="381" spans="1:24" ht="13.2">
      <c r="A381" s="70" t="s">
        <v>372</v>
      </c>
      <c r="B381" s="496">
        <f>NPV(0.1,D381:Y381)</f>
        <v>197628.0789079949</v>
      </c>
      <c r="C381" s="496">
        <f>B381-B371</f>
        <v>-2194.121566623362</v>
      </c>
      <c r="D381" s="500">
        <v>13588.492212802768</v>
      </c>
      <c r="E381" s="501">
        <v>21913.0606166078</v>
      </c>
      <c r="F381" s="501">
        <v>22387.309934974837</v>
      </c>
      <c r="G381" s="501">
        <v>22920.271577155621</v>
      </c>
      <c r="H381" s="501">
        <v>23295.088761899817</v>
      </c>
      <c r="I381" s="501">
        <v>23500.860819266625</v>
      </c>
      <c r="J381" s="501">
        <v>23705.936011797956</v>
      </c>
      <c r="K381" s="501">
        <v>23878.968633561872</v>
      </c>
      <c r="L381" s="501">
        <v>24076.856897149541</v>
      </c>
      <c r="M381" s="501">
        <v>24334.444493531781</v>
      </c>
      <c r="N381" s="502">
        <v>24598.34159305759</v>
      </c>
      <c r="O381" s="75">
        <v>24821.466655891378</v>
      </c>
      <c r="P381" s="75">
        <v>25051.285470610179</v>
      </c>
      <c r="Q381" s="75">
        <v>25287.998849770542</v>
      </c>
      <c r="R381" s="75">
        <v>25531.813630305722</v>
      </c>
      <c r="S381" s="75">
        <v>25782.942854256948</v>
      </c>
      <c r="T381" s="75">
        <v>26041.605954926723</v>
      </c>
      <c r="U381" s="75">
        <v>26308.028948616582</v>
      </c>
      <c r="V381" s="75">
        <v>26582.444632117138</v>
      </c>
      <c r="W381" s="75">
        <v>26865.092786122714</v>
      </c>
      <c r="X381" s="75">
        <v>27156.220384748452</v>
      </c>
    </row>
    <row r="382" spans="1:24" ht="13.2">
      <c r="A382" s="70" t="s">
        <v>34</v>
      </c>
      <c r="B382" s="496">
        <f>NPV(0.1,D382:Y382)</f>
        <v>82173.911418833595</v>
      </c>
      <c r="C382" s="496">
        <f>B382-B372</f>
        <v>-1583.1839167631842</v>
      </c>
      <c r="D382" s="500">
        <v>1569.3028090290179</v>
      </c>
      <c r="E382" s="501">
        <v>2805.5387459050175</v>
      </c>
      <c r="F382" s="501">
        <v>2805.4055456153806</v>
      </c>
      <c r="G382" s="501">
        <v>6836.7934173755757</v>
      </c>
      <c r="H382" s="501">
        <v>9992.7647607862327</v>
      </c>
      <c r="I382" s="501">
        <v>10817.491908975835</v>
      </c>
      <c r="J382" s="501">
        <v>11315.09160799028</v>
      </c>
      <c r="K382" s="501">
        <v>11760.998560176937</v>
      </c>
      <c r="L382" s="501">
        <v>12215.631033005742</v>
      </c>
      <c r="M382" s="501">
        <v>12659.380017126596</v>
      </c>
      <c r="N382" s="502">
        <v>13124.483865978131</v>
      </c>
      <c r="O382" s="75">
        <v>13640.473550692301</v>
      </c>
      <c r="P382" s="75">
        <v>14181.716068574604</v>
      </c>
      <c r="Q382" s="75">
        <v>14332.179650964326</v>
      </c>
      <c r="R382" s="75">
        <v>14903.599431605749</v>
      </c>
      <c r="S382" s="75">
        <v>15504.142608001423</v>
      </c>
      <c r="T382" s="75">
        <v>16135.878820304542</v>
      </c>
      <c r="U382" s="75">
        <v>16801.042597158164</v>
      </c>
      <c r="V382" s="75">
        <v>17502.046740019377</v>
      </c>
      <c r="W382" s="75">
        <v>17742.635439711285</v>
      </c>
      <c r="X382" s="75">
        <v>18518.283306544108</v>
      </c>
    </row>
    <row r="383" spans="1:24" ht="13.2">
      <c r="A383" s="70" t="s">
        <v>32</v>
      </c>
      <c r="B383" s="496">
        <f>NPV(0.1,D383:Y383)</f>
        <v>94424.133855647713</v>
      </c>
      <c r="C383" s="496">
        <f>B383-B373</f>
        <v>-1456.6904823268997</v>
      </c>
      <c r="D383" s="503">
        <v>2672.1566225521474</v>
      </c>
      <c r="E383" s="504">
        <v>4645.8498039876476</v>
      </c>
      <c r="F383" s="504">
        <v>4802.7189160501857</v>
      </c>
      <c r="G383" s="504">
        <v>15764.679491374609</v>
      </c>
      <c r="H383" s="504">
        <v>17125.205095781515</v>
      </c>
      <c r="I383" s="504">
        <v>14094.551927674327</v>
      </c>
      <c r="J383" s="504">
        <v>13806.994178232942</v>
      </c>
      <c r="K383" s="504">
        <v>13737.083732637886</v>
      </c>
      <c r="L383" s="504">
        <v>13691.697094195006</v>
      </c>
      <c r="M383" s="504">
        <v>13663.297857034453</v>
      </c>
      <c r="N383" s="505">
        <v>13551.198570259776</v>
      </c>
      <c r="O383" s="75">
        <v>13392.752538699824</v>
      </c>
      <c r="P383" s="75">
        <v>13247.823137667066</v>
      </c>
      <c r="Q383" s="75">
        <v>12945.222381196378</v>
      </c>
      <c r="R383" s="75">
        <v>12754.951445657141</v>
      </c>
      <c r="S383" s="75">
        <v>10864.372664146867</v>
      </c>
      <c r="T383" s="75">
        <v>8944.7229035739983</v>
      </c>
      <c r="U383" s="75">
        <v>8672.7872557517567</v>
      </c>
      <c r="V383" s="75">
        <v>8367.2835114179907</v>
      </c>
      <c r="W383" s="75">
        <v>7852.6285227812041</v>
      </c>
      <c r="X383" s="75">
        <v>22763.673454876513</v>
      </c>
    </row>
    <row r="385" spans="1:24">
      <c r="A385" s="71" t="s">
        <v>628</v>
      </c>
    </row>
    <row r="386" spans="1:24">
      <c r="A386" s="442">
        <v>36287</v>
      </c>
    </row>
    <row r="387" spans="1:24" ht="13.2">
      <c r="A387" s="64" t="s">
        <v>368</v>
      </c>
      <c r="B387" s="65">
        <v>54682.410224039777</v>
      </c>
      <c r="C387" s="60"/>
      <c r="D387" s="60"/>
      <c r="E387" s="60"/>
      <c r="F387" s="60"/>
      <c r="G387" s="60"/>
      <c r="H387" s="60"/>
      <c r="I387" s="60"/>
      <c r="J387" s="60"/>
      <c r="K387" s="60"/>
      <c r="L387" s="60"/>
      <c r="M387" s="60"/>
      <c r="N387" s="60"/>
      <c r="O387" s="60"/>
      <c r="P387" s="60"/>
      <c r="Q387" s="60"/>
      <c r="R387" s="60"/>
      <c r="S387" s="60"/>
      <c r="T387" s="60"/>
      <c r="U387" s="60"/>
      <c r="V387" s="60"/>
      <c r="W387" s="60"/>
      <c r="X387" s="60"/>
    </row>
    <row r="388" spans="1:24" ht="13.2">
      <c r="A388" s="66" t="s">
        <v>369</v>
      </c>
      <c r="B388" s="67">
        <v>87242.371772079336</v>
      </c>
      <c r="C388" s="60"/>
      <c r="D388" s="60"/>
      <c r="E388" s="60"/>
      <c r="F388" s="60"/>
      <c r="G388" s="60"/>
      <c r="H388" s="60"/>
      <c r="I388" s="60"/>
      <c r="J388" s="60"/>
      <c r="K388" s="60"/>
      <c r="L388" s="60"/>
      <c r="M388" s="60"/>
      <c r="N388" s="60"/>
      <c r="O388" s="60"/>
      <c r="P388" s="60"/>
      <c r="Q388" s="60"/>
      <c r="R388" s="60"/>
      <c r="S388" s="60"/>
      <c r="T388" s="60"/>
      <c r="U388" s="60"/>
      <c r="V388" s="60"/>
      <c r="W388" s="60"/>
      <c r="X388" s="60"/>
    </row>
    <row r="389" spans="1:24" ht="13.2">
      <c r="A389" s="68" t="s">
        <v>370</v>
      </c>
      <c r="B389" s="495" t="s">
        <v>468</v>
      </c>
      <c r="C389" s="495" t="s">
        <v>469</v>
      </c>
      <c r="D389" s="497">
        <v>2000</v>
      </c>
      <c r="E389" s="498">
        <v>2001</v>
      </c>
      <c r="F389" s="498">
        <v>2002</v>
      </c>
      <c r="G389" s="498">
        <v>2003</v>
      </c>
      <c r="H389" s="498">
        <v>2004</v>
      </c>
      <c r="I389" s="498">
        <v>2005</v>
      </c>
      <c r="J389" s="498">
        <v>2006</v>
      </c>
      <c r="K389" s="498">
        <v>2007</v>
      </c>
      <c r="L389" s="498">
        <v>2008</v>
      </c>
      <c r="M389" s="498">
        <v>2009</v>
      </c>
      <c r="N389" s="499">
        <v>2010</v>
      </c>
      <c r="O389" s="69">
        <v>2011</v>
      </c>
      <c r="P389" s="69">
        <v>2012</v>
      </c>
      <c r="Q389" s="69">
        <v>2013</v>
      </c>
      <c r="R389" s="69">
        <v>2014</v>
      </c>
      <c r="S389" s="69">
        <v>2015</v>
      </c>
      <c r="T389" s="69">
        <v>2016</v>
      </c>
      <c r="U389" s="69">
        <v>2017</v>
      </c>
      <c r="V389" s="69">
        <v>2018</v>
      </c>
      <c r="W389" s="69">
        <v>2019</v>
      </c>
      <c r="X389" s="69">
        <v>2020</v>
      </c>
    </row>
    <row r="390" spans="1:24" ht="13.2">
      <c r="A390" s="68" t="s">
        <v>371</v>
      </c>
      <c r="B390" s="496">
        <f>NPV(0.1,D390:Y390)</f>
        <v>430142.45474370237</v>
      </c>
      <c r="C390" s="496">
        <f>B390-B380</f>
        <v>-11169.237766702601</v>
      </c>
      <c r="D390" s="500">
        <v>25347.056333333334</v>
      </c>
      <c r="E390" s="501">
        <v>42007.487139999997</v>
      </c>
      <c r="F390" s="501">
        <v>42094.521254200001</v>
      </c>
      <c r="G390" s="501">
        <v>47878.530846251721</v>
      </c>
      <c r="H390" s="501">
        <v>52808.880884945684</v>
      </c>
      <c r="I390" s="501">
        <v>53906.352989494051</v>
      </c>
      <c r="J390" s="501">
        <v>54464.944443681481</v>
      </c>
      <c r="K390" s="501">
        <v>55023.139497089607</v>
      </c>
      <c r="L390" s="501">
        <v>55580.411633362906</v>
      </c>
      <c r="M390" s="501">
        <v>56136.203101925239</v>
      </c>
      <c r="N390" s="502">
        <v>56689.923517791263</v>
      </c>
      <c r="O390" s="75">
        <v>57240.948405477524</v>
      </c>
      <c r="P390" s="75">
        <v>57788.617684918958</v>
      </c>
      <c r="Q390" s="75">
        <v>57628.986300977347</v>
      </c>
      <c r="R390" s="75">
        <v>58146.71633787475</v>
      </c>
      <c r="S390" s="75">
        <v>58658.247918975103</v>
      </c>
      <c r="T390" s="75">
        <v>59162.743179897399</v>
      </c>
      <c r="U390" s="75">
        <v>59659.319563007957</v>
      </c>
      <c r="V390" s="75">
        <v>60147.047889903231</v>
      </c>
      <c r="W390" s="75">
        <v>59785.235712330716</v>
      </c>
      <c r="X390" s="75">
        <v>60227.092376181798</v>
      </c>
    </row>
    <row r="391" spans="1:24" ht="13.2">
      <c r="A391" s="70" t="s">
        <v>372</v>
      </c>
      <c r="B391" s="496">
        <f>NPV(0.1,D391:Y391)</f>
        <v>197628.0789079949</v>
      </c>
      <c r="C391" s="496">
        <f>B391-B381</f>
        <v>0</v>
      </c>
      <c r="D391" s="500">
        <v>13588.492212802768</v>
      </c>
      <c r="E391" s="501">
        <v>21913.0606166078</v>
      </c>
      <c r="F391" s="501">
        <v>22387.309934974837</v>
      </c>
      <c r="G391" s="501">
        <v>22920.271577155621</v>
      </c>
      <c r="H391" s="501">
        <v>23295.088761899817</v>
      </c>
      <c r="I391" s="501">
        <v>23500.860819266625</v>
      </c>
      <c r="J391" s="501">
        <v>23705.936011797956</v>
      </c>
      <c r="K391" s="501">
        <v>23878.968633561872</v>
      </c>
      <c r="L391" s="501">
        <v>24076.856897149541</v>
      </c>
      <c r="M391" s="501">
        <v>24334.444493531781</v>
      </c>
      <c r="N391" s="502">
        <v>24598.34159305759</v>
      </c>
      <c r="O391" s="75">
        <v>24821.466655891378</v>
      </c>
      <c r="P391" s="75">
        <v>25051.285470610179</v>
      </c>
      <c r="Q391" s="75">
        <v>25287.998849770542</v>
      </c>
      <c r="R391" s="75">
        <v>25531.813630305722</v>
      </c>
      <c r="S391" s="75">
        <v>25782.942854256948</v>
      </c>
      <c r="T391" s="75">
        <v>26041.605954926723</v>
      </c>
      <c r="U391" s="75">
        <v>26308.028948616582</v>
      </c>
      <c r="V391" s="75">
        <v>26582.444632117138</v>
      </c>
      <c r="W391" s="75">
        <v>26865.092786122714</v>
      </c>
      <c r="X391" s="75">
        <v>27156.220384748452</v>
      </c>
    </row>
    <row r="392" spans="1:24" ht="13.2">
      <c r="A392" s="70" t="s">
        <v>34</v>
      </c>
      <c r="B392" s="496">
        <f>NPV(0.1,D392:Y392)</f>
        <v>77738.163255513544</v>
      </c>
      <c r="C392" s="496">
        <f>B392-B382</f>
        <v>-4435.7481633200514</v>
      </c>
      <c r="D392" s="500">
        <v>1728.3409324728495</v>
      </c>
      <c r="E392" s="501">
        <v>3090.5009835184819</v>
      </c>
      <c r="F392" s="501">
        <v>3112.4523566438893</v>
      </c>
      <c r="G392" s="501">
        <v>6609.0700351851983</v>
      </c>
      <c r="H392" s="501">
        <v>9359.1517465229645</v>
      </c>
      <c r="I392" s="501">
        <v>10150.743743786999</v>
      </c>
      <c r="J392" s="501">
        <v>10613.084096508295</v>
      </c>
      <c r="K392" s="501">
        <v>11021.453369906012</v>
      </c>
      <c r="L392" s="501">
        <v>11436.103837306646</v>
      </c>
      <c r="M392" s="501">
        <v>11837.247703858884</v>
      </c>
      <c r="N392" s="502">
        <v>12256.930737478928</v>
      </c>
      <c r="O392" s="75">
        <v>12724.476434837996</v>
      </c>
      <c r="P392" s="75">
        <v>13214.028254264527</v>
      </c>
      <c r="Q392" s="75">
        <v>13309.313554446391</v>
      </c>
      <c r="R392" s="75">
        <v>13821.807892591436</v>
      </c>
      <c r="S392" s="75">
        <v>14359.398706447775</v>
      </c>
      <c r="T392" s="75">
        <v>14923.854096025872</v>
      </c>
      <c r="U392" s="75">
        <v>15517.08354501844</v>
      </c>
      <c r="V392" s="75">
        <v>16141.149443292152</v>
      </c>
      <c r="W392" s="75">
        <v>16299.418193217069</v>
      </c>
      <c r="X392" s="75">
        <v>16986.957069320684</v>
      </c>
    </row>
    <row r="393" spans="1:24" ht="13.2">
      <c r="A393" s="70" t="s">
        <v>32</v>
      </c>
      <c r="B393" s="496">
        <f>NPV(0.1,D393:Y393)</f>
        <v>90591.501535132033</v>
      </c>
      <c r="C393" s="496">
        <f>B393-B383</f>
        <v>-3832.6323205156805</v>
      </c>
      <c r="D393" s="503">
        <v>2672.1566225521478</v>
      </c>
      <c r="E393" s="504">
        <v>4645.8498039876467</v>
      </c>
      <c r="F393" s="504">
        <v>4802.7189160501839</v>
      </c>
      <c r="G393" s="504">
        <v>15220.677078910619</v>
      </c>
      <c r="H393" s="504">
        <v>16258.474180199075</v>
      </c>
      <c r="I393" s="504">
        <v>13537.25414208011</v>
      </c>
      <c r="J393" s="504">
        <v>13243.41351761678</v>
      </c>
      <c r="K393" s="504">
        <v>13167.866595432803</v>
      </c>
      <c r="L393" s="504">
        <v>13117.576061561696</v>
      </c>
      <c r="M393" s="504">
        <v>13085.099621605092</v>
      </c>
      <c r="N393" s="505">
        <v>12969.852530205124</v>
      </c>
      <c r="O393" s="75">
        <v>12809.300111276134</v>
      </c>
      <c r="P393" s="75">
        <v>12663.427850759866</v>
      </c>
      <c r="Q393" s="75">
        <v>12361.180806088316</v>
      </c>
      <c r="R393" s="75">
        <v>12172.705039334689</v>
      </c>
      <c r="S393" s="75">
        <v>10285.520594956704</v>
      </c>
      <c r="T393" s="75">
        <v>8371.0359399758381</v>
      </c>
      <c r="U393" s="75">
        <v>8106.2228043267933</v>
      </c>
      <c r="V393" s="75">
        <v>7810.0018972178987</v>
      </c>
      <c r="W393" s="75">
        <v>7307.0106125841503</v>
      </c>
      <c r="X393" s="75">
        <v>21124.952118101766</v>
      </c>
    </row>
    <row r="395" spans="1:24">
      <c r="A395" s="71" t="s">
        <v>638</v>
      </c>
    </row>
    <row r="396" spans="1:24">
      <c r="A396" s="442">
        <v>36293</v>
      </c>
    </row>
    <row r="397" spans="1:24" ht="13.2">
      <c r="A397" s="64" t="s">
        <v>368</v>
      </c>
      <c r="B397" s="65">
        <v>53237.650602223286</v>
      </c>
      <c r="C397" s="60"/>
      <c r="D397" s="60"/>
      <c r="E397" s="60"/>
      <c r="F397" s="60"/>
      <c r="G397" s="60"/>
      <c r="H397" s="60"/>
      <c r="I397" s="60"/>
      <c r="J397" s="60"/>
      <c r="K397" s="60"/>
      <c r="L397" s="60"/>
      <c r="M397" s="60"/>
      <c r="N397" s="60"/>
      <c r="O397" s="60"/>
      <c r="P397" s="60"/>
      <c r="Q397" s="60"/>
      <c r="R397" s="60"/>
      <c r="S397" s="60"/>
      <c r="T397" s="60"/>
      <c r="U397" s="60"/>
      <c r="V397" s="60"/>
      <c r="W397" s="60"/>
      <c r="X397" s="60"/>
    </row>
    <row r="398" spans="1:24" ht="13.2">
      <c r="A398" s="66" t="s">
        <v>369</v>
      </c>
      <c r="B398" s="67">
        <v>84956.755333457288</v>
      </c>
      <c r="C398" s="60"/>
      <c r="D398" s="60"/>
      <c r="E398" s="60"/>
      <c r="F398" s="60"/>
      <c r="G398" s="60"/>
      <c r="H398" s="60"/>
      <c r="I398" s="60"/>
      <c r="J398" s="60"/>
      <c r="K398" s="60"/>
      <c r="L398" s="60"/>
      <c r="M398" s="60"/>
      <c r="N398" s="60"/>
      <c r="O398" s="60"/>
      <c r="P398" s="60"/>
      <c r="Q398" s="60"/>
      <c r="R398" s="60"/>
      <c r="S398" s="60"/>
      <c r="T398" s="60"/>
      <c r="U398" s="60"/>
      <c r="V398" s="60"/>
      <c r="W398" s="60"/>
      <c r="X398" s="60"/>
    </row>
    <row r="399" spans="1:24" ht="13.2">
      <c r="A399" s="68" t="s">
        <v>370</v>
      </c>
      <c r="B399" s="495" t="s">
        <v>468</v>
      </c>
      <c r="C399" s="495" t="s">
        <v>469</v>
      </c>
      <c r="D399" s="497">
        <v>2000</v>
      </c>
      <c r="E399" s="498">
        <v>2001</v>
      </c>
      <c r="F399" s="498">
        <v>2002</v>
      </c>
      <c r="G399" s="498">
        <v>2003</v>
      </c>
      <c r="H399" s="498">
        <v>2004</v>
      </c>
      <c r="I399" s="498">
        <v>2005</v>
      </c>
      <c r="J399" s="498">
        <v>2006</v>
      </c>
      <c r="K399" s="498">
        <v>2007</v>
      </c>
      <c r="L399" s="498">
        <v>2008</v>
      </c>
      <c r="M399" s="498">
        <v>2009</v>
      </c>
      <c r="N399" s="499">
        <v>2010</v>
      </c>
      <c r="O399" s="69">
        <v>2011</v>
      </c>
      <c r="P399" s="69">
        <v>2012</v>
      </c>
      <c r="Q399" s="69">
        <v>2013</v>
      </c>
      <c r="R399" s="69">
        <v>2014</v>
      </c>
      <c r="S399" s="69">
        <v>2015</v>
      </c>
      <c r="T399" s="69">
        <v>2016</v>
      </c>
      <c r="U399" s="69">
        <v>2017</v>
      </c>
      <c r="V399" s="69">
        <v>2018</v>
      </c>
      <c r="W399" s="69">
        <v>2019</v>
      </c>
      <c r="X399" s="69">
        <v>2020</v>
      </c>
    </row>
    <row r="400" spans="1:24" ht="13.2">
      <c r="A400" s="68" t="s">
        <v>371</v>
      </c>
      <c r="B400" s="496">
        <f>NPV(0.1,D400:Y400)</f>
        <v>421965.69698430452</v>
      </c>
      <c r="C400" s="496">
        <f>B400-B390</f>
        <v>-8176.7577593978494</v>
      </c>
      <c r="D400" s="500">
        <v>25347.056333333334</v>
      </c>
      <c r="E400" s="501">
        <v>42007.487139999997</v>
      </c>
      <c r="F400" s="501">
        <v>42094.521254200001</v>
      </c>
      <c r="G400" s="501">
        <v>43688.548362451715</v>
      </c>
      <c r="H400" s="501">
        <v>52808.880884945684</v>
      </c>
      <c r="I400" s="501">
        <v>53906.352989494051</v>
      </c>
      <c r="J400" s="501">
        <v>54464.944443681481</v>
      </c>
      <c r="K400" s="501">
        <v>55023.139497089607</v>
      </c>
      <c r="L400" s="501">
        <v>55580.411633362906</v>
      </c>
      <c r="M400" s="501">
        <v>56136.203101925232</v>
      </c>
      <c r="N400" s="502">
        <v>56689.923517791263</v>
      </c>
      <c r="O400" s="75">
        <v>57240.948405477524</v>
      </c>
      <c r="P400" s="75">
        <v>57788.617684918958</v>
      </c>
      <c r="Q400" s="75">
        <v>57628.986300977354</v>
      </c>
      <c r="R400" s="75">
        <v>58146.71633787475</v>
      </c>
      <c r="S400" s="75">
        <v>58658.247918975103</v>
      </c>
      <c r="T400" s="75">
        <v>59162.743179897399</v>
      </c>
      <c r="U400" s="75">
        <v>59659.319563007964</v>
      </c>
      <c r="V400" s="75">
        <v>60147.047889903231</v>
      </c>
      <c r="W400" s="75">
        <v>59785.235712330716</v>
      </c>
      <c r="X400" s="75">
        <v>20895.183181993219</v>
      </c>
    </row>
    <row r="401" spans="1:24" ht="13.2">
      <c r="A401" s="70" t="s">
        <v>372</v>
      </c>
      <c r="B401" s="496">
        <f>NPV(0.1,D401:Y401)</f>
        <v>192534.30500301055</v>
      </c>
      <c r="C401" s="496">
        <f>B401-B391</f>
        <v>-5093.7739049843512</v>
      </c>
      <c r="D401" s="500">
        <v>13588.492212802768</v>
      </c>
      <c r="E401" s="501">
        <v>21913.0606166078</v>
      </c>
      <c r="F401" s="501">
        <v>22387.309934974837</v>
      </c>
      <c r="G401" s="501">
        <v>18851.135950406395</v>
      </c>
      <c r="H401" s="501">
        <v>23295.088761899817</v>
      </c>
      <c r="I401" s="501">
        <v>23500.860819266625</v>
      </c>
      <c r="J401" s="501">
        <v>23705.936011797956</v>
      </c>
      <c r="K401" s="501">
        <v>23878.968633561872</v>
      </c>
      <c r="L401" s="501">
        <v>24076.856897149541</v>
      </c>
      <c r="M401" s="501">
        <v>24334.444493531781</v>
      </c>
      <c r="N401" s="502">
        <v>24598.34159305759</v>
      </c>
      <c r="O401" s="75">
        <v>24821.466655891378</v>
      </c>
      <c r="P401" s="75">
        <v>25051.285470610179</v>
      </c>
      <c r="Q401" s="75">
        <v>25287.998849770542</v>
      </c>
      <c r="R401" s="75">
        <v>25531.813630305722</v>
      </c>
      <c r="S401" s="75">
        <v>25782.942854256948</v>
      </c>
      <c r="T401" s="75">
        <v>26041.605954926723</v>
      </c>
      <c r="U401" s="75">
        <v>26308.028948616582</v>
      </c>
      <c r="V401" s="75">
        <v>26582.444632117138</v>
      </c>
      <c r="W401" s="75">
        <v>26865.092786122714</v>
      </c>
      <c r="X401" s="75">
        <v>10028.345439334324</v>
      </c>
    </row>
    <row r="402" spans="1:24" ht="13.2">
      <c r="A402" s="70" t="s">
        <v>34</v>
      </c>
      <c r="B402" s="496">
        <f>NPV(0.1,D402:Y402)</f>
        <v>75908.956777816493</v>
      </c>
      <c r="C402" s="496">
        <f>B402-B392</f>
        <v>-1829.206477697051</v>
      </c>
      <c r="D402" s="500">
        <v>1729.174638903602</v>
      </c>
      <c r="E402" s="501">
        <v>3092.0130000811855</v>
      </c>
      <c r="F402" s="501">
        <v>3114.1127429876396</v>
      </c>
      <c r="G402" s="501">
        <v>6538.9973606073454</v>
      </c>
      <c r="H402" s="501">
        <v>9358.7713564979622</v>
      </c>
      <c r="I402" s="501">
        <v>10150.363353761997</v>
      </c>
      <c r="J402" s="501">
        <v>10612.703706483293</v>
      </c>
      <c r="K402" s="501">
        <v>11021.072979881012</v>
      </c>
      <c r="L402" s="501">
        <v>11435.723447281644</v>
      </c>
      <c r="M402" s="501">
        <v>11836.867313833876</v>
      </c>
      <c r="N402" s="502">
        <v>12256.550347453925</v>
      </c>
      <c r="O402" s="75">
        <v>12724.096044812994</v>
      </c>
      <c r="P402" s="75">
        <v>13213.647864239525</v>
      </c>
      <c r="Q402" s="75">
        <v>13308.933164421394</v>
      </c>
      <c r="R402" s="75">
        <v>13821.427502566434</v>
      </c>
      <c r="S402" s="75">
        <v>14359.018316422773</v>
      </c>
      <c r="T402" s="75">
        <v>14923.473706000867</v>
      </c>
      <c r="U402" s="75">
        <v>15516.703154993444</v>
      </c>
      <c r="V402" s="75">
        <v>16140.769053267148</v>
      </c>
      <c r="W402" s="75">
        <v>16299.037803192065</v>
      </c>
      <c r="X402" s="75">
        <v>3795.5068701339205</v>
      </c>
    </row>
    <row r="403" spans="1:24" ht="13.2">
      <c r="A403" s="70" t="s">
        <v>32</v>
      </c>
      <c r="B403" s="496">
        <f>NPV(0.1,D403:Y403)</f>
        <v>88665.274105070348</v>
      </c>
      <c r="C403" s="496">
        <f>B403-B393</f>
        <v>-1926.2274300616846</v>
      </c>
      <c r="D403" s="503">
        <v>2672.156622552146</v>
      </c>
      <c r="E403" s="504">
        <v>4645.8498039876467</v>
      </c>
      <c r="F403" s="504">
        <v>4802.7189160501839</v>
      </c>
      <c r="G403" s="504">
        <v>15150.718832202037</v>
      </c>
      <c r="H403" s="504">
        <v>16302.118838902661</v>
      </c>
      <c r="I403" s="504">
        <v>13537.779054922863</v>
      </c>
      <c r="J403" s="504">
        <v>13243.911385004285</v>
      </c>
      <c r="K403" s="504">
        <v>13168.36528237956</v>
      </c>
      <c r="L403" s="504">
        <v>13118.07392894919</v>
      </c>
      <c r="M403" s="504">
        <v>13085.598308551844</v>
      </c>
      <c r="N403" s="505">
        <v>12970.350397592625</v>
      </c>
      <c r="O403" s="75">
        <v>12809.798798222886</v>
      </c>
      <c r="P403" s="75">
        <v>12663.925718147373</v>
      </c>
      <c r="Q403" s="75">
        <v>12361.679493035073</v>
      </c>
      <c r="R403" s="75">
        <v>12173.20290672219</v>
      </c>
      <c r="S403" s="75">
        <v>10285.776692365453</v>
      </c>
      <c r="T403" s="75">
        <v>8371.0502674058407</v>
      </c>
      <c r="U403" s="75">
        <v>8106.2371317567959</v>
      </c>
      <c r="V403" s="75">
        <v>7810.0162246479031</v>
      </c>
      <c r="W403" s="75">
        <v>7307.0249400141547</v>
      </c>
      <c r="X403" s="75">
        <v>7008.7794269162159</v>
      </c>
    </row>
    <row r="405" spans="1:24">
      <c r="A405" s="71" t="s">
        <v>642</v>
      </c>
    </row>
    <row r="406" spans="1:24">
      <c r="A406" s="442">
        <v>36298</v>
      </c>
    </row>
    <row r="407" spans="1:24" ht="13.2">
      <c r="A407" s="64" t="s">
        <v>368</v>
      </c>
      <c r="B407" s="65">
        <v>53481.190276833913</v>
      </c>
      <c r="C407" s="60"/>
      <c r="D407" s="60"/>
      <c r="E407" s="60"/>
      <c r="F407" s="60"/>
      <c r="G407" s="60"/>
      <c r="H407" s="60"/>
      <c r="I407" s="60"/>
      <c r="J407" s="60"/>
      <c r="K407" s="60"/>
      <c r="L407" s="60"/>
      <c r="M407" s="60"/>
      <c r="N407" s="60"/>
      <c r="O407" s="60"/>
      <c r="P407" s="60"/>
      <c r="Q407" s="60"/>
      <c r="R407" s="60"/>
      <c r="S407" s="60"/>
      <c r="T407" s="60"/>
      <c r="U407" s="60"/>
      <c r="V407" s="60"/>
      <c r="W407" s="60"/>
      <c r="X407" s="60"/>
    </row>
    <row r="408" spans="1:24" ht="13.2">
      <c r="A408" s="66" t="s">
        <v>369</v>
      </c>
      <c r="B408" s="67">
        <v>85252.643807409579</v>
      </c>
      <c r="C408" s="60"/>
      <c r="D408" s="60"/>
      <c r="E408" s="60"/>
      <c r="F408" s="60"/>
      <c r="G408" s="60"/>
      <c r="H408" s="60"/>
      <c r="I408" s="60"/>
      <c r="J408" s="60"/>
      <c r="K408" s="60"/>
      <c r="L408" s="60"/>
      <c r="M408" s="60"/>
      <c r="N408" s="60"/>
      <c r="O408" s="60"/>
      <c r="P408" s="60"/>
      <c r="Q408" s="60"/>
      <c r="R408" s="60"/>
      <c r="S408" s="60"/>
      <c r="T408" s="60"/>
      <c r="U408" s="60"/>
      <c r="V408" s="60"/>
      <c r="W408" s="60"/>
      <c r="X408" s="60"/>
    </row>
    <row r="409" spans="1:24" ht="13.2">
      <c r="A409" s="68" t="s">
        <v>370</v>
      </c>
      <c r="B409" s="495" t="s">
        <v>468</v>
      </c>
      <c r="C409" s="495" t="s">
        <v>469</v>
      </c>
      <c r="D409" s="497">
        <v>2000</v>
      </c>
      <c r="E409" s="498">
        <v>2001</v>
      </c>
      <c r="F409" s="498">
        <v>2002</v>
      </c>
      <c r="G409" s="498">
        <v>2003</v>
      </c>
      <c r="H409" s="498">
        <v>2004</v>
      </c>
      <c r="I409" s="498">
        <v>2005</v>
      </c>
      <c r="J409" s="498">
        <v>2006</v>
      </c>
      <c r="K409" s="498">
        <v>2007</v>
      </c>
      <c r="L409" s="498">
        <v>2008</v>
      </c>
      <c r="M409" s="498">
        <v>2009</v>
      </c>
      <c r="N409" s="499">
        <v>2010</v>
      </c>
      <c r="O409" s="69">
        <v>2011</v>
      </c>
      <c r="P409" s="69">
        <v>2012</v>
      </c>
      <c r="Q409" s="69">
        <v>2013</v>
      </c>
      <c r="R409" s="69">
        <v>2014</v>
      </c>
      <c r="S409" s="69">
        <v>2015</v>
      </c>
      <c r="T409" s="69">
        <v>2016</v>
      </c>
      <c r="U409" s="69">
        <v>2017</v>
      </c>
      <c r="V409" s="69">
        <v>2018</v>
      </c>
      <c r="W409" s="69">
        <v>2019</v>
      </c>
      <c r="X409" s="69">
        <v>2020</v>
      </c>
    </row>
    <row r="410" spans="1:24" ht="13.2">
      <c r="A410" s="68" t="s">
        <v>371</v>
      </c>
      <c r="B410" s="496">
        <f>NPV(0.1,D410:Y410)</f>
        <v>421965.69698430452</v>
      </c>
      <c r="C410" s="496">
        <f>B410-B400</f>
        <v>0</v>
      </c>
      <c r="D410" s="500">
        <v>25347.056333333334</v>
      </c>
      <c r="E410" s="501">
        <v>42007.487139999997</v>
      </c>
      <c r="F410" s="501">
        <v>42094.521254200001</v>
      </c>
      <c r="G410" s="501">
        <v>43688.548362451715</v>
      </c>
      <c r="H410" s="501">
        <v>52808.880884945684</v>
      </c>
      <c r="I410" s="501">
        <v>53906.352989494051</v>
      </c>
      <c r="J410" s="501">
        <v>54464.944443681481</v>
      </c>
      <c r="K410" s="501">
        <v>55023.139497089607</v>
      </c>
      <c r="L410" s="501">
        <v>55580.411633362906</v>
      </c>
      <c r="M410" s="501">
        <v>56136.203101925232</v>
      </c>
      <c r="N410" s="502">
        <v>56689.923517791263</v>
      </c>
      <c r="O410" s="75">
        <v>57240.948405477524</v>
      </c>
      <c r="P410" s="75">
        <v>57788.617684918958</v>
      </c>
      <c r="Q410" s="75">
        <v>57628.986300977354</v>
      </c>
      <c r="R410" s="75">
        <v>58146.71633787475</v>
      </c>
      <c r="S410" s="75">
        <v>58658.247918975103</v>
      </c>
      <c r="T410" s="75">
        <v>59162.743179897399</v>
      </c>
      <c r="U410" s="75">
        <v>59659.319563007964</v>
      </c>
      <c r="V410" s="75">
        <v>60147.047889903231</v>
      </c>
      <c r="W410" s="75">
        <v>59785.235712330716</v>
      </c>
      <c r="X410" s="75">
        <v>20895.183181993219</v>
      </c>
    </row>
    <row r="411" spans="1:24" ht="13.2">
      <c r="A411" s="70" t="s">
        <v>372</v>
      </c>
      <c r="B411" s="496">
        <f>NPV(0.1,D411:Y411)</f>
        <v>192201.82104591385</v>
      </c>
      <c r="C411" s="496">
        <f>B411-B401</f>
        <v>-332.48395709670149</v>
      </c>
      <c r="D411" s="500">
        <v>13588.492212802768</v>
      </c>
      <c r="E411" s="501">
        <v>21903.130907123024</v>
      </c>
      <c r="F411" s="501">
        <v>22417.732884831072</v>
      </c>
      <c r="G411" s="501">
        <v>18799.736903277219</v>
      </c>
      <c r="H411" s="501">
        <v>23271.481642599283</v>
      </c>
      <c r="I411" s="501">
        <v>23524.558647183396</v>
      </c>
      <c r="J411" s="501">
        <v>23756.294299616977</v>
      </c>
      <c r="K411" s="501">
        <v>23962.263795316539</v>
      </c>
      <c r="L411" s="501">
        <v>24143.038592385532</v>
      </c>
      <c r="M411" s="501">
        <v>24255.243428852737</v>
      </c>
      <c r="N411" s="502">
        <v>24449.395950785969</v>
      </c>
      <c r="O411" s="75">
        <v>24672.521013619757</v>
      </c>
      <c r="P411" s="75">
        <v>24902.339828338558</v>
      </c>
      <c r="Q411" s="75">
        <v>25139.053207498921</v>
      </c>
      <c r="R411" s="75">
        <v>25382.867988034101</v>
      </c>
      <c r="S411" s="75">
        <v>25633.997211985326</v>
      </c>
      <c r="T411" s="75">
        <v>25892.660312655102</v>
      </c>
      <c r="U411" s="75">
        <v>26159.083306344961</v>
      </c>
      <c r="V411" s="75">
        <v>26433.498989845517</v>
      </c>
      <c r="W411" s="75">
        <v>26716.147143851093</v>
      </c>
      <c r="X411" s="75">
        <v>9879.3997970627006</v>
      </c>
    </row>
    <row r="412" spans="1:24" ht="13.2">
      <c r="A412" s="70" t="s">
        <v>34</v>
      </c>
      <c r="B412" s="496">
        <f>NPV(0.1,D412:Y412)</f>
        <v>76011.696957659413</v>
      </c>
      <c r="C412" s="496">
        <f>B412-B402</f>
        <v>102.74017984292004</v>
      </c>
      <c r="D412" s="500">
        <v>1724.3406903057414</v>
      </c>
      <c r="E412" s="501">
        <v>3089.5925155421564</v>
      </c>
      <c r="F412" s="501">
        <v>3086.0264365550288</v>
      </c>
      <c r="G412" s="501">
        <v>6559.3376589632126</v>
      </c>
      <c r="H412" s="501">
        <v>9362.7503674939253</v>
      </c>
      <c r="I412" s="501">
        <v>10125.878833250408</v>
      </c>
      <c r="J412" s="501">
        <v>10571.103191998514</v>
      </c>
      <c r="K412" s="501">
        <v>10958.024980614447</v>
      </c>
      <c r="L412" s="501">
        <v>11380.193249506408</v>
      </c>
      <c r="M412" s="501">
        <v>11865.167099670824</v>
      </c>
      <c r="N412" s="502">
        <v>12326.271189936235</v>
      </c>
      <c r="O412" s="75">
        <v>12795.112255769345</v>
      </c>
      <c r="P412" s="75">
        <v>13286.063073147847</v>
      </c>
      <c r="Q412" s="75">
        <v>13382.859291117837</v>
      </c>
      <c r="R412" s="75">
        <v>13896.985420474053</v>
      </c>
      <c r="S412" s="75">
        <v>14436.338568838461</v>
      </c>
      <c r="T412" s="75">
        <v>15002.697279685268</v>
      </c>
      <c r="U412" s="75">
        <v>15597.982315648056</v>
      </c>
      <c r="V412" s="75">
        <v>16224.268247849592</v>
      </c>
      <c r="W412" s="75">
        <v>16384.934634416564</v>
      </c>
      <c r="X412" s="75">
        <v>3883.9931489318315</v>
      </c>
    </row>
    <row r="413" spans="1:24" ht="13.2">
      <c r="A413" s="70" t="s">
        <v>32</v>
      </c>
      <c r="B413" s="496">
        <f>NPV(0.1,D413:Y413)</f>
        <v>88759.566381925659</v>
      </c>
      <c r="C413" s="496">
        <f>B413-B403</f>
        <v>94.292276855310774</v>
      </c>
      <c r="D413" s="503">
        <v>2672.1566225521465</v>
      </c>
      <c r="E413" s="504">
        <v>4638.3356872909953</v>
      </c>
      <c r="F413" s="504">
        <v>4835.6706077819326</v>
      </c>
      <c r="G413" s="504">
        <v>15099.200106258837</v>
      </c>
      <c r="H413" s="504">
        <v>16350.505409752222</v>
      </c>
      <c r="I413" s="504">
        <v>13587.317037048731</v>
      </c>
      <c r="J413" s="504">
        <v>13268.183067223634</v>
      </c>
      <c r="K413" s="504">
        <v>13193.410098126726</v>
      </c>
      <c r="L413" s="504">
        <v>13098.40805970067</v>
      </c>
      <c r="M413" s="504">
        <v>12969.368520231787</v>
      </c>
      <c r="N413" s="505">
        <v>12944.144424902457</v>
      </c>
      <c r="O413" s="75">
        <v>12852.451342388935</v>
      </c>
      <c r="P413" s="75">
        <v>12705.621316718161</v>
      </c>
      <c r="Q413" s="75">
        <v>12402.341590362961</v>
      </c>
      <c r="R413" s="75">
        <v>12212.74882270777</v>
      </c>
      <c r="S413" s="75">
        <v>10324.117132501329</v>
      </c>
      <c r="T413" s="75">
        <v>8408.0887936240342</v>
      </c>
      <c r="U413" s="75">
        <v>8141.8695909438939</v>
      </c>
      <c r="V413" s="75">
        <v>7844.1301314414195</v>
      </c>
      <c r="W413" s="75">
        <v>7339.4988102226016</v>
      </c>
      <c r="X413" s="75">
        <v>7103.4714328083464</v>
      </c>
    </row>
    <row r="415" spans="1:24">
      <c r="A415" s="71" t="s">
        <v>643</v>
      </c>
    </row>
    <row r="416" spans="1:24">
      <c r="A416" s="442">
        <v>36300</v>
      </c>
    </row>
    <row r="417" spans="1:24" ht="13.2">
      <c r="A417" s="64" t="s">
        <v>368</v>
      </c>
      <c r="B417" s="65">
        <v>53752.449567656644</v>
      </c>
      <c r="C417" s="60"/>
      <c r="D417" s="60"/>
      <c r="E417" s="60"/>
      <c r="F417" s="60"/>
      <c r="G417" s="60"/>
      <c r="H417" s="60"/>
      <c r="I417" s="60"/>
      <c r="J417" s="60"/>
      <c r="K417" s="60"/>
      <c r="L417" s="60"/>
      <c r="M417" s="60"/>
      <c r="N417" s="60"/>
      <c r="O417" s="60"/>
      <c r="P417" s="60"/>
      <c r="Q417" s="60"/>
      <c r="R417" s="60"/>
      <c r="S417" s="60"/>
      <c r="T417" s="60"/>
      <c r="U417" s="60"/>
      <c r="V417" s="60"/>
      <c r="W417" s="60"/>
      <c r="X417" s="60"/>
    </row>
    <row r="418" spans="1:24" ht="13.2">
      <c r="A418" s="66" t="s">
        <v>369</v>
      </c>
      <c r="B418" s="67">
        <v>85604.563639215718</v>
      </c>
      <c r="C418" s="60"/>
      <c r="D418" s="60"/>
      <c r="E418" s="60"/>
      <c r="F418" s="60"/>
      <c r="G418" s="60"/>
      <c r="H418" s="60"/>
      <c r="I418" s="60"/>
      <c r="J418" s="60"/>
      <c r="K418" s="60"/>
      <c r="L418" s="60"/>
      <c r="M418" s="60"/>
      <c r="N418" s="60"/>
      <c r="O418" s="60"/>
      <c r="P418" s="60"/>
      <c r="Q418" s="60"/>
      <c r="R418" s="60"/>
      <c r="S418" s="60"/>
      <c r="T418" s="60"/>
      <c r="U418" s="60"/>
      <c r="V418" s="60"/>
      <c r="W418" s="60"/>
      <c r="X418" s="60"/>
    </row>
    <row r="419" spans="1:24" ht="13.2">
      <c r="A419" s="68" t="s">
        <v>370</v>
      </c>
      <c r="B419" s="495" t="s">
        <v>468</v>
      </c>
      <c r="C419" s="495" t="s">
        <v>469</v>
      </c>
      <c r="D419" s="497">
        <v>2000</v>
      </c>
      <c r="E419" s="498">
        <v>2001</v>
      </c>
      <c r="F419" s="498">
        <v>2002</v>
      </c>
      <c r="G419" s="498">
        <v>2003</v>
      </c>
      <c r="H419" s="498">
        <v>2004</v>
      </c>
      <c r="I419" s="498">
        <v>2005</v>
      </c>
      <c r="J419" s="498">
        <v>2006</v>
      </c>
      <c r="K419" s="498">
        <v>2007</v>
      </c>
      <c r="L419" s="498">
        <v>2008</v>
      </c>
      <c r="M419" s="498">
        <v>2009</v>
      </c>
      <c r="N419" s="499">
        <v>2010</v>
      </c>
      <c r="O419" s="69">
        <v>2011</v>
      </c>
      <c r="P419" s="69">
        <v>2012</v>
      </c>
      <c r="Q419" s="69">
        <v>2013</v>
      </c>
      <c r="R419" s="69">
        <v>2014</v>
      </c>
      <c r="S419" s="69">
        <v>2015</v>
      </c>
      <c r="T419" s="69">
        <v>2016</v>
      </c>
      <c r="U419" s="69">
        <v>2017</v>
      </c>
      <c r="V419" s="69">
        <v>2018</v>
      </c>
      <c r="W419" s="69">
        <v>2019</v>
      </c>
      <c r="X419" s="69">
        <v>2020</v>
      </c>
    </row>
    <row r="420" spans="1:24" ht="13.2">
      <c r="A420" s="68" t="s">
        <v>371</v>
      </c>
      <c r="B420" s="496">
        <f>NPV(0.1,D420:Y420)</f>
        <v>421965.69698430452</v>
      </c>
      <c r="C420" s="496">
        <f>B420-B410</f>
        <v>0</v>
      </c>
      <c r="D420" s="500">
        <v>25347.056333333334</v>
      </c>
      <c r="E420" s="501">
        <v>42007.487139999997</v>
      </c>
      <c r="F420" s="501">
        <v>42094.521254200001</v>
      </c>
      <c r="G420" s="501">
        <v>43688.548362451715</v>
      </c>
      <c r="H420" s="501">
        <v>52808.880884945684</v>
      </c>
      <c r="I420" s="501">
        <v>53906.352989494051</v>
      </c>
      <c r="J420" s="501">
        <v>54464.944443681481</v>
      </c>
      <c r="K420" s="501">
        <v>55023.139497089607</v>
      </c>
      <c r="L420" s="501">
        <v>55580.411633362906</v>
      </c>
      <c r="M420" s="501">
        <v>56136.203101925232</v>
      </c>
      <c r="N420" s="502">
        <v>56689.923517791263</v>
      </c>
      <c r="O420" s="75">
        <v>57240.948405477524</v>
      </c>
      <c r="P420" s="75">
        <v>57788.617684918958</v>
      </c>
      <c r="Q420" s="75">
        <v>57628.986300977354</v>
      </c>
      <c r="R420" s="75">
        <v>58146.71633787475</v>
      </c>
      <c r="S420" s="75">
        <v>58658.247918975103</v>
      </c>
      <c r="T420" s="75">
        <v>59162.743179897399</v>
      </c>
      <c r="U420" s="75">
        <v>59659.319563007964</v>
      </c>
      <c r="V420" s="75">
        <v>60147.047889903231</v>
      </c>
      <c r="W420" s="75">
        <v>59785.235712330716</v>
      </c>
      <c r="X420" s="75">
        <v>20895.183181993219</v>
      </c>
    </row>
    <row r="421" spans="1:24" ht="13.2">
      <c r="A421" s="70" t="s">
        <v>372</v>
      </c>
      <c r="B421" s="496">
        <f>NPV(0.1,D421:Y421)</f>
        <v>191860.36011512764</v>
      </c>
      <c r="C421" s="496">
        <f>B421-B411</f>
        <v>-341.46093078621197</v>
      </c>
      <c r="D421" s="500">
        <v>13588.492212802768</v>
      </c>
      <c r="E421" s="501">
        <v>21903.130907123024</v>
      </c>
      <c r="F421" s="501">
        <v>22417.732884831072</v>
      </c>
      <c r="G421" s="501">
        <v>18771.410317913076</v>
      </c>
      <c r="H421" s="501">
        <v>23221.464986156316</v>
      </c>
      <c r="I421" s="501">
        <v>23473.041491047141</v>
      </c>
      <c r="J421" s="501">
        <v>23703.231628796631</v>
      </c>
      <c r="K421" s="501">
        <v>23907.609244371582</v>
      </c>
      <c r="L421" s="501">
        <v>24086.744404912228</v>
      </c>
      <c r="M421" s="501">
        <v>24197.260415755234</v>
      </c>
      <c r="N421" s="502">
        <v>24389.673447295543</v>
      </c>
      <c r="O421" s="75">
        <v>24611.006835024615</v>
      </c>
      <c r="P421" s="75">
        <v>24838.980224385563</v>
      </c>
      <c r="Q421" s="75">
        <v>25073.792815427336</v>
      </c>
      <c r="R421" s="75">
        <v>25315.64978420037</v>
      </c>
      <c r="S421" s="75">
        <v>25564.762462036586</v>
      </c>
      <c r="T421" s="75">
        <v>25821.348520207895</v>
      </c>
      <c r="U421" s="75">
        <v>26085.63216012434</v>
      </c>
      <c r="V421" s="75">
        <v>26357.84430923828</v>
      </c>
      <c r="W421" s="75">
        <v>26638.222822825635</v>
      </c>
      <c r="X421" s="75">
        <v>9845.9572759559414</v>
      </c>
    </row>
    <row r="422" spans="1:24" ht="13.2">
      <c r="A422" s="70" t="s">
        <v>34</v>
      </c>
      <c r="B422" s="496">
        <f>NPV(0.1,D422:Y422)</f>
        <v>76146.058642907607</v>
      </c>
      <c r="C422" s="496">
        <f>B422-B412</f>
        <v>134.36168524819368</v>
      </c>
      <c r="D422" s="500">
        <v>1719.3885618591933</v>
      </c>
      <c r="E422" s="501">
        <v>3080.7193625363229</v>
      </c>
      <c r="F422" s="501">
        <v>3076.4656141912433</v>
      </c>
      <c r="G422" s="501">
        <v>6566.4285087196722</v>
      </c>
      <c r="H422" s="501">
        <v>9382.4798069773115</v>
      </c>
      <c r="I422" s="501">
        <v>10146.640034929711</v>
      </c>
      <c r="J422" s="501">
        <v>10592.962299060528</v>
      </c>
      <c r="K422" s="501">
        <v>10981.052935767244</v>
      </c>
      <c r="L422" s="501">
        <v>11404.466164183013</v>
      </c>
      <c r="M422" s="501">
        <v>11890.766652326496</v>
      </c>
      <c r="N422" s="502">
        <v>12353.285055753446</v>
      </c>
      <c r="O422" s="75">
        <v>12823.634570269496</v>
      </c>
      <c r="P422" s="75">
        <v>13316.194932408092</v>
      </c>
      <c r="Q422" s="75">
        <v>13414.709291506995</v>
      </c>
      <c r="R422" s="75">
        <v>13930.670241054066</v>
      </c>
      <c r="S422" s="75">
        <v>14471.983599829404</v>
      </c>
      <c r="T422" s="75">
        <v>15040.437300662947</v>
      </c>
      <c r="U422" s="75">
        <v>15637.962227436632</v>
      </c>
      <c r="V422" s="75">
        <v>16266.643862387911</v>
      </c>
      <c r="W422" s="75">
        <v>16429.87352721881</v>
      </c>
      <c r="X422" s="75">
        <v>3903.8608281819643</v>
      </c>
    </row>
    <row r="423" spans="1:24" ht="13.2">
      <c r="A423" s="70" t="s">
        <v>32</v>
      </c>
      <c r="B423" s="496">
        <f>NPV(0.1,D423:Y423)</f>
        <v>88874.884648417894</v>
      </c>
      <c r="C423" s="496">
        <f>B423-B413</f>
        <v>115.31826649223513</v>
      </c>
      <c r="D423" s="503">
        <v>2672.156622552146</v>
      </c>
      <c r="E423" s="504">
        <v>4638.3356872909953</v>
      </c>
      <c r="F423" s="504">
        <v>4835.6706077819272</v>
      </c>
      <c r="G423" s="504">
        <v>15116.139251184708</v>
      </c>
      <c r="H423" s="504">
        <v>16377.493673506948</v>
      </c>
      <c r="I423" s="504">
        <v>13604.670173249528</v>
      </c>
      <c r="J423" s="504">
        <v>13285.731839561529</v>
      </c>
      <c r="K423" s="504">
        <v>13211.134379049912</v>
      </c>
      <c r="L423" s="504">
        <v>13116.285038099941</v>
      </c>
      <c r="M423" s="504">
        <v>12987.372454555274</v>
      </c>
      <c r="N423" s="505">
        <v>12962.246375553674</v>
      </c>
      <c r="O423" s="75">
        <v>12870.618881721564</v>
      </c>
      <c r="P423" s="75">
        <v>12723.818214805578</v>
      </c>
      <c r="Q423" s="75">
        <v>12420.527474573808</v>
      </c>
      <c r="R423" s="75">
        <v>12230.878808960199</v>
      </c>
      <c r="S423" s="75">
        <v>10342.141425897828</v>
      </c>
      <c r="T423" s="75">
        <v>8425.952255983435</v>
      </c>
      <c r="U423" s="75">
        <v>8159.5112725479667</v>
      </c>
      <c r="V423" s="75">
        <v>7861.4827640974108</v>
      </c>
      <c r="W423" s="75">
        <v>7356.4882585103842</v>
      </c>
      <c r="X423" s="75">
        <v>7124.7324737988174</v>
      </c>
    </row>
    <row r="425" spans="1:24">
      <c r="A425" s="71" t="s">
        <v>644</v>
      </c>
    </row>
    <row r="426" spans="1:24">
      <c r="A426" s="442">
        <v>36306</v>
      </c>
    </row>
    <row r="427" spans="1:24" ht="13.2">
      <c r="A427" s="64" t="s">
        <v>368</v>
      </c>
      <c r="B427" s="65">
        <v>53751.834352865022</v>
      </c>
      <c r="C427" s="60"/>
      <c r="D427" s="60"/>
      <c r="E427" s="60"/>
      <c r="F427" s="60"/>
      <c r="G427" s="60"/>
      <c r="H427" s="60"/>
      <c r="I427" s="60"/>
      <c r="J427" s="60"/>
      <c r="K427" s="60"/>
      <c r="L427" s="60"/>
      <c r="M427" s="60"/>
      <c r="N427" s="60"/>
      <c r="O427" s="60"/>
      <c r="P427" s="60"/>
      <c r="Q427" s="60"/>
      <c r="R427" s="60"/>
      <c r="S427" s="60"/>
      <c r="T427" s="60"/>
      <c r="U427" s="60"/>
      <c r="V427" s="60"/>
      <c r="W427" s="60"/>
      <c r="X427" s="60"/>
    </row>
    <row r="428" spans="1:24" ht="13.2">
      <c r="A428" s="66" t="s">
        <v>369</v>
      </c>
      <c r="B428" s="67">
        <v>85603.825639215735</v>
      </c>
      <c r="C428" s="60"/>
      <c r="D428" s="60"/>
      <c r="E428" s="60"/>
      <c r="F428" s="60"/>
      <c r="G428" s="60"/>
      <c r="H428" s="60"/>
      <c r="I428" s="60"/>
      <c r="J428" s="60"/>
      <c r="K428" s="60"/>
      <c r="L428" s="60"/>
      <c r="M428" s="60"/>
      <c r="N428" s="60"/>
      <c r="O428" s="60"/>
      <c r="P428" s="60"/>
      <c r="Q428" s="60"/>
      <c r="R428" s="60"/>
      <c r="S428" s="60"/>
      <c r="T428" s="60"/>
      <c r="U428" s="60"/>
      <c r="V428" s="60"/>
      <c r="W428" s="60"/>
      <c r="X428" s="60"/>
    </row>
    <row r="429" spans="1:24" ht="13.2">
      <c r="A429" s="68" t="s">
        <v>370</v>
      </c>
      <c r="B429" s="495" t="s">
        <v>468</v>
      </c>
      <c r="C429" s="495" t="s">
        <v>469</v>
      </c>
      <c r="D429" s="497">
        <v>2000</v>
      </c>
      <c r="E429" s="498">
        <v>2001</v>
      </c>
      <c r="F429" s="498">
        <v>2002</v>
      </c>
      <c r="G429" s="498">
        <v>2003</v>
      </c>
      <c r="H429" s="498">
        <v>2004</v>
      </c>
      <c r="I429" s="498">
        <v>2005</v>
      </c>
      <c r="J429" s="498">
        <v>2006</v>
      </c>
      <c r="K429" s="498">
        <v>2007</v>
      </c>
      <c r="L429" s="498">
        <v>2008</v>
      </c>
      <c r="M429" s="498">
        <v>2009</v>
      </c>
      <c r="N429" s="499">
        <v>2010</v>
      </c>
      <c r="O429" s="69">
        <v>2011</v>
      </c>
      <c r="P429" s="69">
        <v>2012</v>
      </c>
      <c r="Q429" s="69">
        <v>2013</v>
      </c>
      <c r="R429" s="69">
        <v>2014</v>
      </c>
      <c r="S429" s="69">
        <v>2015</v>
      </c>
      <c r="T429" s="69">
        <v>2016</v>
      </c>
      <c r="U429" s="69">
        <v>2017</v>
      </c>
      <c r="V429" s="69">
        <v>2018</v>
      </c>
      <c r="W429" s="69">
        <v>2019</v>
      </c>
      <c r="X429" s="69">
        <v>2020</v>
      </c>
    </row>
    <row r="430" spans="1:24" ht="13.2">
      <c r="A430" s="68" t="s">
        <v>371</v>
      </c>
      <c r="B430" s="496">
        <f>NPV(0.1,D430:Y430)</f>
        <v>421965.69698430452</v>
      </c>
      <c r="C430" s="496">
        <f>B430-B420</f>
        <v>0</v>
      </c>
      <c r="D430" s="500">
        <v>25347.056333333334</v>
      </c>
      <c r="E430" s="501">
        <v>42007.487139999997</v>
      </c>
      <c r="F430" s="501">
        <v>42094.521254200001</v>
      </c>
      <c r="G430" s="501">
        <v>43688.548362451715</v>
      </c>
      <c r="H430" s="501">
        <v>52808.880884945684</v>
      </c>
      <c r="I430" s="501">
        <v>53906.352989494051</v>
      </c>
      <c r="J430" s="501">
        <v>54464.944443681481</v>
      </c>
      <c r="K430" s="501">
        <v>55023.139497089607</v>
      </c>
      <c r="L430" s="501">
        <v>55580.411633362906</v>
      </c>
      <c r="M430" s="501">
        <v>56136.203101925232</v>
      </c>
      <c r="N430" s="502">
        <v>56689.923517791263</v>
      </c>
      <c r="O430" s="75">
        <v>57240.948405477524</v>
      </c>
      <c r="P430" s="75">
        <v>57788.617684918958</v>
      </c>
      <c r="Q430" s="75">
        <v>57628.986300977354</v>
      </c>
      <c r="R430" s="75">
        <v>58146.71633787475</v>
      </c>
      <c r="S430" s="75">
        <v>58658.247918975103</v>
      </c>
      <c r="T430" s="75">
        <v>59162.743179897399</v>
      </c>
      <c r="U430" s="75">
        <v>59659.319563007964</v>
      </c>
      <c r="V430" s="75">
        <v>60147.047889903231</v>
      </c>
      <c r="W430" s="75">
        <v>59785.235712330716</v>
      </c>
      <c r="X430" s="75">
        <v>20895.183181993219</v>
      </c>
    </row>
    <row r="431" spans="1:24" ht="13.2">
      <c r="A431" s="70" t="s">
        <v>372</v>
      </c>
      <c r="B431" s="496">
        <f>NPV(0.1,D431:Y431)</f>
        <v>191860.36011512764</v>
      </c>
      <c r="C431" s="496">
        <f>B431-B421</f>
        <v>0</v>
      </c>
      <c r="D431" s="500">
        <v>13588.492212802768</v>
      </c>
      <c r="E431" s="501">
        <v>21903.130907123024</v>
      </c>
      <c r="F431" s="501">
        <v>22417.732884831072</v>
      </c>
      <c r="G431" s="501">
        <v>18771.410317913076</v>
      </c>
      <c r="H431" s="501">
        <v>23221.464986156316</v>
      </c>
      <c r="I431" s="501">
        <v>23473.041491047141</v>
      </c>
      <c r="J431" s="501">
        <v>23703.231628796631</v>
      </c>
      <c r="K431" s="501">
        <v>23907.609244371582</v>
      </c>
      <c r="L431" s="501">
        <v>24086.744404912228</v>
      </c>
      <c r="M431" s="501">
        <v>24197.260415755234</v>
      </c>
      <c r="N431" s="502">
        <v>24389.673447295543</v>
      </c>
      <c r="O431" s="75">
        <v>24611.006835024615</v>
      </c>
      <c r="P431" s="75">
        <v>24838.980224385563</v>
      </c>
      <c r="Q431" s="75">
        <v>25073.792815427336</v>
      </c>
      <c r="R431" s="75">
        <v>25315.64978420037</v>
      </c>
      <c r="S431" s="75">
        <v>25564.762462036586</v>
      </c>
      <c r="T431" s="75">
        <v>25821.348520207895</v>
      </c>
      <c r="U431" s="75">
        <v>26085.63216012434</v>
      </c>
      <c r="V431" s="75">
        <v>26357.84430923828</v>
      </c>
      <c r="W431" s="75">
        <v>26638.222822825635</v>
      </c>
      <c r="X431" s="75">
        <v>9845.9572759559414</v>
      </c>
    </row>
    <row r="432" spans="1:24" ht="13.2">
      <c r="A432" s="70" t="s">
        <v>34</v>
      </c>
      <c r="B432" s="496">
        <f>NPV(0.1,D432:Y432)</f>
        <v>76145.949624622895</v>
      </c>
      <c r="C432" s="496">
        <f>B432-B422</f>
        <v>-0.10901828471105546</v>
      </c>
      <c r="D432" s="500">
        <v>1719.3805448729436</v>
      </c>
      <c r="E432" s="501">
        <v>3080.7056191313245</v>
      </c>
      <c r="F432" s="501">
        <v>3076.4518707862449</v>
      </c>
      <c r="G432" s="501">
        <v>6566.4155180746739</v>
      </c>
      <c r="H432" s="501">
        <v>9382.4668163323131</v>
      </c>
      <c r="I432" s="501">
        <v>10146.627044284713</v>
      </c>
      <c r="J432" s="501">
        <v>10592.949308415526</v>
      </c>
      <c r="K432" s="501">
        <v>10981.039945122242</v>
      </c>
      <c r="L432" s="501">
        <v>11404.453173538013</v>
      </c>
      <c r="M432" s="501">
        <v>11890.753661681496</v>
      </c>
      <c r="N432" s="502">
        <v>12353.272065108446</v>
      </c>
      <c r="O432" s="75">
        <v>12823.621579624496</v>
      </c>
      <c r="P432" s="75">
        <v>13316.18194176309</v>
      </c>
      <c r="Q432" s="75">
        <v>13414.696300861995</v>
      </c>
      <c r="R432" s="75">
        <v>13930.657250409065</v>
      </c>
      <c r="S432" s="75">
        <v>14471.970609184402</v>
      </c>
      <c r="T432" s="75">
        <v>15040.424310017946</v>
      </c>
      <c r="U432" s="75">
        <v>15637.949236791626</v>
      </c>
      <c r="V432" s="75">
        <v>16266.630871742911</v>
      </c>
      <c r="W432" s="75">
        <v>16429.860536573811</v>
      </c>
      <c r="X432" s="75">
        <v>3903.847837536965</v>
      </c>
    </row>
    <row r="433" spans="1:24" ht="13.2">
      <c r="A433" s="70" t="s">
        <v>32</v>
      </c>
      <c r="B433" s="496">
        <f>NPV(0.1,D433:Y433)</f>
        <v>88875.018524331463</v>
      </c>
      <c r="C433" s="496">
        <f>B433-B423</f>
        <v>0.13387591356877238</v>
      </c>
      <c r="D433" s="503">
        <v>2672.156622552146</v>
      </c>
      <c r="E433" s="504">
        <v>4638.3356872910026</v>
      </c>
      <c r="F433" s="504">
        <v>4835.6706077819345</v>
      </c>
      <c r="G433" s="504">
        <v>15116.140003944714</v>
      </c>
      <c r="H433" s="504">
        <v>16377.599360568141</v>
      </c>
      <c r="I433" s="504">
        <v>13604.688099472476</v>
      </c>
      <c r="J433" s="504">
        <v>13285.748842159028</v>
      </c>
      <c r="K433" s="504">
        <v>13211.151409636062</v>
      </c>
      <c r="L433" s="504">
        <v>13116.302040697439</v>
      </c>
      <c r="M433" s="504">
        <v>12987.389485141424</v>
      </c>
      <c r="N433" s="505">
        <v>12962.26337815117</v>
      </c>
      <c r="O433" s="75">
        <v>12870.635912307707</v>
      </c>
      <c r="P433" s="75">
        <v>12723.835217403077</v>
      </c>
      <c r="Q433" s="75">
        <v>12420.54450515996</v>
      </c>
      <c r="R433" s="75">
        <v>12230.895811557701</v>
      </c>
      <c r="S433" s="75">
        <v>10342.15017184357</v>
      </c>
      <c r="T433" s="75">
        <v>8425.9527452774364</v>
      </c>
      <c r="U433" s="75">
        <v>8159.5117618419663</v>
      </c>
      <c r="V433" s="75">
        <v>7861.483253391405</v>
      </c>
      <c r="W433" s="75">
        <v>7356.4887478043784</v>
      </c>
      <c r="X433" s="75">
        <v>7124.732963092818</v>
      </c>
    </row>
    <row r="435" spans="1:24">
      <c r="A435" s="71" t="s">
        <v>645</v>
      </c>
    </row>
    <row r="436" spans="1:24">
      <c r="A436" s="442">
        <v>36314</v>
      </c>
    </row>
    <row r="437" spans="1:24" ht="13.2">
      <c r="A437" s="64" t="s">
        <v>368</v>
      </c>
      <c r="B437" s="65">
        <v>53623.758804161007</v>
      </c>
      <c r="C437" s="60"/>
      <c r="D437" s="60"/>
      <c r="E437" s="60"/>
      <c r="F437" s="60"/>
      <c r="G437" s="60"/>
      <c r="H437" s="60"/>
      <c r="I437" s="60"/>
      <c r="J437" s="60"/>
      <c r="K437" s="60"/>
      <c r="L437" s="60"/>
      <c r="M437" s="60"/>
      <c r="N437" s="60"/>
      <c r="O437" s="60"/>
      <c r="P437" s="60"/>
      <c r="Q437" s="60"/>
      <c r="R437" s="60"/>
      <c r="S437" s="60"/>
      <c r="T437" s="60"/>
      <c r="U437" s="60"/>
      <c r="V437" s="60"/>
      <c r="W437" s="60"/>
      <c r="X437" s="60"/>
    </row>
    <row r="438" spans="1:24" ht="13.2">
      <c r="A438" s="66" t="s">
        <v>369</v>
      </c>
      <c r="B438" s="67">
        <v>85450.188639215747</v>
      </c>
      <c r="C438" s="60"/>
      <c r="D438" s="60"/>
      <c r="E438" s="60"/>
      <c r="F438" s="60"/>
      <c r="G438" s="60"/>
      <c r="H438" s="60"/>
      <c r="I438" s="60"/>
      <c r="J438" s="60"/>
      <c r="K438" s="60"/>
      <c r="L438" s="60"/>
      <c r="M438" s="60"/>
      <c r="N438" s="60"/>
      <c r="O438" s="60"/>
      <c r="P438" s="60"/>
      <c r="Q438" s="60"/>
      <c r="R438" s="60"/>
      <c r="S438" s="60"/>
      <c r="T438" s="60"/>
      <c r="U438" s="60"/>
      <c r="V438" s="60"/>
      <c r="W438" s="60"/>
      <c r="X438" s="60"/>
    </row>
    <row r="439" spans="1:24" ht="13.2">
      <c r="A439" s="68" t="s">
        <v>370</v>
      </c>
      <c r="B439" s="495" t="s">
        <v>468</v>
      </c>
      <c r="C439" s="495" t="s">
        <v>469</v>
      </c>
      <c r="D439" s="497">
        <v>2000</v>
      </c>
      <c r="E439" s="498">
        <v>2001</v>
      </c>
      <c r="F439" s="498">
        <v>2002</v>
      </c>
      <c r="G439" s="498">
        <v>2003</v>
      </c>
      <c r="H439" s="498">
        <v>2004</v>
      </c>
      <c r="I439" s="498">
        <v>2005</v>
      </c>
      <c r="J439" s="498">
        <v>2006</v>
      </c>
      <c r="K439" s="498">
        <v>2007</v>
      </c>
      <c r="L439" s="498">
        <v>2008</v>
      </c>
      <c r="M439" s="498">
        <v>2009</v>
      </c>
      <c r="N439" s="499">
        <v>2010</v>
      </c>
      <c r="O439" s="69">
        <v>2011</v>
      </c>
      <c r="P439" s="69">
        <v>2012</v>
      </c>
      <c r="Q439" s="69">
        <v>2013</v>
      </c>
      <c r="R439" s="69">
        <v>2014</v>
      </c>
      <c r="S439" s="69">
        <v>2015</v>
      </c>
      <c r="T439" s="69">
        <v>2016</v>
      </c>
      <c r="U439" s="69">
        <v>2017</v>
      </c>
      <c r="V439" s="69">
        <v>2018</v>
      </c>
      <c r="W439" s="69">
        <v>2019</v>
      </c>
      <c r="X439" s="69">
        <v>2020</v>
      </c>
    </row>
    <row r="440" spans="1:24" ht="13.2">
      <c r="A440" s="68" t="s">
        <v>371</v>
      </c>
      <c r="B440" s="496">
        <f>NPV(0.1,D440:Y440)</f>
        <v>421965.69698430452</v>
      </c>
      <c r="C440" s="496">
        <f>B440-B430</f>
        <v>0</v>
      </c>
      <c r="D440" s="500">
        <v>25347.056333333334</v>
      </c>
      <c r="E440" s="501">
        <v>42007.487139999997</v>
      </c>
      <c r="F440" s="501">
        <v>42094.521254200001</v>
      </c>
      <c r="G440" s="501">
        <v>43688.548362451715</v>
      </c>
      <c r="H440" s="501">
        <v>52808.880884945684</v>
      </c>
      <c r="I440" s="501">
        <v>53906.352989494051</v>
      </c>
      <c r="J440" s="501">
        <v>54464.944443681481</v>
      </c>
      <c r="K440" s="501">
        <v>55023.139497089607</v>
      </c>
      <c r="L440" s="501">
        <v>55580.411633362906</v>
      </c>
      <c r="M440" s="501">
        <v>56136.203101925232</v>
      </c>
      <c r="N440" s="502">
        <v>56689.923517791263</v>
      </c>
      <c r="O440" s="75">
        <v>57240.948405477524</v>
      </c>
      <c r="P440" s="75">
        <v>57788.617684918958</v>
      </c>
      <c r="Q440" s="75">
        <v>57628.986300977354</v>
      </c>
      <c r="R440" s="75">
        <v>58146.71633787475</v>
      </c>
      <c r="S440" s="75">
        <v>58658.247918975103</v>
      </c>
      <c r="T440" s="75">
        <v>59162.743179897399</v>
      </c>
      <c r="U440" s="75">
        <v>59659.319563007964</v>
      </c>
      <c r="V440" s="75">
        <v>60147.047889903231</v>
      </c>
      <c r="W440" s="75">
        <v>59785.235712330716</v>
      </c>
      <c r="X440" s="75">
        <v>20895.183181993219</v>
      </c>
    </row>
    <row r="441" spans="1:24" ht="13.2">
      <c r="A441" s="70" t="s">
        <v>372</v>
      </c>
      <c r="B441" s="496">
        <f>NPV(0.1,D441:Y441)</f>
        <v>191860.36011512764</v>
      </c>
      <c r="C441" s="496">
        <f>B441-B431</f>
        <v>0</v>
      </c>
      <c r="D441" s="500">
        <v>13588.492212802768</v>
      </c>
      <c r="E441" s="501">
        <v>21903.130907123024</v>
      </c>
      <c r="F441" s="501">
        <v>22417.732884831072</v>
      </c>
      <c r="G441" s="501">
        <v>18771.410317913076</v>
      </c>
      <c r="H441" s="501">
        <v>23221.464986156316</v>
      </c>
      <c r="I441" s="501">
        <v>23473.041491047141</v>
      </c>
      <c r="J441" s="501">
        <v>23703.231628796631</v>
      </c>
      <c r="K441" s="501">
        <v>23907.609244371582</v>
      </c>
      <c r="L441" s="501">
        <v>24086.744404912228</v>
      </c>
      <c r="M441" s="501">
        <v>24197.260415755234</v>
      </c>
      <c r="N441" s="502">
        <v>24389.673447295543</v>
      </c>
      <c r="O441" s="75">
        <v>24611.006835024615</v>
      </c>
      <c r="P441" s="75">
        <v>24838.980224385563</v>
      </c>
      <c r="Q441" s="75">
        <v>25073.792815427336</v>
      </c>
      <c r="R441" s="75">
        <v>25315.64978420037</v>
      </c>
      <c r="S441" s="75">
        <v>25564.762462036586</v>
      </c>
      <c r="T441" s="75">
        <v>25821.348520207895</v>
      </c>
      <c r="U441" s="75">
        <v>26085.63216012434</v>
      </c>
      <c r="V441" s="75">
        <v>26357.84430923828</v>
      </c>
      <c r="W441" s="75">
        <v>26638.222822825635</v>
      </c>
      <c r="X441" s="75">
        <v>9845.9572759559414</v>
      </c>
    </row>
    <row r="442" spans="1:24" ht="13.2">
      <c r="A442" s="70" t="s">
        <v>34</v>
      </c>
      <c r="B442" s="496">
        <f>NPV(0.1,D442:Y442)</f>
        <v>76123.254174474219</v>
      </c>
      <c r="C442" s="496">
        <f>B442-B432</f>
        <v>-22.695450148676173</v>
      </c>
      <c r="D442" s="500">
        <v>1717.711566937319</v>
      </c>
      <c r="E442" s="501">
        <v>3077.8445140988238</v>
      </c>
      <c r="F442" s="501">
        <v>3073.5907657537441</v>
      </c>
      <c r="G442" s="501">
        <v>6563.7111227821733</v>
      </c>
      <c r="H442" s="501">
        <v>9379.7624210398117</v>
      </c>
      <c r="I442" s="501">
        <v>10143.922648992213</v>
      </c>
      <c r="J442" s="501">
        <v>10590.244913123028</v>
      </c>
      <c r="K442" s="501">
        <v>10978.335549829744</v>
      </c>
      <c r="L442" s="501">
        <v>11401.748778245515</v>
      </c>
      <c r="M442" s="501">
        <v>11888.049266388996</v>
      </c>
      <c r="N442" s="502">
        <v>12350.567669815946</v>
      </c>
      <c r="O442" s="75">
        <v>12820.917184331996</v>
      </c>
      <c r="P442" s="75">
        <v>13313.477546470593</v>
      </c>
      <c r="Q442" s="75">
        <v>13411.991905569492</v>
      </c>
      <c r="R442" s="75">
        <v>13927.952855116568</v>
      </c>
      <c r="S442" s="75">
        <v>14469.266213891904</v>
      </c>
      <c r="T442" s="75">
        <v>15037.719914725447</v>
      </c>
      <c r="U442" s="75">
        <v>15635.244841499129</v>
      </c>
      <c r="V442" s="75">
        <v>16263.926476450408</v>
      </c>
      <c r="W442" s="75">
        <v>16427.156141281313</v>
      </c>
      <c r="X442" s="75">
        <v>3901.1434422444645</v>
      </c>
    </row>
    <row r="443" spans="1:24" ht="13.2">
      <c r="A443" s="70" t="s">
        <v>32</v>
      </c>
      <c r="B443" s="496">
        <f>NPV(0.1,D443:Y443)</f>
        <v>88902.888841037013</v>
      </c>
      <c r="C443" s="496">
        <f>B443-B433</f>
        <v>27.870316705550067</v>
      </c>
      <c r="D443" s="503">
        <v>2672.1566225521478</v>
      </c>
      <c r="E443" s="504">
        <v>4638.3356872910026</v>
      </c>
      <c r="F443" s="504">
        <v>4835.6706077819345</v>
      </c>
      <c r="G443" s="504">
        <v>15116.296713684715</v>
      </c>
      <c r="H443" s="504">
        <v>16399.601315881944</v>
      </c>
      <c r="I443" s="504">
        <v>13608.419984452652</v>
      </c>
      <c r="J443" s="504">
        <v>13289.288446592778</v>
      </c>
      <c r="K443" s="504">
        <v>13214.696840753044</v>
      </c>
      <c r="L443" s="504">
        <v>13119.84164513119</v>
      </c>
      <c r="M443" s="504">
        <v>12990.9349162584</v>
      </c>
      <c r="N443" s="505">
        <v>12965.802982584924</v>
      </c>
      <c r="O443" s="75">
        <v>12874.181343424687</v>
      </c>
      <c r="P443" s="75">
        <v>12727.374821836827</v>
      </c>
      <c r="Q443" s="75">
        <v>12424.089936276936</v>
      </c>
      <c r="R443" s="75">
        <v>12234.435415991455</v>
      </c>
      <c r="S443" s="75">
        <v>10343.970904725958</v>
      </c>
      <c r="T443" s="75">
        <v>8426.0546066084353</v>
      </c>
      <c r="U443" s="75">
        <v>8159.613623172967</v>
      </c>
      <c r="V443" s="75">
        <v>7861.5851147224093</v>
      </c>
      <c r="W443" s="75">
        <v>7356.5906091353845</v>
      </c>
      <c r="X443" s="75">
        <v>7124.8348244238177</v>
      </c>
    </row>
    <row r="445" spans="1:24">
      <c r="A445" s="71" t="s">
        <v>646</v>
      </c>
    </row>
    <row r="446" spans="1:24">
      <c r="A446" s="442">
        <v>36314</v>
      </c>
    </row>
    <row r="447" spans="1:24" ht="13.2">
      <c r="A447" s="64" t="s">
        <v>368</v>
      </c>
      <c r="B447" s="65">
        <v>53670.064613965063</v>
      </c>
      <c r="C447" s="60"/>
      <c r="D447" s="60"/>
      <c r="E447" s="60"/>
      <c r="F447" s="60"/>
      <c r="G447" s="60"/>
      <c r="H447" s="60"/>
      <c r="I447" s="60"/>
      <c r="J447" s="60"/>
      <c r="K447" s="60"/>
      <c r="L447" s="60"/>
      <c r="M447" s="60"/>
      <c r="N447" s="60"/>
      <c r="O447" s="60"/>
      <c r="P447" s="60"/>
      <c r="Q447" s="60"/>
      <c r="R447" s="60"/>
      <c r="S447" s="60"/>
      <c r="T447" s="60"/>
      <c r="U447" s="60"/>
      <c r="V447" s="60"/>
      <c r="W447" s="60"/>
      <c r="X447" s="60"/>
    </row>
    <row r="448" spans="1:24" ht="13.2">
      <c r="A448" s="66" t="s">
        <v>369</v>
      </c>
      <c r="B448" s="67">
        <v>85523.935748315998</v>
      </c>
      <c r="C448" s="60"/>
      <c r="D448" s="60"/>
      <c r="E448" s="60"/>
      <c r="F448" s="60"/>
      <c r="G448" s="60"/>
      <c r="H448" s="60"/>
      <c r="I448" s="60"/>
      <c r="J448" s="60"/>
      <c r="K448" s="60"/>
      <c r="L448" s="60"/>
      <c r="M448" s="60"/>
      <c r="N448" s="60"/>
      <c r="O448" s="60"/>
      <c r="P448" s="60"/>
      <c r="Q448" s="60"/>
      <c r="R448" s="60"/>
      <c r="S448" s="60"/>
      <c r="T448" s="60"/>
      <c r="U448" s="60"/>
      <c r="V448" s="60"/>
      <c r="W448" s="60"/>
      <c r="X448" s="60"/>
    </row>
    <row r="449" spans="1:24" ht="13.2">
      <c r="A449" s="68" t="s">
        <v>370</v>
      </c>
      <c r="B449" s="495" t="s">
        <v>468</v>
      </c>
      <c r="C449" s="495" t="s">
        <v>469</v>
      </c>
      <c r="D449" s="497">
        <v>2000</v>
      </c>
      <c r="E449" s="498">
        <v>2001</v>
      </c>
      <c r="F449" s="498">
        <v>2002</v>
      </c>
      <c r="G449" s="498">
        <v>2003</v>
      </c>
      <c r="H449" s="498">
        <v>2004</v>
      </c>
      <c r="I449" s="498">
        <v>2005</v>
      </c>
      <c r="J449" s="498">
        <v>2006</v>
      </c>
      <c r="K449" s="498">
        <v>2007</v>
      </c>
      <c r="L449" s="498">
        <v>2008</v>
      </c>
      <c r="M449" s="498">
        <v>2009</v>
      </c>
      <c r="N449" s="499">
        <v>2010</v>
      </c>
      <c r="O449" s="69">
        <v>2011</v>
      </c>
      <c r="P449" s="69">
        <v>2012</v>
      </c>
      <c r="Q449" s="69">
        <v>2013</v>
      </c>
      <c r="R449" s="69">
        <v>2014</v>
      </c>
      <c r="S449" s="69">
        <v>2015</v>
      </c>
      <c r="T449" s="69">
        <v>2016</v>
      </c>
      <c r="U449" s="69">
        <v>2017</v>
      </c>
      <c r="V449" s="69">
        <v>2018</v>
      </c>
      <c r="W449" s="69">
        <v>2019</v>
      </c>
      <c r="X449" s="69">
        <v>2020</v>
      </c>
    </row>
    <row r="450" spans="1:24" ht="13.2">
      <c r="A450" s="68" t="s">
        <v>371</v>
      </c>
      <c r="B450" s="496">
        <f>NPV(0.1,D450:Y450)</f>
        <v>422067.28909969382</v>
      </c>
      <c r="C450" s="496">
        <f>B450-B440</f>
        <v>101.59211538929958</v>
      </c>
      <c r="D450" s="500">
        <v>25347.056333333334</v>
      </c>
      <c r="E450" s="501">
        <v>42007.487139999997</v>
      </c>
      <c r="F450" s="501">
        <v>42094.521254200001</v>
      </c>
      <c r="G450" s="501">
        <v>43688.548362451715</v>
      </c>
      <c r="H450" s="501">
        <v>52808.880884945684</v>
      </c>
      <c r="I450" s="501">
        <v>53906.352989494051</v>
      </c>
      <c r="J450" s="501">
        <v>54464.944443681481</v>
      </c>
      <c r="K450" s="501">
        <v>55023.139497089607</v>
      </c>
      <c r="L450" s="501">
        <v>55580.411633362906</v>
      </c>
      <c r="M450" s="501">
        <v>56136.203101925232</v>
      </c>
      <c r="N450" s="502">
        <v>56689.923517791263</v>
      </c>
      <c r="O450" s="75">
        <v>57240.948405477524</v>
      </c>
      <c r="P450" s="75">
        <v>57788.617684918958</v>
      </c>
      <c r="Q450" s="75">
        <v>57628.986300977354</v>
      </c>
      <c r="R450" s="75">
        <v>58146.71633787475</v>
      </c>
      <c r="S450" s="75">
        <v>58658.247918975103</v>
      </c>
      <c r="T450" s="75">
        <v>59162.743179897399</v>
      </c>
      <c r="U450" s="75">
        <v>59659.319563007964</v>
      </c>
      <c r="V450" s="75">
        <v>60147.047889903231</v>
      </c>
      <c r="W450" s="75">
        <v>59785.235712330716</v>
      </c>
      <c r="X450" s="75">
        <v>21646.990228240084</v>
      </c>
    </row>
    <row r="451" spans="1:24" ht="13.2">
      <c r="A451" s="70" t="s">
        <v>372</v>
      </c>
      <c r="B451" s="496">
        <f>NPV(0.1,D451:Y451)</f>
        <v>191860.36011512764</v>
      </c>
      <c r="C451" s="496">
        <f>B451-B441</f>
        <v>0</v>
      </c>
      <c r="D451" s="500">
        <v>13588.492212802768</v>
      </c>
      <c r="E451" s="501">
        <v>21903.130907123024</v>
      </c>
      <c r="F451" s="501">
        <v>22417.732884831072</v>
      </c>
      <c r="G451" s="501">
        <v>18771.410317913076</v>
      </c>
      <c r="H451" s="501">
        <v>23221.464986156316</v>
      </c>
      <c r="I451" s="501">
        <v>23473.041491047141</v>
      </c>
      <c r="J451" s="501">
        <v>23703.231628796631</v>
      </c>
      <c r="K451" s="501">
        <v>23907.609244371582</v>
      </c>
      <c r="L451" s="501">
        <v>24086.744404912228</v>
      </c>
      <c r="M451" s="501">
        <v>24197.260415755234</v>
      </c>
      <c r="N451" s="502">
        <v>24389.673447295543</v>
      </c>
      <c r="O451" s="75">
        <v>24611.006835024615</v>
      </c>
      <c r="P451" s="75">
        <v>24838.980224385563</v>
      </c>
      <c r="Q451" s="75">
        <v>25073.792815427336</v>
      </c>
      <c r="R451" s="75">
        <v>25315.64978420037</v>
      </c>
      <c r="S451" s="75">
        <v>25564.762462036586</v>
      </c>
      <c r="T451" s="75">
        <v>25821.348520207895</v>
      </c>
      <c r="U451" s="75">
        <v>26085.63216012434</v>
      </c>
      <c r="V451" s="75">
        <v>26357.84430923828</v>
      </c>
      <c r="W451" s="75">
        <v>26638.222822825635</v>
      </c>
      <c r="X451" s="75">
        <v>9845.9572759559414</v>
      </c>
    </row>
    <row r="452" spans="1:24" ht="13.2">
      <c r="A452" s="70" t="s">
        <v>34</v>
      </c>
      <c r="B452" s="496">
        <f>NPV(0.1,D452:Y452)</f>
        <v>76183.608462850214</v>
      </c>
      <c r="C452" s="496">
        <f>B452-B442</f>
        <v>60.354288375994656</v>
      </c>
      <c r="D452" s="500">
        <v>1717.711566937319</v>
      </c>
      <c r="E452" s="501">
        <v>3077.8445140988238</v>
      </c>
      <c r="F452" s="501">
        <v>3073.5907657537441</v>
      </c>
      <c r="G452" s="501">
        <v>6563.7111227821733</v>
      </c>
      <c r="H452" s="501">
        <v>9379.7624210398117</v>
      </c>
      <c r="I452" s="501">
        <v>10143.922648992213</v>
      </c>
      <c r="J452" s="501">
        <v>10590.244913123028</v>
      </c>
      <c r="K452" s="501">
        <v>10978.335549829744</v>
      </c>
      <c r="L452" s="501">
        <v>11401.748778245515</v>
      </c>
      <c r="M452" s="501">
        <v>11888.049266388996</v>
      </c>
      <c r="N452" s="502">
        <v>12350.567669815946</v>
      </c>
      <c r="O452" s="75">
        <v>12820.917184331996</v>
      </c>
      <c r="P452" s="75">
        <v>13313.477546470593</v>
      </c>
      <c r="Q452" s="75">
        <v>13411.991905569492</v>
      </c>
      <c r="R452" s="75">
        <v>13927.952855116568</v>
      </c>
      <c r="S452" s="75">
        <v>14469.266213891904</v>
      </c>
      <c r="T452" s="75">
        <v>15037.719914725447</v>
      </c>
      <c r="U452" s="75">
        <v>15635.244841499129</v>
      </c>
      <c r="V452" s="75">
        <v>16263.926476450408</v>
      </c>
      <c r="W452" s="75">
        <v>16427.156141281313</v>
      </c>
      <c r="X452" s="75">
        <v>4347.7802614346292</v>
      </c>
    </row>
    <row r="453" spans="1:24" ht="13.2">
      <c r="A453" s="70" t="s">
        <v>32</v>
      </c>
      <c r="B453" s="496">
        <f>NPV(0.1,D453:Y453)</f>
        <v>88967.475901405633</v>
      </c>
      <c r="C453" s="496">
        <f>B453-B443</f>
        <v>64.587060368619859</v>
      </c>
      <c r="D453" s="503">
        <v>2672.1566225521478</v>
      </c>
      <c r="E453" s="504">
        <v>4638.3356872910026</v>
      </c>
      <c r="F453" s="504">
        <v>4835.6706077819345</v>
      </c>
      <c r="G453" s="504">
        <v>15116.296713684715</v>
      </c>
      <c r="H453" s="504">
        <v>16399.601315881944</v>
      </c>
      <c r="I453" s="504">
        <v>13608.419984452652</v>
      </c>
      <c r="J453" s="504">
        <v>13289.288446592778</v>
      </c>
      <c r="K453" s="504">
        <v>13214.696840753044</v>
      </c>
      <c r="L453" s="504">
        <v>13119.84164513119</v>
      </c>
      <c r="M453" s="504">
        <v>12990.9349162584</v>
      </c>
      <c r="N453" s="505">
        <v>12965.802982584924</v>
      </c>
      <c r="O453" s="75">
        <v>12874.181343424687</v>
      </c>
      <c r="P453" s="75">
        <v>12727.374821836827</v>
      </c>
      <c r="Q453" s="75">
        <v>12424.089936276936</v>
      </c>
      <c r="R453" s="75">
        <v>12234.435415991455</v>
      </c>
      <c r="S453" s="75">
        <v>10343.970904725958</v>
      </c>
      <c r="T453" s="75">
        <v>8426.0546066084353</v>
      </c>
      <c r="U453" s="75">
        <v>8159.613623172967</v>
      </c>
      <c r="V453" s="75">
        <v>7861.5851147224093</v>
      </c>
      <c r="W453" s="75">
        <v>7356.5906091353845</v>
      </c>
      <c r="X453" s="75">
        <v>7602.7952143164539</v>
      </c>
    </row>
    <row r="455" spans="1:24">
      <c r="A455" s="71" t="s">
        <v>647</v>
      </c>
    </row>
    <row r="456" spans="1:24">
      <c r="A456" s="442">
        <v>36314</v>
      </c>
    </row>
    <row r="457" spans="1:24" ht="13.2">
      <c r="A457" s="64" t="s">
        <v>368</v>
      </c>
      <c r="B457" s="65">
        <v>53665.25071845104</v>
      </c>
      <c r="C457" s="60"/>
      <c r="D457" s="60"/>
      <c r="E457" s="60"/>
      <c r="F457" s="60"/>
      <c r="G457" s="60"/>
      <c r="H457" s="60"/>
      <c r="I457" s="60"/>
      <c r="J457" s="60"/>
      <c r="K457" s="60"/>
      <c r="L457" s="60"/>
      <c r="M457" s="60"/>
      <c r="N457" s="60"/>
      <c r="O457" s="60"/>
      <c r="P457" s="60"/>
      <c r="Q457" s="60"/>
      <c r="R457" s="60"/>
      <c r="S457" s="60"/>
      <c r="T457" s="60"/>
      <c r="U457" s="60"/>
      <c r="V457" s="60"/>
      <c r="W457" s="60"/>
      <c r="X457" s="60"/>
    </row>
    <row r="458" spans="1:24" ht="13.2">
      <c r="A458" s="66" t="s">
        <v>369</v>
      </c>
      <c r="B458" s="67">
        <v>85523.935748315998</v>
      </c>
      <c r="C458" s="60"/>
      <c r="D458" s="60"/>
      <c r="E458" s="60"/>
      <c r="F458" s="60"/>
      <c r="G458" s="60"/>
      <c r="H458" s="60"/>
      <c r="I458" s="60"/>
      <c r="J458" s="60"/>
      <c r="K458" s="60"/>
      <c r="L458" s="60"/>
      <c r="M458" s="60"/>
      <c r="N458" s="60"/>
      <c r="O458" s="60"/>
      <c r="P458" s="60"/>
      <c r="Q458" s="60"/>
      <c r="R458" s="60"/>
      <c r="S458" s="60"/>
      <c r="T458" s="60"/>
      <c r="U458" s="60"/>
      <c r="V458" s="60"/>
      <c r="W458" s="60"/>
      <c r="X458" s="60"/>
    </row>
    <row r="459" spans="1:24" ht="13.2">
      <c r="A459" s="68" t="s">
        <v>370</v>
      </c>
      <c r="B459" s="495" t="s">
        <v>468</v>
      </c>
      <c r="C459" s="495" t="s">
        <v>469</v>
      </c>
      <c r="D459" s="497">
        <v>2000</v>
      </c>
      <c r="E459" s="498">
        <v>2001</v>
      </c>
      <c r="F459" s="498">
        <v>2002</v>
      </c>
      <c r="G459" s="498">
        <v>2003</v>
      </c>
      <c r="H459" s="498">
        <v>2004</v>
      </c>
      <c r="I459" s="498">
        <v>2005</v>
      </c>
      <c r="J459" s="498">
        <v>2006</v>
      </c>
      <c r="K459" s="498">
        <v>2007</v>
      </c>
      <c r="L459" s="498">
        <v>2008</v>
      </c>
      <c r="M459" s="498">
        <v>2009</v>
      </c>
      <c r="N459" s="499">
        <v>2010</v>
      </c>
      <c r="O459" s="69">
        <v>2011</v>
      </c>
      <c r="P459" s="69">
        <v>2012</v>
      </c>
      <c r="Q459" s="69">
        <v>2013</v>
      </c>
      <c r="R459" s="69">
        <v>2014</v>
      </c>
      <c r="S459" s="69">
        <v>2015</v>
      </c>
      <c r="T459" s="69">
        <v>2016</v>
      </c>
      <c r="U459" s="69">
        <v>2017</v>
      </c>
      <c r="V459" s="69">
        <v>2018</v>
      </c>
      <c r="W459" s="69">
        <v>2019</v>
      </c>
      <c r="X459" s="69">
        <v>2020</v>
      </c>
    </row>
    <row r="460" spans="1:24" ht="13.2">
      <c r="A460" s="68" t="s">
        <v>371</v>
      </c>
      <c r="B460" s="496">
        <f>NPV(0.1,D460:Y460)</f>
        <v>423899.60147211934</v>
      </c>
      <c r="C460" s="496">
        <f>B460-B450</f>
        <v>1832.3123724255129</v>
      </c>
      <c r="D460" s="500">
        <v>25558.916333333334</v>
      </c>
      <c r="E460" s="501">
        <v>42219.347139999998</v>
      </c>
      <c r="F460" s="501">
        <v>42306.381254200001</v>
      </c>
      <c r="G460" s="501">
        <v>43900.408362451715</v>
      </c>
      <c r="H460" s="501">
        <v>53020.740884945684</v>
      </c>
      <c r="I460" s="501">
        <v>54118.212989494052</v>
      </c>
      <c r="J460" s="501">
        <v>54676.804443681482</v>
      </c>
      <c r="K460" s="501">
        <v>55234.999497089608</v>
      </c>
      <c r="L460" s="501">
        <v>55792.271633362907</v>
      </c>
      <c r="M460" s="501">
        <v>56348.063101925232</v>
      </c>
      <c r="N460" s="502">
        <v>56901.783517791264</v>
      </c>
      <c r="O460" s="75">
        <v>57452.808405477517</v>
      </c>
      <c r="P460" s="75">
        <v>58000.477684918958</v>
      </c>
      <c r="Q460" s="75">
        <v>57840.846300977355</v>
      </c>
      <c r="R460" s="75">
        <v>58358.576337874751</v>
      </c>
      <c r="S460" s="75">
        <v>58870.107918975104</v>
      </c>
      <c r="T460" s="75">
        <v>59374.6031798974</v>
      </c>
      <c r="U460" s="75">
        <v>59871.179563007965</v>
      </c>
      <c r="V460" s="75">
        <v>60358.907889903232</v>
      </c>
      <c r="W460" s="75">
        <v>59997.095712330716</v>
      </c>
      <c r="X460" s="75">
        <v>21858.850228240084</v>
      </c>
    </row>
    <row r="461" spans="1:24" ht="13.2">
      <c r="A461" s="70" t="s">
        <v>372</v>
      </c>
      <c r="B461" s="496">
        <f>NPV(0.1,D461:Y461)</f>
        <v>193692.67248755318</v>
      </c>
      <c r="C461" s="496">
        <f>B461-B451</f>
        <v>1832.312372425542</v>
      </c>
      <c r="D461" s="500">
        <v>13800.352212802769</v>
      </c>
      <c r="E461" s="501">
        <v>22114.990907123025</v>
      </c>
      <c r="F461" s="501">
        <v>22629.592884831072</v>
      </c>
      <c r="G461" s="501">
        <v>18983.270317913077</v>
      </c>
      <c r="H461" s="501">
        <v>23433.324986156313</v>
      </c>
      <c r="I461" s="501">
        <v>23684.901491047141</v>
      </c>
      <c r="J461" s="501">
        <v>23915.091628796632</v>
      </c>
      <c r="K461" s="501">
        <v>24119.469244371583</v>
      </c>
      <c r="L461" s="501">
        <v>24298.604404912228</v>
      </c>
      <c r="M461" s="501">
        <v>24409.120415755235</v>
      </c>
      <c r="N461" s="502">
        <v>24601.533447295544</v>
      </c>
      <c r="O461" s="75">
        <v>24822.866835024615</v>
      </c>
      <c r="P461" s="75">
        <v>25050.840224385563</v>
      </c>
      <c r="Q461" s="75">
        <v>25285.652815427336</v>
      </c>
      <c r="R461" s="75">
        <v>25527.509784200371</v>
      </c>
      <c r="S461" s="75">
        <v>25776.622462036587</v>
      </c>
      <c r="T461" s="75">
        <v>26033.208520207892</v>
      </c>
      <c r="U461" s="75">
        <v>26297.49216012434</v>
      </c>
      <c r="V461" s="75">
        <v>26569.704309238274</v>
      </c>
      <c r="W461" s="75">
        <v>26850.082822825636</v>
      </c>
      <c r="X461" s="75">
        <v>10057.817275955942</v>
      </c>
    </row>
    <row r="462" spans="1:24" ht="13.2">
      <c r="A462" s="70" t="s">
        <v>34</v>
      </c>
      <c r="B462" s="496">
        <f>NPV(0.1,D462:Y462)</f>
        <v>76177.286089296496</v>
      </c>
      <c r="C462" s="496">
        <f>B462-B452</f>
        <v>-6.3223735537176253</v>
      </c>
      <c r="D462" s="500">
        <v>1715.1692469373186</v>
      </c>
      <c r="E462" s="501">
        <v>3075.3021940988228</v>
      </c>
      <c r="F462" s="501">
        <v>3071.0484457537427</v>
      </c>
      <c r="G462" s="501">
        <v>6563.7111227821724</v>
      </c>
      <c r="H462" s="501">
        <v>9379.7624210398153</v>
      </c>
      <c r="I462" s="501">
        <v>10143.922648992213</v>
      </c>
      <c r="J462" s="501">
        <v>10590.244913123028</v>
      </c>
      <c r="K462" s="501">
        <v>10978.335549829741</v>
      </c>
      <c r="L462" s="501">
        <v>11401.748778245515</v>
      </c>
      <c r="M462" s="501">
        <v>11888.049266388996</v>
      </c>
      <c r="N462" s="502">
        <v>12350.567669815946</v>
      </c>
      <c r="O462" s="75">
        <v>12820.917184331991</v>
      </c>
      <c r="P462" s="75">
        <v>13313.477546470593</v>
      </c>
      <c r="Q462" s="75">
        <v>13411.99190556949</v>
      </c>
      <c r="R462" s="75">
        <v>13927.952855116568</v>
      </c>
      <c r="S462" s="75">
        <v>14469.266213891904</v>
      </c>
      <c r="T462" s="75">
        <v>15037.719914725452</v>
      </c>
      <c r="U462" s="75">
        <v>15635.244841499129</v>
      </c>
      <c r="V462" s="75">
        <v>16263.926476450415</v>
      </c>
      <c r="W462" s="75">
        <v>16427.15614128131</v>
      </c>
      <c r="X462" s="75">
        <v>4347.7802614346292</v>
      </c>
    </row>
    <row r="463" spans="1:24" ht="13.2">
      <c r="A463" s="70" t="s">
        <v>32</v>
      </c>
      <c r="B463" s="496">
        <f>NPV(0.1,D463:Y463)</f>
        <v>88962.811037584863</v>
      </c>
      <c r="C463" s="496">
        <f>B463-B453</f>
        <v>-4.6648638207698241</v>
      </c>
      <c r="D463" s="503">
        <v>2669.6143025521478</v>
      </c>
      <c r="E463" s="504">
        <v>4635.7933672909985</v>
      </c>
      <c r="F463" s="504">
        <v>4833.1282877819312</v>
      </c>
      <c r="G463" s="504">
        <v>15116.296713684711</v>
      </c>
      <c r="H463" s="504">
        <v>16402.270751881952</v>
      </c>
      <c r="I463" s="504">
        <v>13608.419984452652</v>
      </c>
      <c r="J463" s="504">
        <v>13289.288446592782</v>
      </c>
      <c r="K463" s="504">
        <v>13214.696840753035</v>
      </c>
      <c r="L463" s="504">
        <v>13119.84164513119</v>
      </c>
      <c r="M463" s="504">
        <v>12990.934916258404</v>
      </c>
      <c r="N463" s="505">
        <v>12965.802982584924</v>
      </c>
      <c r="O463" s="75">
        <v>12874.181343424683</v>
      </c>
      <c r="P463" s="75">
        <v>12727.374821836831</v>
      </c>
      <c r="Q463" s="75">
        <v>12424.089936276938</v>
      </c>
      <c r="R463" s="75">
        <v>12234.435415991455</v>
      </c>
      <c r="S463" s="75">
        <v>10343.970904725962</v>
      </c>
      <c r="T463" s="75">
        <v>8426.0546066084353</v>
      </c>
      <c r="U463" s="75">
        <v>8159.613623172967</v>
      </c>
      <c r="V463" s="75">
        <v>7861.5851147224057</v>
      </c>
      <c r="W463" s="75">
        <v>7356.5906091353754</v>
      </c>
      <c r="X463" s="75">
        <v>7602.7952143164539</v>
      </c>
    </row>
    <row r="465" spans="1:24">
      <c r="A465" s="71" t="s">
        <v>660</v>
      </c>
    </row>
    <row r="466" spans="1:24">
      <c r="A466" s="442">
        <v>36321</v>
      </c>
    </row>
    <row r="467" spans="1:24" ht="13.2">
      <c r="A467" s="64" t="s">
        <v>368</v>
      </c>
      <c r="B467" s="65">
        <v>55274.419139424521</v>
      </c>
      <c r="C467" s="60"/>
      <c r="D467" s="60"/>
      <c r="E467" s="60"/>
      <c r="F467" s="60"/>
      <c r="G467" s="60"/>
      <c r="H467" s="60"/>
      <c r="I467" s="60"/>
      <c r="J467" s="60"/>
      <c r="K467" s="60"/>
      <c r="L467" s="60"/>
      <c r="M467" s="60"/>
      <c r="N467" s="60"/>
      <c r="O467" s="60"/>
      <c r="P467" s="60"/>
      <c r="Q467" s="60"/>
      <c r="R467" s="60"/>
      <c r="S467" s="60"/>
      <c r="T467" s="60"/>
      <c r="U467" s="60"/>
      <c r="V467" s="60"/>
      <c r="W467" s="60"/>
      <c r="X467" s="60"/>
    </row>
    <row r="468" spans="1:24" ht="13.2">
      <c r="A468" s="66" t="s">
        <v>369</v>
      </c>
      <c r="B468" s="67">
        <v>87848.753804431923</v>
      </c>
      <c r="C468" s="60"/>
      <c r="D468" s="60"/>
      <c r="E468" s="60"/>
      <c r="F468" s="60"/>
      <c r="G468" s="60"/>
      <c r="H468" s="60"/>
      <c r="I468" s="60"/>
      <c r="J468" s="60"/>
      <c r="K468" s="60"/>
      <c r="L468" s="60"/>
      <c r="M468" s="60"/>
      <c r="N468" s="60"/>
      <c r="O468" s="60"/>
      <c r="P468" s="60"/>
      <c r="Q468" s="60"/>
      <c r="R468" s="60"/>
      <c r="S468" s="60"/>
      <c r="T468" s="60"/>
      <c r="U468" s="60"/>
      <c r="V468" s="60"/>
      <c r="W468" s="60"/>
      <c r="X468" s="60"/>
    </row>
    <row r="469" spans="1:24" ht="13.2">
      <c r="A469" s="68" t="s">
        <v>370</v>
      </c>
      <c r="B469" s="495" t="s">
        <v>468</v>
      </c>
      <c r="C469" s="495" t="s">
        <v>469</v>
      </c>
      <c r="D469" s="497">
        <v>2000</v>
      </c>
      <c r="E469" s="498">
        <v>2001</v>
      </c>
      <c r="F469" s="498">
        <v>2002</v>
      </c>
      <c r="G469" s="498">
        <v>2003</v>
      </c>
      <c r="H469" s="498">
        <v>2004</v>
      </c>
      <c r="I469" s="498">
        <v>2005</v>
      </c>
      <c r="J469" s="498">
        <v>2006</v>
      </c>
      <c r="K469" s="498">
        <v>2007</v>
      </c>
      <c r="L469" s="498">
        <v>2008</v>
      </c>
      <c r="M469" s="498">
        <v>2009</v>
      </c>
      <c r="N469" s="499">
        <v>2010</v>
      </c>
      <c r="O469" s="69">
        <v>2011</v>
      </c>
      <c r="P469" s="69">
        <v>2012</v>
      </c>
      <c r="Q469" s="69">
        <v>2013</v>
      </c>
      <c r="R469" s="69">
        <v>2014</v>
      </c>
      <c r="S469" s="69">
        <v>2015</v>
      </c>
      <c r="T469" s="69">
        <v>2016</v>
      </c>
      <c r="U469" s="69">
        <v>2017</v>
      </c>
      <c r="V469" s="69">
        <v>2018</v>
      </c>
      <c r="W469" s="69">
        <v>2019</v>
      </c>
      <c r="X469" s="69">
        <v>2020</v>
      </c>
    </row>
    <row r="470" spans="1:24" ht="13.2">
      <c r="A470" s="68" t="s">
        <v>371</v>
      </c>
      <c r="B470" s="496">
        <f>NPV(0.1,D470:Y470)</f>
        <v>428674.72718973079</v>
      </c>
      <c r="C470" s="496">
        <f>B470-B460</f>
        <v>4775.1257176114595</v>
      </c>
      <c r="D470" s="500">
        <v>25558.916333333334</v>
      </c>
      <c r="E470" s="501">
        <v>42219.347139999998</v>
      </c>
      <c r="F470" s="501">
        <v>42306.381254200001</v>
      </c>
      <c r="G470" s="501">
        <v>48051.887374565173</v>
      </c>
      <c r="H470" s="501">
        <v>53020.740884945684</v>
      </c>
      <c r="I470" s="501">
        <v>54118.212989494052</v>
      </c>
      <c r="J470" s="501">
        <v>54676.804443681482</v>
      </c>
      <c r="K470" s="501">
        <v>55234.999497089608</v>
      </c>
      <c r="L470" s="501">
        <v>55792.271633362907</v>
      </c>
      <c r="M470" s="501">
        <v>56348.063101925232</v>
      </c>
      <c r="N470" s="502">
        <v>56901.783517791264</v>
      </c>
      <c r="O470" s="75">
        <v>57452.808405477517</v>
      </c>
      <c r="P470" s="75">
        <v>58000.477684918958</v>
      </c>
      <c r="Q470" s="75">
        <v>57840.846300977355</v>
      </c>
      <c r="R470" s="75">
        <v>58358.576337874751</v>
      </c>
      <c r="S470" s="75">
        <v>58870.107918975104</v>
      </c>
      <c r="T470" s="75">
        <v>59374.6031798974</v>
      </c>
      <c r="U470" s="75">
        <v>59871.179563007965</v>
      </c>
      <c r="V470" s="75">
        <v>60358.907889903232</v>
      </c>
      <c r="W470" s="75">
        <v>59997.095712330716</v>
      </c>
      <c r="X470" s="75">
        <v>36212.446748320661</v>
      </c>
    </row>
    <row r="471" spans="1:24" ht="13.2">
      <c r="A471" s="70" t="s">
        <v>372</v>
      </c>
      <c r="B471" s="496">
        <f>NPV(0.1,D471:Y471)</f>
        <v>195984.98748364317</v>
      </c>
      <c r="C471" s="496">
        <f>B471-B461</f>
        <v>2292.31499608999</v>
      </c>
      <c r="D471" s="500">
        <v>13800.352212802769</v>
      </c>
      <c r="E471" s="501">
        <v>22061.892850034601</v>
      </c>
      <c r="F471" s="501">
        <v>22308.392521593691</v>
      </c>
      <c r="G471" s="501">
        <v>22653.524478808013</v>
      </c>
      <c r="H471" s="501">
        <v>22827.444932471593</v>
      </c>
      <c r="I471" s="501">
        <v>23058.638373188882</v>
      </c>
      <c r="J471" s="501">
        <v>23335.802890735518</v>
      </c>
      <c r="K471" s="501">
        <v>23640.586931957652</v>
      </c>
      <c r="L471" s="501">
        <v>23911.616033026785</v>
      </c>
      <c r="M471" s="501">
        <v>24113.097229132425</v>
      </c>
      <c r="N471" s="502">
        <v>24322.672485974963</v>
      </c>
      <c r="O471" s="75">
        <v>24710.242819334402</v>
      </c>
      <c r="P471" s="75">
        <v>24938.21620869535</v>
      </c>
      <c r="Q471" s="75">
        <v>25173.028799737123</v>
      </c>
      <c r="R471" s="75">
        <v>25414.885768510158</v>
      </c>
      <c r="S471" s="75">
        <v>25663.998446346373</v>
      </c>
      <c r="T471" s="75">
        <v>25920.584504517679</v>
      </c>
      <c r="U471" s="75">
        <v>26184.868144434127</v>
      </c>
      <c r="V471" s="75">
        <v>26457.080293548061</v>
      </c>
      <c r="W471" s="75">
        <v>26737.458807135423</v>
      </c>
      <c r="X471" s="75">
        <v>24298.789780346306</v>
      </c>
    </row>
    <row r="472" spans="1:24" ht="13.2">
      <c r="A472" s="70" t="s">
        <v>34</v>
      </c>
      <c r="B472" s="496">
        <f>NPV(0.1,D472:Y472)</f>
        <v>77340.889738899103</v>
      </c>
      <c r="C472" s="496">
        <f>B472-B462</f>
        <v>1163.6036496026063</v>
      </c>
      <c r="D472" s="500">
        <v>1678.2516910875429</v>
      </c>
      <c r="E472" s="501">
        <v>3042.5264715952098</v>
      </c>
      <c r="F472" s="501">
        <v>3203.6159990377055</v>
      </c>
      <c r="G472" s="501">
        <v>6790.2437413982925</v>
      </c>
      <c r="H472" s="501">
        <v>9684.6377818016845</v>
      </c>
      <c r="I472" s="501">
        <v>10467.877792601681</v>
      </c>
      <c r="J472" s="501">
        <v>10894.204188822687</v>
      </c>
      <c r="K472" s="501">
        <v>11230.306693272974</v>
      </c>
      <c r="L472" s="501">
        <v>11605.516633295412</v>
      </c>
      <c r="M472" s="501">
        <v>12042.951348676392</v>
      </c>
      <c r="N472" s="502">
        <v>12499.155220161252</v>
      </c>
      <c r="O472" s="75">
        <v>12874.61550497451</v>
      </c>
      <c r="P472" s="75">
        <v>13368.233707845406</v>
      </c>
      <c r="Q472" s="75">
        <v>13467.890534935188</v>
      </c>
      <c r="R472" s="75">
        <v>13985.08534991242</v>
      </c>
      <c r="S472" s="75">
        <v>14527.731283352306</v>
      </c>
      <c r="T472" s="75">
        <v>15097.624164823583</v>
      </c>
      <c r="U472" s="75">
        <v>15696.703406686011</v>
      </c>
      <c r="V472" s="75">
        <v>16327.063701933139</v>
      </c>
      <c r="W472" s="75">
        <v>16492.106319883551</v>
      </c>
      <c r="X472" s="75">
        <v>4414.68842940594</v>
      </c>
    </row>
    <row r="473" spans="1:24" ht="13.2">
      <c r="A473" s="70" t="s">
        <v>32</v>
      </c>
      <c r="B473" s="496">
        <f>NPV(0.1,D473:Y473)</f>
        <v>89360.886322083912</v>
      </c>
      <c r="C473" s="496">
        <f>B473-B463</f>
        <v>398.0752844990493</v>
      </c>
      <c r="D473" s="503">
        <v>2669.6143025521478</v>
      </c>
      <c r="E473" s="504">
        <v>4595.6124337058172</v>
      </c>
      <c r="F473" s="504">
        <v>4643.164146920536</v>
      </c>
      <c r="G473" s="504">
        <v>15237.895716724764</v>
      </c>
      <c r="H473" s="504">
        <v>16259.93566029994</v>
      </c>
      <c r="I473" s="504">
        <v>13750.030584206486</v>
      </c>
      <c r="J473" s="504">
        <v>13483.162299369173</v>
      </c>
      <c r="K473" s="504">
        <v>13436.0648379801</v>
      </c>
      <c r="L473" s="504">
        <v>13309.384235916241</v>
      </c>
      <c r="M473" s="504">
        <v>13157.257847041103</v>
      </c>
      <c r="N473" s="505">
        <v>13052.130370162402</v>
      </c>
      <c r="O473" s="75">
        <v>13072.669657608853</v>
      </c>
      <c r="P473" s="75">
        <v>12758.902603892275</v>
      </c>
      <c r="Q473" s="75">
        <v>12454.836244914162</v>
      </c>
      <c r="R473" s="75">
        <v>12264.337733337008</v>
      </c>
      <c r="S473" s="75">
        <v>10372.961711476497</v>
      </c>
      <c r="T473" s="75">
        <v>8454.0609819163728</v>
      </c>
      <c r="U473" s="75">
        <v>8186.5568125228765</v>
      </c>
      <c r="V473" s="75">
        <v>7887.3800632376642</v>
      </c>
      <c r="W473" s="75">
        <v>7381.1454575491916</v>
      </c>
      <c r="X473" s="75">
        <v>7674.395791511487</v>
      </c>
    </row>
    <row r="475" spans="1:24">
      <c r="A475" s="71" t="s">
        <v>669</v>
      </c>
    </row>
    <row r="476" spans="1:24">
      <c r="A476" s="442">
        <v>36321</v>
      </c>
    </row>
    <row r="477" spans="1:24" ht="13.2">
      <c r="A477" s="64" t="s">
        <v>368</v>
      </c>
      <c r="B477" s="65">
        <v>59998.874138201994</v>
      </c>
      <c r="C477" s="60"/>
      <c r="D477" s="60"/>
      <c r="E477" s="60"/>
      <c r="F477" s="60"/>
      <c r="G477" s="60"/>
      <c r="H477" s="60"/>
      <c r="I477" s="60"/>
      <c r="J477" s="60"/>
      <c r="K477" s="60"/>
      <c r="L477" s="60"/>
      <c r="M477" s="60"/>
      <c r="N477" s="60"/>
      <c r="O477" s="60"/>
      <c r="P477" s="60"/>
      <c r="Q477" s="60"/>
      <c r="R477" s="60"/>
      <c r="S477" s="60"/>
      <c r="T477" s="60"/>
      <c r="U477" s="60"/>
      <c r="V477" s="60"/>
      <c r="W477" s="60"/>
      <c r="X477" s="60"/>
    </row>
    <row r="478" spans="1:24" ht="13.2">
      <c r="A478" s="66" t="s">
        <v>369</v>
      </c>
      <c r="B478" s="67">
        <v>93506.899804431989</v>
      </c>
      <c r="C478" s="60"/>
      <c r="D478" s="60"/>
      <c r="E478" s="60"/>
      <c r="F478" s="60"/>
      <c r="G478" s="60"/>
      <c r="H478" s="60"/>
      <c r="I478" s="60"/>
      <c r="J478" s="60"/>
      <c r="K478" s="60"/>
      <c r="L478" s="60"/>
      <c r="M478" s="60"/>
      <c r="N478" s="60"/>
      <c r="O478" s="60"/>
      <c r="P478" s="60"/>
      <c r="Q478" s="60"/>
      <c r="R478" s="60"/>
      <c r="S478" s="60"/>
      <c r="T478" s="60"/>
      <c r="U478" s="60"/>
      <c r="V478" s="60"/>
      <c r="W478" s="60"/>
      <c r="X478" s="60"/>
    </row>
    <row r="479" spans="1:24" ht="13.2">
      <c r="A479" s="68" t="s">
        <v>370</v>
      </c>
      <c r="B479" s="495" t="s">
        <v>468</v>
      </c>
      <c r="C479" s="495" t="s">
        <v>469</v>
      </c>
      <c r="D479" s="497">
        <v>2000</v>
      </c>
      <c r="E479" s="498">
        <v>2001</v>
      </c>
      <c r="F479" s="498">
        <v>2002</v>
      </c>
      <c r="G479" s="498">
        <v>2003</v>
      </c>
      <c r="H479" s="498">
        <v>2004</v>
      </c>
      <c r="I479" s="498">
        <v>2005</v>
      </c>
      <c r="J479" s="498">
        <v>2006</v>
      </c>
      <c r="K479" s="498">
        <v>2007</v>
      </c>
      <c r="L479" s="498">
        <v>2008</v>
      </c>
      <c r="M479" s="498">
        <v>2009</v>
      </c>
      <c r="N479" s="499">
        <v>2010</v>
      </c>
      <c r="O479" s="69">
        <v>2011</v>
      </c>
      <c r="P479" s="69">
        <v>2012</v>
      </c>
      <c r="Q479" s="69">
        <v>2013</v>
      </c>
      <c r="R479" s="69">
        <v>2014</v>
      </c>
      <c r="S479" s="69">
        <v>2015</v>
      </c>
      <c r="T479" s="69">
        <v>2016</v>
      </c>
      <c r="U479" s="69">
        <v>2017</v>
      </c>
      <c r="V479" s="69">
        <v>2018</v>
      </c>
      <c r="W479" s="69">
        <v>2019</v>
      </c>
      <c r="X479" s="69">
        <v>2020</v>
      </c>
    </row>
    <row r="480" spans="1:24" ht="13.2">
      <c r="A480" s="68" t="s">
        <v>371</v>
      </c>
      <c r="B480" s="496">
        <f>NPV(0.1,D480:Y480)</f>
        <v>428674.72718973079</v>
      </c>
      <c r="C480" s="496">
        <f>B480-B470</f>
        <v>0</v>
      </c>
      <c r="D480" s="500">
        <v>25558.916333333334</v>
      </c>
      <c r="E480" s="501">
        <v>42219.347139999998</v>
      </c>
      <c r="F480" s="501">
        <v>42306.381254200001</v>
      </c>
      <c r="G480" s="501">
        <v>48051.887374565173</v>
      </c>
      <c r="H480" s="501">
        <v>53020.740884945684</v>
      </c>
      <c r="I480" s="501">
        <v>54118.212989494052</v>
      </c>
      <c r="J480" s="501">
        <v>54676.804443681482</v>
      </c>
      <c r="K480" s="501">
        <v>55234.999497089608</v>
      </c>
      <c r="L480" s="501">
        <v>55792.271633362907</v>
      </c>
      <c r="M480" s="501">
        <v>56348.063101925232</v>
      </c>
      <c r="N480" s="502">
        <v>56901.783517791264</v>
      </c>
      <c r="O480" s="75">
        <v>57452.808405477517</v>
      </c>
      <c r="P480" s="75">
        <v>58000.477684918958</v>
      </c>
      <c r="Q480" s="75">
        <v>57840.846300977355</v>
      </c>
      <c r="R480" s="75">
        <v>58358.576337874751</v>
      </c>
      <c r="S480" s="75">
        <v>58870.107918975104</v>
      </c>
      <c r="T480" s="75">
        <v>59374.6031798974</v>
      </c>
      <c r="U480" s="75">
        <v>59871.179563007965</v>
      </c>
      <c r="V480" s="75">
        <v>60358.907889903232</v>
      </c>
      <c r="W480" s="75">
        <v>59997.095712330716</v>
      </c>
      <c r="X480" s="75">
        <v>36212.446748320661</v>
      </c>
    </row>
    <row r="481" spans="1:24" ht="13.2">
      <c r="A481" s="70" t="s">
        <v>372</v>
      </c>
      <c r="B481" s="496">
        <f>NPV(0.1,D481:Y481)</f>
        <v>195984.98748364317</v>
      </c>
      <c r="C481" s="496">
        <f>B481-B471</f>
        <v>0</v>
      </c>
      <c r="D481" s="500">
        <v>13800.352212802769</v>
      </c>
      <c r="E481" s="501">
        <v>22061.892850034601</v>
      </c>
      <c r="F481" s="501">
        <v>22308.392521593691</v>
      </c>
      <c r="G481" s="501">
        <v>22653.524478808013</v>
      </c>
      <c r="H481" s="501">
        <v>22827.444932471593</v>
      </c>
      <c r="I481" s="501">
        <v>23058.638373188882</v>
      </c>
      <c r="J481" s="501">
        <v>23335.802890735518</v>
      </c>
      <c r="K481" s="501">
        <v>23640.586931957652</v>
      </c>
      <c r="L481" s="501">
        <v>23911.616033026785</v>
      </c>
      <c r="M481" s="501">
        <v>24113.097229132425</v>
      </c>
      <c r="N481" s="502">
        <v>24322.672485974963</v>
      </c>
      <c r="O481" s="75">
        <v>24710.242819334402</v>
      </c>
      <c r="P481" s="75">
        <v>24938.21620869535</v>
      </c>
      <c r="Q481" s="75">
        <v>25173.028799737123</v>
      </c>
      <c r="R481" s="75">
        <v>25414.885768510158</v>
      </c>
      <c r="S481" s="75">
        <v>25663.998446346373</v>
      </c>
      <c r="T481" s="75">
        <v>25920.584504517679</v>
      </c>
      <c r="U481" s="75">
        <v>26184.868144434127</v>
      </c>
      <c r="V481" s="75">
        <v>26457.080293548061</v>
      </c>
      <c r="W481" s="75">
        <v>26737.458807135423</v>
      </c>
      <c r="X481" s="75">
        <v>24298.789780346306</v>
      </c>
    </row>
    <row r="482" spans="1:24" ht="13.2">
      <c r="A482" s="70" t="s">
        <v>34</v>
      </c>
      <c r="B482" s="496">
        <f>NPV(0.1,D482:Y482)</f>
        <v>78169.893433843215</v>
      </c>
      <c r="C482" s="496">
        <f>B482-B472</f>
        <v>829.00369494411279</v>
      </c>
      <c r="D482" s="500">
        <v>1739.2149619787924</v>
      </c>
      <c r="E482" s="501">
        <v>3147.0349359802103</v>
      </c>
      <c r="F482" s="501">
        <v>3308.1244634227064</v>
      </c>
      <c r="G482" s="501">
        <v>6889.0280208632939</v>
      </c>
      <c r="H482" s="501">
        <v>9783.422061266685</v>
      </c>
      <c r="I482" s="501">
        <v>10566.66207206668</v>
      </c>
      <c r="J482" s="501">
        <v>10992.988468287685</v>
      </c>
      <c r="K482" s="501">
        <v>11329.090972737973</v>
      </c>
      <c r="L482" s="501">
        <v>11704.300912760416</v>
      </c>
      <c r="M482" s="501">
        <v>12141.735628141396</v>
      </c>
      <c r="N482" s="502">
        <v>12597.939499626256</v>
      </c>
      <c r="O482" s="75">
        <v>12973.399784439509</v>
      </c>
      <c r="P482" s="75">
        <v>13467.017987310404</v>
      </c>
      <c r="Q482" s="75">
        <v>13566.674814400192</v>
      </c>
      <c r="R482" s="75">
        <v>14083.869629377419</v>
      </c>
      <c r="S482" s="75">
        <v>14626.515562817305</v>
      </c>
      <c r="T482" s="75">
        <v>15196.408444288583</v>
      </c>
      <c r="U482" s="75">
        <v>15795.487686151009</v>
      </c>
      <c r="V482" s="75">
        <v>16425.847981398139</v>
      </c>
      <c r="W482" s="75">
        <v>16590.89059934855</v>
      </c>
      <c r="X482" s="75">
        <v>4513.4727088709406</v>
      </c>
    </row>
    <row r="483" spans="1:24" ht="13.2">
      <c r="A483" s="70" t="s">
        <v>32</v>
      </c>
      <c r="B483" s="496">
        <f>NPV(0.1,D483:Y483)</f>
        <v>88342.858683205253</v>
      </c>
      <c r="C483" s="496">
        <f>B483-B473</f>
        <v>-1018.0276388786588</v>
      </c>
      <c r="D483" s="503">
        <v>2669.614302552146</v>
      </c>
      <c r="E483" s="504">
        <v>4595.6124337058172</v>
      </c>
      <c r="F483" s="504">
        <v>4643.164146920536</v>
      </c>
      <c r="G483" s="504">
        <v>15232.171531804765</v>
      </c>
      <c r="H483" s="504">
        <v>15456.263464699536</v>
      </c>
      <c r="I483" s="504">
        <v>13613.714872581329</v>
      </c>
      <c r="J483" s="504">
        <v>13353.870078461674</v>
      </c>
      <c r="K483" s="504">
        <v>13306.55978402055</v>
      </c>
      <c r="L483" s="504">
        <v>13180.092015008744</v>
      </c>
      <c r="M483" s="504">
        <v>13027.752793081552</v>
      </c>
      <c r="N483" s="505">
        <v>12922.838149254907</v>
      </c>
      <c r="O483" s="75">
        <v>12943.1646036493</v>
      </c>
      <c r="P483" s="75">
        <v>12629.610382984774</v>
      </c>
      <c r="Q483" s="75">
        <v>12325.331190954623</v>
      </c>
      <c r="R483" s="75">
        <v>12135.045512429509</v>
      </c>
      <c r="S483" s="75">
        <v>10306.455240923746</v>
      </c>
      <c r="T483" s="75">
        <v>8450.3402617183674</v>
      </c>
      <c r="U483" s="75">
        <v>8182.8360923248765</v>
      </c>
      <c r="V483" s="75">
        <v>7883.6593430396642</v>
      </c>
      <c r="W483" s="75">
        <v>7377.4247373511917</v>
      </c>
      <c r="X483" s="75">
        <v>7670.675071313487</v>
      </c>
    </row>
    <row r="485" spans="1:24">
      <c r="A485" s="71" t="s">
        <v>672</v>
      </c>
    </row>
    <row r="486" spans="1:24">
      <c r="A486" s="442">
        <v>36340</v>
      </c>
    </row>
    <row r="487" spans="1:24" ht="13.2">
      <c r="A487" s="64" t="s">
        <v>368</v>
      </c>
      <c r="B487" s="65">
        <v>46934.446871415792</v>
      </c>
      <c r="C487" s="60"/>
      <c r="D487" s="60"/>
      <c r="E487" s="60"/>
      <c r="F487" s="60"/>
      <c r="G487" s="60"/>
      <c r="H487" s="60"/>
      <c r="I487" s="60"/>
      <c r="J487" s="60"/>
      <c r="K487" s="60"/>
      <c r="L487" s="60"/>
      <c r="M487" s="60"/>
      <c r="N487" s="60"/>
      <c r="O487" s="60"/>
      <c r="P487" s="60"/>
      <c r="Q487" s="60"/>
      <c r="R487" s="60"/>
      <c r="S487" s="60"/>
      <c r="T487" s="60"/>
      <c r="U487" s="60"/>
      <c r="V487" s="60"/>
      <c r="W487" s="60"/>
      <c r="X487" s="60"/>
    </row>
    <row r="488" spans="1:24" ht="13.2">
      <c r="A488" s="66" t="s">
        <v>369</v>
      </c>
      <c r="B488" s="67">
        <v>84219.369207959433</v>
      </c>
      <c r="C488" s="60"/>
      <c r="D488" s="60"/>
      <c r="E488" s="60"/>
      <c r="F488" s="60"/>
      <c r="G488" s="60"/>
      <c r="H488" s="60"/>
      <c r="I488" s="60"/>
      <c r="J488" s="60"/>
      <c r="K488" s="60"/>
      <c r="L488" s="60"/>
      <c r="M488" s="60"/>
      <c r="N488" s="60"/>
      <c r="O488" s="60"/>
      <c r="P488" s="60"/>
      <c r="Q488" s="60"/>
      <c r="R488" s="60"/>
      <c r="S488" s="60"/>
      <c r="T488" s="60"/>
      <c r="U488" s="60"/>
      <c r="V488" s="60"/>
      <c r="W488" s="60"/>
      <c r="X488" s="60"/>
    </row>
    <row r="489" spans="1:24" ht="13.2">
      <c r="A489" s="68" t="s">
        <v>370</v>
      </c>
      <c r="B489" s="495" t="s">
        <v>468</v>
      </c>
      <c r="C489" s="495" t="s">
        <v>469</v>
      </c>
      <c r="D489" s="497">
        <v>2000</v>
      </c>
      <c r="E489" s="498">
        <v>2001</v>
      </c>
      <c r="F489" s="498">
        <v>2002</v>
      </c>
      <c r="G489" s="498">
        <v>2003</v>
      </c>
      <c r="H489" s="498">
        <v>2004</v>
      </c>
      <c r="I489" s="498">
        <v>2005</v>
      </c>
      <c r="J489" s="498">
        <v>2006</v>
      </c>
      <c r="K489" s="498">
        <v>2007</v>
      </c>
      <c r="L489" s="498">
        <v>2008</v>
      </c>
      <c r="M489" s="498">
        <v>2009</v>
      </c>
      <c r="N489" s="499">
        <v>2010</v>
      </c>
      <c r="O489" s="69">
        <v>2011</v>
      </c>
      <c r="P489" s="69">
        <v>2012</v>
      </c>
      <c r="Q489" s="69">
        <v>2013</v>
      </c>
      <c r="R489" s="69">
        <v>2014</v>
      </c>
      <c r="S489" s="69">
        <v>2015</v>
      </c>
      <c r="T489" s="69">
        <v>2016</v>
      </c>
      <c r="U489" s="69">
        <v>2017</v>
      </c>
      <c r="V489" s="69">
        <v>2018</v>
      </c>
      <c r="W489" s="69">
        <v>2019</v>
      </c>
      <c r="X489" s="69">
        <v>2020</v>
      </c>
    </row>
    <row r="490" spans="1:24" ht="13.2">
      <c r="A490" s="68" t="s">
        <v>371</v>
      </c>
      <c r="B490" s="496">
        <f>NPV(0.1,D490:Y490)</f>
        <v>428674.72718973079</v>
      </c>
      <c r="C490" s="496">
        <f>B490-B480</f>
        <v>0</v>
      </c>
      <c r="D490" s="500">
        <v>25558.916333333334</v>
      </c>
      <c r="E490" s="501">
        <v>42219.347139999998</v>
      </c>
      <c r="F490" s="501">
        <v>42306.381254200001</v>
      </c>
      <c r="G490" s="501">
        <v>48051.887374565173</v>
      </c>
      <c r="H490" s="501">
        <v>53020.740884945684</v>
      </c>
      <c r="I490" s="501">
        <v>54118.212989494052</v>
      </c>
      <c r="J490" s="501">
        <v>54676.804443681482</v>
      </c>
      <c r="K490" s="501">
        <v>55234.999497089608</v>
      </c>
      <c r="L490" s="501">
        <v>55792.271633362907</v>
      </c>
      <c r="M490" s="501">
        <v>56348.063101925232</v>
      </c>
      <c r="N490" s="502">
        <v>56901.783517791264</v>
      </c>
      <c r="O490" s="75">
        <v>57452.808405477517</v>
      </c>
      <c r="P490" s="75">
        <v>58000.477684918958</v>
      </c>
      <c r="Q490" s="75">
        <v>57840.846300977355</v>
      </c>
      <c r="R490" s="75">
        <v>58358.576337874751</v>
      </c>
      <c r="S490" s="75">
        <v>58870.107918975104</v>
      </c>
      <c r="T490" s="75">
        <v>59374.6031798974</v>
      </c>
      <c r="U490" s="75">
        <v>59871.179563007965</v>
      </c>
      <c r="V490" s="75">
        <v>60358.907889903232</v>
      </c>
      <c r="W490" s="75">
        <v>59997.095712330716</v>
      </c>
      <c r="X490" s="75">
        <v>36212.446748320661</v>
      </c>
    </row>
    <row r="491" spans="1:24" ht="13.2">
      <c r="A491" s="70" t="s">
        <v>372</v>
      </c>
      <c r="B491" s="496">
        <f>NPV(0.1,D491:Y491)</f>
        <v>195984.98748364317</v>
      </c>
      <c r="C491" s="496">
        <f>B491-B481</f>
        <v>0</v>
      </c>
      <c r="D491" s="500">
        <v>13800.352212802769</v>
      </c>
      <c r="E491" s="501">
        <v>22061.892850034601</v>
      </c>
      <c r="F491" s="501">
        <v>22308.392521593691</v>
      </c>
      <c r="G491" s="501">
        <v>22653.524478808013</v>
      </c>
      <c r="H491" s="501">
        <v>22827.444932471593</v>
      </c>
      <c r="I491" s="501">
        <v>23058.638373188882</v>
      </c>
      <c r="J491" s="501">
        <v>23335.802890735518</v>
      </c>
      <c r="K491" s="501">
        <v>23640.586931957652</v>
      </c>
      <c r="L491" s="501">
        <v>23911.616033026785</v>
      </c>
      <c r="M491" s="501">
        <v>24113.097229132425</v>
      </c>
      <c r="N491" s="502">
        <v>24322.672485974963</v>
      </c>
      <c r="O491" s="75">
        <v>24710.242819334402</v>
      </c>
      <c r="P491" s="75">
        <v>24938.21620869535</v>
      </c>
      <c r="Q491" s="75">
        <v>25173.028799737123</v>
      </c>
      <c r="R491" s="75">
        <v>25414.885768510158</v>
      </c>
      <c r="S491" s="75">
        <v>25663.998446346373</v>
      </c>
      <c r="T491" s="75">
        <v>25920.584504517679</v>
      </c>
      <c r="U491" s="75">
        <v>26184.868144434127</v>
      </c>
      <c r="V491" s="75">
        <v>26457.080293548061</v>
      </c>
      <c r="W491" s="75">
        <v>26737.458807135423</v>
      </c>
      <c r="X491" s="75">
        <v>24298.789780346306</v>
      </c>
    </row>
    <row r="492" spans="1:24" ht="13.2">
      <c r="A492" s="70" t="s">
        <v>34</v>
      </c>
      <c r="B492" s="496">
        <f>NPV(0.1,D492:Y492)</f>
        <v>84163.599905477953</v>
      </c>
      <c r="C492" s="496">
        <f>B492-B482</f>
        <v>5993.7064716347377</v>
      </c>
      <c r="D492" s="500">
        <v>-147.08661531520232</v>
      </c>
      <c r="E492" s="501">
        <v>3976.7440643972222</v>
      </c>
      <c r="F492" s="501">
        <v>4076.9411079245356</v>
      </c>
      <c r="G492" s="501">
        <v>7623.3563966103347</v>
      </c>
      <c r="H492" s="501">
        <v>10820.023696936851</v>
      </c>
      <c r="I492" s="501">
        <v>11680.734401220607</v>
      </c>
      <c r="J492" s="501">
        <v>12157.106816022182</v>
      </c>
      <c r="K492" s="501">
        <v>12554.279486887313</v>
      </c>
      <c r="L492" s="501">
        <v>12970.957149627187</v>
      </c>
      <c r="M492" s="501">
        <v>13585.712780440695</v>
      </c>
      <c r="N492" s="502">
        <v>14302.911239879693</v>
      </c>
      <c r="O492" s="75">
        <v>14518.663519427841</v>
      </c>
      <c r="P492" s="75">
        <v>14856.897955976377</v>
      </c>
      <c r="Q492" s="75">
        <v>14770.873057125867</v>
      </c>
      <c r="R492" s="75">
        <v>15083.07303988186</v>
      </c>
      <c r="S492" s="75">
        <v>15387.280113515717</v>
      </c>
      <c r="T492" s="75">
        <v>15682.867200788787</v>
      </c>
      <c r="U492" s="75">
        <v>16117.4848969463</v>
      </c>
      <c r="V492" s="75">
        <v>16601.459139125916</v>
      </c>
      <c r="W492" s="75">
        <v>16664.867994237378</v>
      </c>
      <c r="X492" s="75">
        <v>4513.4727088709406</v>
      </c>
    </row>
    <row r="493" spans="1:24" ht="13.2">
      <c r="A493" s="70" t="s">
        <v>32</v>
      </c>
      <c r="B493" s="496">
        <f>NPV(0.1,D493:Y493)</f>
        <v>89562.372195147473</v>
      </c>
      <c r="C493" s="496">
        <f>B493-B483</f>
        <v>1219.5135119422193</v>
      </c>
      <c r="D493" s="503">
        <v>-2147.9620739628035</v>
      </c>
      <c r="E493" s="504">
        <v>6563.2750529099649</v>
      </c>
      <c r="F493" s="504">
        <v>5038.1652027715427</v>
      </c>
      <c r="G493" s="504">
        <v>9045.2355521414574</v>
      </c>
      <c r="H493" s="504">
        <v>14416.58762917075</v>
      </c>
      <c r="I493" s="504">
        <v>13521.257837638246</v>
      </c>
      <c r="J493" s="504">
        <v>13091.522902649025</v>
      </c>
      <c r="K493" s="504">
        <v>13524.127736187371</v>
      </c>
      <c r="L493" s="504">
        <v>10355.016410161981</v>
      </c>
      <c r="M493" s="504">
        <v>8519.5508023493785</v>
      </c>
      <c r="N493" s="505">
        <v>18120.394916390091</v>
      </c>
      <c r="O493" s="75">
        <v>17899.556606598126</v>
      </c>
      <c r="P493" s="75">
        <v>18072.928680804274</v>
      </c>
      <c r="Q493" s="75">
        <v>17990.644313277808</v>
      </c>
      <c r="R493" s="75">
        <v>18303.690869095746</v>
      </c>
      <c r="S493" s="75">
        <v>16995.927621840925</v>
      </c>
      <c r="T493" s="75">
        <v>12589.369564471264</v>
      </c>
      <c r="U493" s="75">
        <v>11796.801833418343</v>
      </c>
      <c r="V493" s="75">
        <v>10436.591658864996</v>
      </c>
      <c r="W493" s="75">
        <v>9265.2865222863511</v>
      </c>
      <c r="X493" s="75">
        <v>7670.675071313487</v>
      </c>
    </row>
    <row r="495" spans="1:24">
      <c r="A495" s="71" t="s">
        <v>674</v>
      </c>
    </row>
    <row r="496" spans="1:24">
      <c r="A496" s="442">
        <v>36343</v>
      </c>
    </row>
    <row r="497" spans="1:24" ht="13.2">
      <c r="A497" s="64" t="s">
        <v>368</v>
      </c>
      <c r="B497" s="65">
        <v>44229.265306314337</v>
      </c>
      <c r="C497" s="60"/>
      <c r="D497" s="60"/>
      <c r="E497" s="60"/>
      <c r="F497" s="60"/>
      <c r="G497" s="60"/>
      <c r="H497" s="60"/>
      <c r="I497" s="60"/>
      <c r="J497" s="60"/>
      <c r="K497" s="60"/>
      <c r="L497" s="60"/>
      <c r="M497" s="60"/>
      <c r="N497" s="60"/>
      <c r="O497" s="60"/>
      <c r="P497" s="60"/>
      <c r="Q497" s="60"/>
      <c r="R497" s="60"/>
      <c r="S497" s="60"/>
      <c r="T497" s="60"/>
      <c r="U497" s="60"/>
      <c r="V497" s="60"/>
      <c r="W497" s="60"/>
      <c r="X497" s="60"/>
    </row>
    <row r="498" spans="1:24" ht="13.2">
      <c r="A498" s="66" t="s">
        <v>369</v>
      </c>
      <c r="B498" s="67">
        <v>80971.488207959439</v>
      </c>
      <c r="C498" s="60"/>
      <c r="D498" s="60"/>
      <c r="E498" s="60"/>
      <c r="F498" s="60"/>
      <c r="G498" s="60"/>
      <c r="H498" s="60"/>
      <c r="I498" s="60"/>
      <c r="J498" s="60"/>
      <c r="K498" s="60"/>
      <c r="L498" s="60"/>
      <c r="M498" s="60"/>
      <c r="N498" s="60"/>
      <c r="O498" s="60"/>
      <c r="P498" s="60"/>
      <c r="Q498" s="60"/>
      <c r="R498" s="60"/>
      <c r="S498" s="60"/>
      <c r="T498" s="60"/>
      <c r="U498" s="60"/>
      <c r="V498" s="60"/>
      <c r="W498" s="60"/>
      <c r="X498" s="60"/>
    </row>
    <row r="499" spans="1:24" ht="13.2">
      <c r="A499" s="68" t="s">
        <v>370</v>
      </c>
      <c r="B499" s="495" t="s">
        <v>468</v>
      </c>
      <c r="C499" s="495" t="s">
        <v>469</v>
      </c>
      <c r="D499" s="497">
        <v>2000</v>
      </c>
      <c r="E499" s="498">
        <v>2001</v>
      </c>
      <c r="F499" s="498">
        <v>2002</v>
      </c>
      <c r="G499" s="498">
        <v>2003</v>
      </c>
      <c r="H499" s="498">
        <v>2004</v>
      </c>
      <c r="I499" s="498">
        <v>2005</v>
      </c>
      <c r="J499" s="498">
        <v>2006</v>
      </c>
      <c r="K499" s="498">
        <v>2007</v>
      </c>
      <c r="L499" s="498">
        <v>2008</v>
      </c>
      <c r="M499" s="498">
        <v>2009</v>
      </c>
      <c r="N499" s="499">
        <v>2010</v>
      </c>
      <c r="O499" s="69">
        <v>2011</v>
      </c>
      <c r="P499" s="69">
        <v>2012</v>
      </c>
      <c r="Q499" s="69">
        <v>2013</v>
      </c>
      <c r="R499" s="69">
        <v>2014</v>
      </c>
      <c r="S499" s="69">
        <v>2015</v>
      </c>
      <c r="T499" s="69">
        <v>2016</v>
      </c>
      <c r="U499" s="69">
        <v>2017</v>
      </c>
      <c r="V499" s="69">
        <v>2018</v>
      </c>
      <c r="W499" s="69">
        <v>2019</v>
      </c>
      <c r="X499" s="69">
        <v>2020</v>
      </c>
    </row>
    <row r="500" spans="1:24" ht="13.2">
      <c r="A500" s="68" t="s">
        <v>371</v>
      </c>
      <c r="B500" s="496">
        <f>NPV(0.1,D500:Y500)</f>
        <v>428674.72718973079</v>
      </c>
      <c r="C500" s="496">
        <f>B500-B490</f>
        <v>0</v>
      </c>
      <c r="D500" s="500">
        <v>25558.916333333334</v>
      </c>
      <c r="E500" s="501">
        <v>42219.347139999998</v>
      </c>
      <c r="F500" s="501">
        <v>42306.381254200001</v>
      </c>
      <c r="G500" s="501">
        <v>48051.887374565173</v>
      </c>
      <c r="H500" s="501">
        <v>53020.740884945684</v>
      </c>
      <c r="I500" s="501">
        <v>54118.212989494052</v>
      </c>
      <c r="J500" s="501">
        <v>54676.804443681482</v>
      </c>
      <c r="K500" s="501">
        <v>55234.999497089608</v>
      </c>
      <c r="L500" s="501">
        <v>55792.271633362907</v>
      </c>
      <c r="M500" s="501">
        <v>56348.063101925232</v>
      </c>
      <c r="N500" s="502">
        <v>56901.783517791264</v>
      </c>
      <c r="O500" s="75">
        <v>57452.808405477517</v>
      </c>
      <c r="P500" s="75">
        <v>58000.477684918958</v>
      </c>
      <c r="Q500" s="75">
        <v>57840.846300977355</v>
      </c>
      <c r="R500" s="75">
        <v>58358.576337874751</v>
      </c>
      <c r="S500" s="75">
        <v>58870.107918975104</v>
      </c>
      <c r="T500" s="75">
        <v>59374.6031798974</v>
      </c>
      <c r="U500" s="75">
        <v>59871.179563007965</v>
      </c>
      <c r="V500" s="75">
        <v>60358.907889903232</v>
      </c>
      <c r="W500" s="75">
        <v>59997.095712330716</v>
      </c>
      <c r="X500" s="75">
        <v>36212.446748320661</v>
      </c>
    </row>
    <row r="501" spans="1:24" ht="13.2">
      <c r="A501" s="70" t="s">
        <v>372</v>
      </c>
      <c r="B501" s="496">
        <f>NPV(0.1,D501:Y501)</f>
        <v>195984.98748364317</v>
      </c>
      <c r="C501" s="496">
        <f>B501-B491</f>
        <v>0</v>
      </c>
      <c r="D501" s="500">
        <v>13800.352212802769</v>
      </c>
      <c r="E501" s="501">
        <v>22061.892850034601</v>
      </c>
      <c r="F501" s="501">
        <v>22308.392521593691</v>
      </c>
      <c r="G501" s="501">
        <v>22653.524478808013</v>
      </c>
      <c r="H501" s="501">
        <v>22827.444932471593</v>
      </c>
      <c r="I501" s="501">
        <v>23058.638373188882</v>
      </c>
      <c r="J501" s="501">
        <v>23335.802890735518</v>
      </c>
      <c r="K501" s="501">
        <v>23640.586931957652</v>
      </c>
      <c r="L501" s="501">
        <v>23911.616033026785</v>
      </c>
      <c r="M501" s="501">
        <v>24113.097229132425</v>
      </c>
      <c r="N501" s="502">
        <v>24322.672485974963</v>
      </c>
      <c r="O501" s="75">
        <v>24710.242819334402</v>
      </c>
      <c r="P501" s="75">
        <v>24938.21620869535</v>
      </c>
      <c r="Q501" s="75">
        <v>25173.028799737123</v>
      </c>
      <c r="R501" s="75">
        <v>25414.885768510158</v>
      </c>
      <c r="S501" s="75">
        <v>25663.998446346373</v>
      </c>
      <c r="T501" s="75">
        <v>25920.584504517679</v>
      </c>
      <c r="U501" s="75">
        <v>26184.868144434127</v>
      </c>
      <c r="V501" s="75">
        <v>26457.080293548061</v>
      </c>
      <c r="W501" s="75">
        <v>26737.458807135423</v>
      </c>
      <c r="X501" s="75">
        <v>24298.789780346306</v>
      </c>
    </row>
    <row r="502" spans="1:24" ht="13.2">
      <c r="A502" s="70" t="s">
        <v>34</v>
      </c>
      <c r="B502" s="496">
        <f>NPV(0.1,D502:Y502)</f>
        <v>83663.765830339413</v>
      </c>
      <c r="C502" s="496">
        <f>B502-B492</f>
        <v>-499.83407513854036</v>
      </c>
      <c r="D502" s="500">
        <v>-186.85876822811878</v>
      </c>
      <c r="E502" s="501">
        <v>3908.5632308322211</v>
      </c>
      <c r="F502" s="501">
        <v>4008.7602743595353</v>
      </c>
      <c r="G502" s="501">
        <v>7558.9099945253338</v>
      </c>
      <c r="H502" s="501">
        <v>10755.57729485185</v>
      </c>
      <c r="I502" s="501">
        <v>11621.462244231439</v>
      </c>
      <c r="J502" s="501">
        <v>12101.530548387182</v>
      </c>
      <c r="K502" s="501">
        <v>12498.703219252315</v>
      </c>
      <c r="L502" s="501">
        <v>12915.380881992187</v>
      </c>
      <c r="M502" s="501">
        <v>13530.136512805695</v>
      </c>
      <c r="N502" s="502">
        <v>14247.334972244693</v>
      </c>
      <c r="O502" s="75">
        <v>14463.087251792842</v>
      </c>
      <c r="P502" s="75">
        <v>14801.321688341379</v>
      </c>
      <c r="Q502" s="75">
        <v>14715.296789490865</v>
      </c>
      <c r="R502" s="75">
        <v>15027.496772246861</v>
      </c>
      <c r="S502" s="75">
        <v>15331.703845880716</v>
      </c>
      <c r="T502" s="75">
        <v>15627.290933153789</v>
      </c>
      <c r="U502" s="75">
        <v>16061.908629311303</v>
      </c>
      <c r="V502" s="75">
        <v>16545.882871490914</v>
      </c>
      <c r="W502" s="75">
        <v>16609.29172660238</v>
      </c>
      <c r="X502" s="75">
        <v>4457.8964412359401</v>
      </c>
    </row>
    <row r="503" spans="1:24" ht="13.2">
      <c r="A503" s="70" t="s">
        <v>32</v>
      </c>
      <c r="B503" s="496">
        <f>NPV(0.1,D503:Y503)</f>
        <v>90153.307036705708</v>
      </c>
      <c r="C503" s="496">
        <f>B503-B493</f>
        <v>590.93484155823535</v>
      </c>
      <c r="D503" s="503">
        <v>-2147.9620739628035</v>
      </c>
      <c r="E503" s="504">
        <v>6563.2750529099649</v>
      </c>
      <c r="F503" s="504">
        <v>5038.1652027715427</v>
      </c>
      <c r="G503" s="504">
        <v>9048.9699836214568</v>
      </c>
      <c r="H503" s="504">
        <v>14895.167197030514</v>
      </c>
      <c r="I503" s="504">
        <v>13600.477447358262</v>
      </c>
      <c r="J503" s="504">
        <v>13164.263009791523</v>
      </c>
      <c r="K503" s="504">
        <v>13596.987583704822</v>
      </c>
      <c r="L503" s="504">
        <v>10427.756517304477</v>
      </c>
      <c r="M503" s="504">
        <v>8592.4106498668298</v>
      </c>
      <c r="N503" s="505">
        <v>18193.135023532588</v>
      </c>
      <c r="O503" s="75">
        <v>17972.416454115581</v>
      </c>
      <c r="P503" s="75">
        <v>18145.668787946772</v>
      </c>
      <c r="Q503" s="75">
        <v>18063.504160795259</v>
      </c>
      <c r="R503" s="75">
        <v>18376.430976238247</v>
      </c>
      <c r="S503" s="75">
        <v>17033.344318373172</v>
      </c>
      <c r="T503" s="75">
        <v>12591.462850393269</v>
      </c>
      <c r="U503" s="75">
        <v>11798.895119340348</v>
      </c>
      <c r="V503" s="75">
        <v>10438.684944787003</v>
      </c>
      <c r="W503" s="75">
        <v>9267.3798082083485</v>
      </c>
      <c r="X503" s="75">
        <v>7672.7683572354863</v>
      </c>
    </row>
    <row r="505" spans="1:24">
      <c r="A505" s="71" t="s">
        <v>681</v>
      </c>
    </row>
    <row r="506" spans="1:24">
      <c r="A506" s="442">
        <v>36349</v>
      </c>
    </row>
    <row r="507" spans="1:24" ht="13.2">
      <c r="A507" s="64" t="s">
        <v>368</v>
      </c>
      <c r="B507" s="65">
        <v>48825.935947504819</v>
      </c>
      <c r="C507" s="60"/>
      <c r="D507" s="60"/>
      <c r="E507" s="60"/>
      <c r="F507" s="60"/>
      <c r="G507" s="60"/>
      <c r="H507" s="60"/>
      <c r="I507" s="60"/>
      <c r="J507" s="60"/>
      <c r="K507" s="60"/>
      <c r="L507" s="60"/>
      <c r="M507" s="60"/>
      <c r="N507" s="60"/>
      <c r="O507" s="60"/>
      <c r="P507" s="60"/>
      <c r="Q507" s="60"/>
      <c r="R507" s="60"/>
      <c r="S507" s="60"/>
      <c r="T507" s="60"/>
      <c r="U507" s="60"/>
      <c r="V507" s="60"/>
      <c r="W507" s="60"/>
      <c r="X507" s="60"/>
    </row>
    <row r="508" spans="1:24" ht="13.2">
      <c r="A508" s="66" t="s">
        <v>369</v>
      </c>
      <c r="B508" s="67">
        <v>85534.642414189584</v>
      </c>
      <c r="C508" s="60"/>
      <c r="D508" s="60"/>
      <c r="E508" s="60"/>
      <c r="F508" s="60"/>
      <c r="G508" s="60"/>
      <c r="H508" s="60"/>
      <c r="I508" s="60"/>
      <c r="J508" s="60"/>
      <c r="K508" s="60"/>
      <c r="L508" s="60"/>
      <c r="M508" s="60"/>
      <c r="N508" s="60"/>
      <c r="O508" s="60"/>
      <c r="P508" s="60"/>
      <c r="Q508" s="60"/>
      <c r="R508" s="60"/>
      <c r="S508" s="60"/>
      <c r="T508" s="60"/>
      <c r="U508" s="60"/>
      <c r="V508" s="60"/>
      <c r="W508" s="60"/>
      <c r="X508" s="60"/>
    </row>
    <row r="509" spans="1:24" ht="13.2">
      <c r="A509" s="68" t="s">
        <v>370</v>
      </c>
      <c r="B509" s="495" t="s">
        <v>468</v>
      </c>
      <c r="C509" s="495" t="s">
        <v>469</v>
      </c>
      <c r="D509" s="497">
        <v>2000</v>
      </c>
      <c r="E509" s="498">
        <v>2001</v>
      </c>
      <c r="F509" s="498">
        <v>2002</v>
      </c>
      <c r="G509" s="498">
        <v>2003</v>
      </c>
      <c r="H509" s="498">
        <v>2004</v>
      </c>
      <c r="I509" s="498">
        <v>2005</v>
      </c>
      <c r="J509" s="498">
        <v>2006</v>
      </c>
      <c r="K509" s="498">
        <v>2007</v>
      </c>
      <c r="L509" s="498">
        <v>2008</v>
      </c>
      <c r="M509" s="498">
        <v>2009</v>
      </c>
      <c r="N509" s="499">
        <v>2010</v>
      </c>
      <c r="O509" s="69">
        <v>2011</v>
      </c>
      <c r="P509" s="69">
        <v>2012</v>
      </c>
      <c r="Q509" s="69">
        <v>2013</v>
      </c>
      <c r="R509" s="69">
        <v>2014</v>
      </c>
      <c r="S509" s="69">
        <v>2015</v>
      </c>
      <c r="T509" s="69">
        <v>2016</v>
      </c>
      <c r="U509" s="69">
        <v>2017</v>
      </c>
      <c r="V509" s="69">
        <v>2018</v>
      </c>
      <c r="W509" s="69">
        <v>2019</v>
      </c>
      <c r="X509" s="69">
        <v>2020</v>
      </c>
    </row>
    <row r="510" spans="1:24" ht="13.2">
      <c r="A510" s="68" t="s">
        <v>371</v>
      </c>
      <c r="B510" s="496">
        <f>NPV(0.1,D510:Y510)</f>
        <v>428674.72718973079</v>
      </c>
      <c r="C510" s="496">
        <f>B510-B500</f>
        <v>0</v>
      </c>
      <c r="D510" s="500">
        <v>25558.916333333334</v>
      </c>
      <c r="E510" s="501">
        <v>42219.347139999998</v>
      </c>
      <c r="F510" s="501">
        <v>42306.381254200001</v>
      </c>
      <c r="G510" s="501">
        <v>48051.887374565173</v>
      </c>
      <c r="H510" s="501">
        <v>53020.740884945684</v>
      </c>
      <c r="I510" s="501">
        <v>54118.212989494052</v>
      </c>
      <c r="J510" s="501">
        <v>54676.804443681482</v>
      </c>
      <c r="K510" s="501">
        <v>55234.999497089608</v>
      </c>
      <c r="L510" s="501">
        <v>55792.271633362907</v>
      </c>
      <c r="M510" s="501">
        <v>56348.063101925232</v>
      </c>
      <c r="N510" s="502">
        <v>56901.783517791264</v>
      </c>
      <c r="O510" s="75">
        <v>57452.808405477517</v>
      </c>
      <c r="P510" s="75">
        <v>58000.477684918958</v>
      </c>
      <c r="Q510" s="75">
        <v>57840.846300977355</v>
      </c>
      <c r="R510" s="75">
        <v>58358.576337874751</v>
      </c>
      <c r="S510" s="75">
        <v>58870.107918975104</v>
      </c>
      <c r="T510" s="75">
        <v>59374.6031798974</v>
      </c>
      <c r="U510" s="75">
        <v>59871.179563007965</v>
      </c>
      <c r="V510" s="75">
        <v>60358.907889903232</v>
      </c>
      <c r="W510" s="75">
        <v>59997.095712330716</v>
      </c>
      <c r="X510" s="75">
        <v>36212.446748320661</v>
      </c>
    </row>
    <row r="511" spans="1:24" ht="13.2">
      <c r="A511" s="70" t="s">
        <v>372</v>
      </c>
      <c r="B511" s="496">
        <f>NPV(0.1,D511:Y511)</f>
        <v>196118.42353939742</v>
      </c>
      <c r="C511" s="496">
        <f>B511-B501</f>
        <v>133.43605575425318</v>
      </c>
      <c r="D511" s="500">
        <v>13947.131874132449</v>
      </c>
      <c r="E511" s="501">
        <v>22061.892850034601</v>
      </c>
      <c r="F511" s="501">
        <v>22308.392521593691</v>
      </c>
      <c r="G511" s="501">
        <v>22653.524478808013</v>
      </c>
      <c r="H511" s="501">
        <v>22827.444932471593</v>
      </c>
      <c r="I511" s="501">
        <v>23058.638373188882</v>
      </c>
      <c r="J511" s="501">
        <v>23335.802890735518</v>
      </c>
      <c r="K511" s="501">
        <v>23640.586931957652</v>
      </c>
      <c r="L511" s="501">
        <v>23911.616033026785</v>
      </c>
      <c r="M511" s="501">
        <v>24113.097229132425</v>
      </c>
      <c r="N511" s="502">
        <v>24322.672485974963</v>
      </c>
      <c r="O511" s="75">
        <v>24710.242819334402</v>
      </c>
      <c r="P511" s="75">
        <v>24938.21620869535</v>
      </c>
      <c r="Q511" s="75">
        <v>25173.028799737123</v>
      </c>
      <c r="R511" s="75">
        <v>25414.885768510158</v>
      </c>
      <c r="S511" s="75">
        <v>25663.998446346373</v>
      </c>
      <c r="T511" s="75">
        <v>25920.584504517679</v>
      </c>
      <c r="U511" s="75">
        <v>26184.868144434127</v>
      </c>
      <c r="V511" s="75">
        <v>26457.080293548061</v>
      </c>
      <c r="W511" s="75">
        <v>26737.458807135423</v>
      </c>
      <c r="X511" s="75">
        <v>24298.789780346306</v>
      </c>
    </row>
    <row r="512" spans="1:24" ht="13.2">
      <c r="A512" s="70" t="s">
        <v>34</v>
      </c>
      <c r="B512" s="496">
        <f>NPV(0.1,D512:Y512)</f>
        <v>85384.68571758148</v>
      </c>
      <c r="C512" s="496">
        <f>B512-B502</f>
        <v>1720.9198872420675</v>
      </c>
      <c r="D512" s="500">
        <v>-212.30227033314705</v>
      </c>
      <c r="E512" s="501">
        <v>4016.3898188202211</v>
      </c>
      <c r="F512" s="501">
        <v>4116.9524056271748</v>
      </c>
      <c r="G512" s="501">
        <v>7712.2138359140881</v>
      </c>
      <c r="H512" s="501">
        <v>10973.713417235722</v>
      </c>
      <c r="I512" s="501">
        <v>11857.159561157479</v>
      </c>
      <c r="J512" s="501">
        <v>12346.96423143074</v>
      </c>
      <c r="K512" s="501">
        <v>12752.192044661948</v>
      </c>
      <c r="L512" s="501">
        <v>13177.320434605237</v>
      </c>
      <c r="M512" s="501">
        <v>13804.544053500005</v>
      </c>
      <c r="N512" s="502">
        <v>14536.288165546288</v>
      </c>
      <c r="O512" s="75">
        <v>14756.416162395886</v>
      </c>
      <c r="P512" s="75">
        <v>15101.51040260003</v>
      </c>
      <c r="Q512" s="75">
        <v>15013.740814705934</v>
      </c>
      <c r="R512" s="75">
        <v>15332.272590891493</v>
      </c>
      <c r="S512" s="75">
        <v>15642.649352086051</v>
      </c>
      <c r="T512" s="75">
        <v>15944.23130316577</v>
      </c>
      <c r="U512" s="75">
        <v>16387.663572112848</v>
      </c>
      <c r="V512" s="75">
        <v>16881.453397559497</v>
      </c>
      <c r="W512" s="75">
        <v>16946.148260980855</v>
      </c>
      <c r="X512" s="75">
        <v>4548.3079753658212</v>
      </c>
    </row>
    <row r="513" spans="1:24" ht="13.2">
      <c r="A513" s="70" t="s">
        <v>32</v>
      </c>
      <c r="B513" s="496">
        <f>NPV(0.1,D513:Y513)</f>
        <v>95343.166031520595</v>
      </c>
      <c r="C513" s="496">
        <f>B513-B503</f>
        <v>5189.8589948148874</v>
      </c>
      <c r="D513" s="503">
        <v>-1958.9142737294235</v>
      </c>
      <c r="E513" s="504">
        <v>6871.351018589965</v>
      </c>
      <c r="F513" s="504">
        <v>5347.2855778219418</v>
      </c>
      <c r="G513" s="504">
        <v>9486.9809590178957</v>
      </c>
      <c r="H513" s="504">
        <v>15574.775274875707</v>
      </c>
      <c r="I513" s="504">
        <v>14273.898352861233</v>
      </c>
      <c r="J513" s="504">
        <v>13865.502104201687</v>
      </c>
      <c r="K513" s="504">
        <v>14321.241370589492</v>
      </c>
      <c r="L513" s="504">
        <v>11176.155239056045</v>
      </c>
      <c r="M513" s="504">
        <v>9376.4321947077224</v>
      </c>
      <c r="N513" s="505">
        <v>19018.715575822862</v>
      </c>
      <c r="O513" s="75">
        <v>18810.499055838558</v>
      </c>
      <c r="P513" s="75">
        <v>19003.350828685776</v>
      </c>
      <c r="Q513" s="75">
        <v>18916.201375695455</v>
      </c>
      <c r="R513" s="75">
        <v>19247.219029508618</v>
      </c>
      <c r="S513" s="75">
        <v>17921.760050388417</v>
      </c>
      <c r="T513" s="75">
        <v>13497.006764713216</v>
      </c>
      <c r="U513" s="75">
        <v>12729.623527344753</v>
      </c>
      <c r="V513" s="75">
        <v>11397.457876411527</v>
      </c>
      <c r="W513" s="75">
        <v>10229.827049289695</v>
      </c>
      <c r="X513" s="75">
        <v>7931.0870261780028</v>
      </c>
    </row>
    <row r="515" spans="1:24">
      <c r="A515" s="71" t="s">
        <v>683</v>
      </c>
    </row>
    <row r="516" spans="1:24">
      <c r="A516" s="442">
        <v>36362</v>
      </c>
    </row>
    <row r="517" spans="1:24" customFormat="1" ht="13.2">
      <c r="A517" s="64" t="s">
        <v>368</v>
      </c>
      <c r="B517" s="65">
        <v>48755.243080901695</v>
      </c>
      <c r="C517" s="60"/>
      <c r="D517" s="60"/>
      <c r="E517" s="60"/>
      <c r="F517" s="60"/>
      <c r="G517" s="60"/>
      <c r="H517" s="60"/>
      <c r="I517" s="60"/>
      <c r="J517" s="60"/>
      <c r="K517" s="60"/>
      <c r="L517" s="60"/>
      <c r="M517" s="60"/>
      <c r="N517" s="60"/>
      <c r="O517" s="60"/>
      <c r="P517" s="60"/>
      <c r="Q517" s="60"/>
      <c r="R517" s="60"/>
      <c r="S517" s="60"/>
      <c r="T517" s="60"/>
      <c r="U517" s="60"/>
      <c r="V517" s="60"/>
      <c r="W517" s="60"/>
      <c r="X517" s="60"/>
    </row>
    <row r="518" spans="1:24" customFormat="1" ht="13.2">
      <c r="A518" s="66" t="s">
        <v>369</v>
      </c>
      <c r="B518" s="67">
        <v>85511.271610886819</v>
      </c>
      <c r="C518" s="60"/>
      <c r="D518" s="60"/>
      <c r="E518" s="60"/>
      <c r="F518" s="60"/>
      <c r="G518" s="60"/>
      <c r="H518" s="60"/>
      <c r="I518" s="60"/>
      <c r="J518" s="60"/>
      <c r="K518" s="60"/>
      <c r="L518" s="60"/>
      <c r="M518" s="60"/>
      <c r="N518" s="60"/>
      <c r="O518" s="60"/>
      <c r="P518" s="60"/>
      <c r="Q518" s="60"/>
      <c r="R518" s="60"/>
      <c r="S518" s="60"/>
      <c r="T518" s="60"/>
      <c r="U518" s="60"/>
      <c r="V518" s="60"/>
      <c r="W518" s="60"/>
      <c r="X518" s="60"/>
    </row>
    <row r="519" spans="1:24" customFormat="1" ht="13.2">
      <c r="A519" s="68" t="s">
        <v>370</v>
      </c>
      <c r="B519" s="495" t="s">
        <v>468</v>
      </c>
      <c r="C519" s="495" t="s">
        <v>469</v>
      </c>
      <c r="D519" s="497">
        <v>2000</v>
      </c>
      <c r="E519" s="498">
        <v>2001</v>
      </c>
      <c r="F519" s="498">
        <v>2002</v>
      </c>
      <c r="G519" s="498">
        <v>2003</v>
      </c>
      <c r="H519" s="498">
        <v>2004</v>
      </c>
      <c r="I519" s="498">
        <v>2005</v>
      </c>
      <c r="J519" s="498">
        <v>2006</v>
      </c>
      <c r="K519" s="498">
        <v>2007</v>
      </c>
      <c r="L519" s="498">
        <v>2008</v>
      </c>
      <c r="M519" s="498">
        <v>2009</v>
      </c>
      <c r="N519" s="499">
        <v>2010</v>
      </c>
      <c r="O519" s="69">
        <v>2011</v>
      </c>
      <c r="P519" s="69">
        <v>2012</v>
      </c>
      <c r="Q519" s="69">
        <v>2013</v>
      </c>
      <c r="R519" s="69">
        <v>2014</v>
      </c>
      <c r="S519" s="69">
        <v>2015</v>
      </c>
      <c r="T519" s="69">
        <v>2016</v>
      </c>
      <c r="U519" s="69">
        <v>2017</v>
      </c>
      <c r="V519" s="69">
        <v>2018</v>
      </c>
      <c r="W519" s="69">
        <v>2019</v>
      </c>
      <c r="X519" s="69">
        <v>2020</v>
      </c>
    </row>
    <row r="520" spans="1:24" customFormat="1" ht="13.2">
      <c r="A520" s="68" t="s">
        <v>371</v>
      </c>
      <c r="B520" s="496">
        <f>NPV(0.1,D520:Y520)</f>
        <v>428674.72718973079</v>
      </c>
      <c r="C520" s="496">
        <f>B520-B510</f>
        <v>0</v>
      </c>
      <c r="D520" s="500">
        <v>25558.916333333334</v>
      </c>
      <c r="E520" s="501">
        <v>42219.347139999998</v>
      </c>
      <c r="F520" s="501">
        <v>42306.381254200001</v>
      </c>
      <c r="G520" s="501">
        <v>48051.887374565173</v>
      </c>
      <c r="H520" s="501">
        <v>53020.740884945684</v>
      </c>
      <c r="I520" s="501">
        <v>54118.212989494052</v>
      </c>
      <c r="J520" s="501">
        <v>54676.804443681482</v>
      </c>
      <c r="K520" s="501">
        <v>55234.999497089608</v>
      </c>
      <c r="L520" s="501">
        <v>55792.271633362907</v>
      </c>
      <c r="M520" s="501">
        <v>56348.063101925232</v>
      </c>
      <c r="N520" s="502">
        <v>56901.783517791264</v>
      </c>
      <c r="O520" s="75">
        <v>57452.808405477517</v>
      </c>
      <c r="P520" s="75">
        <v>58000.477684918958</v>
      </c>
      <c r="Q520" s="75">
        <v>57840.846300977355</v>
      </c>
      <c r="R520" s="75">
        <v>58358.576337874751</v>
      </c>
      <c r="S520" s="75">
        <v>58870.107918975104</v>
      </c>
      <c r="T520" s="75">
        <v>59374.6031798974</v>
      </c>
      <c r="U520" s="75">
        <v>59871.179563007965</v>
      </c>
      <c r="V520" s="75">
        <v>60358.907889903232</v>
      </c>
      <c r="W520" s="75">
        <v>59997.095712330716</v>
      </c>
      <c r="X520" s="75">
        <v>36212.446748320661</v>
      </c>
    </row>
    <row r="521" spans="1:24" customFormat="1" ht="13.2">
      <c r="A521" s="70" t="s">
        <v>372</v>
      </c>
      <c r="B521" s="496">
        <f>NPV(0.1,D521:Y521)</f>
        <v>196118.42353939742</v>
      </c>
      <c r="C521" s="496">
        <f>B521-B511</f>
        <v>0</v>
      </c>
      <c r="D521" s="500">
        <v>13947.131874132449</v>
      </c>
      <c r="E521" s="501">
        <v>22061.892850034601</v>
      </c>
      <c r="F521" s="501">
        <v>22308.392521593691</v>
      </c>
      <c r="G521" s="501">
        <v>22653.524478808013</v>
      </c>
      <c r="H521" s="501">
        <v>22827.444932471593</v>
      </c>
      <c r="I521" s="501">
        <v>23058.638373188882</v>
      </c>
      <c r="J521" s="501">
        <v>23335.802890735518</v>
      </c>
      <c r="K521" s="501">
        <v>23640.586931957652</v>
      </c>
      <c r="L521" s="501">
        <v>23911.616033026785</v>
      </c>
      <c r="M521" s="501">
        <v>24113.097229132425</v>
      </c>
      <c r="N521" s="502">
        <v>24322.672485974963</v>
      </c>
      <c r="O521" s="75">
        <v>24710.242819334402</v>
      </c>
      <c r="P521" s="75">
        <v>24938.21620869535</v>
      </c>
      <c r="Q521" s="75">
        <v>25173.028799737123</v>
      </c>
      <c r="R521" s="75">
        <v>25414.885768510158</v>
      </c>
      <c r="S521" s="75">
        <v>25663.998446346373</v>
      </c>
      <c r="T521" s="75">
        <v>25920.584504517679</v>
      </c>
      <c r="U521" s="75">
        <v>26184.868144434127</v>
      </c>
      <c r="V521" s="75">
        <v>26457.080293548061</v>
      </c>
      <c r="W521" s="75">
        <v>26737.458807135423</v>
      </c>
      <c r="X521" s="75">
        <v>24298.789780346306</v>
      </c>
    </row>
    <row r="522" spans="1:24" customFormat="1" ht="13.2">
      <c r="A522" s="70" t="s">
        <v>34</v>
      </c>
      <c r="B522" s="496">
        <f>NPV(0.1,D522:Y522)</f>
        <v>85483.537874753078</v>
      </c>
      <c r="C522" s="496">
        <f>B522-B512</f>
        <v>98.852157171597355</v>
      </c>
      <c r="D522" s="500">
        <v>-195.68894565064687</v>
      </c>
      <c r="E522" s="501">
        <v>4044.8698039902201</v>
      </c>
      <c r="F522" s="501">
        <v>4145.4323907971739</v>
      </c>
      <c r="G522" s="501">
        <v>7739.6798739680871</v>
      </c>
      <c r="H522" s="501">
        <v>11001.179455289723</v>
      </c>
      <c r="I522" s="501">
        <v>11868.167214086479</v>
      </c>
      <c r="J522" s="501">
        <v>12346.215894984738</v>
      </c>
      <c r="K522" s="501">
        <v>12751.443708215947</v>
      </c>
      <c r="L522" s="501">
        <v>13176.572098159239</v>
      </c>
      <c r="M522" s="501">
        <v>13803.795717054007</v>
      </c>
      <c r="N522" s="502">
        <v>14535.539829100289</v>
      </c>
      <c r="O522" s="75">
        <v>14755.667825949882</v>
      </c>
      <c r="P522" s="75">
        <v>15100.762066154028</v>
      </c>
      <c r="Q522" s="75">
        <v>15012.992478259934</v>
      </c>
      <c r="R522" s="75">
        <v>15331.524254445492</v>
      </c>
      <c r="S522" s="75">
        <v>15641.901015640051</v>
      </c>
      <c r="T522" s="75">
        <v>15943.482966719765</v>
      </c>
      <c r="U522" s="75">
        <v>16386.915235666842</v>
      </c>
      <c r="V522" s="75">
        <v>16880.705061113498</v>
      </c>
      <c r="W522" s="75">
        <v>16945.399924534853</v>
      </c>
      <c r="X522" s="75">
        <v>4547.5596389198217</v>
      </c>
    </row>
    <row r="523" spans="1:24" customFormat="1" ht="13.2">
      <c r="A523" s="70" t="s">
        <v>32</v>
      </c>
      <c r="B523" s="496">
        <f>NPV(0.1,D523:Y523)</f>
        <v>95296.219758330219</v>
      </c>
      <c r="C523" s="496">
        <f>B523-B513</f>
        <v>-46.946273190376814</v>
      </c>
      <c r="D523" s="503">
        <v>-1958.9142737294235</v>
      </c>
      <c r="E523" s="504">
        <v>6871.351018589965</v>
      </c>
      <c r="F523" s="504">
        <v>5347.2855778219418</v>
      </c>
      <c r="G523" s="504">
        <v>9486.9809590178957</v>
      </c>
      <c r="H523" s="504">
        <v>15499.898892833908</v>
      </c>
      <c r="I523" s="504">
        <v>14267.654143054935</v>
      </c>
      <c r="J523" s="504">
        <v>13866.419581476694</v>
      </c>
      <c r="K523" s="504">
        <v>14322.160428123389</v>
      </c>
      <c r="L523" s="504">
        <v>11177.072716331049</v>
      </c>
      <c r="M523" s="504">
        <v>9377.3512522416258</v>
      </c>
      <c r="N523" s="505">
        <v>19019.633053097867</v>
      </c>
      <c r="O523" s="75">
        <v>18811.418113372449</v>
      </c>
      <c r="P523" s="75">
        <v>19004.268305960773</v>
      </c>
      <c r="Q523" s="75">
        <v>18917.120433229349</v>
      </c>
      <c r="R523" s="75">
        <v>19248.136506783623</v>
      </c>
      <c r="S523" s="75">
        <v>17922.211351287922</v>
      </c>
      <c r="T523" s="75">
        <v>13496.991889237208</v>
      </c>
      <c r="U523" s="75">
        <v>12729.608651868752</v>
      </c>
      <c r="V523" s="75">
        <v>11397.443000935526</v>
      </c>
      <c r="W523" s="75">
        <v>10229.812173813702</v>
      </c>
      <c r="X523" s="75">
        <v>7931.0721507020035</v>
      </c>
    </row>
    <row r="524" spans="1:24" customFormat="1" ht="13.2"/>
    <row r="525" spans="1:24">
      <c r="A525" s="71" t="s">
        <v>693</v>
      </c>
    </row>
    <row r="526" spans="1:24">
      <c r="A526" s="442">
        <v>36367</v>
      </c>
    </row>
    <row r="527" spans="1:24" ht="13.2">
      <c r="A527" s="64" t="s">
        <v>368</v>
      </c>
      <c r="B527" s="65">
        <v>60240.609610344407</v>
      </c>
      <c r="C527" s="60"/>
      <c r="D527" s="60"/>
      <c r="E527" s="60"/>
      <c r="F527" s="60"/>
      <c r="G527" s="60"/>
      <c r="H527" s="60"/>
      <c r="I527" s="60"/>
      <c r="J527" s="60"/>
      <c r="K527" s="60"/>
      <c r="L527" s="60"/>
      <c r="M527" s="60"/>
      <c r="N527" s="60"/>
      <c r="O527" s="60"/>
      <c r="P527" s="60"/>
      <c r="Q527" s="60"/>
      <c r="R527" s="60"/>
      <c r="S527" s="60"/>
      <c r="T527" s="60"/>
      <c r="U527" s="60"/>
      <c r="V527" s="60"/>
      <c r="W527" s="60"/>
      <c r="X527" s="60"/>
    </row>
    <row r="528" spans="1:24" ht="13.2">
      <c r="A528" s="66" t="s">
        <v>369</v>
      </c>
      <c r="B528" s="67">
        <v>104190.7625754911</v>
      </c>
      <c r="C528" s="60"/>
      <c r="D528" s="60"/>
      <c r="E528" s="60"/>
      <c r="F528" s="60"/>
      <c r="G528" s="60"/>
      <c r="H528" s="60"/>
      <c r="I528" s="60"/>
      <c r="J528" s="60"/>
      <c r="K528" s="60"/>
      <c r="L528" s="60"/>
      <c r="M528" s="60"/>
      <c r="N528" s="60"/>
      <c r="O528" s="60"/>
      <c r="P528" s="60"/>
      <c r="Q528" s="60"/>
      <c r="R528" s="60"/>
      <c r="S528" s="60"/>
      <c r="T528" s="60"/>
      <c r="U528" s="60"/>
      <c r="V528" s="60"/>
      <c r="W528" s="60"/>
      <c r="X528" s="60"/>
    </row>
    <row r="529" spans="1:24" ht="13.2">
      <c r="A529" s="68" t="s">
        <v>370</v>
      </c>
      <c r="B529" s="495" t="s">
        <v>468</v>
      </c>
      <c r="C529" s="495" t="s">
        <v>469</v>
      </c>
      <c r="D529" s="497">
        <v>2000</v>
      </c>
      <c r="E529" s="498">
        <v>2001</v>
      </c>
      <c r="F529" s="498">
        <v>2002</v>
      </c>
      <c r="G529" s="498">
        <v>2003</v>
      </c>
      <c r="H529" s="498">
        <v>2004</v>
      </c>
      <c r="I529" s="498">
        <v>2005</v>
      </c>
      <c r="J529" s="498">
        <v>2006</v>
      </c>
      <c r="K529" s="498">
        <v>2007</v>
      </c>
      <c r="L529" s="498">
        <v>2008</v>
      </c>
      <c r="M529" s="498">
        <v>2009</v>
      </c>
      <c r="N529" s="499">
        <v>2010</v>
      </c>
      <c r="O529" s="69">
        <v>2011</v>
      </c>
      <c r="P529" s="69">
        <v>2012</v>
      </c>
      <c r="Q529" s="69">
        <v>2013</v>
      </c>
      <c r="R529" s="69">
        <v>2014</v>
      </c>
      <c r="S529" s="69">
        <v>2015</v>
      </c>
      <c r="T529" s="69">
        <v>2016</v>
      </c>
      <c r="U529" s="69">
        <v>2017</v>
      </c>
      <c r="V529" s="69">
        <v>2018</v>
      </c>
      <c r="W529" s="69">
        <v>2019</v>
      </c>
      <c r="X529" s="69">
        <v>2020</v>
      </c>
    </row>
    <row r="530" spans="1:24" ht="13.2">
      <c r="A530" s="68" t="s">
        <v>371</v>
      </c>
      <c r="B530" s="496">
        <f>NPV(0.1,D530:Y530)</f>
        <v>457195.72312395548</v>
      </c>
      <c r="C530" s="496">
        <f>B530-B520</f>
        <v>28520.995934224688</v>
      </c>
      <c r="D530" s="500">
        <v>25347.056333333334</v>
      </c>
      <c r="E530" s="501">
        <v>42007.487139999997</v>
      </c>
      <c r="F530" s="501">
        <v>42094.521254200001</v>
      </c>
      <c r="G530" s="501">
        <v>50668.657660713434</v>
      </c>
      <c r="H530" s="501">
        <v>57743.893261455611</v>
      </c>
      <c r="I530" s="501">
        <v>58943.222063339272</v>
      </c>
      <c r="J530" s="501">
        <v>59552.465288799118</v>
      </c>
      <c r="K530" s="501">
        <v>60161.203847808363</v>
      </c>
      <c r="L530" s="501">
        <v>60768.85914147702</v>
      </c>
      <c r="M530" s="501">
        <v>61374.818309181566</v>
      </c>
      <c r="N530" s="502">
        <v>61978.432693599862</v>
      </c>
      <c r="O530" s="75">
        <v>62579.016244483784</v>
      </c>
      <c r="P530" s="75">
        <v>63175.843858875312</v>
      </c>
      <c r="Q530" s="75">
        <v>62998.168132096616</v>
      </c>
      <c r="R530" s="75">
        <v>63562.044211108274</v>
      </c>
      <c r="S530" s="75">
        <v>64119.044143420528</v>
      </c>
      <c r="T530" s="75">
        <v>64668.247871760315</v>
      </c>
      <c r="U530" s="75">
        <v>65208.686323950235</v>
      </c>
      <c r="V530" s="75">
        <v>65739.339300065752</v>
      </c>
      <c r="W530" s="75">
        <v>65339.735070763163</v>
      </c>
      <c r="X530" s="75">
        <v>39294.512599893416</v>
      </c>
    </row>
    <row r="531" spans="1:24" ht="13.2">
      <c r="A531" s="70" t="s">
        <v>372</v>
      </c>
      <c r="B531" s="496">
        <f>NPV(0.1,D531:Y531)</f>
        <v>204145.8833211952</v>
      </c>
      <c r="C531" s="496">
        <f>B531-B521</f>
        <v>8027.4597817977774</v>
      </c>
      <c r="D531" s="500">
        <v>13735.271874132448</v>
      </c>
      <c r="E531" s="501">
        <v>21850.0328500346</v>
      </c>
      <c r="F531" s="501">
        <v>22096.53252159369</v>
      </c>
      <c r="G531" s="501">
        <v>23413.601741481685</v>
      </c>
      <c r="H531" s="501">
        <v>24271.789190606411</v>
      </c>
      <c r="I531" s="501">
        <v>24506.506554867738</v>
      </c>
      <c r="J531" s="501">
        <v>24787.300713664747</v>
      </c>
      <c r="K531" s="501">
        <v>25095.823285374754</v>
      </c>
      <c r="L531" s="501">
        <v>25370.703072846401</v>
      </c>
      <c r="M531" s="501">
        <v>25576.150475946626</v>
      </c>
      <c r="N531" s="502">
        <v>25789.810925993592</v>
      </c>
      <c r="O531" s="75">
        <v>26181.589008353592</v>
      </c>
      <c r="P531" s="75">
        <v>26413.896379185117</v>
      </c>
      <c r="Q531" s="75">
        <v>26653.172971141583</v>
      </c>
      <c r="R531" s="75">
        <v>26899.627860856748</v>
      </c>
      <c r="S531" s="75">
        <v>27153.476397263359</v>
      </c>
      <c r="T531" s="75">
        <v>27414.940389762178</v>
      </c>
      <c r="U531" s="75">
        <v>27684.248302035958</v>
      </c>
      <c r="V531" s="75">
        <v>27961.635451677954</v>
      </c>
      <c r="W531" s="75">
        <v>28247.344215809204</v>
      </c>
      <c r="X531" s="75">
        <v>25770.43099873039</v>
      </c>
    </row>
    <row r="532" spans="1:24" ht="13.2">
      <c r="A532" s="70" t="s">
        <v>34</v>
      </c>
      <c r="B532" s="496">
        <f>NPV(0.1,D532:Y532)</f>
        <v>97909.458527934039</v>
      </c>
      <c r="C532" s="496">
        <f>B532-B522</f>
        <v>12425.920653180961</v>
      </c>
      <c r="D532" s="500">
        <v>-194.03643765064686</v>
      </c>
      <c r="E532" s="501">
        <v>4046.5223119902207</v>
      </c>
      <c r="F532" s="501">
        <v>4147.0848987971731</v>
      </c>
      <c r="G532" s="501">
        <v>8865.0830184524384</v>
      </c>
      <c r="H532" s="501">
        <v>12988.573666355796</v>
      </c>
      <c r="I532" s="501">
        <v>13915.164176620565</v>
      </c>
      <c r="J532" s="501">
        <v>14421.714528133241</v>
      </c>
      <c r="K532" s="501">
        <v>14855.312387195389</v>
      </c>
      <c r="L532" s="501">
        <v>15308.64564919554</v>
      </c>
      <c r="M532" s="501">
        <v>15963.87352290542</v>
      </c>
      <c r="N532" s="502">
        <v>16723.383851105707</v>
      </c>
      <c r="O532" s="75">
        <v>16971.000539299203</v>
      </c>
      <c r="P532" s="75">
        <v>17343.264304953991</v>
      </c>
      <c r="Q532" s="75">
        <v>17241.85166432305</v>
      </c>
      <c r="R532" s="75">
        <v>17585.567133032553</v>
      </c>
      <c r="S532" s="75">
        <v>17920.633207280953</v>
      </c>
      <c r="T532" s="75">
        <v>18246.35776385291</v>
      </c>
      <c r="U532" s="75">
        <v>18713.330907895215</v>
      </c>
      <c r="V532" s="75">
        <v>19230.002045871326</v>
      </c>
      <c r="W532" s="75">
        <v>19268.559053458164</v>
      </c>
      <c r="X532" s="75">
        <v>5523.6913544114495</v>
      </c>
    </row>
    <row r="533" spans="1:24" ht="13.2">
      <c r="A533" s="70" t="s">
        <v>32</v>
      </c>
      <c r="B533" s="496">
        <f>NPV(0.1,D533:Y533)</f>
        <v>108471.18792399165</v>
      </c>
      <c r="C533" s="496">
        <f>B533-B523</f>
        <v>13174.968165661427</v>
      </c>
      <c r="D533" s="503">
        <v>-1958.9142737294239</v>
      </c>
      <c r="E533" s="504">
        <v>6871.351018589965</v>
      </c>
      <c r="F533" s="504">
        <v>5347.2855778219418</v>
      </c>
      <c r="G533" s="504">
        <v>11366.882645285918</v>
      </c>
      <c r="H533" s="504">
        <v>16906.914752924495</v>
      </c>
      <c r="I533" s="504">
        <v>16430.909180801849</v>
      </c>
      <c r="J533" s="504">
        <v>16059.795026664036</v>
      </c>
      <c r="K533" s="504">
        <v>16545.517180409945</v>
      </c>
      <c r="L533" s="504">
        <v>13430.23622098839</v>
      </c>
      <c r="M533" s="504">
        <v>11660.109498081256</v>
      </c>
      <c r="N533" s="505">
        <v>21331.734482182859</v>
      </c>
      <c r="O533" s="75">
        <v>21152.569439022576</v>
      </c>
      <c r="P533" s="75">
        <v>21374.132235430072</v>
      </c>
      <c r="Q533" s="75">
        <v>21272.566460228154</v>
      </c>
      <c r="R533" s="75">
        <v>21630.196520377711</v>
      </c>
      <c r="S533" s="75">
        <v>20330.362893995036</v>
      </c>
      <c r="T533" s="75">
        <v>15930.657203538201</v>
      </c>
      <c r="U533" s="75">
        <v>15188.151832417116</v>
      </c>
      <c r="V533" s="75">
        <v>13880.167025669578</v>
      </c>
      <c r="W533" s="75">
        <v>12684.913857457457</v>
      </c>
      <c r="X533" s="75">
        <v>9010.3364662184304</v>
      </c>
    </row>
    <row r="535" spans="1:24">
      <c r="A535" s="71" t="s">
        <v>694</v>
      </c>
    </row>
    <row r="536" spans="1:24">
      <c r="A536" s="442">
        <v>36374</v>
      </c>
    </row>
    <row r="537" spans="1:24" ht="13.2">
      <c r="A537" s="64" t="s">
        <v>368</v>
      </c>
      <c r="B537" s="65">
        <v>51217.953900899854</v>
      </c>
      <c r="C537" s="60"/>
      <c r="D537" s="60"/>
      <c r="E537" s="60"/>
      <c r="F537" s="60"/>
      <c r="G537" s="60"/>
      <c r="H537" s="60"/>
      <c r="I537" s="60"/>
      <c r="J537" s="60"/>
      <c r="K537" s="60"/>
      <c r="L537" s="60"/>
      <c r="M537" s="60"/>
      <c r="N537" s="60"/>
      <c r="O537" s="60"/>
      <c r="P537" s="60"/>
      <c r="Q537" s="60"/>
      <c r="R537" s="60"/>
      <c r="S537" s="60"/>
      <c r="T537" s="60"/>
      <c r="U537" s="60"/>
      <c r="V537" s="60"/>
      <c r="W537" s="60"/>
      <c r="X537" s="60"/>
    </row>
    <row r="538" spans="1:24" ht="13.2">
      <c r="A538" s="66" t="s">
        <v>369</v>
      </c>
      <c r="B538" s="67">
        <v>93379.190102137552</v>
      </c>
      <c r="C538" s="60"/>
      <c r="D538" s="60"/>
      <c r="E538" s="60"/>
      <c r="F538" s="60"/>
      <c r="G538" s="60"/>
      <c r="H538" s="60"/>
      <c r="I538" s="60"/>
      <c r="J538" s="60"/>
      <c r="K538" s="60"/>
      <c r="L538" s="60"/>
      <c r="M538" s="60"/>
      <c r="N538" s="60"/>
      <c r="O538" s="60"/>
      <c r="P538" s="60"/>
      <c r="Q538" s="60"/>
      <c r="R538" s="60"/>
      <c r="S538" s="60"/>
      <c r="T538" s="60"/>
      <c r="U538" s="60"/>
      <c r="V538" s="60"/>
      <c r="W538" s="60"/>
      <c r="X538" s="60"/>
    </row>
    <row r="539" spans="1:24" ht="13.2">
      <c r="A539" s="68" t="s">
        <v>370</v>
      </c>
      <c r="B539" s="495" t="s">
        <v>468</v>
      </c>
      <c r="C539" s="495" t="s">
        <v>469</v>
      </c>
      <c r="D539" s="497">
        <v>2000</v>
      </c>
      <c r="E539" s="498">
        <v>2001</v>
      </c>
      <c r="F539" s="498">
        <v>2002</v>
      </c>
      <c r="G539" s="498">
        <v>2003</v>
      </c>
      <c r="H539" s="498">
        <v>2004</v>
      </c>
      <c r="I539" s="498">
        <v>2005</v>
      </c>
      <c r="J539" s="498">
        <v>2006</v>
      </c>
      <c r="K539" s="498">
        <v>2007</v>
      </c>
      <c r="L539" s="498">
        <v>2008</v>
      </c>
      <c r="M539" s="498">
        <v>2009</v>
      </c>
      <c r="N539" s="499">
        <v>2010</v>
      </c>
      <c r="O539" s="69">
        <v>2011</v>
      </c>
      <c r="P539" s="69">
        <v>2012</v>
      </c>
      <c r="Q539" s="69">
        <v>2013</v>
      </c>
      <c r="R539" s="69">
        <v>2014</v>
      </c>
      <c r="S539" s="69">
        <v>2015</v>
      </c>
      <c r="T539" s="69">
        <v>2016</v>
      </c>
      <c r="U539" s="69">
        <v>2017</v>
      </c>
      <c r="V539" s="69">
        <v>2018</v>
      </c>
      <c r="W539" s="69">
        <v>2019</v>
      </c>
      <c r="X539" s="69">
        <v>2020</v>
      </c>
    </row>
    <row r="540" spans="1:24" ht="13.2">
      <c r="A540" s="68" t="s">
        <v>371</v>
      </c>
      <c r="B540" s="496">
        <f>NPV(0.1,D540:Y540)</f>
        <v>457195.72312395548</v>
      </c>
      <c r="C540" s="496">
        <f>B540-B530</f>
        <v>0</v>
      </c>
      <c r="D540" s="500">
        <v>25347.056333333334</v>
      </c>
      <c r="E540" s="501">
        <v>42007.487139999997</v>
      </c>
      <c r="F540" s="501">
        <v>42094.521254200001</v>
      </c>
      <c r="G540" s="501">
        <v>50668.657660713434</v>
      </c>
      <c r="H540" s="501">
        <v>57743.893261455611</v>
      </c>
      <c r="I540" s="501">
        <v>58943.222063339272</v>
      </c>
      <c r="J540" s="501">
        <v>59552.465288799118</v>
      </c>
      <c r="K540" s="501">
        <v>60161.203847808363</v>
      </c>
      <c r="L540" s="501">
        <v>60768.85914147702</v>
      </c>
      <c r="M540" s="501">
        <v>61374.818309181566</v>
      </c>
      <c r="N540" s="502">
        <v>61978.432693599862</v>
      </c>
      <c r="O540" s="75">
        <v>62579.016244483784</v>
      </c>
      <c r="P540" s="75">
        <v>63175.843858875312</v>
      </c>
      <c r="Q540" s="75">
        <v>62998.168132096616</v>
      </c>
      <c r="R540" s="75">
        <v>63562.044211108274</v>
      </c>
      <c r="S540" s="75">
        <v>64119.044143420528</v>
      </c>
      <c r="T540" s="75">
        <v>64668.247871760315</v>
      </c>
      <c r="U540" s="75">
        <v>65208.686323950235</v>
      </c>
      <c r="V540" s="75">
        <v>65739.339300065752</v>
      </c>
      <c r="W540" s="75">
        <v>65339.735070763163</v>
      </c>
      <c r="X540" s="75">
        <v>39294.512599893416</v>
      </c>
    </row>
    <row r="541" spans="1:24" ht="13.2">
      <c r="A541" s="70" t="s">
        <v>372</v>
      </c>
      <c r="B541" s="496">
        <f>NPV(0.1,D541:Y541)</f>
        <v>204145.8833211952</v>
      </c>
      <c r="C541" s="496">
        <f>B541-B531</f>
        <v>0</v>
      </c>
      <c r="D541" s="500">
        <v>13735.271874132448</v>
      </c>
      <c r="E541" s="501">
        <v>21850.0328500346</v>
      </c>
      <c r="F541" s="501">
        <v>22096.53252159369</v>
      </c>
      <c r="G541" s="501">
        <v>23413.601741481685</v>
      </c>
      <c r="H541" s="501">
        <v>24271.789190606411</v>
      </c>
      <c r="I541" s="501">
        <v>24506.506554867738</v>
      </c>
      <c r="J541" s="501">
        <v>24787.300713664747</v>
      </c>
      <c r="K541" s="501">
        <v>25095.823285374754</v>
      </c>
      <c r="L541" s="501">
        <v>25370.703072846401</v>
      </c>
      <c r="M541" s="501">
        <v>25576.150475946626</v>
      </c>
      <c r="N541" s="502">
        <v>25789.810925993592</v>
      </c>
      <c r="O541" s="75">
        <v>26181.589008353592</v>
      </c>
      <c r="P541" s="75">
        <v>26413.896379185117</v>
      </c>
      <c r="Q541" s="75">
        <v>26653.172971141583</v>
      </c>
      <c r="R541" s="75">
        <v>26899.627860856748</v>
      </c>
      <c r="S541" s="75">
        <v>27153.476397263359</v>
      </c>
      <c r="T541" s="75">
        <v>27414.940389762178</v>
      </c>
      <c r="U541" s="75">
        <v>27684.248302035958</v>
      </c>
      <c r="V541" s="75">
        <v>27961.635451677954</v>
      </c>
      <c r="W541" s="75">
        <v>28247.344215809204</v>
      </c>
      <c r="X541" s="75">
        <v>25770.43099873039</v>
      </c>
    </row>
    <row r="542" spans="1:24" ht="13.2">
      <c r="A542" s="70" t="s">
        <v>34</v>
      </c>
      <c r="B542" s="496">
        <f>NPV(0.1,D542:Y542)</f>
        <v>96297.466077604564</v>
      </c>
      <c r="C542" s="496">
        <f>B542-B532</f>
        <v>-1611.9924503294751</v>
      </c>
      <c r="D542" s="500">
        <v>-310.839766736272</v>
      </c>
      <c r="E542" s="501">
        <v>3846.2880335577211</v>
      </c>
      <c r="F542" s="501">
        <v>3946.8506203646748</v>
      </c>
      <c r="G542" s="501">
        <v>8671.9774996709384</v>
      </c>
      <c r="H542" s="501">
        <v>12795.468147574295</v>
      </c>
      <c r="I542" s="501">
        <v>13722.058657839065</v>
      </c>
      <c r="J542" s="501">
        <v>14228.609009351745</v>
      </c>
      <c r="K542" s="501">
        <v>14662.20686841389</v>
      </c>
      <c r="L542" s="501">
        <v>15115.54013041404</v>
      </c>
      <c r="M542" s="501">
        <v>15770.768004123922</v>
      </c>
      <c r="N542" s="502">
        <v>16530.278332324211</v>
      </c>
      <c r="O542" s="75">
        <v>16777.895020517706</v>
      </c>
      <c r="P542" s="75">
        <v>17150.158786172491</v>
      </c>
      <c r="Q542" s="75">
        <v>17048.746145541554</v>
      </c>
      <c r="R542" s="75">
        <v>17392.461614251053</v>
      </c>
      <c r="S542" s="75">
        <v>17727.527688499453</v>
      </c>
      <c r="T542" s="75">
        <v>18053.252245071417</v>
      </c>
      <c r="U542" s="75">
        <v>18520.225389113719</v>
      </c>
      <c r="V542" s="75">
        <v>19036.896527089826</v>
      </c>
      <c r="W542" s="75">
        <v>19075.453534676668</v>
      </c>
      <c r="X542" s="75">
        <v>5330.5858356299495</v>
      </c>
    </row>
    <row r="543" spans="1:24" ht="13.2">
      <c r="A543" s="70" t="s">
        <v>32</v>
      </c>
      <c r="B543" s="496">
        <f>NPV(0.1,D543:Y543)</f>
        <v>110354.11159473351</v>
      </c>
      <c r="C543" s="496">
        <f>B543-B533</f>
        <v>1882.9236707418604</v>
      </c>
      <c r="D543" s="503">
        <v>-1958.9142737294239</v>
      </c>
      <c r="E543" s="504">
        <v>6871.351018589965</v>
      </c>
      <c r="F543" s="504">
        <v>5347.2855778219418</v>
      </c>
      <c r="G543" s="504">
        <v>11366.882645285918</v>
      </c>
      <c r="H543" s="504">
        <v>18435.753063634296</v>
      </c>
      <c r="I543" s="504">
        <v>16681.117623468021</v>
      </c>
      <c r="J543" s="504">
        <v>16296.546725857788</v>
      </c>
      <c r="K543" s="504">
        <v>16782.676659708919</v>
      </c>
      <c r="L543" s="504">
        <v>13666.987920182146</v>
      </c>
      <c r="M543" s="504">
        <v>11897.268977380234</v>
      </c>
      <c r="N543" s="505">
        <v>21568.486181376615</v>
      </c>
      <c r="O543" s="75">
        <v>21389.728918321554</v>
      </c>
      <c r="P543" s="75">
        <v>21610.883934623827</v>
      </c>
      <c r="Q543" s="75">
        <v>21509.725939527132</v>
      </c>
      <c r="R543" s="75">
        <v>21866.948219571459</v>
      </c>
      <c r="S543" s="75">
        <v>20446.81946214741</v>
      </c>
      <c r="T543" s="75">
        <v>15926.818640649202</v>
      </c>
      <c r="U543" s="75">
        <v>15184.31326952812</v>
      </c>
      <c r="V543" s="75">
        <v>13876.328462780573</v>
      </c>
      <c r="W543" s="75">
        <v>12681.075294568453</v>
      </c>
      <c r="X543" s="75">
        <v>9006.4979033294294</v>
      </c>
    </row>
    <row r="545" spans="1:24">
      <c r="A545" s="71" t="s">
        <v>695</v>
      </c>
    </row>
    <row r="546" spans="1:24">
      <c r="A546" s="442">
        <v>36385</v>
      </c>
    </row>
    <row r="547" spans="1:24" ht="13.2">
      <c r="A547" s="64" t="s">
        <v>368</v>
      </c>
      <c r="B547" s="65">
        <v>51217.953900899854</v>
      </c>
      <c r="C547" s="60"/>
      <c r="D547" s="60"/>
      <c r="E547" s="60"/>
      <c r="F547" s="60"/>
      <c r="G547" s="60"/>
      <c r="H547" s="60"/>
      <c r="I547" s="60"/>
      <c r="J547" s="60"/>
      <c r="K547" s="60"/>
      <c r="L547" s="60"/>
      <c r="M547" s="60"/>
      <c r="N547" s="60"/>
      <c r="O547" s="60"/>
      <c r="P547" s="60"/>
      <c r="Q547" s="60"/>
      <c r="R547" s="60"/>
      <c r="S547" s="60"/>
      <c r="T547" s="60"/>
      <c r="U547" s="60"/>
      <c r="V547" s="60"/>
      <c r="W547" s="60"/>
      <c r="X547" s="60"/>
    </row>
    <row r="548" spans="1:24" ht="13.2">
      <c r="A548" s="66" t="s">
        <v>369</v>
      </c>
      <c r="B548" s="67">
        <v>93379.190102137552</v>
      </c>
      <c r="C548" s="60"/>
      <c r="D548" s="60"/>
      <c r="E548" s="60"/>
      <c r="F548" s="60"/>
      <c r="G548" s="60"/>
      <c r="H548" s="60"/>
      <c r="I548" s="60"/>
      <c r="J548" s="60"/>
      <c r="K548" s="60"/>
      <c r="L548" s="60"/>
      <c r="M548" s="60"/>
      <c r="N548" s="60"/>
      <c r="O548" s="60"/>
      <c r="P548" s="60"/>
      <c r="Q548" s="60"/>
      <c r="R548" s="60"/>
      <c r="S548" s="60"/>
      <c r="T548" s="60"/>
      <c r="U548" s="60"/>
      <c r="V548" s="60"/>
      <c r="W548" s="60"/>
      <c r="X548" s="60"/>
    </row>
    <row r="549" spans="1:24" ht="13.2">
      <c r="A549" s="68" t="s">
        <v>370</v>
      </c>
      <c r="B549" s="495" t="s">
        <v>468</v>
      </c>
      <c r="C549" s="495" t="s">
        <v>469</v>
      </c>
      <c r="D549" s="497">
        <v>2000</v>
      </c>
      <c r="E549" s="498">
        <v>2001</v>
      </c>
      <c r="F549" s="498">
        <v>2002</v>
      </c>
      <c r="G549" s="498">
        <v>2003</v>
      </c>
      <c r="H549" s="498">
        <v>2004</v>
      </c>
      <c r="I549" s="498">
        <v>2005</v>
      </c>
      <c r="J549" s="498">
        <v>2006</v>
      </c>
      <c r="K549" s="498">
        <v>2007</v>
      </c>
      <c r="L549" s="498">
        <v>2008</v>
      </c>
      <c r="M549" s="498">
        <v>2009</v>
      </c>
      <c r="N549" s="499">
        <v>2010</v>
      </c>
      <c r="O549" s="69">
        <v>2011</v>
      </c>
      <c r="P549" s="69">
        <v>2012</v>
      </c>
      <c r="Q549" s="69">
        <v>2013</v>
      </c>
      <c r="R549" s="69">
        <v>2014</v>
      </c>
      <c r="S549" s="69">
        <v>2015</v>
      </c>
      <c r="T549" s="69">
        <v>2016</v>
      </c>
      <c r="U549" s="69">
        <v>2017</v>
      </c>
      <c r="V549" s="69">
        <v>2018</v>
      </c>
      <c r="W549" s="69">
        <v>2019</v>
      </c>
      <c r="X549" s="69">
        <v>2020</v>
      </c>
    </row>
    <row r="550" spans="1:24" ht="13.2">
      <c r="A550" s="68" t="s">
        <v>371</v>
      </c>
      <c r="B550" s="496">
        <f>NPV(0.1,D550:Y550)</f>
        <v>457195.72312395548</v>
      </c>
      <c r="C550" s="496">
        <f>B550-B540</f>
        <v>0</v>
      </c>
      <c r="D550" s="500">
        <v>25347.056333333334</v>
      </c>
      <c r="E550" s="501">
        <v>42007.487139999997</v>
      </c>
      <c r="F550" s="501">
        <v>42094.521254200001</v>
      </c>
      <c r="G550" s="501">
        <v>50668.657660713434</v>
      </c>
      <c r="H550" s="501">
        <v>57743.893261455611</v>
      </c>
      <c r="I550" s="501">
        <v>58943.222063339272</v>
      </c>
      <c r="J550" s="501">
        <v>59552.465288799118</v>
      </c>
      <c r="K550" s="501">
        <v>60161.203847808363</v>
      </c>
      <c r="L550" s="501">
        <v>60768.85914147702</v>
      </c>
      <c r="M550" s="501">
        <v>61374.818309181566</v>
      </c>
      <c r="N550" s="502">
        <v>61978.432693599862</v>
      </c>
      <c r="O550" s="75">
        <v>62579.016244483784</v>
      </c>
      <c r="P550" s="75">
        <v>63175.843858875312</v>
      </c>
      <c r="Q550" s="75">
        <v>62998.168132096616</v>
      </c>
      <c r="R550" s="75">
        <v>63562.044211108274</v>
      </c>
      <c r="S550" s="75">
        <v>64119.044143420528</v>
      </c>
      <c r="T550" s="75">
        <v>64668.247871760315</v>
      </c>
      <c r="U550" s="75">
        <v>65208.686323950235</v>
      </c>
      <c r="V550" s="75">
        <v>65739.339300065752</v>
      </c>
      <c r="W550" s="75">
        <v>65339.735070763163</v>
      </c>
      <c r="X550" s="75">
        <v>39294.512599893416</v>
      </c>
    </row>
    <row r="551" spans="1:24" ht="13.2">
      <c r="A551" s="70" t="s">
        <v>372</v>
      </c>
      <c r="B551" s="496">
        <f>NPV(0.1,D551:Y551)</f>
        <v>204145.8833211952</v>
      </c>
      <c r="C551" s="496">
        <f>B551-B541</f>
        <v>0</v>
      </c>
      <c r="D551" s="500">
        <v>13735.271874132448</v>
      </c>
      <c r="E551" s="501">
        <v>21850.0328500346</v>
      </c>
      <c r="F551" s="501">
        <v>22096.53252159369</v>
      </c>
      <c r="G551" s="501">
        <v>23413.601741481685</v>
      </c>
      <c r="H551" s="501">
        <v>24271.789190606411</v>
      </c>
      <c r="I551" s="501">
        <v>24506.506554867738</v>
      </c>
      <c r="J551" s="501">
        <v>24787.300713664747</v>
      </c>
      <c r="K551" s="501">
        <v>25095.823285374754</v>
      </c>
      <c r="L551" s="501">
        <v>25370.703072846401</v>
      </c>
      <c r="M551" s="501">
        <v>25576.150475946626</v>
      </c>
      <c r="N551" s="502">
        <v>25789.810925993592</v>
      </c>
      <c r="O551" s="75">
        <v>26181.589008353592</v>
      </c>
      <c r="P551" s="75">
        <v>26413.896379185117</v>
      </c>
      <c r="Q551" s="75">
        <v>26653.172971141583</v>
      </c>
      <c r="R551" s="75">
        <v>26899.627860856748</v>
      </c>
      <c r="S551" s="75">
        <v>27153.476397263359</v>
      </c>
      <c r="T551" s="75">
        <v>27414.940389762178</v>
      </c>
      <c r="U551" s="75">
        <v>27684.248302035958</v>
      </c>
      <c r="V551" s="75">
        <v>27961.635451677954</v>
      </c>
      <c r="W551" s="75">
        <v>28247.344215809204</v>
      </c>
      <c r="X551" s="75">
        <v>25770.43099873039</v>
      </c>
    </row>
    <row r="552" spans="1:24" ht="13.2">
      <c r="A552" s="70" t="s">
        <v>34</v>
      </c>
      <c r="B552" s="496">
        <f>NPV(0.1,D552:Y552)</f>
        <v>96297.466077604564</v>
      </c>
      <c r="C552" s="496">
        <f>B552-B542</f>
        <v>0</v>
      </c>
      <c r="D552" s="500">
        <v>-310.839766736272</v>
      </c>
      <c r="E552" s="501">
        <v>3846.2880335577211</v>
      </c>
      <c r="F552" s="501">
        <v>3946.8506203646748</v>
      </c>
      <c r="G552" s="501">
        <v>8671.9774996709384</v>
      </c>
      <c r="H552" s="501">
        <v>12795.468147574295</v>
      </c>
      <c r="I552" s="501">
        <v>13722.058657839065</v>
      </c>
      <c r="J552" s="501">
        <v>14228.609009351745</v>
      </c>
      <c r="K552" s="501">
        <v>14662.20686841389</v>
      </c>
      <c r="L552" s="501">
        <v>15115.54013041404</v>
      </c>
      <c r="M552" s="501">
        <v>15770.768004123922</v>
      </c>
      <c r="N552" s="502">
        <v>16530.278332324211</v>
      </c>
      <c r="O552" s="75">
        <v>16777.895020517706</v>
      </c>
      <c r="P552" s="75">
        <v>17150.158786172491</v>
      </c>
      <c r="Q552" s="75">
        <v>17048.746145541554</v>
      </c>
      <c r="R552" s="75">
        <v>17392.461614251053</v>
      </c>
      <c r="S552" s="75">
        <v>17727.527688499453</v>
      </c>
      <c r="T552" s="75">
        <v>18053.252245071417</v>
      </c>
      <c r="U552" s="75">
        <v>18520.225389113719</v>
      </c>
      <c r="V552" s="75">
        <v>19036.896527089826</v>
      </c>
      <c r="W552" s="75">
        <v>19075.453534676668</v>
      </c>
      <c r="X552" s="75">
        <v>5330.5858356299495</v>
      </c>
    </row>
    <row r="553" spans="1:24" ht="13.2">
      <c r="A553" s="70" t="s">
        <v>32</v>
      </c>
      <c r="B553" s="496">
        <f>NPV(0.1,D553:Y553)</f>
        <v>110354.11159473351</v>
      </c>
      <c r="C553" s="496">
        <f>B553-B543</f>
        <v>0</v>
      </c>
      <c r="D553" s="503">
        <v>-1958.9142737294239</v>
      </c>
      <c r="E553" s="504">
        <v>6871.351018589965</v>
      </c>
      <c r="F553" s="504">
        <v>5347.2855778219418</v>
      </c>
      <c r="G553" s="504">
        <v>11366.882645285918</v>
      </c>
      <c r="H553" s="504">
        <v>18435.753063634296</v>
      </c>
      <c r="I553" s="504">
        <v>16681.117623468021</v>
      </c>
      <c r="J553" s="504">
        <v>16296.546725857788</v>
      </c>
      <c r="K553" s="504">
        <v>16782.676659708919</v>
      </c>
      <c r="L553" s="504">
        <v>13666.987920182146</v>
      </c>
      <c r="M553" s="504">
        <v>11897.268977380234</v>
      </c>
      <c r="N553" s="505">
        <v>21568.486181376615</v>
      </c>
      <c r="O553" s="75">
        <v>21389.728918321554</v>
      </c>
      <c r="P553" s="75">
        <v>21610.883934623827</v>
      </c>
      <c r="Q553" s="75">
        <v>21509.725939527132</v>
      </c>
      <c r="R553" s="75">
        <v>21866.948219571459</v>
      </c>
      <c r="S553" s="75">
        <v>20446.81946214741</v>
      </c>
      <c r="T553" s="75">
        <v>15926.818640649202</v>
      </c>
      <c r="U553" s="75">
        <v>15184.31326952812</v>
      </c>
      <c r="V553" s="75">
        <v>13876.328462780573</v>
      </c>
      <c r="W553" s="75">
        <v>12681.075294568453</v>
      </c>
      <c r="X553" s="75">
        <v>9006.4979033294294</v>
      </c>
    </row>
    <row r="555" spans="1:24">
      <c r="A555" s="71" t="s">
        <v>700</v>
      </c>
    </row>
    <row r="556" spans="1:24">
      <c r="A556" s="442">
        <v>36388</v>
      </c>
    </row>
    <row r="557" spans="1:24" ht="13.2">
      <c r="A557" s="64" t="s">
        <v>368</v>
      </c>
      <c r="B557" s="65">
        <v>53261.757184461589</v>
      </c>
      <c r="C557" s="60"/>
      <c r="D557" s="60"/>
      <c r="E557" s="60"/>
      <c r="F557" s="60"/>
      <c r="G557" s="60"/>
      <c r="H557" s="60"/>
      <c r="I557" s="60"/>
      <c r="J557" s="60"/>
      <c r="K557" s="60"/>
      <c r="L557" s="60"/>
      <c r="M557" s="60"/>
      <c r="N557" s="60"/>
      <c r="O557" s="60"/>
      <c r="P557" s="60"/>
      <c r="Q557" s="60"/>
      <c r="R557" s="60"/>
      <c r="S557" s="60"/>
      <c r="T557" s="60"/>
      <c r="U557" s="60"/>
      <c r="V557" s="60"/>
      <c r="W557" s="60"/>
      <c r="X557" s="60"/>
    </row>
    <row r="558" spans="1:24" ht="13.2">
      <c r="A558" s="66" t="s">
        <v>369</v>
      </c>
      <c r="B558" s="67">
        <v>94484.975912537266</v>
      </c>
      <c r="C558" s="60"/>
      <c r="D558" s="60"/>
      <c r="E558" s="60"/>
      <c r="F558" s="60"/>
      <c r="G558" s="60"/>
      <c r="H558" s="60"/>
      <c r="I558" s="60"/>
      <c r="J558" s="60"/>
      <c r="K558" s="60"/>
      <c r="L558" s="60"/>
      <c r="M558" s="60"/>
      <c r="N558" s="60"/>
      <c r="O558" s="60"/>
      <c r="P558" s="60"/>
      <c r="Q558" s="60"/>
      <c r="R558" s="60"/>
      <c r="S558" s="60"/>
      <c r="T558" s="60"/>
      <c r="U558" s="60"/>
      <c r="V558" s="60"/>
      <c r="W558" s="60"/>
      <c r="X558" s="60"/>
    </row>
    <row r="559" spans="1:24" ht="13.2">
      <c r="A559" s="68" t="s">
        <v>370</v>
      </c>
      <c r="B559" s="495" t="s">
        <v>468</v>
      </c>
      <c r="C559" s="495" t="s">
        <v>469</v>
      </c>
      <c r="D559" s="497">
        <v>2000</v>
      </c>
      <c r="E559" s="498">
        <v>2001</v>
      </c>
      <c r="F559" s="498">
        <v>2002</v>
      </c>
      <c r="G559" s="498">
        <v>2003</v>
      </c>
      <c r="H559" s="498">
        <v>2004</v>
      </c>
      <c r="I559" s="498">
        <v>2005</v>
      </c>
      <c r="J559" s="498">
        <v>2006</v>
      </c>
      <c r="K559" s="498">
        <v>2007</v>
      </c>
      <c r="L559" s="498">
        <v>2008</v>
      </c>
      <c r="M559" s="498">
        <v>2009</v>
      </c>
      <c r="N559" s="499">
        <v>2010</v>
      </c>
      <c r="O559" s="69">
        <v>2011</v>
      </c>
      <c r="P559" s="69">
        <v>2012</v>
      </c>
      <c r="Q559" s="69">
        <v>2013</v>
      </c>
      <c r="R559" s="69">
        <v>2014</v>
      </c>
      <c r="S559" s="69">
        <v>2015</v>
      </c>
      <c r="T559" s="69">
        <v>2016</v>
      </c>
      <c r="U559" s="69">
        <v>2017</v>
      </c>
      <c r="V559" s="69">
        <v>2018</v>
      </c>
      <c r="W559" s="69">
        <v>2019</v>
      </c>
      <c r="X559" s="69">
        <v>2020</v>
      </c>
    </row>
    <row r="560" spans="1:24" ht="13.2">
      <c r="A560" s="68" t="s">
        <v>371</v>
      </c>
      <c r="B560" s="496">
        <f>NPV(0.1,D560:Y560)</f>
        <v>457195.72312395548</v>
      </c>
      <c r="C560" s="496">
        <f>B560-B550</f>
        <v>0</v>
      </c>
      <c r="D560" s="500">
        <v>25347.056333333334</v>
      </c>
      <c r="E560" s="501">
        <v>42007.487139999997</v>
      </c>
      <c r="F560" s="501">
        <v>42094.521254200001</v>
      </c>
      <c r="G560" s="501">
        <v>50668.657660713434</v>
      </c>
      <c r="H560" s="501">
        <v>57743.893261455611</v>
      </c>
      <c r="I560" s="501">
        <v>58943.222063339272</v>
      </c>
      <c r="J560" s="501">
        <v>59552.465288799118</v>
      </c>
      <c r="K560" s="501">
        <v>60161.203847808363</v>
      </c>
      <c r="L560" s="501">
        <v>60768.85914147702</v>
      </c>
      <c r="M560" s="501">
        <v>61374.818309181566</v>
      </c>
      <c r="N560" s="502">
        <v>61978.432693599862</v>
      </c>
      <c r="O560" s="75">
        <v>62579.016244483784</v>
      </c>
      <c r="P560" s="75">
        <v>63175.843858875312</v>
      </c>
      <c r="Q560" s="75">
        <v>62998.168132096616</v>
      </c>
      <c r="R560" s="75">
        <v>63562.044211108274</v>
      </c>
      <c r="S560" s="75">
        <v>64119.044143420528</v>
      </c>
      <c r="T560" s="75">
        <v>64668.247871760315</v>
      </c>
      <c r="U560" s="75">
        <v>65208.686323950235</v>
      </c>
      <c r="V560" s="75">
        <v>65739.339300065752</v>
      </c>
      <c r="W560" s="75">
        <v>65339.735070763163</v>
      </c>
      <c r="X560" s="75">
        <v>39294.512599893416</v>
      </c>
    </row>
    <row r="561" spans="1:24" ht="13.2">
      <c r="A561" s="70" t="s">
        <v>372</v>
      </c>
      <c r="B561" s="496">
        <f>NPV(0.1,D561:Y561)</f>
        <v>204145.8833211952</v>
      </c>
      <c r="C561" s="496">
        <f>B561-B551</f>
        <v>0</v>
      </c>
      <c r="D561" s="500">
        <v>13735.271874132448</v>
      </c>
      <c r="E561" s="501">
        <v>21850.0328500346</v>
      </c>
      <c r="F561" s="501">
        <v>22096.53252159369</v>
      </c>
      <c r="G561" s="501">
        <v>23413.601741481685</v>
      </c>
      <c r="H561" s="501">
        <v>24271.789190606411</v>
      </c>
      <c r="I561" s="501">
        <v>24506.506554867738</v>
      </c>
      <c r="J561" s="501">
        <v>24787.300713664747</v>
      </c>
      <c r="K561" s="501">
        <v>25095.823285374754</v>
      </c>
      <c r="L561" s="501">
        <v>25370.703072846401</v>
      </c>
      <c r="M561" s="501">
        <v>25576.150475946626</v>
      </c>
      <c r="N561" s="502">
        <v>25789.810925993592</v>
      </c>
      <c r="O561" s="75">
        <v>26181.589008353592</v>
      </c>
      <c r="P561" s="75">
        <v>26413.896379185117</v>
      </c>
      <c r="Q561" s="75">
        <v>26653.172971141583</v>
      </c>
      <c r="R561" s="75">
        <v>26899.627860856748</v>
      </c>
      <c r="S561" s="75">
        <v>27153.476397263359</v>
      </c>
      <c r="T561" s="75">
        <v>27414.940389762178</v>
      </c>
      <c r="U561" s="75">
        <v>27684.248302035958</v>
      </c>
      <c r="V561" s="75">
        <v>27961.635451677954</v>
      </c>
      <c r="W561" s="75">
        <v>28247.344215809204</v>
      </c>
      <c r="X561" s="75">
        <v>25770.43099873039</v>
      </c>
    </row>
    <row r="562" spans="1:24" ht="13.2">
      <c r="A562" s="70" t="s">
        <v>34</v>
      </c>
      <c r="B562" s="496">
        <f>NPV(0.1,D562:Y562)</f>
        <v>94588.835466419085</v>
      </c>
      <c r="C562" s="496">
        <f>B562-B552</f>
        <v>-1708.6306111854792</v>
      </c>
      <c r="D562" s="500">
        <v>-443.13562431507466</v>
      </c>
      <c r="E562" s="501">
        <v>3569.8575818052113</v>
      </c>
      <c r="F562" s="501">
        <v>3673.0738174061662</v>
      </c>
      <c r="G562" s="501">
        <v>8413.1220777129165</v>
      </c>
      <c r="H562" s="501">
        <v>12544.402259197923</v>
      </c>
      <c r="I562" s="501">
        <v>13481.597644661069</v>
      </c>
      <c r="J562" s="501">
        <v>13998.381728327131</v>
      </c>
      <c r="K562" s="501">
        <v>14443.323219079542</v>
      </c>
      <c r="L562" s="501">
        <v>14908.000112769956</v>
      </c>
      <c r="M562" s="501">
        <v>15579.801978412203</v>
      </c>
      <c r="N562" s="502">
        <v>16360.539235815288</v>
      </c>
      <c r="O562" s="75">
        <v>16616.306952606348</v>
      </c>
      <c r="P562" s="75">
        <v>16998.759504008085</v>
      </c>
      <c r="Q562" s="75">
        <v>16907.535649124096</v>
      </c>
      <c r="R562" s="75">
        <v>17261.439903580555</v>
      </c>
      <c r="S562" s="75">
        <v>17606.694763575906</v>
      </c>
      <c r="T562" s="75">
        <v>17942.608105894822</v>
      </c>
      <c r="U562" s="75">
        <v>18429.958821431035</v>
      </c>
      <c r="V562" s="75">
        <v>18971.083045199826</v>
      </c>
      <c r="W562" s="75">
        <v>19040.206410027527</v>
      </c>
      <c r="X562" s="75">
        <v>5329.9805825204503</v>
      </c>
    </row>
    <row r="563" spans="1:24" ht="13.2">
      <c r="A563" s="70" t="s">
        <v>32</v>
      </c>
      <c r="B563" s="496">
        <f>NPV(0.1,D563:Y563)</f>
        <v>106559.13001317225</v>
      </c>
      <c r="C563" s="496">
        <f>B563-B553</f>
        <v>-3794.9815815612528</v>
      </c>
      <c r="D563" s="503">
        <v>-2232.7973987419277</v>
      </c>
      <c r="E563" s="504">
        <v>6220.4651396887839</v>
      </c>
      <c r="F563" s="504">
        <v>4789.7467039414387</v>
      </c>
      <c r="G563" s="504">
        <v>10760.279577672289</v>
      </c>
      <c r="H563" s="504">
        <v>18555.396767018992</v>
      </c>
      <c r="I563" s="504">
        <v>16231.33296122689</v>
      </c>
      <c r="J563" s="504">
        <v>15814.372197741302</v>
      </c>
      <c r="K563" s="504">
        <v>16312.491296763488</v>
      </c>
      <c r="L563" s="504">
        <v>13093.374038686914</v>
      </c>
      <c r="M563" s="504">
        <v>11241.851390053323</v>
      </c>
      <c r="N563" s="505">
        <v>21224.037635750254</v>
      </c>
      <c r="O563" s="75">
        <v>21012.282889673457</v>
      </c>
      <c r="P563" s="75">
        <v>21244.204080137599</v>
      </c>
      <c r="Q563" s="75">
        <v>21153.814815423622</v>
      </c>
      <c r="R563" s="75">
        <v>21521.803269629825</v>
      </c>
      <c r="S563" s="75">
        <v>20112.0649219027</v>
      </c>
      <c r="T563" s="75">
        <v>15394.390895351411</v>
      </c>
      <c r="U563" s="75">
        <v>14590.194982874917</v>
      </c>
      <c r="V563" s="75">
        <v>13183.213892730881</v>
      </c>
      <c r="W563" s="75">
        <v>11937.037635435649</v>
      </c>
      <c r="X563" s="75">
        <v>9006.4858720724314</v>
      </c>
    </row>
    <row r="565" spans="1:24">
      <c r="A565" s="71" t="s">
        <v>702</v>
      </c>
    </row>
    <row r="566" spans="1:24">
      <c r="A566" s="442">
        <v>36388</v>
      </c>
    </row>
    <row r="567" spans="1:24" ht="13.2">
      <c r="A567" s="64" t="s">
        <v>368</v>
      </c>
      <c r="B567" s="65">
        <v>48205.186456740477</v>
      </c>
      <c r="C567" s="60"/>
      <c r="D567" s="60"/>
      <c r="E567" s="60"/>
      <c r="F567" s="60"/>
      <c r="G567" s="60"/>
      <c r="H567" s="60"/>
      <c r="I567" s="60"/>
      <c r="J567" s="60"/>
      <c r="K567" s="60"/>
      <c r="L567" s="60"/>
      <c r="M567" s="60"/>
      <c r="N567" s="60"/>
      <c r="O567" s="60"/>
      <c r="P567" s="60"/>
      <c r="Q567" s="60"/>
      <c r="R567" s="60"/>
      <c r="S567" s="60"/>
      <c r="T567" s="60"/>
      <c r="U567" s="60"/>
      <c r="V567" s="60"/>
      <c r="W567" s="60"/>
      <c r="X567" s="60"/>
    </row>
    <row r="568" spans="1:24" ht="13.2">
      <c r="A568" s="66" t="s">
        <v>369</v>
      </c>
      <c r="B568" s="67">
        <v>89428.405184816147</v>
      </c>
      <c r="C568" s="60"/>
      <c r="D568" s="60"/>
      <c r="E568" s="60"/>
      <c r="F568" s="60"/>
      <c r="G568" s="60"/>
      <c r="H568" s="60"/>
      <c r="I568" s="60"/>
      <c r="J568" s="60"/>
      <c r="K568" s="60"/>
      <c r="L568" s="60"/>
      <c r="M568" s="60"/>
      <c r="N568" s="60"/>
      <c r="O568" s="60"/>
      <c r="P568" s="60"/>
      <c r="Q568" s="60"/>
      <c r="R568" s="60"/>
      <c r="S568" s="60"/>
      <c r="T568" s="60"/>
      <c r="U568" s="60"/>
      <c r="V568" s="60"/>
      <c r="W568" s="60"/>
      <c r="X568" s="60"/>
    </row>
    <row r="569" spans="1:24" ht="13.2">
      <c r="A569" s="68" t="s">
        <v>370</v>
      </c>
      <c r="B569" s="495" t="s">
        <v>468</v>
      </c>
      <c r="C569" s="495" t="s">
        <v>469</v>
      </c>
      <c r="D569" s="497">
        <v>2000</v>
      </c>
      <c r="E569" s="498">
        <v>2001</v>
      </c>
      <c r="F569" s="498">
        <v>2002</v>
      </c>
      <c r="G569" s="498">
        <v>2003</v>
      </c>
      <c r="H569" s="498">
        <v>2004</v>
      </c>
      <c r="I569" s="498">
        <v>2005</v>
      </c>
      <c r="J569" s="498">
        <v>2006</v>
      </c>
      <c r="K569" s="498">
        <v>2007</v>
      </c>
      <c r="L569" s="498">
        <v>2008</v>
      </c>
      <c r="M569" s="498">
        <v>2009</v>
      </c>
      <c r="N569" s="499">
        <v>2010</v>
      </c>
      <c r="O569" s="69">
        <v>2011</v>
      </c>
      <c r="P569" s="69">
        <v>2012</v>
      </c>
      <c r="Q569" s="69">
        <v>2013</v>
      </c>
      <c r="R569" s="69">
        <v>2014</v>
      </c>
      <c r="S569" s="69">
        <v>2015</v>
      </c>
      <c r="T569" s="69">
        <v>2016</v>
      </c>
      <c r="U569" s="69">
        <v>2017</v>
      </c>
      <c r="V569" s="69">
        <v>2018</v>
      </c>
      <c r="W569" s="69">
        <v>2019</v>
      </c>
      <c r="X569" s="69">
        <v>2020</v>
      </c>
    </row>
    <row r="570" spans="1:24" ht="13.2">
      <c r="A570" s="68" t="s">
        <v>371</v>
      </c>
      <c r="B570" s="496">
        <f>NPV(0.1,D570:Y570)</f>
        <v>457195.72312395548</v>
      </c>
      <c r="C570" s="496">
        <f>B570-B560</f>
        <v>0</v>
      </c>
      <c r="D570" s="500">
        <v>25347.056333333334</v>
      </c>
      <c r="E570" s="501">
        <v>42007.487139999997</v>
      </c>
      <c r="F570" s="501">
        <v>42094.521254200001</v>
      </c>
      <c r="G570" s="501">
        <v>50668.657660713434</v>
      </c>
      <c r="H570" s="501">
        <v>57743.893261455611</v>
      </c>
      <c r="I570" s="501">
        <v>58943.222063339272</v>
      </c>
      <c r="J570" s="501">
        <v>59552.465288799118</v>
      </c>
      <c r="K570" s="501">
        <v>60161.203847808363</v>
      </c>
      <c r="L570" s="501">
        <v>60768.85914147702</v>
      </c>
      <c r="M570" s="501">
        <v>61374.818309181566</v>
      </c>
      <c r="N570" s="502">
        <v>61978.432693599862</v>
      </c>
      <c r="O570" s="75">
        <v>62579.016244483784</v>
      </c>
      <c r="P570" s="75">
        <v>63175.843858875312</v>
      </c>
      <c r="Q570" s="75">
        <v>62998.168132096616</v>
      </c>
      <c r="R570" s="75">
        <v>63562.044211108274</v>
      </c>
      <c r="S570" s="75">
        <v>64119.044143420528</v>
      </c>
      <c r="T570" s="75">
        <v>64668.247871760315</v>
      </c>
      <c r="U570" s="75">
        <v>65208.686323950235</v>
      </c>
      <c r="V570" s="75">
        <v>65739.339300065752</v>
      </c>
      <c r="W570" s="75">
        <v>65339.735070763163</v>
      </c>
      <c r="X570" s="75">
        <v>39294.512599893416</v>
      </c>
    </row>
    <row r="571" spans="1:24" ht="13.2">
      <c r="A571" s="70" t="s">
        <v>372</v>
      </c>
      <c r="B571" s="496">
        <f>NPV(0.1,D571:Y571)</f>
        <v>204145.8833211952</v>
      </c>
      <c r="C571" s="496">
        <f>B571-B561</f>
        <v>0</v>
      </c>
      <c r="D571" s="500">
        <v>13735.271874132448</v>
      </c>
      <c r="E571" s="501">
        <v>21850.0328500346</v>
      </c>
      <c r="F571" s="501">
        <v>22096.53252159369</v>
      </c>
      <c r="G571" s="501">
        <v>23413.601741481685</v>
      </c>
      <c r="H571" s="501">
        <v>24271.789190606411</v>
      </c>
      <c r="I571" s="501">
        <v>24506.506554867738</v>
      </c>
      <c r="J571" s="501">
        <v>24787.300713664747</v>
      </c>
      <c r="K571" s="501">
        <v>25095.823285374754</v>
      </c>
      <c r="L571" s="501">
        <v>25370.703072846401</v>
      </c>
      <c r="M571" s="501">
        <v>25576.150475946626</v>
      </c>
      <c r="N571" s="502">
        <v>25789.810925993592</v>
      </c>
      <c r="O571" s="75">
        <v>26181.589008353592</v>
      </c>
      <c r="P571" s="75">
        <v>26413.896379185117</v>
      </c>
      <c r="Q571" s="75">
        <v>26653.172971141583</v>
      </c>
      <c r="R571" s="75">
        <v>26899.627860856748</v>
      </c>
      <c r="S571" s="75">
        <v>27153.476397263359</v>
      </c>
      <c r="T571" s="75">
        <v>27414.940389762178</v>
      </c>
      <c r="U571" s="75">
        <v>27684.248302035958</v>
      </c>
      <c r="V571" s="75">
        <v>27961.635451677954</v>
      </c>
      <c r="W571" s="75">
        <v>28247.344215809204</v>
      </c>
      <c r="X571" s="75">
        <v>25770.43099873039</v>
      </c>
    </row>
    <row r="572" spans="1:24" ht="13.2">
      <c r="A572" s="70" t="s">
        <v>34</v>
      </c>
      <c r="B572" s="496">
        <f>NPV(0.1,D572:Y572)</f>
        <v>94588.835466419085</v>
      </c>
      <c r="C572" s="496">
        <f>B572-B562</f>
        <v>0</v>
      </c>
      <c r="D572" s="500">
        <v>-443.13562431507466</v>
      </c>
      <c r="E572" s="501">
        <v>3569.8575818052113</v>
      </c>
      <c r="F572" s="501">
        <v>3673.0738174061662</v>
      </c>
      <c r="G572" s="501">
        <v>8413.1220777129165</v>
      </c>
      <c r="H572" s="501">
        <v>12544.402259197923</v>
      </c>
      <c r="I572" s="501">
        <v>13481.597644661069</v>
      </c>
      <c r="J572" s="501">
        <v>13998.381728327131</v>
      </c>
      <c r="K572" s="501">
        <v>14443.323219079542</v>
      </c>
      <c r="L572" s="501">
        <v>14908.000112769956</v>
      </c>
      <c r="M572" s="501">
        <v>15579.801978412203</v>
      </c>
      <c r="N572" s="502">
        <v>16360.539235815288</v>
      </c>
      <c r="O572" s="75">
        <v>16616.306952606348</v>
      </c>
      <c r="P572" s="75">
        <v>16998.759504008085</v>
      </c>
      <c r="Q572" s="75">
        <v>16907.535649124096</v>
      </c>
      <c r="R572" s="75">
        <v>17261.439903580555</v>
      </c>
      <c r="S572" s="75">
        <v>17606.694763575906</v>
      </c>
      <c r="T572" s="75">
        <v>17942.608105894822</v>
      </c>
      <c r="U572" s="75">
        <v>18429.958821431035</v>
      </c>
      <c r="V572" s="75">
        <v>18971.083045199826</v>
      </c>
      <c r="W572" s="75">
        <v>19040.206410027527</v>
      </c>
      <c r="X572" s="75">
        <v>5329.9805825204503</v>
      </c>
    </row>
    <row r="573" spans="1:24" ht="13.2">
      <c r="A573" s="70" t="s">
        <v>32</v>
      </c>
      <c r="B573" s="496">
        <f>NPV(0.1,D573:Y573)</f>
        <v>100834.35926133969</v>
      </c>
      <c r="C573" s="496">
        <f>B573-B563</f>
        <v>-5724.7707518325624</v>
      </c>
      <c r="D573" s="503">
        <v>-2421.137624741928</v>
      </c>
      <c r="E573" s="504">
        <v>5914.9314940087843</v>
      </c>
      <c r="F573" s="504">
        <v>4483.16864889104</v>
      </c>
      <c r="G573" s="504">
        <v>10282.460901246599</v>
      </c>
      <c r="H573" s="504">
        <v>17842.944287585717</v>
      </c>
      <c r="I573" s="504">
        <v>15465.652981408162</v>
      </c>
      <c r="J573" s="504">
        <v>15019.341747957415</v>
      </c>
      <c r="K573" s="504">
        <v>15492.190637866464</v>
      </c>
      <c r="L573" s="504">
        <v>12246.682309238695</v>
      </c>
      <c r="M573" s="504">
        <v>10357.005040323073</v>
      </c>
      <c r="N573" s="505">
        <v>20294.849739621088</v>
      </c>
      <c r="O573" s="75">
        <v>20068.568805670096</v>
      </c>
      <c r="P573" s="75">
        <v>20278.768812224334</v>
      </c>
      <c r="Q573" s="75">
        <v>20193.560556557477</v>
      </c>
      <c r="R573" s="75">
        <v>20541.449211796804</v>
      </c>
      <c r="S573" s="75">
        <v>19112.102302740281</v>
      </c>
      <c r="T573" s="75">
        <v>14375.350261257321</v>
      </c>
      <c r="U573" s="75">
        <v>13543.475530893531</v>
      </c>
      <c r="V573" s="75">
        <v>12105.761585812321</v>
      </c>
      <c r="W573" s="75">
        <v>10855.659504740026</v>
      </c>
      <c r="X573" s="75">
        <v>8703.7725340523939</v>
      </c>
    </row>
    <row r="576" spans="1:24">
      <c r="A576" s="1075">
        <v>57</v>
      </c>
    </row>
    <row r="577" spans="1:24">
      <c r="A577" s="442">
        <v>36388</v>
      </c>
    </row>
    <row r="578" spans="1:24" ht="13.2">
      <c r="A578" s="64" t="s">
        <v>368</v>
      </c>
      <c r="B578" s="65">
        <v>47953.325048383907</v>
      </c>
      <c r="C578" s="60"/>
      <c r="D578" s="60"/>
      <c r="E578" s="60"/>
      <c r="F578" s="60"/>
      <c r="G578" s="60"/>
      <c r="H578" s="60"/>
      <c r="I578" s="60"/>
      <c r="J578" s="60"/>
      <c r="K578" s="60"/>
      <c r="L578" s="60"/>
      <c r="M578" s="60"/>
      <c r="N578" s="60"/>
      <c r="O578" s="60"/>
      <c r="P578" s="60"/>
      <c r="Q578" s="60"/>
      <c r="R578" s="60"/>
      <c r="S578" s="60"/>
      <c r="T578" s="60"/>
      <c r="U578" s="60"/>
      <c r="V578" s="60"/>
      <c r="W578" s="60"/>
      <c r="X578" s="60"/>
    </row>
    <row r="579" spans="1:24" ht="13.2">
      <c r="A579" s="66" t="s">
        <v>369</v>
      </c>
      <c r="B579" s="67">
        <v>89053.663486895181</v>
      </c>
      <c r="C579" s="60"/>
      <c r="D579" s="60"/>
      <c r="E579" s="60"/>
      <c r="F579" s="60"/>
      <c r="G579" s="60"/>
      <c r="H579" s="60"/>
      <c r="I579" s="60"/>
      <c r="J579" s="60"/>
      <c r="K579" s="60"/>
      <c r="L579" s="60"/>
      <c r="M579" s="60"/>
      <c r="N579" s="60"/>
      <c r="O579" s="60"/>
      <c r="P579" s="60"/>
      <c r="Q579" s="60"/>
      <c r="R579" s="60"/>
      <c r="S579" s="60"/>
      <c r="T579" s="60"/>
      <c r="U579" s="60"/>
      <c r="V579" s="60"/>
      <c r="W579" s="60"/>
      <c r="X579" s="60"/>
    </row>
    <row r="580" spans="1:24" ht="13.2">
      <c r="A580" s="68" t="s">
        <v>370</v>
      </c>
      <c r="B580" s="495" t="s">
        <v>468</v>
      </c>
      <c r="C580" s="495" t="s">
        <v>469</v>
      </c>
      <c r="D580" s="497">
        <v>2000</v>
      </c>
      <c r="E580" s="498">
        <v>2001</v>
      </c>
      <c r="F580" s="498">
        <v>2002</v>
      </c>
      <c r="G580" s="498">
        <v>2003</v>
      </c>
      <c r="H580" s="498">
        <v>2004</v>
      </c>
      <c r="I580" s="498">
        <v>2005</v>
      </c>
      <c r="J580" s="498">
        <v>2006</v>
      </c>
      <c r="K580" s="498">
        <v>2007</v>
      </c>
      <c r="L580" s="498">
        <v>2008</v>
      </c>
      <c r="M580" s="498">
        <v>2009</v>
      </c>
      <c r="N580" s="499">
        <v>2010</v>
      </c>
      <c r="O580" s="69">
        <v>2011</v>
      </c>
      <c r="P580" s="69">
        <v>2012</v>
      </c>
      <c r="Q580" s="69">
        <v>2013</v>
      </c>
      <c r="R580" s="69">
        <v>2014</v>
      </c>
      <c r="S580" s="69">
        <v>2015</v>
      </c>
      <c r="T580" s="69">
        <v>2016</v>
      </c>
      <c r="U580" s="69">
        <v>2017</v>
      </c>
      <c r="V580" s="69">
        <v>2018</v>
      </c>
      <c r="W580" s="69">
        <v>2019</v>
      </c>
      <c r="X580" s="69">
        <v>2020</v>
      </c>
    </row>
    <row r="581" spans="1:24" ht="13.2">
      <c r="A581" s="68" t="s">
        <v>371</v>
      </c>
      <c r="B581" s="496">
        <f>NPV(0.1,D581:Y581)</f>
        <v>457195.72312395548</v>
      </c>
      <c r="C581" s="496">
        <f>B581-B570</f>
        <v>0</v>
      </c>
      <c r="D581" s="500">
        <v>25347.056333333334</v>
      </c>
      <c r="E581" s="501">
        <v>42007.487139999997</v>
      </c>
      <c r="F581" s="501">
        <v>42094.521254200001</v>
      </c>
      <c r="G581" s="501">
        <v>50668.657660713434</v>
      </c>
      <c r="H581" s="501">
        <v>57743.893261455611</v>
      </c>
      <c r="I581" s="501">
        <v>58943.222063339272</v>
      </c>
      <c r="J581" s="501">
        <v>59552.465288799118</v>
      </c>
      <c r="K581" s="501">
        <v>60161.203847808363</v>
      </c>
      <c r="L581" s="501">
        <v>60768.85914147702</v>
      </c>
      <c r="M581" s="501">
        <v>61374.818309181566</v>
      </c>
      <c r="N581" s="502">
        <v>61978.432693599862</v>
      </c>
      <c r="O581" s="75">
        <v>62579.016244483784</v>
      </c>
      <c r="P581" s="75">
        <v>63175.843858875312</v>
      </c>
      <c r="Q581" s="75">
        <v>62998.168132096616</v>
      </c>
      <c r="R581" s="75">
        <v>63562.044211108274</v>
      </c>
      <c r="S581" s="75">
        <v>64119.044143420528</v>
      </c>
      <c r="T581" s="75">
        <v>64668.247871760315</v>
      </c>
      <c r="U581" s="75">
        <v>65208.686323950235</v>
      </c>
      <c r="V581" s="75">
        <v>65739.339300065752</v>
      </c>
      <c r="W581" s="75">
        <v>65339.735070763163</v>
      </c>
      <c r="X581" s="75">
        <v>39294.512599893416</v>
      </c>
    </row>
    <row r="582" spans="1:24" ht="13.2">
      <c r="A582" s="70" t="s">
        <v>372</v>
      </c>
      <c r="B582" s="496">
        <f>NPV(0.1,D582:Y582)</f>
        <v>204145.8833211952</v>
      </c>
      <c r="C582" s="496">
        <f>B582-B571</f>
        <v>0</v>
      </c>
      <c r="D582" s="500">
        <v>13735.271874132448</v>
      </c>
      <c r="E582" s="501">
        <v>21850.0328500346</v>
      </c>
      <c r="F582" s="501">
        <v>22096.53252159369</v>
      </c>
      <c r="G582" s="501">
        <v>23413.601741481685</v>
      </c>
      <c r="H582" s="501">
        <v>24271.789190606411</v>
      </c>
      <c r="I582" s="501">
        <v>24506.506554867738</v>
      </c>
      <c r="J582" s="501">
        <v>24787.300713664747</v>
      </c>
      <c r="K582" s="501">
        <v>25095.823285374754</v>
      </c>
      <c r="L582" s="501">
        <v>25370.703072846401</v>
      </c>
      <c r="M582" s="501">
        <v>25576.150475946626</v>
      </c>
      <c r="N582" s="502">
        <v>25789.810925993592</v>
      </c>
      <c r="O582" s="75">
        <v>26181.589008353592</v>
      </c>
      <c r="P582" s="75">
        <v>26413.896379185117</v>
      </c>
      <c r="Q582" s="75">
        <v>26653.172971141583</v>
      </c>
      <c r="R582" s="75">
        <v>26899.627860856748</v>
      </c>
      <c r="S582" s="75">
        <v>27153.476397263359</v>
      </c>
      <c r="T582" s="75">
        <v>27414.940389762178</v>
      </c>
      <c r="U582" s="75">
        <v>27684.248302035958</v>
      </c>
      <c r="V582" s="75">
        <v>27961.635451677954</v>
      </c>
      <c r="W582" s="75">
        <v>28247.344215809204</v>
      </c>
      <c r="X582" s="75">
        <v>25770.43099873039</v>
      </c>
    </row>
    <row r="583" spans="1:24" ht="13.2">
      <c r="A583" s="70" t="s">
        <v>34</v>
      </c>
      <c r="B583" s="496">
        <f>NPV(0.1,D583:Y583)</f>
        <v>94424.55267693114</v>
      </c>
      <c r="C583" s="496">
        <f>B583-B572</f>
        <v>-164.28278948794468</v>
      </c>
      <c r="D583" s="500">
        <v>-477.38242565963503</v>
      </c>
      <c r="E583" s="501">
        <v>3547.6425121494549</v>
      </c>
      <c r="F583" s="501">
        <v>3651.3685214267139</v>
      </c>
      <c r="G583" s="501">
        <v>8392.8885303061306</v>
      </c>
      <c r="H583" s="501">
        <v>12525.075076284662</v>
      </c>
      <c r="I583" s="501">
        <v>13462.846539203569</v>
      </c>
      <c r="J583" s="501">
        <v>13980.206700325389</v>
      </c>
      <c r="K583" s="501">
        <v>14425.804937347601</v>
      </c>
      <c r="L583" s="501">
        <v>14891.138577307822</v>
      </c>
      <c r="M583" s="501">
        <v>15564.01192904755</v>
      </c>
      <c r="N583" s="502">
        <v>16346.108711275998</v>
      </c>
      <c r="O583" s="75">
        <v>16602.199103323219</v>
      </c>
      <c r="P583" s="75">
        <v>16985.054998795153</v>
      </c>
      <c r="Q583" s="75">
        <v>16894.234487981365</v>
      </c>
      <c r="R583" s="75">
        <v>17248.54208650802</v>
      </c>
      <c r="S583" s="75">
        <v>17594.200290573568</v>
      </c>
      <c r="T583" s="75">
        <v>17930.516976962681</v>
      </c>
      <c r="U583" s="75">
        <v>18418.674380639291</v>
      </c>
      <c r="V583" s="75">
        <v>18960.766630176557</v>
      </c>
      <c r="W583" s="75">
        <v>19031.100027214852</v>
      </c>
      <c r="X583" s="75">
        <v>5322.2455695464487</v>
      </c>
    </row>
    <row r="584" spans="1:24" ht="13.2">
      <c r="A584" s="70" t="s">
        <v>32</v>
      </c>
      <c r="B584" s="496">
        <f>NPV(0.1,D584:Y584)</f>
        <v>100677.80045465492</v>
      </c>
      <c r="C584" s="496">
        <f>B584-B573</f>
        <v>-156.55880668477039</v>
      </c>
      <c r="D584" s="503">
        <v>-2480.9729631544283</v>
      </c>
      <c r="E584" s="504">
        <v>5879.8623777892826</v>
      </c>
      <c r="F584" s="504">
        <v>4444.344851114538</v>
      </c>
      <c r="G584" s="504">
        <v>10241.377971108241</v>
      </c>
      <c r="H584" s="504">
        <v>17923.351161264069</v>
      </c>
      <c r="I584" s="504">
        <v>15452.652057844971</v>
      </c>
      <c r="J584" s="504">
        <v>15004.730554694679</v>
      </c>
      <c r="K584" s="504">
        <v>15478.252524867619</v>
      </c>
      <c r="L584" s="504">
        <v>12224.232801015563</v>
      </c>
      <c r="M584" s="504">
        <v>10329.420123091524</v>
      </c>
      <c r="N584" s="505">
        <v>20291.487531970797</v>
      </c>
      <c r="O584" s="75">
        <v>20063.898281920057</v>
      </c>
      <c r="P584" s="75">
        <v>20274.485298550404</v>
      </c>
      <c r="Q584" s="75">
        <v>20189.696720947835</v>
      </c>
      <c r="R584" s="75">
        <v>20537.972386263267</v>
      </c>
      <c r="S584" s="75">
        <v>19104.210293017444</v>
      </c>
      <c r="T584" s="75">
        <v>14354.806440595181</v>
      </c>
      <c r="U584" s="75">
        <v>13520.443747671787</v>
      </c>
      <c r="V584" s="75">
        <v>12078.755852309056</v>
      </c>
      <c r="W584" s="75">
        <v>10826.569152747354</v>
      </c>
      <c r="X584" s="75">
        <v>8704.0580828483944</v>
      </c>
    </row>
    <row r="587" spans="1:24">
      <c r="A587" s="1075" t="s">
        <v>703</v>
      </c>
    </row>
    <row r="588" spans="1:24">
      <c r="A588" s="442">
        <v>36396</v>
      </c>
    </row>
    <row r="589" spans="1:24" ht="13.2">
      <c r="A589" s="64" t="s">
        <v>368</v>
      </c>
      <c r="B589" s="65">
        <v>47969.871134639041</v>
      </c>
      <c r="C589" s="60"/>
      <c r="D589" s="60"/>
      <c r="E589" s="60"/>
      <c r="F589" s="60"/>
      <c r="G589" s="60"/>
      <c r="H589" s="60"/>
      <c r="I589" s="60"/>
      <c r="J589" s="60"/>
      <c r="K589" s="60"/>
      <c r="L589" s="60"/>
      <c r="M589" s="60"/>
      <c r="N589" s="60"/>
      <c r="O589" s="60"/>
      <c r="P589" s="60"/>
      <c r="Q589" s="60"/>
      <c r="R589" s="60"/>
      <c r="S589" s="60"/>
      <c r="T589" s="60"/>
      <c r="U589" s="60"/>
      <c r="V589" s="60"/>
      <c r="W589" s="60"/>
      <c r="X589" s="60"/>
    </row>
    <row r="590" spans="1:24" ht="13.2">
      <c r="A590" s="66" t="s">
        <v>369</v>
      </c>
      <c r="B590" s="67">
        <v>89078.072469414925</v>
      </c>
      <c r="C590" s="60"/>
      <c r="D590" s="60"/>
      <c r="E590" s="60"/>
      <c r="F590" s="60"/>
      <c r="G590" s="60"/>
      <c r="H590" s="60"/>
      <c r="I590" s="60"/>
      <c r="J590" s="60"/>
      <c r="K590" s="60"/>
      <c r="L590" s="60"/>
      <c r="M590" s="60"/>
      <c r="N590" s="60"/>
      <c r="O590" s="60"/>
      <c r="P590" s="60"/>
      <c r="Q590" s="60"/>
      <c r="R590" s="60"/>
      <c r="S590" s="60"/>
      <c r="T590" s="60"/>
      <c r="U590" s="60"/>
      <c r="V590" s="60"/>
      <c r="W590" s="60"/>
      <c r="X590" s="60"/>
    </row>
    <row r="591" spans="1:24" ht="13.2">
      <c r="A591" s="68" t="s">
        <v>370</v>
      </c>
      <c r="B591" s="495" t="s">
        <v>468</v>
      </c>
      <c r="C591" s="495" t="s">
        <v>469</v>
      </c>
      <c r="D591" s="497">
        <v>2000</v>
      </c>
      <c r="E591" s="498">
        <v>2001</v>
      </c>
      <c r="F591" s="498">
        <v>2002</v>
      </c>
      <c r="G591" s="498">
        <v>2003</v>
      </c>
      <c r="H591" s="498">
        <v>2004</v>
      </c>
      <c r="I591" s="498">
        <v>2005</v>
      </c>
      <c r="J591" s="498">
        <v>2006</v>
      </c>
      <c r="K591" s="498">
        <v>2007</v>
      </c>
      <c r="L591" s="498">
        <v>2008</v>
      </c>
      <c r="M591" s="498">
        <v>2009</v>
      </c>
      <c r="N591" s="499">
        <v>2010</v>
      </c>
      <c r="O591" s="69">
        <v>2011</v>
      </c>
      <c r="P591" s="69">
        <v>2012</v>
      </c>
      <c r="Q591" s="69">
        <v>2013</v>
      </c>
      <c r="R591" s="69">
        <v>2014</v>
      </c>
      <c r="S591" s="69">
        <v>2015</v>
      </c>
      <c r="T591" s="69">
        <v>2016</v>
      </c>
      <c r="U591" s="69">
        <v>2017</v>
      </c>
      <c r="V591" s="69">
        <v>2018</v>
      </c>
      <c r="W591" s="69">
        <v>2019</v>
      </c>
      <c r="X591" s="69">
        <v>2020</v>
      </c>
    </row>
    <row r="592" spans="1:24" ht="13.2">
      <c r="A592" s="68" t="s">
        <v>371</v>
      </c>
      <c r="B592" s="496">
        <f>NPV(0.1,D592:Y592)</f>
        <v>457195.72312395548</v>
      </c>
      <c r="C592" s="496">
        <f>B592-B581</f>
        <v>0</v>
      </c>
      <c r="D592" s="500">
        <v>25347.056333333334</v>
      </c>
      <c r="E592" s="501">
        <v>42007.487139999997</v>
      </c>
      <c r="F592" s="501">
        <v>42094.521254200001</v>
      </c>
      <c r="G592" s="501">
        <v>50668.657660713434</v>
      </c>
      <c r="H592" s="501">
        <v>57743.893261455611</v>
      </c>
      <c r="I592" s="501">
        <v>58943.222063339272</v>
      </c>
      <c r="J592" s="501">
        <v>59552.465288799118</v>
      </c>
      <c r="K592" s="501">
        <v>60161.203847808363</v>
      </c>
      <c r="L592" s="501">
        <v>60768.85914147702</v>
      </c>
      <c r="M592" s="501">
        <v>61374.818309181566</v>
      </c>
      <c r="N592" s="502">
        <v>61978.432693599862</v>
      </c>
      <c r="O592" s="75">
        <v>62579.016244483784</v>
      </c>
      <c r="P592" s="75">
        <v>63175.843858875312</v>
      </c>
      <c r="Q592" s="75">
        <v>62998.168132096616</v>
      </c>
      <c r="R592" s="75">
        <v>63562.044211108274</v>
      </c>
      <c r="S592" s="75">
        <v>64119.044143420528</v>
      </c>
      <c r="T592" s="75">
        <v>64668.247871760315</v>
      </c>
      <c r="U592" s="75">
        <v>65208.686323950235</v>
      </c>
      <c r="V592" s="75">
        <v>65739.339300065752</v>
      </c>
      <c r="W592" s="75">
        <v>65339.735070763163</v>
      </c>
      <c r="X592" s="75">
        <v>39294.512599893416</v>
      </c>
    </row>
    <row r="593" spans="1:24" ht="13.2">
      <c r="A593" s="70" t="s">
        <v>372</v>
      </c>
      <c r="B593" s="496">
        <f>NPV(0.1,D593:Y593)</f>
        <v>204145.8833211952</v>
      </c>
      <c r="C593" s="496">
        <f>B593-B582</f>
        <v>0</v>
      </c>
      <c r="D593" s="500">
        <v>13735.271874132448</v>
      </c>
      <c r="E593" s="501">
        <v>21850.0328500346</v>
      </c>
      <c r="F593" s="501">
        <v>22096.53252159369</v>
      </c>
      <c r="G593" s="501">
        <v>23413.601741481685</v>
      </c>
      <c r="H593" s="501">
        <v>24271.789190606411</v>
      </c>
      <c r="I593" s="501">
        <v>24506.506554867738</v>
      </c>
      <c r="J593" s="501">
        <v>24787.300713664747</v>
      </c>
      <c r="K593" s="501">
        <v>25095.823285374754</v>
      </c>
      <c r="L593" s="501">
        <v>25370.703072846401</v>
      </c>
      <c r="M593" s="501">
        <v>25576.150475946626</v>
      </c>
      <c r="N593" s="502">
        <v>25789.810925993592</v>
      </c>
      <c r="O593" s="75">
        <v>26181.589008353592</v>
      </c>
      <c r="P593" s="75">
        <v>26413.896379185117</v>
      </c>
      <c r="Q593" s="75">
        <v>26653.172971141583</v>
      </c>
      <c r="R593" s="75">
        <v>26899.627860856748</v>
      </c>
      <c r="S593" s="75">
        <v>27153.476397263359</v>
      </c>
      <c r="T593" s="75">
        <v>27414.940389762178</v>
      </c>
      <c r="U593" s="75">
        <v>27684.248302035958</v>
      </c>
      <c r="V593" s="75">
        <v>27961.635451677954</v>
      </c>
      <c r="W593" s="75">
        <v>28247.344215809204</v>
      </c>
      <c r="X593" s="75">
        <v>25770.43099873039</v>
      </c>
    </row>
    <row r="594" spans="1:24" ht="13.2">
      <c r="A594" s="70" t="s">
        <v>34</v>
      </c>
      <c r="B594" s="496">
        <f>NPV(0.1,D594:Y594)</f>
        <v>94434.749173924531</v>
      </c>
      <c r="C594" s="496">
        <f>B594-B583</f>
        <v>10.19649699339061</v>
      </c>
      <c r="D594" s="500">
        <v>-476.05761665662607</v>
      </c>
      <c r="E594" s="501">
        <v>3549.1506560019179</v>
      </c>
      <c r="F594" s="501">
        <v>3652.8413487005064</v>
      </c>
      <c r="G594" s="501">
        <v>8394.2604962427085</v>
      </c>
      <c r="H594" s="501">
        <v>12526.384250252122</v>
      </c>
      <c r="I594" s="501">
        <v>13464.115803136963</v>
      </c>
      <c r="J594" s="501">
        <v>13981.436054224716</v>
      </c>
      <c r="K594" s="501">
        <v>14426.988792563134</v>
      </c>
      <c r="L594" s="501">
        <v>14892.276933839561</v>
      </c>
      <c r="M594" s="501">
        <v>15565.076054160889</v>
      </c>
      <c r="N594" s="502">
        <v>16347.078649953903</v>
      </c>
      <c r="O594" s="75">
        <v>16603.146687402208</v>
      </c>
      <c r="P594" s="75">
        <v>16985.974639625507</v>
      </c>
      <c r="Q594" s="75">
        <v>16895.12618556308</v>
      </c>
      <c r="R594" s="75">
        <v>17249.405840841097</v>
      </c>
      <c r="S594" s="75">
        <v>17595.036101658006</v>
      </c>
      <c r="T594" s="75">
        <v>17931.324844798481</v>
      </c>
      <c r="U594" s="75">
        <v>18419.426361977814</v>
      </c>
      <c r="V594" s="75">
        <v>18961.451547718341</v>
      </c>
      <c r="W594" s="75">
        <v>19031.701115010725</v>
      </c>
      <c r="X594" s="75">
        <v>5322.7516502969493</v>
      </c>
    </row>
    <row r="595" spans="1:24" ht="13.2">
      <c r="A595" s="70" t="s">
        <v>32</v>
      </c>
      <c r="B595" s="496">
        <f>NPV(0.1,D595:Y595)</f>
        <v>100687.83017497987</v>
      </c>
      <c r="C595" s="496">
        <f>B595-B584</f>
        <v>10.029720324950176</v>
      </c>
      <c r="D595" s="503">
        <v>-2478.4865186419288</v>
      </c>
      <c r="E595" s="504">
        <v>5882.2919289007796</v>
      </c>
      <c r="F595" s="504">
        <v>4447.0345225750389</v>
      </c>
      <c r="G595" s="504">
        <v>10244.225844920336</v>
      </c>
      <c r="H595" s="504">
        <v>17918.647354790803</v>
      </c>
      <c r="I595" s="504">
        <v>15453.593042768636</v>
      </c>
      <c r="J595" s="504">
        <v>15005.781021257253</v>
      </c>
      <c r="K595" s="504">
        <v>15479.256424057836</v>
      </c>
      <c r="L595" s="504">
        <v>12225.826297710553</v>
      </c>
      <c r="M595" s="504">
        <v>10331.369458379537</v>
      </c>
      <c r="N595" s="505">
        <v>20291.758680761955</v>
      </c>
      <c r="O595" s="75">
        <v>20064.260132373725</v>
      </c>
      <c r="P595" s="75">
        <v>20274.820274444006</v>
      </c>
      <c r="Q595" s="75">
        <v>20190.002684904233</v>
      </c>
      <c r="R595" s="75">
        <v>20538.251475659592</v>
      </c>
      <c r="S595" s="75">
        <v>19104.776702294756</v>
      </c>
      <c r="T595" s="75">
        <v>14356.230794503481</v>
      </c>
      <c r="U595" s="75">
        <v>13522.040464982807</v>
      </c>
      <c r="V595" s="75">
        <v>12080.627880673343</v>
      </c>
      <c r="W595" s="75">
        <v>10828.58560126572</v>
      </c>
      <c r="X595" s="75">
        <v>8704.0394001713939</v>
      </c>
    </row>
    <row r="598" spans="1:24">
      <c r="A598" s="1075" t="s">
        <v>704</v>
      </c>
    </row>
    <row r="599" spans="1:24">
      <c r="A599" s="442">
        <v>36403</v>
      </c>
    </row>
    <row r="600" spans="1:24" ht="13.2">
      <c r="A600" s="64" t="s">
        <v>368</v>
      </c>
      <c r="B600" s="65">
        <v>47969.871134639041</v>
      </c>
      <c r="C600" s="60"/>
      <c r="D600" s="60"/>
      <c r="E600" s="60"/>
      <c r="F600" s="60"/>
      <c r="G600" s="60"/>
      <c r="H600" s="60"/>
      <c r="I600" s="60"/>
      <c r="J600" s="60"/>
      <c r="K600" s="60"/>
      <c r="L600" s="60"/>
      <c r="M600" s="60"/>
      <c r="N600" s="60"/>
      <c r="O600" s="60"/>
      <c r="P600" s="60"/>
      <c r="Q600" s="60"/>
      <c r="R600" s="60"/>
      <c r="S600" s="60"/>
      <c r="T600" s="60"/>
      <c r="U600" s="60"/>
      <c r="V600" s="60"/>
      <c r="W600" s="60"/>
      <c r="X600" s="60"/>
    </row>
    <row r="601" spans="1:24" ht="13.2">
      <c r="A601" s="66" t="s">
        <v>369</v>
      </c>
      <c r="B601" s="67">
        <v>89078.072469414925</v>
      </c>
      <c r="C601" s="60"/>
      <c r="D601" s="60"/>
      <c r="E601" s="60"/>
      <c r="F601" s="60"/>
      <c r="G601" s="60"/>
      <c r="H601" s="60"/>
      <c r="I601" s="60"/>
      <c r="J601" s="60"/>
      <c r="K601" s="60"/>
      <c r="L601" s="60"/>
      <c r="M601" s="60"/>
      <c r="N601" s="60"/>
      <c r="O601" s="60"/>
      <c r="P601" s="60"/>
      <c r="Q601" s="60"/>
      <c r="R601" s="60"/>
      <c r="S601" s="60"/>
      <c r="T601" s="60"/>
      <c r="U601" s="60"/>
      <c r="V601" s="60"/>
      <c r="W601" s="60"/>
      <c r="X601" s="60"/>
    </row>
    <row r="602" spans="1:24" ht="13.2">
      <c r="A602" s="68" t="s">
        <v>370</v>
      </c>
      <c r="B602" s="495" t="s">
        <v>468</v>
      </c>
      <c r="C602" s="495" t="s">
        <v>469</v>
      </c>
      <c r="D602" s="497">
        <v>2000</v>
      </c>
      <c r="E602" s="498">
        <v>2001</v>
      </c>
      <c r="F602" s="498">
        <v>2002</v>
      </c>
      <c r="G602" s="498">
        <v>2003</v>
      </c>
      <c r="H602" s="498">
        <v>2004</v>
      </c>
      <c r="I602" s="498">
        <v>2005</v>
      </c>
      <c r="J602" s="498">
        <v>2006</v>
      </c>
      <c r="K602" s="498">
        <v>2007</v>
      </c>
      <c r="L602" s="498">
        <v>2008</v>
      </c>
      <c r="M602" s="498">
        <v>2009</v>
      </c>
      <c r="N602" s="499">
        <v>2010</v>
      </c>
      <c r="O602" s="69">
        <v>2011</v>
      </c>
      <c r="P602" s="69">
        <v>2012</v>
      </c>
      <c r="Q602" s="69">
        <v>2013</v>
      </c>
      <c r="R602" s="69">
        <v>2014</v>
      </c>
      <c r="S602" s="69">
        <v>2015</v>
      </c>
      <c r="T602" s="69">
        <v>2016</v>
      </c>
      <c r="U602" s="69">
        <v>2017</v>
      </c>
      <c r="V602" s="69">
        <v>2018</v>
      </c>
      <c r="W602" s="69">
        <v>2019</v>
      </c>
      <c r="X602" s="69">
        <v>2020</v>
      </c>
    </row>
    <row r="603" spans="1:24" ht="13.2">
      <c r="A603" s="68" t="s">
        <v>371</v>
      </c>
      <c r="B603" s="496">
        <f>NPV(0.1,D603:Y603)</f>
        <v>457195.72312395548</v>
      </c>
      <c r="C603" s="496">
        <f>B603-B592</f>
        <v>0</v>
      </c>
      <c r="D603" s="500">
        <v>25347.056333333334</v>
      </c>
      <c r="E603" s="501">
        <v>42007.487139999997</v>
      </c>
      <c r="F603" s="501">
        <v>42094.521254200001</v>
      </c>
      <c r="G603" s="501">
        <v>50668.657660713434</v>
      </c>
      <c r="H603" s="501">
        <v>57743.893261455611</v>
      </c>
      <c r="I603" s="501">
        <v>58943.222063339272</v>
      </c>
      <c r="J603" s="501">
        <v>59552.465288799118</v>
      </c>
      <c r="K603" s="501">
        <v>60161.203847808363</v>
      </c>
      <c r="L603" s="501">
        <v>60768.85914147702</v>
      </c>
      <c r="M603" s="501">
        <v>61374.818309181566</v>
      </c>
      <c r="N603" s="502">
        <v>61978.432693599862</v>
      </c>
      <c r="O603" s="75">
        <v>62579.016244483784</v>
      </c>
      <c r="P603" s="75">
        <v>63175.843858875312</v>
      </c>
      <c r="Q603" s="75">
        <v>62998.168132096616</v>
      </c>
      <c r="R603" s="75">
        <v>63562.044211108274</v>
      </c>
      <c r="S603" s="75">
        <v>64119.044143420528</v>
      </c>
      <c r="T603" s="75">
        <v>64668.247871760315</v>
      </c>
      <c r="U603" s="75">
        <v>65208.686323950235</v>
      </c>
      <c r="V603" s="75">
        <v>65739.339300065752</v>
      </c>
      <c r="W603" s="75">
        <v>65339.735070763163</v>
      </c>
      <c r="X603" s="75">
        <v>39294.512599893416</v>
      </c>
    </row>
    <row r="604" spans="1:24" ht="13.2">
      <c r="A604" s="70" t="s">
        <v>372</v>
      </c>
      <c r="B604" s="496">
        <f>NPV(0.1,D604:Y604)</f>
        <v>204145.8833211952</v>
      </c>
      <c r="C604" s="496">
        <f>B604-B593</f>
        <v>0</v>
      </c>
      <c r="D604" s="500">
        <v>13735.271874132448</v>
      </c>
      <c r="E604" s="501">
        <v>21850.0328500346</v>
      </c>
      <c r="F604" s="501">
        <v>22096.53252159369</v>
      </c>
      <c r="G604" s="501">
        <v>23413.601741481685</v>
      </c>
      <c r="H604" s="501">
        <v>24271.789190606411</v>
      </c>
      <c r="I604" s="501">
        <v>24506.506554867738</v>
      </c>
      <c r="J604" s="501">
        <v>24787.300713664747</v>
      </c>
      <c r="K604" s="501">
        <v>25095.823285374754</v>
      </c>
      <c r="L604" s="501">
        <v>25370.703072846401</v>
      </c>
      <c r="M604" s="501">
        <v>25576.150475946626</v>
      </c>
      <c r="N604" s="502">
        <v>25789.810925993592</v>
      </c>
      <c r="O604" s="75">
        <v>26181.589008353592</v>
      </c>
      <c r="P604" s="75">
        <v>26413.896379185117</v>
      </c>
      <c r="Q604" s="75">
        <v>26653.172971141583</v>
      </c>
      <c r="R604" s="75">
        <v>26899.627860856748</v>
      </c>
      <c r="S604" s="75">
        <v>27153.476397263359</v>
      </c>
      <c r="T604" s="75">
        <v>27414.940389762178</v>
      </c>
      <c r="U604" s="75">
        <v>27684.248302035958</v>
      </c>
      <c r="V604" s="75">
        <v>27961.635451677954</v>
      </c>
      <c r="W604" s="75">
        <v>28247.344215809204</v>
      </c>
      <c r="X604" s="75">
        <v>25770.43099873039</v>
      </c>
    </row>
    <row r="605" spans="1:24" ht="13.2">
      <c r="A605" s="70" t="s">
        <v>34</v>
      </c>
      <c r="B605" s="496">
        <f>NPV(0.1,D605:Y605)</f>
        <v>94434.749173924531</v>
      </c>
      <c r="C605" s="496">
        <f>B605-B594</f>
        <v>0</v>
      </c>
      <c r="D605" s="500">
        <v>-476.05761665662607</v>
      </c>
      <c r="E605" s="501">
        <v>3549.1506560019179</v>
      </c>
      <c r="F605" s="501">
        <v>3652.8413487005064</v>
      </c>
      <c r="G605" s="501">
        <v>8394.2604962427085</v>
      </c>
      <c r="H605" s="501">
        <v>12526.384250252122</v>
      </c>
      <c r="I605" s="501">
        <v>13464.115803136963</v>
      </c>
      <c r="J605" s="501">
        <v>13981.436054224716</v>
      </c>
      <c r="K605" s="501">
        <v>14426.988792563134</v>
      </c>
      <c r="L605" s="501">
        <v>14892.276933839561</v>
      </c>
      <c r="M605" s="501">
        <v>15565.076054160889</v>
      </c>
      <c r="N605" s="502">
        <v>16347.078649953903</v>
      </c>
      <c r="O605" s="75">
        <v>16603.146687402208</v>
      </c>
      <c r="P605" s="75">
        <v>16985.974639625507</v>
      </c>
      <c r="Q605" s="75">
        <v>16895.12618556308</v>
      </c>
      <c r="R605" s="75">
        <v>17249.405840841097</v>
      </c>
      <c r="S605" s="75">
        <v>17595.036101658006</v>
      </c>
      <c r="T605" s="75">
        <v>17931.324844798481</v>
      </c>
      <c r="U605" s="75">
        <v>18419.426361977814</v>
      </c>
      <c r="V605" s="75">
        <v>18961.451547718341</v>
      </c>
      <c r="W605" s="75">
        <v>19031.701115010725</v>
      </c>
      <c r="X605" s="75">
        <v>5322.7516502969493</v>
      </c>
    </row>
    <row r="606" spans="1:24" ht="13.2">
      <c r="A606" s="70" t="s">
        <v>32</v>
      </c>
      <c r="B606" s="496">
        <f>NPV(0.1,D606:Y606)</f>
        <v>100687.83017497987</v>
      </c>
      <c r="C606" s="496">
        <f>B606-B595</f>
        <v>0</v>
      </c>
      <c r="D606" s="503">
        <v>-2478.4865186419288</v>
      </c>
      <c r="E606" s="504">
        <v>5882.2919289007796</v>
      </c>
      <c r="F606" s="504">
        <v>4447.0345225750389</v>
      </c>
      <c r="G606" s="504">
        <v>10244.225844920336</v>
      </c>
      <c r="H606" s="504">
        <v>17918.647354790803</v>
      </c>
      <c r="I606" s="504">
        <v>15453.593042768636</v>
      </c>
      <c r="J606" s="504">
        <v>15005.781021257253</v>
      </c>
      <c r="K606" s="504">
        <v>15479.256424057836</v>
      </c>
      <c r="L606" s="504">
        <v>12225.826297710553</v>
      </c>
      <c r="M606" s="504">
        <v>10331.369458379537</v>
      </c>
      <c r="N606" s="505">
        <v>20291.758680761955</v>
      </c>
      <c r="O606" s="75">
        <v>20064.260132373725</v>
      </c>
      <c r="P606" s="75">
        <v>20274.820274444006</v>
      </c>
      <c r="Q606" s="75">
        <v>20190.002684904233</v>
      </c>
      <c r="R606" s="75">
        <v>20538.251475659592</v>
      </c>
      <c r="S606" s="75">
        <v>19104.776702294756</v>
      </c>
      <c r="T606" s="75">
        <v>14356.230794503481</v>
      </c>
      <c r="U606" s="75">
        <v>13522.040464982807</v>
      </c>
      <c r="V606" s="75">
        <v>12080.627880673343</v>
      </c>
      <c r="W606" s="75">
        <v>10828.58560126572</v>
      </c>
      <c r="X606" s="75">
        <v>8704.0394001713939</v>
      </c>
    </row>
    <row r="609" spans="1:24">
      <c r="A609" s="1075" t="s">
        <v>705</v>
      </c>
    </row>
    <row r="610" spans="1:24">
      <c r="A610" s="442">
        <v>36412</v>
      </c>
    </row>
    <row r="611" spans="1:24" ht="13.2">
      <c r="A611" s="64" t="s">
        <v>368</v>
      </c>
      <c r="B611" s="65">
        <v>48003.259831992604</v>
      </c>
      <c r="C611" s="60"/>
      <c r="D611" s="60"/>
      <c r="E611" s="60"/>
      <c r="F611" s="60"/>
      <c r="G611" s="60"/>
      <c r="H611" s="60"/>
      <c r="I611" s="60"/>
      <c r="J611" s="60"/>
      <c r="K611" s="60"/>
      <c r="L611" s="60"/>
      <c r="M611" s="60"/>
      <c r="N611" s="60"/>
      <c r="O611" s="60"/>
      <c r="P611" s="60"/>
      <c r="Q611" s="60"/>
      <c r="R611" s="60"/>
      <c r="S611" s="60"/>
      <c r="T611" s="60"/>
      <c r="U611" s="60"/>
      <c r="V611" s="60"/>
      <c r="W611" s="60"/>
      <c r="X611" s="60"/>
    </row>
    <row r="612" spans="1:24" ht="13.2">
      <c r="A612" s="66" t="s">
        <v>369</v>
      </c>
      <c r="B612" s="67">
        <v>89127.327871417147</v>
      </c>
      <c r="C612" s="60"/>
      <c r="D612" s="60"/>
      <c r="E612" s="60"/>
      <c r="F612" s="60"/>
      <c r="G612" s="60"/>
      <c r="H612" s="60"/>
      <c r="I612" s="60"/>
      <c r="J612" s="60"/>
      <c r="K612" s="60"/>
      <c r="L612" s="60"/>
      <c r="M612" s="60"/>
      <c r="N612" s="60"/>
      <c r="O612" s="60"/>
      <c r="P612" s="60"/>
      <c r="Q612" s="60"/>
      <c r="R612" s="60"/>
      <c r="S612" s="60"/>
      <c r="T612" s="60"/>
      <c r="U612" s="60"/>
      <c r="V612" s="60"/>
      <c r="W612" s="60"/>
      <c r="X612" s="60"/>
    </row>
    <row r="613" spans="1:24" ht="13.2">
      <c r="A613" s="68" t="s">
        <v>370</v>
      </c>
      <c r="B613" s="495" t="s">
        <v>468</v>
      </c>
      <c r="C613" s="495" t="s">
        <v>469</v>
      </c>
      <c r="D613" s="497">
        <v>2000</v>
      </c>
      <c r="E613" s="498">
        <v>2001</v>
      </c>
      <c r="F613" s="498">
        <v>2002</v>
      </c>
      <c r="G613" s="498">
        <v>2003</v>
      </c>
      <c r="H613" s="498">
        <v>2004</v>
      </c>
      <c r="I613" s="498">
        <v>2005</v>
      </c>
      <c r="J613" s="498">
        <v>2006</v>
      </c>
      <c r="K613" s="498">
        <v>2007</v>
      </c>
      <c r="L613" s="498">
        <v>2008</v>
      </c>
      <c r="M613" s="498">
        <v>2009</v>
      </c>
      <c r="N613" s="499">
        <v>2010</v>
      </c>
      <c r="O613" s="69">
        <v>2011</v>
      </c>
      <c r="P613" s="69">
        <v>2012</v>
      </c>
      <c r="Q613" s="69">
        <v>2013</v>
      </c>
      <c r="R613" s="69">
        <v>2014</v>
      </c>
      <c r="S613" s="69">
        <v>2015</v>
      </c>
      <c r="T613" s="69">
        <v>2016</v>
      </c>
      <c r="U613" s="69">
        <v>2017</v>
      </c>
      <c r="V613" s="69">
        <v>2018</v>
      </c>
      <c r="W613" s="69">
        <v>2019</v>
      </c>
      <c r="X613" s="69">
        <v>2020</v>
      </c>
    </row>
    <row r="614" spans="1:24" ht="13.2">
      <c r="A614" s="68" t="s">
        <v>371</v>
      </c>
      <c r="B614" s="496">
        <f>NPV(0.1,D614:Y614)</f>
        <v>457195.72312395548</v>
      </c>
      <c r="C614" s="496">
        <f>B614-B603</f>
        <v>0</v>
      </c>
      <c r="D614" s="500">
        <v>25347.056333333334</v>
      </c>
      <c r="E614" s="501">
        <v>42007.487139999997</v>
      </c>
      <c r="F614" s="501">
        <v>42094.521254200001</v>
      </c>
      <c r="G614" s="501">
        <v>50668.657660713434</v>
      </c>
      <c r="H614" s="501">
        <v>57743.893261455611</v>
      </c>
      <c r="I614" s="501">
        <v>58943.222063339272</v>
      </c>
      <c r="J614" s="501">
        <v>59552.465288799118</v>
      </c>
      <c r="K614" s="501">
        <v>60161.203847808363</v>
      </c>
      <c r="L614" s="501">
        <v>60768.85914147702</v>
      </c>
      <c r="M614" s="501">
        <v>61374.818309181566</v>
      </c>
      <c r="N614" s="502">
        <v>61978.432693599862</v>
      </c>
      <c r="O614" s="75">
        <v>62579.016244483784</v>
      </c>
      <c r="P614" s="75">
        <v>63175.843858875312</v>
      </c>
      <c r="Q614" s="75">
        <v>62998.168132096616</v>
      </c>
      <c r="R614" s="75">
        <v>63562.044211108274</v>
      </c>
      <c r="S614" s="75">
        <v>64119.044143420528</v>
      </c>
      <c r="T614" s="75">
        <v>64668.247871760315</v>
      </c>
      <c r="U614" s="75">
        <v>65208.686323950235</v>
      </c>
      <c r="V614" s="75">
        <v>65739.339300065752</v>
      </c>
      <c r="W614" s="75">
        <v>65339.735070763163</v>
      </c>
      <c r="X614" s="75">
        <v>39294.512599893416</v>
      </c>
    </row>
    <row r="615" spans="1:24" ht="13.2">
      <c r="A615" s="70" t="s">
        <v>372</v>
      </c>
      <c r="B615" s="496">
        <f>NPV(0.1,D615:Y615)</f>
        <v>204145.8833211952</v>
      </c>
      <c r="C615" s="496">
        <f>B615-B604</f>
        <v>0</v>
      </c>
      <c r="D615" s="500">
        <v>13735.271874132448</v>
      </c>
      <c r="E615" s="501">
        <v>21850.0328500346</v>
      </c>
      <c r="F615" s="501">
        <v>22096.53252159369</v>
      </c>
      <c r="G615" s="501">
        <v>23413.601741481685</v>
      </c>
      <c r="H615" s="501">
        <v>24271.789190606411</v>
      </c>
      <c r="I615" s="501">
        <v>24506.506554867738</v>
      </c>
      <c r="J615" s="501">
        <v>24787.300713664747</v>
      </c>
      <c r="K615" s="501">
        <v>25095.823285374754</v>
      </c>
      <c r="L615" s="501">
        <v>25370.703072846401</v>
      </c>
      <c r="M615" s="501">
        <v>25576.150475946626</v>
      </c>
      <c r="N615" s="502">
        <v>25789.810925993592</v>
      </c>
      <c r="O615" s="75">
        <v>26181.589008353592</v>
      </c>
      <c r="P615" s="75">
        <v>26413.896379185117</v>
      </c>
      <c r="Q615" s="75">
        <v>26653.172971141583</v>
      </c>
      <c r="R615" s="75">
        <v>26899.627860856748</v>
      </c>
      <c r="S615" s="75">
        <v>27153.476397263359</v>
      </c>
      <c r="T615" s="75">
        <v>27414.940389762178</v>
      </c>
      <c r="U615" s="75">
        <v>27684.248302035958</v>
      </c>
      <c r="V615" s="75">
        <v>27961.635451677954</v>
      </c>
      <c r="W615" s="75">
        <v>28247.344215809204</v>
      </c>
      <c r="X615" s="75">
        <v>25770.43099873039</v>
      </c>
    </row>
    <row r="616" spans="1:24" ht="13.2">
      <c r="A616" s="70" t="s">
        <v>34</v>
      </c>
      <c r="B616" s="496">
        <f>NPV(0.1,D616:Y616)</f>
        <v>94455.324900832333</v>
      </c>
      <c r="C616" s="496">
        <f>B616-B605</f>
        <v>20.575726907802164</v>
      </c>
      <c r="D616" s="500">
        <v>-473.38425655377785</v>
      </c>
      <c r="E616" s="501">
        <v>3552.1939713744532</v>
      </c>
      <c r="F616" s="501">
        <v>3655.8133980021039</v>
      </c>
      <c r="G616" s="501">
        <v>8397.0290153190253</v>
      </c>
      <c r="H616" s="501">
        <v>12529.026060086097</v>
      </c>
      <c r="I616" s="501">
        <v>13466.677077669226</v>
      </c>
      <c r="J616" s="501">
        <v>13983.916793455261</v>
      </c>
      <c r="K616" s="501">
        <v>14429.377719037499</v>
      </c>
      <c r="L616" s="501">
        <v>14894.57404755774</v>
      </c>
      <c r="M616" s="501">
        <v>15567.223374730102</v>
      </c>
      <c r="N616" s="502">
        <v>16349.035909723299</v>
      </c>
      <c r="O616" s="75">
        <v>16605.058837353728</v>
      </c>
      <c r="P616" s="75">
        <v>16987.830402304684</v>
      </c>
      <c r="Q616" s="75">
        <v>16896.925560969914</v>
      </c>
      <c r="R616" s="75">
        <v>17251.148828975587</v>
      </c>
      <c r="S616" s="75">
        <v>17596.722702520157</v>
      </c>
      <c r="T616" s="75">
        <v>17932.955058388285</v>
      </c>
      <c r="U616" s="75">
        <v>18420.943801022928</v>
      </c>
      <c r="V616" s="75">
        <v>18962.833657309839</v>
      </c>
      <c r="W616" s="75">
        <v>19032.914062785188</v>
      </c>
      <c r="X616" s="75">
        <v>5323.7728813454487</v>
      </c>
    </row>
    <row r="617" spans="1:24" ht="13.2">
      <c r="A617" s="70" t="s">
        <v>32</v>
      </c>
      <c r="B617" s="496">
        <f>NPV(0.1,D617:Y617)</f>
        <v>100708.06935972153</v>
      </c>
      <c r="C617" s="496">
        <f>B617-B606</f>
        <v>20.239184741658391</v>
      </c>
      <c r="D617" s="503">
        <v>-2473.4690696794273</v>
      </c>
      <c r="E617" s="504">
        <v>5887.1945714662834</v>
      </c>
      <c r="F617" s="504">
        <v>4452.4620674935359</v>
      </c>
      <c r="G617" s="504">
        <v>10249.972629709606</v>
      </c>
      <c r="H617" s="504">
        <v>17909.155444237229</v>
      </c>
      <c r="I617" s="504">
        <v>15455.491876145075</v>
      </c>
      <c r="J617" s="504">
        <v>15007.900779948048</v>
      </c>
      <c r="K617" s="504">
        <v>15481.282213463172</v>
      </c>
      <c r="L617" s="504">
        <v>12229.041848388981</v>
      </c>
      <c r="M617" s="504">
        <v>10335.303063279727</v>
      </c>
      <c r="N617" s="505">
        <v>20292.305837641597</v>
      </c>
      <c r="O617" s="75">
        <v>20064.990318056221</v>
      </c>
      <c r="P617" s="75">
        <v>20275.496229383432</v>
      </c>
      <c r="Q617" s="75">
        <v>20190.620096042036</v>
      </c>
      <c r="R617" s="75">
        <v>20538.814656054332</v>
      </c>
      <c r="S617" s="75">
        <v>19105.919671553274</v>
      </c>
      <c r="T617" s="75">
        <v>14359.10502837578</v>
      </c>
      <c r="U617" s="75">
        <v>13525.262514610426</v>
      </c>
      <c r="V617" s="75">
        <v>12084.405486297339</v>
      </c>
      <c r="W617" s="75">
        <v>10832.654635372688</v>
      </c>
      <c r="X617" s="75">
        <v>8704.0017000023909</v>
      </c>
    </row>
    <row r="620" spans="1:24">
      <c r="A620" s="1075" t="s">
        <v>706</v>
      </c>
    </row>
    <row r="621" spans="1:24">
      <c r="A621" s="442">
        <v>36419</v>
      </c>
    </row>
    <row r="622" spans="1:24" ht="13.2">
      <c r="A622" s="64" t="s">
        <v>368</v>
      </c>
      <c r="B622" s="65">
        <v>48003.259831992604</v>
      </c>
      <c r="C622" s="60"/>
      <c r="D622" s="60"/>
      <c r="E622" s="60"/>
      <c r="F622" s="60"/>
      <c r="G622" s="60"/>
      <c r="H622" s="60"/>
      <c r="I622" s="60"/>
      <c r="J622" s="60"/>
      <c r="K622" s="60"/>
      <c r="L622" s="60"/>
      <c r="M622" s="60"/>
      <c r="N622" s="60"/>
      <c r="O622" s="60"/>
      <c r="P622" s="60"/>
      <c r="Q622" s="60"/>
      <c r="R622" s="60"/>
      <c r="S622" s="60"/>
      <c r="T622" s="60"/>
      <c r="U622" s="60"/>
      <c r="V622" s="60"/>
      <c r="W622" s="60"/>
      <c r="X622" s="60"/>
    </row>
    <row r="623" spans="1:24" ht="13.2">
      <c r="A623" s="66" t="s">
        <v>369</v>
      </c>
      <c r="B623" s="67">
        <v>89127.327871417147</v>
      </c>
      <c r="C623" s="60"/>
      <c r="D623" s="60"/>
      <c r="E623" s="60"/>
      <c r="F623" s="60"/>
      <c r="G623" s="60"/>
      <c r="H623" s="60"/>
      <c r="I623" s="60"/>
      <c r="J623" s="60"/>
      <c r="K623" s="60"/>
      <c r="L623" s="60"/>
      <c r="M623" s="60"/>
      <c r="N623" s="60"/>
      <c r="O623" s="60"/>
      <c r="P623" s="60"/>
      <c r="Q623" s="60"/>
      <c r="R623" s="60"/>
      <c r="S623" s="60"/>
      <c r="T623" s="60"/>
      <c r="U623" s="60"/>
      <c r="V623" s="60"/>
      <c r="W623" s="60"/>
      <c r="X623" s="60"/>
    </row>
    <row r="624" spans="1:24" ht="13.2">
      <c r="A624" s="68" t="s">
        <v>370</v>
      </c>
      <c r="B624" s="495" t="s">
        <v>468</v>
      </c>
      <c r="C624" s="495" t="s">
        <v>469</v>
      </c>
      <c r="D624" s="497">
        <v>2000</v>
      </c>
      <c r="E624" s="498">
        <v>2001</v>
      </c>
      <c r="F624" s="498">
        <v>2002</v>
      </c>
      <c r="G624" s="498">
        <v>2003</v>
      </c>
      <c r="H624" s="498">
        <v>2004</v>
      </c>
      <c r="I624" s="498">
        <v>2005</v>
      </c>
      <c r="J624" s="498">
        <v>2006</v>
      </c>
      <c r="K624" s="498">
        <v>2007</v>
      </c>
      <c r="L624" s="498">
        <v>2008</v>
      </c>
      <c r="M624" s="498">
        <v>2009</v>
      </c>
      <c r="N624" s="499">
        <v>2010</v>
      </c>
      <c r="O624" s="69">
        <v>2011</v>
      </c>
      <c r="P624" s="69">
        <v>2012</v>
      </c>
      <c r="Q624" s="69">
        <v>2013</v>
      </c>
      <c r="R624" s="69">
        <v>2014</v>
      </c>
      <c r="S624" s="69">
        <v>2015</v>
      </c>
      <c r="T624" s="69">
        <v>2016</v>
      </c>
      <c r="U624" s="69">
        <v>2017</v>
      </c>
      <c r="V624" s="69">
        <v>2018</v>
      </c>
      <c r="W624" s="69">
        <v>2019</v>
      </c>
      <c r="X624" s="69">
        <v>2020</v>
      </c>
    </row>
    <row r="625" spans="1:24" ht="13.2">
      <c r="A625" s="68" t="s">
        <v>371</v>
      </c>
      <c r="B625" s="496">
        <f>NPV(0.1,D625:Y625)</f>
        <v>457195.72312395548</v>
      </c>
      <c r="C625" s="496">
        <f>B625-B614</f>
        <v>0</v>
      </c>
      <c r="D625" s="500">
        <v>25347.056333333334</v>
      </c>
      <c r="E625" s="501">
        <v>42007.487139999997</v>
      </c>
      <c r="F625" s="501">
        <v>42094.521254200001</v>
      </c>
      <c r="G625" s="501">
        <v>50668.657660713434</v>
      </c>
      <c r="H625" s="501">
        <v>57743.893261455611</v>
      </c>
      <c r="I625" s="501">
        <v>58943.222063339272</v>
      </c>
      <c r="J625" s="501">
        <v>59552.465288799118</v>
      </c>
      <c r="K625" s="501">
        <v>60161.203847808363</v>
      </c>
      <c r="L625" s="501">
        <v>60768.85914147702</v>
      </c>
      <c r="M625" s="501">
        <v>61374.818309181566</v>
      </c>
      <c r="N625" s="502">
        <v>61978.432693599862</v>
      </c>
      <c r="O625" s="75">
        <v>62579.016244483784</v>
      </c>
      <c r="P625" s="75">
        <v>63175.843858875312</v>
      </c>
      <c r="Q625" s="75">
        <v>62998.168132096616</v>
      </c>
      <c r="R625" s="75">
        <v>63562.044211108274</v>
      </c>
      <c r="S625" s="75">
        <v>64119.044143420528</v>
      </c>
      <c r="T625" s="75">
        <v>64668.247871760315</v>
      </c>
      <c r="U625" s="75">
        <v>65208.686323950235</v>
      </c>
      <c r="V625" s="75">
        <v>65739.339300065752</v>
      </c>
      <c r="W625" s="75">
        <v>65339.735070763163</v>
      </c>
      <c r="X625" s="75">
        <v>39294.512599893416</v>
      </c>
    </row>
    <row r="626" spans="1:24" ht="13.2">
      <c r="A626" s="70" t="s">
        <v>372</v>
      </c>
      <c r="B626" s="496">
        <f>NPV(0.1,D626:Y626)</f>
        <v>204145.8833211952</v>
      </c>
      <c r="C626" s="496">
        <f>B626-B615</f>
        <v>0</v>
      </c>
      <c r="D626" s="500">
        <v>13735.271874132448</v>
      </c>
      <c r="E626" s="501">
        <v>21850.0328500346</v>
      </c>
      <c r="F626" s="501">
        <v>22096.53252159369</v>
      </c>
      <c r="G626" s="501">
        <v>23413.601741481685</v>
      </c>
      <c r="H626" s="501">
        <v>24271.789190606411</v>
      </c>
      <c r="I626" s="501">
        <v>24506.506554867738</v>
      </c>
      <c r="J626" s="501">
        <v>24787.300713664747</v>
      </c>
      <c r="K626" s="501">
        <v>25095.823285374754</v>
      </c>
      <c r="L626" s="501">
        <v>25370.703072846401</v>
      </c>
      <c r="M626" s="501">
        <v>25576.150475946626</v>
      </c>
      <c r="N626" s="502">
        <v>25789.810925993592</v>
      </c>
      <c r="O626" s="75">
        <v>26181.589008353592</v>
      </c>
      <c r="P626" s="75">
        <v>26413.896379185117</v>
      </c>
      <c r="Q626" s="75">
        <v>26653.172971141583</v>
      </c>
      <c r="R626" s="75">
        <v>26899.627860856748</v>
      </c>
      <c r="S626" s="75">
        <v>27153.476397263359</v>
      </c>
      <c r="T626" s="75">
        <v>27414.940389762178</v>
      </c>
      <c r="U626" s="75">
        <v>27684.248302035958</v>
      </c>
      <c r="V626" s="75">
        <v>27961.635451677954</v>
      </c>
      <c r="W626" s="75">
        <v>28247.344215809204</v>
      </c>
      <c r="X626" s="75">
        <v>25770.43099873039</v>
      </c>
    </row>
    <row r="627" spans="1:24" ht="13.2">
      <c r="A627" s="70" t="s">
        <v>34</v>
      </c>
      <c r="B627" s="496">
        <f>NPV(0.1,D627:Y627)</f>
        <v>94455.324900832333</v>
      </c>
      <c r="C627" s="496">
        <f>B627-B616</f>
        <v>0</v>
      </c>
      <c r="D627" s="500">
        <v>-473.38425655377785</v>
      </c>
      <c r="E627" s="501">
        <v>3552.1939713744532</v>
      </c>
      <c r="F627" s="501">
        <v>3655.8133980021039</v>
      </c>
      <c r="G627" s="501">
        <v>8397.0290153190253</v>
      </c>
      <c r="H627" s="501">
        <v>12529.026060086097</v>
      </c>
      <c r="I627" s="501">
        <v>13466.677077669226</v>
      </c>
      <c r="J627" s="501">
        <v>13983.916793455261</v>
      </c>
      <c r="K627" s="501">
        <v>14429.377719037499</v>
      </c>
      <c r="L627" s="501">
        <v>14894.57404755774</v>
      </c>
      <c r="M627" s="501">
        <v>15567.223374730102</v>
      </c>
      <c r="N627" s="502">
        <v>16349.035909723299</v>
      </c>
      <c r="O627" s="75">
        <v>16605.058837353728</v>
      </c>
      <c r="P627" s="75">
        <v>16987.830402304684</v>
      </c>
      <c r="Q627" s="75">
        <v>16896.925560969914</v>
      </c>
      <c r="R627" s="75">
        <v>17251.148828975587</v>
      </c>
      <c r="S627" s="75">
        <v>17596.722702520157</v>
      </c>
      <c r="T627" s="75">
        <v>17932.955058388285</v>
      </c>
      <c r="U627" s="75">
        <v>18420.943801022928</v>
      </c>
      <c r="V627" s="75">
        <v>18962.833657309839</v>
      </c>
      <c r="W627" s="75">
        <v>19032.914062785188</v>
      </c>
      <c r="X627" s="75">
        <v>5323.7728813454487</v>
      </c>
    </row>
    <row r="628" spans="1:24" ht="13.2">
      <c r="A628" s="70" t="s">
        <v>32</v>
      </c>
      <c r="B628" s="496">
        <f>NPV(0.1,D628:Y628)</f>
        <v>100708.06935972153</v>
      </c>
      <c r="C628" s="496">
        <f>B628-B617</f>
        <v>0</v>
      </c>
      <c r="D628" s="503">
        <v>-2473.4690696794273</v>
      </c>
      <c r="E628" s="504">
        <v>5887.1945714662834</v>
      </c>
      <c r="F628" s="504">
        <v>4452.4620674935359</v>
      </c>
      <c r="G628" s="504">
        <v>10249.972629709606</v>
      </c>
      <c r="H628" s="504">
        <v>17909.155444237229</v>
      </c>
      <c r="I628" s="504">
        <v>15455.491876145075</v>
      </c>
      <c r="J628" s="504">
        <v>15007.900779948048</v>
      </c>
      <c r="K628" s="504">
        <v>15481.282213463172</v>
      </c>
      <c r="L628" s="504">
        <v>12229.041848388981</v>
      </c>
      <c r="M628" s="504">
        <v>10335.303063279727</v>
      </c>
      <c r="N628" s="505">
        <v>20292.305837641597</v>
      </c>
      <c r="O628" s="75">
        <v>20064.990318056221</v>
      </c>
      <c r="P628" s="75">
        <v>20275.496229383432</v>
      </c>
      <c r="Q628" s="75">
        <v>20190.620096042036</v>
      </c>
      <c r="R628" s="75">
        <v>20538.814656054332</v>
      </c>
      <c r="S628" s="75">
        <v>19105.919671553274</v>
      </c>
      <c r="T628" s="75">
        <v>14359.10502837578</v>
      </c>
      <c r="U628" s="75">
        <v>13525.262514610426</v>
      </c>
      <c r="V628" s="75">
        <v>12084.405486297339</v>
      </c>
      <c r="W628" s="75">
        <v>10832.654635372688</v>
      </c>
      <c r="X628" s="75">
        <v>8704.0017000023909</v>
      </c>
    </row>
    <row r="631" spans="1:24">
      <c r="A631" s="1075" t="s">
        <v>706</v>
      </c>
    </row>
    <row r="632" spans="1:24">
      <c r="A632" s="442">
        <v>36427</v>
      </c>
    </row>
    <row r="633" spans="1:24" ht="13.2">
      <c r="A633" s="64" t="s">
        <v>368</v>
      </c>
      <c r="B633" s="65">
        <v>48968.908245427592</v>
      </c>
      <c r="C633" s="60"/>
      <c r="D633" s="60"/>
      <c r="E633" s="60"/>
      <c r="F633" s="60"/>
      <c r="G633" s="60"/>
      <c r="H633" s="60"/>
      <c r="I633" s="60"/>
      <c r="J633" s="60"/>
      <c r="K633" s="60"/>
      <c r="L633" s="60"/>
      <c r="M633" s="60"/>
      <c r="N633" s="60"/>
      <c r="O633" s="60"/>
      <c r="P633" s="60"/>
      <c r="Q633" s="60"/>
      <c r="R633" s="60"/>
      <c r="S633" s="60"/>
      <c r="T633" s="60"/>
      <c r="U633" s="60"/>
      <c r="V633" s="60"/>
      <c r="W633" s="60"/>
      <c r="X633" s="60"/>
    </row>
    <row r="634" spans="1:24" ht="13.2">
      <c r="A634" s="66" t="s">
        <v>369</v>
      </c>
      <c r="B634" s="67">
        <v>90506.626383486597</v>
      </c>
      <c r="C634" s="60"/>
      <c r="D634" s="60"/>
      <c r="E634" s="60"/>
      <c r="F634" s="60"/>
      <c r="G634" s="60"/>
      <c r="H634" s="60"/>
      <c r="I634" s="60"/>
      <c r="J634" s="60"/>
      <c r="K634" s="60"/>
      <c r="L634" s="60"/>
      <c r="M634" s="60"/>
      <c r="N634" s="60"/>
      <c r="O634" s="60"/>
      <c r="P634" s="60"/>
      <c r="Q634" s="60"/>
      <c r="R634" s="60"/>
      <c r="S634" s="60"/>
      <c r="T634" s="60"/>
      <c r="U634" s="60"/>
      <c r="V634" s="60"/>
      <c r="W634" s="60"/>
      <c r="X634" s="60"/>
    </row>
    <row r="635" spans="1:24" ht="13.2">
      <c r="A635" s="68" t="s">
        <v>370</v>
      </c>
      <c r="B635" s="495" t="s">
        <v>468</v>
      </c>
      <c r="C635" s="495" t="s">
        <v>469</v>
      </c>
      <c r="D635" s="497">
        <v>2000</v>
      </c>
      <c r="E635" s="498">
        <v>2001</v>
      </c>
      <c r="F635" s="498">
        <v>2002</v>
      </c>
      <c r="G635" s="498">
        <v>2003</v>
      </c>
      <c r="H635" s="498">
        <v>2004</v>
      </c>
      <c r="I635" s="498">
        <v>2005</v>
      </c>
      <c r="J635" s="498">
        <v>2006</v>
      </c>
      <c r="K635" s="498">
        <v>2007</v>
      </c>
      <c r="L635" s="498">
        <v>2008</v>
      </c>
      <c r="M635" s="498">
        <v>2009</v>
      </c>
      <c r="N635" s="499">
        <v>2010</v>
      </c>
      <c r="O635" s="69">
        <v>2011</v>
      </c>
      <c r="P635" s="69">
        <v>2012</v>
      </c>
      <c r="Q635" s="69">
        <v>2013</v>
      </c>
      <c r="R635" s="69">
        <v>2014</v>
      </c>
      <c r="S635" s="69">
        <v>2015</v>
      </c>
      <c r="T635" s="69">
        <v>2016</v>
      </c>
      <c r="U635" s="69">
        <v>2017</v>
      </c>
      <c r="V635" s="69">
        <v>2018</v>
      </c>
      <c r="W635" s="69">
        <v>2019</v>
      </c>
      <c r="X635" s="69">
        <v>2020</v>
      </c>
    </row>
    <row r="636" spans="1:24" ht="13.2">
      <c r="A636" s="68" t="s">
        <v>371</v>
      </c>
      <c r="B636" s="496">
        <f>NPV(0.1,D636:Y636)</f>
        <v>457195.72312395548</v>
      </c>
      <c r="C636" s="496">
        <f>B636-B625</f>
        <v>0</v>
      </c>
      <c r="D636" s="500">
        <v>25347.056333333334</v>
      </c>
      <c r="E636" s="501">
        <v>42007.487139999997</v>
      </c>
      <c r="F636" s="501">
        <v>42094.521254200001</v>
      </c>
      <c r="G636" s="501">
        <v>50668.657660713434</v>
      </c>
      <c r="H636" s="501">
        <v>57743.893261455611</v>
      </c>
      <c r="I636" s="501">
        <v>58943.222063339272</v>
      </c>
      <c r="J636" s="501">
        <v>59552.465288799118</v>
      </c>
      <c r="K636" s="501">
        <v>60161.203847808363</v>
      </c>
      <c r="L636" s="501">
        <v>60768.85914147702</v>
      </c>
      <c r="M636" s="501">
        <v>61374.818309181566</v>
      </c>
      <c r="N636" s="502">
        <v>61978.432693599862</v>
      </c>
      <c r="O636" s="75">
        <v>62579.016244483784</v>
      </c>
      <c r="P636" s="75">
        <v>63175.843858875312</v>
      </c>
      <c r="Q636" s="75">
        <v>62998.168132096616</v>
      </c>
      <c r="R636" s="75">
        <v>63562.044211108274</v>
      </c>
      <c r="S636" s="75">
        <v>64119.044143420528</v>
      </c>
      <c r="T636" s="75">
        <v>64668.247871760315</v>
      </c>
      <c r="U636" s="75">
        <v>65208.686323950235</v>
      </c>
      <c r="V636" s="75">
        <v>65739.339300065752</v>
      </c>
      <c r="W636" s="75">
        <v>65339.735070763163</v>
      </c>
      <c r="X636" s="75">
        <v>39294.512599893416</v>
      </c>
    </row>
    <row r="637" spans="1:24" ht="13.2">
      <c r="A637" s="70" t="s">
        <v>372</v>
      </c>
      <c r="B637" s="496">
        <f>NPV(0.1,D637:Y637)</f>
        <v>204145.8833211952</v>
      </c>
      <c r="C637" s="496">
        <f>B637-B626</f>
        <v>0</v>
      </c>
      <c r="D637" s="500">
        <v>13735.271874132448</v>
      </c>
      <c r="E637" s="501">
        <v>21850.0328500346</v>
      </c>
      <c r="F637" s="501">
        <v>22096.53252159369</v>
      </c>
      <c r="G637" s="501">
        <v>23413.601741481685</v>
      </c>
      <c r="H637" s="501">
        <v>24271.789190606411</v>
      </c>
      <c r="I637" s="501">
        <v>24506.506554867738</v>
      </c>
      <c r="J637" s="501">
        <v>24787.300713664747</v>
      </c>
      <c r="K637" s="501">
        <v>25095.823285374754</v>
      </c>
      <c r="L637" s="501">
        <v>25370.703072846401</v>
      </c>
      <c r="M637" s="501">
        <v>25576.150475946626</v>
      </c>
      <c r="N637" s="502">
        <v>25789.810925993592</v>
      </c>
      <c r="O637" s="75">
        <v>26181.589008353592</v>
      </c>
      <c r="P637" s="75">
        <v>26413.896379185117</v>
      </c>
      <c r="Q637" s="75">
        <v>26653.172971141583</v>
      </c>
      <c r="R637" s="75">
        <v>26899.627860856748</v>
      </c>
      <c r="S637" s="75">
        <v>27153.476397263359</v>
      </c>
      <c r="T637" s="75">
        <v>27414.940389762178</v>
      </c>
      <c r="U637" s="75">
        <v>27684.248302035958</v>
      </c>
      <c r="V637" s="75">
        <v>27961.635451677954</v>
      </c>
      <c r="W637" s="75">
        <v>28247.344215809204</v>
      </c>
      <c r="X637" s="75">
        <v>25770.43099873039</v>
      </c>
    </row>
    <row r="638" spans="1:24" ht="13.2">
      <c r="A638" s="70" t="s">
        <v>34</v>
      </c>
      <c r="B638" s="496">
        <f>NPV(0.1,D638:Y638)</f>
        <v>94455.324900832333</v>
      </c>
      <c r="C638" s="496">
        <f>B638-B627</f>
        <v>0</v>
      </c>
      <c r="D638" s="500">
        <v>-473.38425655377785</v>
      </c>
      <c r="E638" s="501">
        <v>3552.1939713744532</v>
      </c>
      <c r="F638" s="501">
        <v>3655.8133980021039</v>
      </c>
      <c r="G638" s="501">
        <v>8397.0290153190253</v>
      </c>
      <c r="H638" s="501">
        <v>12529.026060086097</v>
      </c>
      <c r="I638" s="501">
        <v>13466.677077669226</v>
      </c>
      <c r="J638" s="501">
        <v>13983.916793455261</v>
      </c>
      <c r="K638" s="501">
        <v>14429.377719037499</v>
      </c>
      <c r="L638" s="501">
        <v>14894.57404755774</v>
      </c>
      <c r="M638" s="501">
        <v>15567.223374730102</v>
      </c>
      <c r="N638" s="502">
        <v>16349.035909723299</v>
      </c>
      <c r="O638" s="75">
        <v>16605.058837353728</v>
      </c>
      <c r="P638" s="75">
        <v>16987.830402304684</v>
      </c>
      <c r="Q638" s="75">
        <v>16896.925560969914</v>
      </c>
      <c r="R638" s="75">
        <v>17251.148828975587</v>
      </c>
      <c r="S638" s="75">
        <v>17596.722702520157</v>
      </c>
      <c r="T638" s="75">
        <v>17932.955058388285</v>
      </c>
      <c r="U638" s="75">
        <v>18420.943801022928</v>
      </c>
      <c r="V638" s="75">
        <v>18962.833657309839</v>
      </c>
      <c r="W638" s="75">
        <v>19032.914062785188</v>
      </c>
      <c r="X638" s="75">
        <v>5323.7728813454487</v>
      </c>
    </row>
    <row r="639" spans="1:24" ht="13.2">
      <c r="A639" s="70" t="s">
        <v>32</v>
      </c>
      <c r="B639" s="496">
        <f>NPV(0.1,D639:Y639)</f>
        <v>100708.06935972153</v>
      </c>
      <c r="C639" s="496">
        <f>B639-B628</f>
        <v>0</v>
      </c>
      <c r="D639" s="503">
        <v>-2473.4690696794273</v>
      </c>
      <c r="E639" s="504">
        <v>5887.1945714662834</v>
      </c>
      <c r="F639" s="504">
        <v>4452.4620674935359</v>
      </c>
      <c r="G639" s="504">
        <v>10249.972629709606</v>
      </c>
      <c r="H639" s="504">
        <v>17909.155444237229</v>
      </c>
      <c r="I639" s="504">
        <v>15455.491876145075</v>
      </c>
      <c r="J639" s="504">
        <v>15007.900779948048</v>
      </c>
      <c r="K639" s="504">
        <v>15481.282213463172</v>
      </c>
      <c r="L639" s="504">
        <v>12229.041848388981</v>
      </c>
      <c r="M639" s="504">
        <v>10335.303063279727</v>
      </c>
      <c r="N639" s="505">
        <v>20292.305837641597</v>
      </c>
      <c r="O639" s="75">
        <v>20064.990318056221</v>
      </c>
      <c r="P639" s="75">
        <v>20275.496229383432</v>
      </c>
      <c r="Q639" s="75">
        <v>20190.620096042036</v>
      </c>
      <c r="R639" s="75">
        <v>20538.814656054332</v>
      </c>
      <c r="S639" s="75">
        <v>19105.919671553274</v>
      </c>
      <c r="T639" s="75">
        <v>14359.10502837578</v>
      </c>
      <c r="U639" s="75">
        <v>13525.262514610426</v>
      </c>
      <c r="V639" s="75">
        <v>12084.405486297339</v>
      </c>
      <c r="W639" s="75">
        <v>10832.654635372688</v>
      </c>
      <c r="X639" s="75">
        <v>8704.0017000023909</v>
      </c>
    </row>
    <row r="642" spans="1:24">
      <c r="A642" s="1075" t="s">
        <v>707</v>
      </c>
    </row>
    <row r="643" spans="1:24">
      <c r="A643" s="442">
        <v>36433</v>
      </c>
    </row>
    <row r="644" spans="1:24" ht="13.2">
      <c r="A644" s="64" t="s">
        <v>368</v>
      </c>
      <c r="B644" s="65">
        <v>48968.908245427592</v>
      </c>
      <c r="C644" s="60"/>
      <c r="D644" s="60"/>
      <c r="E644" s="60"/>
      <c r="F644" s="60"/>
      <c r="G644" s="60"/>
      <c r="H644" s="60"/>
      <c r="I644" s="60"/>
      <c r="J644" s="60"/>
      <c r="K644" s="60"/>
      <c r="L644" s="60"/>
      <c r="M644" s="60"/>
      <c r="N644" s="60"/>
      <c r="O644" s="60"/>
      <c r="P644" s="60"/>
      <c r="Q644" s="60"/>
      <c r="R644" s="60"/>
      <c r="S644" s="60"/>
      <c r="T644" s="60"/>
      <c r="U644" s="60"/>
      <c r="V644" s="60"/>
      <c r="W644" s="60"/>
      <c r="X644" s="60"/>
    </row>
    <row r="645" spans="1:24" ht="13.2">
      <c r="A645" s="66" t="s">
        <v>369</v>
      </c>
      <c r="B645" s="67">
        <v>90506.626383486597</v>
      </c>
      <c r="C645" s="60"/>
      <c r="D645" s="60"/>
      <c r="E645" s="60"/>
      <c r="F645" s="60"/>
      <c r="G645" s="60"/>
      <c r="H645" s="60"/>
      <c r="I645" s="60"/>
      <c r="J645" s="60"/>
      <c r="K645" s="60"/>
      <c r="L645" s="60"/>
      <c r="M645" s="60"/>
      <c r="N645" s="60"/>
      <c r="O645" s="60"/>
      <c r="P645" s="60"/>
      <c r="Q645" s="60"/>
      <c r="R645" s="60"/>
      <c r="S645" s="60"/>
      <c r="T645" s="60"/>
      <c r="U645" s="60"/>
      <c r="V645" s="60"/>
      <c r="W645" s="60"/>
      <c r="X645" s="60"/>
    </row>
    <row r="646" spans="1:24" ht="13.2">
      <c r="A646" s="68" t="s">
        <v>370</v>
      </c>
      <c r="B646" s="495" t="s">
        <v>468</v>
      </c>
      <c r="C646" s="495" t="s">
        <v>469</v>
      </c>
      <c r="D646" s="497">
        <v>2000</v>
      </c>
      <c r="E646" s="498">
        <v>2001</v>
      </c>
      <c r="F646" s="498">
        <v>2002</v>
      </c>
      <c r="G646" s="498">
        <v>2003</v>
      </c>
      <c r="H646" s="498">
        <v>2004</v>
      </c>
      <c r="I646" s="498">
        <v>2005</v>
      </c>
      <c r="J646" s="498">
        <v>2006</v>
      </c>
      <c r="K646" s="498">
        <v>2007</v>
      </c>
      <c r="L646" s="498">
        <v>2008</v>
      </c>
      <c r="M646" s="498">
        <v>2009</v>
      </c>
      <c r="N646" s="499">
        <v>2010</v>
      </c>
      <c r="O646" s="69">
        <v>2011</v>
      </c>
      <c r="P646" s="69">
        <v>2012</v>
      </c>
      <c r="Q646" s="69">
        <v>2013</v>
      </c>
      <c r="R646" s="69">
        <v>2014</v>
      </c>
      <c r="S646" s="69">
        <v>2015</v>
      </c>
      <c r="T646" s="69">
        <v>2016</v>
      </c>
      <c r="U646" s="69">
        <v>2017</v>
      </c>
      <c r="V646" s="69">
        <v>2018</v>
      </c>
      <c r="W646" s="69">
        <v>2019</v>
      </c>
      <c r="X646" s="69">
        <v>2020</v>
      </c>
    </row>
    <row r="647" spans="1:24" ht="13.2">
      <c r="A647" s="68" t="s">
        <v>371</v>
      </c>
      <c r="B647" s="496">
        <f>NPV(0.1,D647:Y647)</f>
        <v>457195.72312395548</v>
      </c>
      <c r="C647" s="496">
        <f>B647-B636</f>
        <v>0</v>
      </c>
      <c r="D647" s="500">
        <v>25347.056333333334</v>
      </c>
      <c r="E647" s="501">
        <v>42007.487139999997</v>
      </c>
      <c r="F647" s="501">
        <v>42094.521254200001</v>
      </c>
      <c r="G647" s="501">
        <v>50668.657660713434</v>
      </c>
      <c r="H647" s="501">
        <v>57743.893261455611</v>
      </c>
      <c r="I647" s="501">
        <v>58943.222063339272</v>
      </c>
      <c r="J647" s="501">
        <v>59552.465288799118</v>
      </c>
      <c r="K647" s="501">
        <v>60161.203847808363</v>
      </c>
      <c r="L647" s="501">
        <v>60768.85914147702</v>
      </c>
      <c r="M647" s="501">
        <v>61374.818309181566</v>
      </c>
      <c r="N647" s="502">
        <v>61978.432693599862</v>
      </c>
      <c r="O647" s="75">
        <v>62579.016244483784</v>
      </c>
      <c r="P647" s="75">
        <v>63175.843858875312</v>
      </c>
      <c r="Q647" s="75">
        <v>62998.168132096616</v>
      </c>
      <c r="R647" s="75">
        <v>63562.044211108274</v>
      </c>
      <c r="S647" s="75">
        <v>64119.044143420528</v>
      </c>
      <c r="T647" s="75">
        <v>64668.247871760315</v>
      </c>
      <c r="U647" s="75">
        <v>65208.686323950235</v>
      </c>
      <c r="V647" s="75">
        <v>65739.339300065752</v>
      </c>
      <c r="W647" s="75">
        <v>65339.735070763163</v>
      </c>
      <c r="X647" s="75">
        <v>39294.512599893416</v>
      </c>
    </row>
    <row r="648" spans="1:24" ht="13.2">
      <c r="A648" s="70" t="s">
        <v>372</v>
      </c>
      <c r="B648" s="496">
        <f>NPV(0.1,D648:Y648)</f>
        <v>204145.8833211952</v>
      </c>
      <c r="C648" s="496">
        <f>B648-B637</f>
        <v>0</v>
      </c>
      <c r="D648" s="500">
        <v>13735.271874132448</v>
      </c>
      <c r="E648" s="501">
        <v>21850.0328500346</v>
      </c>
      <c r="F648" s="501">
        <v>22096.53252159369</v>
      </c>
      <c r="G648" s="501">
        <v>23413.601741481685</v>
      </c>
      <c r="H648" s="501">
        <v>24271.789190606411</v>
      </c>
      <c r="I648" s="501">
        <v>24506.506554867738</v>
      </c>
      <c r="J648" s="501">
        <v>24787.300713664747</v>
      </c>
      <c r="K648" s="501">
        <v>25095.823285374754</v>
      </c>
      <c r="L648" s="501">
        <v>25370.703072846401</v>
      </c>
      <c r="M648" s="501">
        <v>25576.150475946626</v>
      </c>
      <c r="N648" s="502">
        <v>25789.810925993592</v>
      </c>
      <c r="O648" s="75">
        <v>26181.589008353592</v>
      </c>
      <c r="P648" s="75">
        <v>26413.896379185117</v>
      </c>
      <c r="Q648" s="75">
        <v>26653.172971141583</v>
      </c>
      <c r="R648" s="75">
        <v>26899.627860856748</v>
      </c>
      <c r="S648" s="75">
        <v>27153.476397263359</v>
      </c>
      <c r="T648" s="75">
        <v>27414.940389762178</v>
      </c>
      <c r="U648" s="75">
        <v>27684.248302035958</v>
      </c>
      <c r="V648" s="75">
        <v>27961.635451677954</v>
      </c>
      <c r="W648" s="75">
        <v>28247.344215809204</v>
      </c>
      <c r="X648" s="75">
        <v>25770.43099873039</v>
      </c>
    </row>
    <row r="649" spans="1:24" ht="13.2">
      <c r="A649" s="70" t="s">
        <v>34</v>
      </c>
      <c r="B649" s="496">
        <f>NPV(0.1,D649:Y649)</f>
        <v>95193.459251006396</v>
      </c>
      <c r="C649" s="496">
        <f>B649-B638</f>
        <v>738.134350174063</v>
      </c>
      <c r="D649" s="500">
        <v>-386.53082298565937</v>
      </c>
      <c r="E649" s="501">
        <v>3657.9725144556674</v>
      </c>
      <c r="F649" s="501">
        <v>3759.5962780370382</v>
      </c>
      <c r="G649" s="501">
        <v>8494.3805820467387</v>
      </c>
      <c r="H649" s="501">
        <v>12622.829389212973</v>
      </c>
      <c r="I649" s="501">
        <v>13558.225177576354</v>
      </c>
      <c r="J649" s="501">
        <v>14073.209664142651</v>
      </c>
      <c r="K649" s="501">
        <v>14516.099558064474</v>
      </c>
      <c r="L649" s="501">
        <v>14978.724854924301</v>
      </c>
      <c r="M649" s="501">
        <v>15647.179526097847</v>
      </c>
      <c r="N649" s="502">
        <v>16423.669790482352</v>
      </c>
      <c r="O649" s="75">
        <v>16678.429508350106</v>
      </c>
      <c r="P649" s="75">
        <v>17059.622061097714</v>
      </c>
      <c r="Q649" s="75">
        <v>16967.138207559601</v>
      </c>
      <c r="R649" s="75">
        <v>17319.782463361924</v>
      </c>
      <c r="S649" s="75">
        <v>17663.777324703144</v>
      </c>
      <c r="T649" s="75">
        <v>17998.430668367932</v>
      </c>
      <c r="U649" s="75">
        <v>18483.261386595881</v>
      </c>
      <c r="V649" s="75">
        <v>19021.36161359476</v>
      </c>
      <c r="W649" s="75">
        <v>19086.704982460069</v>
      </c>
      <c r="X649" s="75">
        <v>5346.0042220289488</v>
      </c>
    </row>
    <row r="650" spans="1:24" ht="13.2">
      <c r="A650" s="70" t="s">
        <v>32</v>
      </c>
      <c r="B650" s="496">
        <f>NPV(0.1,D650:Y650)</f>
        <v>101302.67288135384</v>
      </c>
      <c r="C650" s="496">
        <f>B650-B639</f>
        <v>594.60352163230709</v>
      </c>
      <c r="D650" s="503">
        <v>-2332.9654983544265</v>
      </c>
      <c r="E650" s="504">
        <v>6024.4832204452841</v>
      </c>
      <c r="F650" s="504">
        <v>4604.4495516265397</v>
      </c>
      <c r="G650" s="504">
        <v>10409.773848457155</v>
      </c>
      <c r="H650" s="504">
        <v>17712.159106468207</v>
      </c>
      <c r="I650" s="504">
        <v>15512.476286345624</v>
      </c>
      <c r="J650" s="504">
        <v>15069.32445407319</v>
      </c>
      <c r="K650" s="504">
        <v>15540.127415308372</v>
      </c>
      <c r="L650" s="504">
        <v>12321.150974193295</v>
      </c>
      <c r="M650" s="504">
        <v>10447.572802665694</v>
      </c>
      <c r="N650" s="505">
        <v>20309.69195953841</v>
      </c>
      <c r="O650" s="75">
        <v>20087.554742270822</v>
      </c>
      <c r="P650" s="75">
        <v>20296.489082014217</v>
      </c>
      <c r="Q650" s="75">
        <v>20210.02649584995</v>
      </c>
      <c r="R650" s="75">
        <v>20556.649484278427</v>
      </c>
      <c r="S650" s="75">
        <v>19124.370470333895</v>
      </c>
      <c r="T650" s="75">
        <v>14410.416561212929</v>
      </c>
      <c r="U650" s="75">
        <v>13586.313928440877</v>
      </c>
      <c r="V650" s="75">
        <v>12161.014128939758</v>
      </c>
      <c r="W650" s="75">
        <v>10917.424146805068</v>
      </c>
      <c r="X650" s="75">
        <v>8703.180999043394</v>
      </c>
    </row>
    <row r="653" spans="1:24">
      <c r="A653" s="1075" t="s">
        <v>708</v>
      </c>
    </row>
    <row r="654" spans="1:24">
      <c r="A654" s="442">
        <v>36452</v>
      </c>
    </row>
    <row r="655" spans="1:24" ht="13.2">
      <c r="A655" s="64" t="s">
        <v>368</v>
      </c>
      <c r="B655" s="65">
        <v>49198.866413267504</v>
      </c>
      <c r="C655" s="60"/>
      <c r="D655" s="60"/>
      <c r="E655" s="60"/>
      <c r="F655" s="60"/>
      <c r="G655" s="60"/>
      <c r="H655" s="60"/>
      <c r="I655" s="60"/>
      <c r="J655" s="60"/>
      <c r="K655" s="60"/>
      <c r="L655" s="60"/>
      <c r="M655" s="60"/>
      <c r="N655" s="60"/>
      <c r="O655" s="60"/>
      <c r="P655" s="60"/>
      <c r="Q655" s="60"/>
      <c r="R655" s="60"/>
      <c r="S655" s="60"/>
      <c r="T655" s="60"/>
      <c r="U655" s="60"/>
      <c r="V655" s="60"/>
      <c r="W655" s="60"/>
      <c r="X655" s="60"/>
    </row>
    <row r="656" spans="1:24" ht="13.2">
      <c r="A656" s="66" t="s">
        <v>369</v>
      </c>
      <c r="B656" s="67">
        <v>90891.927789944442</v>
      </c>
      <c r="C656" s="60"/>
      <c r="D656" s="60"/>
      <c r="E656" s="60"/>
      <c r="F656" s="60"/>
      <c r="G656" s="60"/>
      <c r="H656" s="60"/>
      <c r="I656" s="60"/>
      <c r="J656" s="60"/>
      <c r="K656" s="60"/>
      <c r="L656" s="60"/>
      <c r="M656" s="60"/>
      <c r="N656" s="60"/>
      <c r="O656" s="60"/>
      <c r="P656" s="60"/>
      <c r="Q656" s="60"/>
      <c r="R656" s="60"/>
      <c r="S656" s="60"/>
      <c r="T656" s="60"/>
      <c r="U656" s="60"/>
      <c r="V656" s="60"/>
      <c r="W656" s="60"/>
      <c r="X656" s="60"/>
    </row>
    <row r="657" spans="1:24" ht="13.2">
      <c r="A657" s="68" t="s">
        <v>370</v>
      </c>
      <c r="B657" s="495" t="s">
        <v>468</v>
      </c>
      <c r="C657" s="495" t="s">
        <v>469</v>
      </c>
      <c r="D657" s="497">
        <v>2000</v>
      </c>
      <c r="E657" s="498">
        <v>2001</v>
      </c>
      <c r="F657" s="498">
        <v>2002</v>
      </c>
      <c r="G657" s="498">
        <v>2003</v>
      </c>
      <c r="H657" s="498">
        <v>2004</v>
      </c>
      <c r="I657" s="498">
        <v>2005</v>
      </c>
      <c r="J657" s="498">
        <v>2006</v>
      </c>
      <c r="K657" s="498">
        <v>2007</v>
      </c>
      <c r="L657" s="498">
        <v>2008</v>
      </c>
      <c r="M657" s="498">
        <v>2009</v>
      </c>
      <c r="N657" s="499">
        <v>2010</v>
      </c>
      <c r="O657" s="69">
        <v>2011</v>
      </c>
      <c r="P657" s="69">
        <v>2012</v>
      </c>
      <c r="Q657" s="69">
        <v>2013</v>
      </c>
      <c r="R657" s="69">
        <v>2014</v>
      </c>
      <c r="S657" s="69">
        <v>2015</v>
      </c>
      <c r="T657" s="69">
        <v>2016</v>
      </c>
      <c r="U657" s="69">
        <v>2017</v>
      </c>
      <c r="V657" s="69">
        <v>2018</v>
      </c>
      <c r="W657" s="69">
        <v>2019</v>
      </c>
      <c r="X657" s="69">
        <v>2020</v>
      </c>
    </row>
    <row r="658" spans="1:24" ht="13.2">
      <c r="A658" s="68" t="s">
        <v>371</v>
      </c>
      <c r="B658" s="496">
        <f>NPV(0.1,D658:Y658)</f>
        <v>457195.72312395548</v>
      </c>
      <c r="C658" s="496">
        <f>B658-B647</f>
        <v>0</v>
      </c>
      <c r="D658" s="500">
        <v>25347.056333333334</v>
      </c>
      <c r="E658" s="501">
        <v>42007.487139999997</v>
      </c>
      <c r="F658" s="501">
        <v>42094.521254200001</v>
      </c>
      <c r="G658" s="501">
        <v>50668.657660713434</v>
      </c>
      <c r="H658" s="501">
        <v>57743.893261455611</v>
      </c>
      <c r="I658" s="501">
        <v>58943.222063339272</v>
      </c>
      <c r="J658" s="501">
        <v>59552.465288799118</v>
      </c>
      <c r="K658" s="501">
        <v>60161.203847808363</v>
      </c>
      <c r="L658" s="501">
        <v>60768.85914147702</v>
      </c>
      <c r="M658" s="501">
        <v>61374.818309181566</v>
      </c>
      <c r="N658" s="502">
        <v>61978.432693599862</v>
      </c>
      <c r="O658" s="75">
        <v>62579.016244483784</v>
      </c>
      <c r="P658" s="75">
        <v>63175.843858875312</v>
      </c>
      <c r="Q658" s="75">
        <v>62998.168132096616</v>
      </c>
      <c r="R658" s="75">
        <v>63562.044211108274</v>
      </c>
      <c r="S658" s="75">
        <v>64119.044143420528</v>
      </c>
      <c r="T658" s="75">
        <v>64668.247871760315</v>
      </c>
      <c r="U658" s="75">
        <v>65208.686323950235</v>
      </c>
      <c r="V658" s="75">
        <v>65739.339300065752</v>
      </c>
      <c r="W658" s="75">
        <v>65339.735070763163</v>
      </c>
      <c r="X658" s="75">
        <v>39294.512599893416</v>
      </c>
    </row>
    <row r="659" spans="1:24" ht="13.2">
      <c r="A659" s="70" t="s">
        <v>372</v>
      </c>
      <c r="B659" s="496">
        <f>NPV(0.1,D659:Y659)</f>
        <v>204145.8833211952</v>
      </c>
      <c r="C659" s="496">
        <f>B659-B648</f>
        <v>0</v>
      </c>
      <c r="D659" s="500">
        <v>13735.271874132448</v>
      </c>
      <c r="E659" s="501">
        <v>21850.0328500346</v>
      </c>
      <c r="F659" s="501">
        <v>22096.53252159369</v>
      </c>
      <c r="G659" s="501">
        <v>23413.601741481685</v>
      </c>
      <c r="H659" s="501">
        <v>24271.789190606411</v>
      </c>
      <c r="I659" s="501">
        <v>24506.506554867738</v>
      </c>
      <c r="J659" s="501">
        <v>24787.300713664747</v>
      </c>
      <c r="K659" s="501">
        <v>25095.823285374754</v>
      </c>
      <c r="L659" s="501">
        <v>25370.703072846401</v>
      </c>
      <c r="M659" s="501">
        <v>25576.150475946626</v>
      </c>
      <c r="N659" s="502">
        <v>25789.810925993592</v>
      </c>
      <c r="O659" s="75">
        <v>26181.589008353592</v>
      </c>
      <c r="P659" s="75">
        <v>26413.896379185117</v>
      </c>
      <c r="Q659" s="75">
        <v>26653.172971141583</v>
      </c>
      <c r="R659" s="75">
        <v>26899.627860856748</v>
      </c>
      <c r="S659" s="75">
        <v>27153.476397263359</v>
      </c>
      <c r="T659" s="75">
        <v>27414.940389762178</v>
      </c>
      <c r="U659" s="75">
        <v>27684.248302035958</v>
      </c>
      <c r="V659" s="75">
        <v>27961.635451677954</v>
      </c>
      <c r="W659" s="75">
        <v>28247.344215809204</v>
      </c>
      <c r="X659" s="75">
        <v>25770.43099873039</v>
      </c>
    </row>
    <row r="660" spans="1:24" ht="13.2">
      <c r="A660" s="70" t="s">
        <v>34</v>
      </c>
      <c r="B660" s="496">
        <f>NPV(0.1,D660:Y660)</f>
        <v>95327.633940943735</v>
      </c>
      <c r="C660" s="496">
        <f>B660-B649</f>
        <v>134.17468993733928</v>
      </c>
      <c r="D660" s="500">
        <v>-364.52689199841757</v>
      </c>
      <c r="E660" s="501">
        <v>3692.0255823444813</v>
      </c>
      <c r="F660" s="501">
        <v>3793.4795596472177</v>
      </c>
      <c r="G660" s="501">
        <v>8526.8247392864105</v>
      </c>
      <c r="H660" s="501">
        <v>12654.971670813322</v>
      </c>
      <c r="I660" s="501">
        <v>13573.692759623671</v>
      </c>
      <c r="J660" s="501">
        <v>14076.711926636937</v>
      </c>
      <c r="K660" s="501">
        <v>14519.383083283103</v>
      </c>
      <c r="L660" s="501">
        <v>14981.789642867272</v>
      </c>
      <c r="M660" s="501">
        <v>15649.88744265738</v>
      </c>
      <c r="N660" s="502">
        <v>16425.924900881935</v>
      </c>
      <c r="O660" s="75">
        <v>16680.577147859181</v>
      </c>
      <c r="P660" s="75">
        <v>17061.635361993649</v>
      </c>
      <c r="Q660" s="75">
        <v>16969.017169842395</v>
      </c>
      <c r="R660" s="75">
        <v>17321.527087031587</v>
      </c>
      <c r="S660" s="75">
        <v>17665.387609759666</v>
      </c>
      <c r="T660" s="75">
        <v>17999.906614811312</v>
      </c>
      <c r="U660" s="75">
        <v>18484.468655812991</v>
      </c>
      <c r="V660" s="75">
        <v>19022.246470140337</v>
      </c>
      <c r="W660" s="75">
        <v>19087.186823166237</v>
      </c>
      <c r="X660" s="75">
        <v>5346.0293114504493</v>
      </c>
    </row>
    <row r="661" spans="1:24" ht="13.2">
      <c r="A661" s="70" t="s">
        <v>32</v>
      </c>
      <c r="B661" s="496">
        <f>NPV(0.1,D661:Y661)</f>
        <v>101318.41929942671</v>
      </c>
      <c r="C661" s="496">
        <f>B661-B650</f>
        <v>15.746418072871165</v>
      </c>
      <c r="D661" s="503">
        <v>-2321.0117877544267</v>
      </c>
      <c r="E661" s="504">
        <v>6036.1634130772818</v>
      </c>
      <c r="F661" s="504">
        <v>4617.3802862905395</v>
      </c>
      <c r="G661" s="504">
        <v>10421.99710560912</v>
      </c>
      <c r="H661" s="504">
        <v>17626.219989041743</v>
      </c>
      <c r="I661" s="504">
        <v>15512.3636219906</v>
      </c>
      <c r="J661" s="504">
        <v>15077.463546812229</v>
      </c>
      <c r="K661" s="504">
        <v>15548.047717790525</v>
      </c>
      <c r="L661" s="504">
        <v>12331.900712381013</v>
      </c>
      <c r="M661" s="504">
        <v>10460.038338088752</v>
      </c>
      <c r="N661" s="505">
        <v>20314.084441782736</v>
      </c>
      <c r="O661" s="75">
        <v>20092.388362243422</v>
      </c>
      <c r="P661" s="75">
        <v>20301.1884163549</v>
      </c>
      <c r="Q661" s="75">
        <v>20214.591438596271</v>
      </c>
      <c r="R661" s="75">
        <v>20561.080141392835</v>
      </c>
      <c r="S661" s="75">
        <v>19128.682418296539</v>
      </c>
      <c r="T661" s="75">
        <v>14417.353108023812</v>
      </c>
      <c r="U661" s="75">
        <v>13594.07912122549</v>
      </c>
      <c r="V661" s="75">
        <v>12170.102893852836</v>
      </c>
      <c r="W661" s="75">
        <v>10927.207219078737</v>
      </c>
      <c r="X661" s="75">
        <v>8703.1800728323942</v>
      </c>
    </row>
    <row r="664" spans="1:24">
      <c r="A664" s="1075" t="s">
        <v>709</v>
      </c>
    </row>
    <row r="665" spans="1:24">
      <c r="A665" s="442">
        <v>36465</v>
      </c>
    </row>
    <row r="666" spans="1:24" ht="13.2">
      <c r="A666" s="64" t="s">
        <v>368</v>
      </c>
      <c r="B666" s="65">
        <v>49198.866413267504</v>
      </c>
      <c r="C666" s="60"/>
      <c r="D666" s="60"/>
      <c r="E666" s="60"/>
      <c r="F666" s="60"/>
      <c r="G666" s="60"/>
      <c r="H666" s="60"/>
      <c r="I666" s="60"/>
      <c r="J666" s="60"/>
      <c r="K666" s="60"/>
      <c r="L666" s="60"/>
      <c r="M666" s="60"/>
      <c r="N666" s="60"/>
      <c r="O666" s="60"/>
      <c r="P666" s="60"/>
      <c r="Q666" s="60"/>
      <c r="R666" s="60"/>
      <c r="S666" s="60"/>
      <c r="T666" s="60"/>
      <c r="U666" s="60"/>
      <c r="V666" s="60"/>
      <c r="W666" s="60"/>
      <c r="X666" s="60"/>
    </row>
    <row r="667" spans="1:24" ht="13.2">
      <c r="A667" s="66" t="s">
        <v>369</v>
      </c>
      <c r="B667" s="67">
        <v>90891.927789944442</v>
      </c>
      <c r="C667" s="60"/>
      <c r="D667" s="60"/>
      <c r="E667" s="60"/>
      <c r="F667" s="60"/>
      <c r="G667" s="60"/>
      <c r="H667" s="60"/>
      <c r="I667" s="60"/>
      <c r="J667" s="60"/>
      <c r="K667" s="60"/>
      <c r="L667" s="60"/>
      <c r="M667" s="60"/>
      <c r="N667" s="60"/>
      <c r="O667" s="60"/>
      <c r="P667" s="60"/>
      <c r="Q667" s="60"/>
      <c r="R667" s="60"/>
      <c r="S667" s="60"/>
      <c r="T667" s="60"/>
      <c r="U667" s="60"/>
      <c r="V667" s="60"/>
      <c r="W667" s="60"/>
      <c r="X667" s="60"/>
    </row>
    <row r="668" spans="1:24" ht="13.2">
      <c r="A668" s="68" t="s">
        <v>370</v>
      </c>
      <c r="B668" s="495" t="s">
        <v>468</v>
      </c>
      <c r="C668" s="495" t="s">
        <v>469</v>
      </c>
      <c r="D668" s="497">
        <v>2000</v>
      </c>
      <c r="E668" s="498">
        <v>2001</v>
      </c>
      <c r="F668" s="498">
        <v>2002</v>
      </c>
      <c r="G668" s="498">
        <v>2003</v>
      </c>
      <c r="H668" s="498">
        <v>2004</v>
      </c>
      <c r="I668" s="498">
        <v>2005</v>
      </c>
      <c r="J668" s="498">
        <v>2006</v>
      </c>
      <c r="K668" s="498">
        <v>2007</v>
      </c>
      <c r="L668" s="498">
        <v>2008</v>
      </c>
      <c r="M668" s="498">
        <v>2009</v>
      </c>
      <c r="N668" s="499">
        <v>2010</v>
      </c>
      <c r="O668" s="69">
        <v>2011</v>
      </c>
      <c r="P668" s="69">
        <v>2012</v>
      </c>
      <c r="Q668" s="69">
        <v>2013</v>
      </c>
      <c r="R668" s="69">
        <v>2014</v>
      </c>
      <c r="S668" s="69">
        <v>2015</v>
      </c>
      <c r="T668" s="69">
        <v>2016</v>
      </c>
      <c r="U668" s="69">
        <v>2017</v>
      </c>
      <c r="V668" s="69">
        <v>2018</v>
      </c>
      <c r="W668" s="69">
        <v>2019</v>
      </c>
      <c r="X668" s="69">
        <v>2020</v>
      </c>
    </row>
    <row r="669" spans="1:24" ht="13.2">
      <c r="A669" s="68" t="s">
        <v>371</v>
      </c>
      <c r="B669" s="496">
        <f>NPV(0.1,D669:Y669)</f>
        <v>457195.72312395548</v>
      </c>
      <c r="C669" s="496">
        <f>B669-B658</f>
        <v>0</v>
      </c>
      <c r="D669" s="500">
        <v>25347.056333333334</v>
      </c>
      <c r="E669" s="501">
        <v>42007.487139999997</v>
      </c>
      <c r="F669" s="501">
        <v>42094.521254200001</v>
      </c>
      <c r="G669" s="501">
        <v>50668.657660713434</v>
      </c>
      <c r="H669" s="501">
        <v>57743.893261455611</v>
      </c>
      <c r="I669" s="501">
        <v>58943.222063339272</v>
      </c>
      <c r="J669" s="501">
        <v>59552.465288799118</v>
      </c>
      <c r="K669" s="501">
        <v>60161.203847808363</v>
      </c>
      <c r="L669" s="501">
        <v>60768.85914147702</v>
      </c>
      <c r="M669" s="501">
        <v>61374.818309181566</v>
      </c>
      <c r="N669" s="502">
        <v>61978.432693599862</v>
      </c>
      <c r="O669" s="75">
        <v>62579.016244483784</v>
      </c>
      <c r="P669" s="75">
        <v>63175.843858875312</v>
      </c>
      <c r="Q669" s="75">
        <v>62998.168132096616</v>
      </c>
      <c r="R669" s="75">
        <v>63562.044211108274</v>
      </c>
      <c r="S669" s="75">
        <v>64119.044143420528</v>
      </c>
      <c r="T669" s="75">
        <v>64668.247871760315</v>
      </c>
      <c r="U669" s="75">
        <v>65208.686323950235</v>
      </c>
      <c r="V669" s="75">
        <v>65739.339300065752</v>
      </c>
      <c r="W669" s="75">
        <v>65339.735070763163</v>
      </c>
      <c r="X669" s="75">
        <v>39294.512599893416</v>
      </c>
    </row>
    <row r="670" spans="1:24" ht="13.2">
      <c r="A670" s="70" t="s">
        <v>372</v>
      </c>
      <c r="B670" s="496">
        <f>NPV(0.1,D670:Y670)</f>
        <v>204145.8833211952</v>
      </c>
      <c r="C670" s="496">
        <f>B670-B659</f>
        <v>0</v>
      </c>
      <c r="D670" s="500">
        <v>13735.271874132448</v>
      </c>
      <c r="E670" s="501">
        <v>21850.0328500346</v>
      </c>
      <c r="F670" s="501">
        <v>22096.53252159369</v>
      </c>
      <c r="G670" s="501">
        <v>23413.601741481685</v>
      </c>
      <c r="H670" s="501">
        <v>24271.789190606411</v>
      </c>
      <c r="I670" s="501">
        <v>24506.506554867738</v>
      </c>
      <c r="J670" s="501">
        <v>24787.300713664747</v>
      </c>
      <c r="K670" s="501">
        <v>25095.823285374754</v>
      </c>
      <c r="L670" s="501">
        <v>25370.703072846401</v>
      </c>
      <c r="M670" s="501">
        <v>25576.150475946626</v>
      </c>
      <c r="N670" s="502">
        <v>25789.810925993592</v>
      </c>
      <c r="O670" s="75">
        <v>26181.589008353592</v>
      </c>
      <c r="P670" s="75">
        <v>26413.896379185117</v>
      </c>
      <c r="Q670" s="75">
        <v>26653.172971141583</v>
      </c>
      <c r="R670" s="75">
        <v>26899.627860856748</v>
      </c>
      <c r="S670" s="75">
        <v>27153.476397263359</v>
      </c>
      <c r="T670" s="75">
        <v>27414.940389762178</v>
      </c>
      <c r="U670" s="75">
        <v>27684.248302035958</v>
      </c>
      <c r="V670" s="75">
        <v>27961.635451677954</v>
      </c>
      <c r="W670" s="75">
        <v>28247.344215809204</v>
      </c>
      <c r="X670" s="75">
        <v>25770.43099873039</v>
      </c>
    </row>
    <row r="671" spans="1:24" ht="13.2">
      <c r="A671" s="70" t="s">
        <v>34</v>
      </c>
      <c r="B671" s="496">
        <f>NPV(0.1,D671:Y671)</f>
        <v>95435.845841607937</v>
      </c>
      <c r="C671" s="496">
        <f>B671-B660</f>
        <v>108.2119006642024</v>
      </c>
      <c r="D671" s="500">
        <v>-350.75740675618613</v>
      </c>
      <c r="E671" s="501">
        <v>3707.2549143548758</v>
      </c>
      <c r="F671" s="501">
        <v>3808.3211976143166</v>
      </c>
      <c r="G671" s="501">
        <v>8540.6063831762531</v>
      </c>
      <c r="H671" s="501">
        <v>12668.064004659265</v>
      </c>
      <c r="I671" s="501">
        <v>13587.224964017696</v>
      </c>
      <c r="J671" s="501">
        <v>14090.43314727404</v>
      </c>
      <c r="K671" s="501">
        <v>14532.604834001308</v>
      </c>
      <c r="L671" s="501">
        <v>14994.511923666585</v>
      </c>
      <c r="M671" s="501">
        <v>15661.794834817329</v>
      </c>
      <c r="N671" s="502">
        <v>16436.798344642812</v>
      </c>
      <c r="O671" s="75">
        <v>16691.205190022156</v>
      </c>
      <c r="P671" s="75">
        <v>17071.956652159257</v>
      </c>
      <c r="Q671" s="75">
        <v>16979.031708010632</v>
      </c>
      <c r="R671" s="75">
        <v>17331.234873202447</v>
      </c>
      <c r="S671" s="75">
        <v>17674.788643933156</v>
      </c>
      <c r="T671" s="75">
        <v>18009.000896987432</v>
      </c>
      <c r="U671" s="75">
        <v>18492.949433994363</v>
      </c>
      <c r="V671" s="75">
        <v>19029.991043528022</v>
      </c>
      <c r="W671" s="75">
        <v>19094.011140561804</v>
      </c>
      <c r="X671" s="75">
        <v>5351.8106720549476</v>
      </c>
    </row>
    <row r="672" spans="1:24" ht="13.2">
      <c r="A672" s="70" t="s">
        <v>32</v>
      </c>
      <c r="B672" s="496">
        <f>NPV(0.1,D672:Y672)</f>
        <v>101429.26714412255</v>
      </c>
      <c r="C672" s="496">
        <f>B672-B661</f>
        <v>110.84784469584702</v>
      </c>
      <c r="D672" s="503">
        <v>-2293.7163995044225</v>
      </c>
      <c r="E672" s="504">
        <v>6062.8342438672862</v>
      </c>
      <c r="F672" s="504">
        <v>4646.9066346205418</v>
      </c>
      <c r="G672" s="504">
        <v>10453.332808859077</v>
      </c>
      <c r="H672" s="504">
        <v>17577.178754646677</v>
      </c>
      <c r="I672" s="504">
        <v>15522.808546397935</v>
      </c>
      <c r="J672" s="504">
        <v>15088.705610793579</v>
      </c>
      <c r="K672" s="504">
        <v>15558.778103378303</v>
      </c>
      <c r="L672" s="504">
        <v>12349.10398652458</v>
      </c>
      <c r="M672" s="504">
        <v>10481.147417118276</v>
      </c>
      <c r="N672" s="505">
        <v>20316.771405887863</v>
      </c>
      <c r="O672" s="75">
        <v>20096.070543275975</v>
      </c>
      <c r="P672" s="75">
        <v>20304.576053864752</v>
      </c>
      <c r="Q672" s="75">
        <v>20217.660115634077</v>
      </c>
      <c r="R672" s="75">
        <v>20563.854274907942</v>
      </c>
      <c r="S672" s="75">
        <v>19134.75129984341</v>
      </c>
      <c r="T672" s="75">
        <v>14432.980872602428</v>
      </c>
      <c r="U672" s="75">
        <v>13611.599035809366</v>
      </c>
      <c r="V672" s="75">
        <v>12190.645084643023</v>
      </c>
      <c r="W672" s="75">
        <v>10949.334807876799</v>
      </c>
      <c r="X672" s="75">
        <v>8702.9666458393913</v>
      </c>
    </row>
    <row r="675" spans="1:24">
      <c r="A675" s="1075" t="s">
        <v>710</v>
      </c>
    </row>
    <row r="676" spans="1:24">
      <c r="A676" s="442">
        <v>36467</v>
      </c>
    </row>
    <row r="677" spans="1:24" ht="13.2">
      <c r="A677" s="64" t="s">
        <v>368</v>
      </c>
      <c r="B677" s="65">
        <v>49189.035200957565</v>
      </c>
      <c r="C677" s="60"/>
      <c r="D677" s="60"/>
      <c r="E677" s="60"/>
      <c r="F677" s="60"/>
      <c r="G677" s="60"/>
      <c r="H677" s="60"/>
      <c r="I677" s="60"/>
      <c r="J677" s="60"/>
      <c r="K677" s="60"/>
      <c r="L677" s="60"/>
      <c r="M677" s="60"/>
      <c r="N677" s="60"/>
      <c r="O677" s="60"/>
      <c r="P677" s="60"/>
      <c r="Q677" s="60"/>
      <c r="R677" s="60"/>
      <c r="S677" s="60"/>
      <c r="T677" s="60"/>
      <c r="U677" s="60"/>
      <c r="V677" s="60"/>
      <c r="W677" s="60"/>
      <c r="X677" s="60"/>
    </row>
    <row r="678" spans="1:24" ht="13.2">
      <c r="A678" s="66" t="s">
        <v>369</v>
      </c>
      <c r="B678" s="67">
        <v>90916.000604327986</v>
      </c>
      <c r="C678" s="60"/>
      <c r="D678" s="60"/>
      <c r="E678" s="60"/>
      <c r="F678" s="60"/>
      <c r="G678" s="60"/>
      <c r="H678" s="60"/>
      <c r="I678" s="60"/>
      <c r="J678" s="60"/>
      <c r="K678" s="60"/>
      <c r="L678" s="60"/>
      <c r="M678" s="60"/>
      <c r="N678" s="60"/>
      <c r="O678" s="60"/>
      <c r="P678" s="60"/>
      <c r="Q678" s="60"/>
      <c r="R678" s="60"/>
      <c r="S678" s="60"/>
      <c r="T678" s="60"/>
      <c r="U678" s="60"/>
      <c r="V678" s="60"/>
      <c r="W678" s="60"/>
      <c r="X678" s="60"/>
    </row>
    <row r="679" spans="1:24" ht="13.2">
      <c r="A679" s="68" t="s">
        <v>370</v>
      </c>
      <c r="B679" s="495" t="s">
        <v>468</v>
      </c>
      <c r="C679" s="495" t="s">
        <v>469</v>
      </c>
      <c r="D679" s="497">
        <v>2000</v>
      </c>
      <c r="E679" s="498">
        <v>2001</v>
      </c>
      <c r="F679" s="498">
        <v>2002</v>
      </c>
      <c r="G679" s="498">
        <v>2003</v>
      </c>
      <c r="H679" s="498">
        <v>2004</v>
      </c>
      <c r="I679" s="498">
        <v>2005</v>
      </c>
      <c r="J679" s="498">
        <v>2006</v>
      </c>
      <c r="K679" s="498">
        <v>2007</v>
      </c>
      <c r="L679" s="498">
        <v>2008</v>
      </c>
      <c r="M679" s="498">
        <v>2009</v>
      </c>
      <c r="N679" s="499">
        <v>2010</v>
      </c>
      <c r="O679" s="69">
        <v>2011</v>
      </c>
      <c r="P679" s="69">
        <v>2012</v>
      </c>
      <c r="Q679" s="69">
        <v>2013</v>
      </c>
      <c r="R679" s="69">
        <v>2014</v>
      </c>
      <c r="S679" s="69">
        <v>2015</v>
      </c>
      <c r="T679" s="69">
        <v>2016</v>
      </c>
      <c r="U679" s="69">
        <v>2017</v>
      </c>
      <c r="V679" s="69">
        <v>2018</v>
      </c>
      <c r="W679" s="69">
        <v>2019</v>
      </c>
      <c r="X679" s="69">
        <v>2020</v>
      </c>
    </row>
    <row r="680" spans="1:24" ht="13.2">
      <c r="A680" s="68" t="s">
        <v>371</v>
      </c>
      <c r="B680" s="496">
        <f>NPV(0.1,D680:Y680)</f>
        <v>457195.72312395548</v>
      </c>
      <c r="C680" s="496">
        <f>B680-B669</f>
        <v>0</v>
      </c>
      <c r="D680" s="500">
        <v>25347.056333333334</v>
      </c>
      <c r="E680" s="501">
        <v>42007.487139999997</v>
      </c>
      <c r="F680" s="501">
        <v>42094.521254200001</v>
      </c>
      <c r="G680" s="501">
        <v>50668.657660713434</v>
      </c>
      <c r="H680" s="501">
        <v>57743.893261455611</v>
      </c>
      <c r="I680" s="501">
        <v>58943.222063339272</v>
      </c>
      <c r="J680" s="501">
        <v>59552.465288799118</v>
      </c>
      <c r="K680" s="501">
        <v>60161.203847808363</v>
      </c>
      <c r="L680" s="501">
        <v>60768.85914147702</v>
      </c>
      <c r="M680" s="501">
        <v>61374.818309181566</v>
      </c>
      <c r="N680" s="502">
        <v>61978.432693599862</v>
      </c>
      <c r="O680" s="75">
        <v>62579.016244483784</v>
      </c>
      <c r="P680" s="75">
        <v>63175.843858875312</v>
      </c>
      <c r="Q680" s="75">
        <v>62998.168132096616</v>
      </c>
      <c r="R680" s="75">
        <v>63562.044211108274</v>
      </c>
      <c r="S680" s="75">
        <v>64119.044143420528</v>
      </c>
      <c r="T680" s="75">
        <v>64668.247871760315</v>
      </c>
      <c r="U680" s="75">
        <v>65208.686323950235</v>
      </c>
      <c r="V680" s="75">
        <v>65739.339300065752</v>
      </c>
      <c r="W680" s="75">
        <v>65339.735070763163</v>
      </c>
      <c r="X680" s="75">
        <v>39294.512599893416</v>
      </c>
    </row>
    <row r="681" spans="1:24" ht="13.2">
      <c r="A681" s="70" t="s">
        <v>372</v>
      </c>
      <c r="B681" s="496">
        <f>NPV(0.1,D681:Y681)</f>
        <v>204145.8833211952</v>
      </c>
      <c r="C681" s="496">
        <f>B681-B670</f>
        <v>0</v>
      </c>
      <c r="D681" s="500">
        <v>13735.271874132448</v>
      </c>
      <c r="E681" s="501">
        <v>21850.0328500346</v>
      </c>
      <c r="F681" s="501">
        <v>22096.53252159369</v>
      </c>
      <c r="G681" s="501">
        <v>23413.601741481685</v>
      </c>
      <c r="H681" s="501">
        <v>24271.789190606411</v>
      </c>
      <c r="I681" s="501">
        <v>24506.506554867738</v>
      </c>
      <c r="J681" s="501">
        <v>24787.300713664747</v>
      </c>
      <c r="K681" s="501">
        <v>25095.823285374754</v>
      </c>
      <c r="L681" s="501">
        <v>25370.703072846401</v>
      </c>
      <c r="M681" s="501">
        <v>25576.150475946626</v>
      </c>
      <c r="N681" s="502">
        <v>25789.810925993592</v>
      </c>
      <c r="O681" s="75">
        <v>26181.589008353592</v>
      </c>
      <c r="P681" s="75">
        <v>26413.896379185117</v>
      </c>
      <c r="Q681" s="75">
        <v>26653.172971141583</v>
      </c>
      <c r="R681" s="75">
        <v>26899.627860856748</v>
      </c>
      <c r="S681" s="75">
        <v>27153.476397263359</v>
      </c>
      <c r="T681" s="75">
        <v>27414.940389762178</v>
      </c>
      <c r="U681" s="75">
        <v>27684.248302035958</v>
      </c>
      <c r="V681" s="75">
        <v>27961.635451677954</v>
      </c>
      <c r="W681" s="75">
        <v>28247.344215809204</v>
      </c>
      <c r="X681" s="75">
        <v>25770.43099873039</v>
      </c>
    </row>
    <row r="682" spans="1:24" ht="13.2">
      <c r="A682" s="70" t="s">
        <v>34</v>
      </c>
      <c r="B682" s="496">
        <f>NPV(0.1,D682:Y682)</f>
        <v>95447.093867053845</v>
      </c>
      <c r="C682" s="496">
        <f>B682-B671</f>
        <v>11.248025445907842</v>
      </c>
      <c r="D682" s="500">
        <v>-349.29597491479637</v>
      </c>
      <c r="E682" s="501">
        <v>3708.9185877163782</v>
      </c>
      <c r="F682" s="501">
        <v>3809.9459123240572</v>
      </c>
      <c r="G682" s="501">
        <v>8542.1198350779669</v>
      </c>
      <c r="H682" s="501">
        <v>12669.508189079523</v>
      </c>
      <c r="I682" s="501">
        <v>13588.625122624091</v>
      </c>
      <c r="J682" s="501">
        <v>14091.789280066569</v>
      </c>
      <c r="K682" s="501">
        <v>14533.910775992681</v>
      </c>
      <c r="L682" s="501">
        <v>14995.767674856808</v>
      </c>
      <c r="M682" s="501">
        <v>15662.968699367108</v>
      </c>
      <c r="N682" s="502">
        <v>16437.868309645215</v>
      </c>
      <c r="O682" s="75">
        <v>16692.250495075408</v>
      </c>
      <c r="P682" s="75">
        <v>17072.971132276063</v>
      </c>
      <c r="Q682" s="75">
        <v>16980.015363191</v>
      </c>
      <c r="R682" s="75">
        <v>17332.187703446376</v>
      </c>
      <c r="S682" s="75">
        <v>17675.710649240646</v>
      </c>
      <c r="T682" s="75">
        <v>18009.892077358483</v>
      </c>
      <c r="U682" s="75">
        <v>18493.778964492536</v>
      </c>
      <c r="V682" s="75">
        <v>19030.746594178738</v>
      </c>
      <c r="W682" s="75">
        <v>19094.674216403197</v>
      </c>
      <c r="X682" s="75">
        <v>5352.3689431124503</v>
      </c>
    </row>
    <row r="683" spans="1:24" ht="13.2">
      <c r="A683" s="70" t="s">
        <v>32</v>
      </c>
      <c r="B683" s="496">
        <f>NPV(0.1,D683:Y683)</f>
        <v>101440.33119381555</v>
      </c>
      <c r="C683" s="496">
        <f>B683-B672</f>
        <v>11.064049692999106</v>
      </c>
      <c r="D683" s="503">
        <v>-2290.9735368169254</v>
      </c>
      <c r="E683" s="504">
        <v>6065.5143459397841</v>
      </c>
      <c r="F683" s="504">
        <v>4649.8736823280378</v>
      </c>
      <c r="G683" s="504">
        <v>10456.474373763749</v>
      </c>
      <c r="H683" s="504">
        <v>17571.989861349492</v>
      </c>
      <c r="I683" s="504">
        <v>15523.846571748458</v>
      </c>
      <c r="J683" s="504">
        <v>15089.864408234855</v>
      </c>
      <c r="K683" s="504">
        <v>15559.8855311198</v>
      </c>
      <c r="L683" s="504">
        <v>12350.861814863551</v>
      </c>
      <c r="M683" s="504">
        <v>10483.297780418181</v>
      </c>
      <c r="N683" s="505">
        <v>20317.070517289012</v>
      </c>
      <c r="O683" s="75">
        <v>20096.469710079349</v>
      </c>
      <c r="P683" s="75">
        <v>20304.945574630314</v>
      </c>
      <c r="Q683" s="75">
        <v>20217.997632564573</v>
      </c>
      <c r="R683" s="75">
        <v>20564.162145800623</v>
      </c>
      <c r="S683" s="75">
        <v>19135.37612089402</v>
      </c>
      <c r="T683" s="75">
        <v>14434.552115060982</v>
      </c>
      <c r="U683" s="75">
        <v>13613.360416895033</v>
      </c>
      <c r="V683" s="75">
        <v>12192.710168631236</v>
      </c>
      <c r="W683" s="75">
        <v>10951.559205555699</v>
      </c>
      <c r="X683" s="75">
        <v>8702.9460364843944</v>
      </c>
    </row>
    <row r="686" spans="1:24">
      <c r="A686" s="1075" t="s">
        <v>711</v>
      </c>
    </row>
    <row r="687" spans="1:24">
      <c r="A687" s="442">
        <v>36481</v>
      </c>
    </row>
    <row r="688" spans="1:24" ht="13.2">
      <c r="A688" s="64" t="s">
        <v>368</v>
      </c>
      <c r="B688" s="65">
        <v>49189.035200957565</v>
      </c>
      <c r="C688" s="60"/>
      <c r="D688" s="60"/>
      <c r="E688" s="60"/>
      <c r="F688" s="60"/>
      <c r="G688" s="60"/>
      <c r="H688" s="60"/>
      <c r="I688" s="60"/>
      <c r="J688" s="60"/>
      <c r="K688" s="60"/>
      <c r="L688" s="60"/>
      <c r="M688" s="60"/>
      <c r="N688" s="60"/>
      <c r="O688" s="60"/>
      <c r="P688" s="60"/>
      <c r="Q688" s="60"/>
      <c r="R688" s="60"/>
      <c r="S688" s="60"/>
      <c r="T688" s="60"/>
      <c r="U688" s="60"/>
      <c r="V688" s="60"/>
      <c r="W688" s="60"/>
      <c r="X688" s="60"/>
    </row>
    <row r="689" spans="1:24" ht="13.2">
      <c r="A689" s="66" t="s">
        <v>369</v>
      </c>
      <c r="B689" s="67">
        <v>90916.000604327986</v>
      </c>
      <c r="C689" s="60"/>
      <c r="D689" s="60"/>
      <c r="E689" s="60"/>
      <c r="F689" s="60"/>
      <c r="G689" s="60"/>
      <c r="H689" s="60"/>
      <c r="I689" s="60"/>
      <c r="J689" s="60"/>
      <c r="K689" s="60"/>
      <c r="L689" s="60"/>
      <c r="M689" s="60"/>
      <c r="N689" s="60"/>
      <c r="O689" s="60"/>
      <c r="P689" s="60"/>
      <c r="Q689" s="60"/>
      <c r="R689" s="60"/>
      <c r="S689" s="60"/>
      <c r="T689" s="60"/>
      <c r="U689" s="60"/>
      <c r="V689" s="60"/>
      <c r="W689" s="60"/>
      <c r="X689" s="60"/>
    </row>
    <row r="690" spans="1:24" ht="13.2">
      <c r="A690" s="68" t="s">
        <v>370</v>
      </c>
      <c r="B690" s="495" t="s">
        <v>468</v>
      </c>
      <c r="C690" s="495" t="s">
        <v>469</v>
      </c>
      <c r="D690" s="497">
        <v>2000</v>
      </c>
      <c r="E690" s="498">
        <v>2001</v>
      </c>
      <c r="F690" s="498">
        <v>2002</v>
      </c>
      <c r="G690" s="498">
        <v>2003</v>
      </c>
      <c r="H690" s="498">
        <v>2004</v>
      </c>
      <c r="I690" s="498">
        <v>2005</v>
      </c>
      <c r="J690" s="498">
        <v>2006</v>
      </c>
      <c r="K690" s="498">
        <v>2007</v>
      </c>
      <c r="L690" s="498">
        <v>2008</v>
      </c>
      <c r="M690" s="498">
        <v>2009</v>
      </c>
      <c r="N690" s="499">
        <v>2010</v>
      </c>
      <c r="O690" s="69">
        <v>2011</v>
      </c>
      <c r="P690" s="69">
        <v>2012</v>
      </c>
      <c r="Q690" s="69">
        <v>2013</v>
      </c>
      <c r="R690" s="69">
        <v>2014</v>
      </c>
      <c r="S690" s="69">
        <v>2015</v>
      </c>
      <c r="T690" s="69">
        <v>2016</v>
      </c>
      <c r="U690" s="69">
        <v>2017</v>
      </c>
      <c r="V690" s="69">
        <v>2018</v>
      </c>
      <c r="W690" s="69">
        <v>2019</v>
      </c>
      <c r="X690" s="69">
        <v>2020</v>
      </c>
    </row>
    <row r="691" spans="1:24" ht="13.2">
      <c r="A691" s="68" t="s">
        <v>371</v>
      </c>
      <c r="B691" s="496">
        <f>NPV(0.1,D691:Y691)</f>
        <v>457195.72312395548</v>
      </c>
      <c r="C691" s="496">
        <f>B691-B680</f>
        <v>0</v>
      </c>
      <c r="D691" s="500">
        <v>25347.056333333334</v>
      </c>
      <c r="E691" s="501">
        <v>42007.487139999997</v>
      </c>
      <c r="F691" s="501">
        <v>42094.521254200001</v>
      </c>
      <c r="G691" s="501">
        <v>50668.657660713434</v>
      </c>
      <c r="H691" s="501">
        <v>57743.893261455611</v>
      </c>
      <c r="I691" s="501">
        <v>58943.222063339272</v>
      </c>
      <c r="J691" s="501">
        <v>59552.465288799118</v>
      </c>
      <c r="K691" s="501">
        <v>60161.203847808363</v>
      </c>
      <c r="L691" s="501">
        <v>60768.85914147702</v>
      </c>
      <c r="M691" s="501">
        <v>61374.818309181566</v>
      </c>
      <c r="N691" s="502">
        <v>61978.432693599862</v>
      </c>
      <c r="O691" s="75">
        <v>62579.016244483784</v>
      </c>
      <c r="P691" s="75">
        <v>63175.843858875312</v>
      </c>
      <c r="Q691" s="75">
        <v>62998.168132096616</v>
      </c>
      <c r="R691" s="75">
        <v>63562.044211108274</v>
      </c>
      <c r="S691" s="75">
        <v>64119.044143420528</v>
      </c>
      <c r="T691" s="75">
        <v>64668.247871760315</v>
      </c>
      <c r="U691" s="75">
        <v>65208.686323950235</v>
      </c>
      <c r="V691" s="75">
        <v>65739.339300065752</v>
      </c>
      <c r="W691" s="75">
        <v>65339.735070763163</v>
      </c>
      <c r="X691" s="75">
        <v>39294.512599893416</v>
      </c>
    </row>
    <row r="692" spans="1:24" ht="13.2">
      <c r="A692" s="70" t="s">
        <v>372</v>
      </c>
      <c r="B692" s="496">
        <f>NPV(0.1,D692:Y692)</f>
        <v>204145.8833211952</v>
      </c>
      <c r="C692" s="496">
        <f>B692-B681</f>
        <v>0</v>
      </c>
      <c r="D692" s="500">
        <v>13735.271874132448</v>
      </c>
      <c r="E692" s="501">
        <v>21850.0328500346</v>
      </c>
      <c r="F692" s="501">
        <v>22096.53252159369</v>
      </c>
      <c r="G692" s="501">
        <v>23413.601741481685</v>
      </c>
      <c r="H692" s="501">
        <v>24271.789190606411</v>
      </c>
      <c r="I692" s="501">
        <v>24506.506554867738</v>
      </c>
      <c r="J692" s="501">
        <v>24787.300713664747</v>
      </c>
      <c r="K692" s="501">
        <v>25095.823285374754</v>
      </c>
      <c r="L692" s="501">
        <v>25370.703072846401</v>
      </c>
      <c r="M692" s="501">
        <v>25576.150475946626</v>
      </c>
      <c r="N692" s="502">
        <v>25789.810925993592</v>
      </c>
      <c r="O692" s="75">
        <v>26181.589008353592</v>
      </c>
      <c r="P692" s="75">
        <v>26413.896379185117</v>
      </c>
      <c r="Q692" s="75">
        <v>26653.172971141583</v>
      </c>
      <c r="R692" s="75">
        <v>26899.627860856748</v>
      </c>
      <c r="S692" s="75">
        <v>27153.476397263359</v>
      </c>
      <c r="T692" s="75">
        <v>27414.940389762178</v>
      </c>
      <c r="U692" s="75">
        <v>27684.248302035958</v>
      </c>
      <c r="V692" s="75">
        <v>27961.635451677954</v>
      </c>
      <c r="W692" s="75">
        <v>28247.344215809204</v>
      </c>
      <c r="X692" s="75">
        <v>25770.43099873039</v>
      </c>
    </row>
    <row r="693" spans="1:24" ht="13.2">
      <c r="A693" s="70" t="s">
        <v>34</v>
      </c>
      <c r="B693" s="496">
        <f>NPV(0.1,D693:Y693)</f>
        <v>95478.371500984867</v>
      </c>
      <c r="C693" s="496">
        <f>B693-B682</f>
        <v>31.277633931022137</v>
      </c>
      <c r="D693" s="500">
        <v>-326.56668387794878</v>
      </c>
      <c r="E693" s="501">
        <v>3709.8522523942693</v>
      </c>
      <c r="F693" s="501">
        <v>3810.933590224241</v>
      </c>
      <c r="G693" s="501">
        <v>8543.1464117561518</v>
      </c>
      <c r="H693" s="501">
        <v>12670.630799878616</v>
      </c>
      <c r="I693" s="501">
        <v>13589.80877188225</v>
      </c>
      <c r="J693" s="501">
        <v>14093.0339677838</v>
      </c>
      <c r="K693" s="501">
        <v>14535.225049457295</v>
      </c>
      <c r="L693" s="501">
        <v>14997.151534068798</v>
      </c>
      <c r="M693" s="501">
        <v>15664.466088208925</v>
      </c>
      <c r="N693" s="502">
        <v>16439.50974734639</v>
      </c>
      <c r="O693" s="75">
        <v>16693.926121929835</v>
      </c>
      <c r="P693" s="75">
        <v>17074.689495572045</v>
      </c>
      <c r="Q693" s="75">
        <v>16981.776462928534</v>
      </c>
      <c r="R693" s="75">
        <v>17333.991539625466</v>
      </c>
      <c r="S693" s="75">
        <v>17677.557221861291</v>
      </c>
      <c r="T693" s="75">
        <v>18011.781386420684</v>
      </c>
      <c r="U693" s="75">
        <v>18495.753746437847</v>
      </c>
      <c r="V693" s="75">
        <v>19032.823943583775</v>
      </c>
      <c r="W693" s="75">
        <v>19096.879775132911</v>
      </c>
      <c r="X693" s="75">
        <v>5354.7198057434489</v>
      </c>
    </row>
    <row r="694" spans="1:24" ht="13.2">
      <c r="A694" s="70" t="s">
        <v>32</v>
      </c>
      <c r="B694" s="496">
        <f>NPV(0.1,D694:Y694)</f>
        <v>101418.24068880816</v>
      </c>
      <c r="C694" s="496">
        <f>B694-B683</f>
        <v>-22.090505007392494</v>
      </c>
      <c r="D694" s="503">
        <v>-2257.9413083544227</v>
      </c>
      <c r="E694" s="504">
        <v>6061.7985872452873</v>
      </c>
      <c r="F694" s="504">
        <v>4645.7600952265439</v>
      </c>
      <c r="G694" s="504">
        <v>10451.941356875755</v>
      </c>
      <c r="H694" s="504">
        <v>17540.296823899731</v>
      </c>
      <c r="I694" s="504">
        <v>15518.181041758664</v>
      </c>
      <c r="J694" s="504">
        <v>15084.249195973585</v>
      </c>
      <c r="K694" s="504">
        <v>15554.334940299264</v>
      </c>
      <c r="L694" s="504">
        <v>12344.416091597042</v>
      </c>
      <c r="M694" s="504">
        <v>10476.301238374854</v>
      </c>
      <c r="N694" s="505">
        <v>20312.647194661688</v>
      </c>
      <c r="O694" s="75">
        <v>20091.901069448621</v>
      </c>
      <c r="P694" s="75">
        <v>20300.424634747797</v>
      </c>
      <c r="Q694" s="75">
        <v>20213.514464816959</v>
      </c>
      <c r="R694" s="75">
        <v>20559.726678801213</v>
      </c>
      <c r="S694" s="75">
        <v>19132.447860797914</v>
      </c>
      <c r="T694" s="75">
        <v>14432.258347618183</v>
      </c>
      <c r="U694" s="75">
        <v>13610.803036635349</v>
      </c>
      <c r="V694" s="75">
        <v>12189.73172728128</v>
      </c>
      <c r="W694" s="75">
        <v>10948.359887830411</v>
      </c>
      <c r="X694" s="75">
        <v>8702.8592511103925</v>
      </c>
    </row>
    <row r="697" spans="1:24">
      <c r="A697" s="1075" t="s">
        <v>712</v>
      </c>
    </row>
    <row r="698" spans="1:24">
      <c r="A698" s="442">
        <v>36494</v>
      </c>
    </row>
    <row r="699" spans="1:24" ht="13.2">
      <c r="A699" s="64" t="s">
        <v>368</v>
      </c>
      <c r="B699" s="65">
        <v>49304.521849601486</v>
      </c>
      <c r="C699" s="60"/>
      <c r="D699" s="60"/>
      <c r="E699" s="60"/>
      <c r="F699" s="60"/>
      <c r="G699" s="60"/>
      <c r="H699" s="60"/>
      <c r="I699" s="60"/>
      <c r="J699" s="60"/>
      <c r="K699" s="60"/>
      <c r="L699" s="60"/>
      <c r="M699" s="60"/>
      <c r="N699" s="60"/>
      <c r="O699" s="60"/>
      <c r="P699" s="60"/>
      <c r="Q699" s="60"/>
      <c r="R699" s="60"/>
      <c r="S699" s="60"/>
      <c r="T699" s="60"/>
      <c r="U699" s="60"/>
      <c r="V699" s="60"/>
      <c r="W699" s="60"/>
      <c r="X699" s="60"/>
    </row>
    <row r="700" spans="1:24" ht="13.2">
      <c r="A700" s="66" t="s">
        <v>369</v>
      </c>
      <c r="B700" s="67">
        <v>91087.552120353081</v>
      </c>
      <c r="C700" s="60"/>
      <c r="D700" s="60"/>
      <c r="E700" s="60"/>
      <c r="F700" s="60"/>
      <c r="G700" s="60"/>
      <c r="H700" s="60"/>
      <c r="I700" s="60"/>
      <c r="J700" s="60"/>
      <c r="K700" s="60"/>
      <c r="L700" s="60"/>
      <c r="M700" s="60"/>
      <c r="N700" s="60"/>
      <c r="O700" s="60"/>
      <c r="P700" s="60"/>
      <c r="Q700" s="60"/>
      <c r="R700" s="60"/>
      <c r="S700" s="60"/>
      <c r="T700" s="60"/>
      <c r="U700" s="60"/>
      <c r="V700" s="60"/>
      <c r="W700" s="60"/>
      <c r="X700" s="60"/>
    </row>
    <row r="701" spans="1:24" ht="13.2">
      <c r="A701" s="68" t="s">
        <v>370</v>
      </c>
      <c r="B701" s="495" t="s">
        <v>468</v>
      </c>
      <c r="C701" s="495" t="s">
        <v>469</v>
      </c>
      <c r="D701" s="497">
        <v>2000</v>
      </c>
      <c r="E701" s="498">
        <v>2001</v>
      </c>
      <c r="F701" s="498">
        <v>2002</v>
      </c>
      <c r="G701" s="498">
        <v>2003</v>
      </c>
      <c r="H701" s="498">
        <v>2004</v>
      </c>
      <c r="I701" s="498">
        <v>2005</v>
      </c>
      <c r="J701" s="498">
        <v>2006</v>
      </c>
      <c r="K701" s="498">
        <v>2007</v>
      </c>
      <c r="L701" s="498">
        <v>2008</v>
      </c>
      <c r="M701" s="498">
        <v>2009</v>
      </c>
      <c r="N701" s="499">
        <v>2010</v>
      </c>
      <c r="O701" s="69">
        <v>2011</v>
      </c>
      <c r="P701" s="69">
        <v>2012</v>
      </c>
      <c r="Q701" s="69">
        <v>2013</v>
      </c>
      <c r="R701" s="69">
        <v>2014</v>
      </c>
      <c r="S701" s="69">
        <v>2015</v>
      </c>
      <c r="T701" s="69">
        <v>2016</v>
      </c>
      <c r="U701" s="69">
        <v>2017</v>
      </c>
      <c r="V701" s="69">
        <v>2018</v>
      </c>
      <c r="W701" s="69">
        <v>2019</v>
      </c>
      <c r="X701" s="69">
        <v>2020</v>
      </c>
    </row>
    <row r="702" spans="1:24" ht="13.2">
      <c r="A702" s="68" t="s">
        <v>371</v>
      </c>
      <c r="B702" s="496">
        <f>NPV(0.1,D702:Y702)</f>
        <v>457195.72312395548</v>
      </c>
      <c r="C702" s="496">
        <f>B702-B691</f>
        <v>0</v>
      </c>
      <c r="D702" s="500">
        <v>25347.056333333334</v>
      </c>
      <c r="E702" s="501">
        <v>42007.487139999997</v>
      </c>
      <c r="F702" s="501">
        <v>42094.521254200001</v>
      </c>
      <c r="G702" s="501">
        <v>50668.657660713434</v>
      </c>
      <c r="H702" s="501">
        <v>57743.893261455611</v>
      </c>
      <c r="I702" s="501">
        <v>58943.222063339272</v>
      </c>
      <c r="J702" s="501">
        <v>59552.465288799118</v>
      </c>
      <c r="K702" s="501">
        <v>60161.203847808363</v>
      </c>
      <c r="L702" s="501">
        <v>60768.85914147702</v>
      </c>
      <c r="M702" s="501">
        <v>61374.818309181566</v>
      </c>
      <c r="N702" s="502">
        <v>61978.432693599862</v>
      </c>
      <c r="O702" s="75">
        <v>62579.016244483784</v>
      </c>
      <c r="P702" s="75">
        <v>63175.843858875312</v>
      </c>
      <c r="Q702" s="75">
        <v>62998.168132096616</v>
      </c>
      <c r="R702" s="75">
        <v>63562.044211108274</v>
      </c>
      <c r="S702" s="75">
        <v>64119.044143420528</v>
      </c>
      <c r="T702" s="75">
        <v>64668.247871760315</v>
      </c>
      <c r="U702" s="75">
        <v>65208.686323950235</v>
      </c>
      <c r="V702" s="75">
        <v>65739.339300065752</v>
      </c>
      <c r="W702" s="75">
        <v>65339.735070763163</v>
      </c>
      <c r="X702" s="75">
        <v>39294.512599893416</v>
      </c>
    </row>
    <row r="703" spans="1:24" ht="13.2">
      <c r="A703" s="70" t="s">
        <v>372</v>
      </c>
      <c r="B703" s="496">
        <f>NPV(0.1,D703:Y703)</f>
        <v>204145.8833211952</v>
      </c>
      <c r="C703" s="496">
        <f>B703-B692</f>
        <v>0</v>
      </c>
      <c r="D703" s="500">
        <v>13735.271874132448</v>
      </c>
      <c r="E703" s="501">
        <v>21850.0328500346</v>
      </c>
      <c r="F703" s="501">
        <v>22096.53252159369</v>
      </c>
      <c r="G703" s="501">
        <v>23413.601741481685</v>
      </c>
      <c r="H703" s="501">
        <v>24271.789190606411</v>
      </c>
      <c r="I703" s="501">
        <v>24506.506554867738</v>
      </c>
      <c r="J703" s="501">
        <v>24787.300713664747</v>
      </c>
      <c r="K703" s="501">
        <v>25095.823285374754</v>
      </c>
      <c r="L703" s="501">
        <v>25370.703072846401</v>
      </c>
      <c r="M703" s="501">
        <v>25576.150475946626</v>
      </c>
      <c r="N703" s="502">
        <v>25789.810925993592</v>
      </c>
      <c r="O703" s="75">
        <v>26181.589008353592</v>
      </c>
      <c r="P703" s="75">
        <v>26413.896379185117</v>
      </c>
      <c r="Q703" s="75">
        <v>26653.172971141583</v>
      </c>
      <c r="R703" s="75">
        <v>26899.627860856748</v>
      </c>
      <c r="S703" s="75">
        <v>27153.476397263359</v>
      </c>
      <c r="T703" s="75">
        <v>27414.940389762178</v>
      </c>
      <c r="U703" s="75">
        <v>27684.248302035958</v>
      </c>
      <c r="V703" s="75">
        <v>27961.635451677954</v>
      </c>
      <c r="W703" s="75">
        <v>28247.344215809204</v>
      </c>
      <c r="X703" s="75">
        <v>25770.43099873039</v>
      </c>
    </row>
    <row r="704" spans="1:24" ht="13.2">
      <c r="A704" s="70" t="s">
        <v>34</v>
      </c>
      <c r="B704" s="496">
        <f>NPV(0.1,D704:Y704)</f>
        <v>95553.756612865109</v>
      </c>
      <c r="C704" s="496">
        <f>B704-B693</f>
        <v>75.385111880241311</v>
      </c>
      <c r="D704" s="500">
        <v>-316.48180273319144</v>
      </c>
      <c r="E704" s="501">
        <v>3721.7783940704435</v>
      </c>
      <c r="F704" s="501">
        <v>3822.6115194807908</v>
      </c>
      <c r="G704" s="501">
        <v>8554.0682368548532</v>
      </c>
      <c r="H704" s="501">
        <v>12681.111309675143</v>
      </c>
      <c r="I704" s="501">
        <v>13599.130795411042</v>
      </c>
      <c r="J704" s="501">
        <v>14101.448359349848</v>
      </c>
      <c r="K704" s="501">
        <v>14543.319666605237</v>
      </c>
      <c r="L704" s="501">
        <v>15004.926376798634</v>
      </c>
      <c r="M704" s="501">
        <v>15671.719216756155</v>
      </c>
      <c r="N704" s="502">
        <v>16446.100913610891</v>
      </c>
      <c r="O704" s="75">
        <v>16700.360175322858</v>
      </c>
      <c r="P704" s="75">
        <v>17080.927157875733</v>
      </c>
      <c r="Q704" s="75">
        <v>16987.817734142889</v>
      </c>
      <c r="R704" s="75">
        <v>17339.836419750482</v>
      </c>
      <c r="S704" s="75">
        <v>17683.205710896968</v>
      </c>
      <c r="T704" s="75">
        <v>18017.233484367025</v>
      </c>
      <c r="U704" s="75">
        <v>18500.813062205511</v>
      </c>
      <c r="V704" s="75">
        <v>19037.411920737035</v>
      </c>
      <c r="W704" s="75">
        <v>19100.878579018157</v>
      </c>
      <c r="X704" s="75">
        <v>5358.0508799249492</v>
      </c>
    </row>
    <row r="705" spans="1:24" ht="13.2">
      <c r="A705" s="70" t="s">
        <v>32</v>
      </c>
      <c r="B705" s="496">
        <f>NPV(0.1,D705:Y705)</f>
        <v>101487.98689415742</v>
      </c>
      <c r="C705" s="496">
        <f>B705-B694</f>
        <v>69.746205349263619</v>
      </c>
      <c r="D705" s="503">
        <v>-2240.4660479544232</v>
      </c>
      <c r="E705" s="504">
        <v>6078.8739887332849</v>
      </c>
      <c r="F705" s="504">
        <v>4664.6636778025404</v>
      </c>
      <c r="G705" s="504">
        <v>10471.884158816529</v>
      </c>
      <c r="H705" s="504">
        <v>17504.641832067588</v>
      </c>
      <c r="I705" s="504">
        <v>15524.679389236451</v>
      </c>
      <c r="J705" s="504">
        <v>15091.92171832438</v>
      </c>
      <c r="K705" s="504">
        <v>15561.680654016731</v>
      </c>
      <c r="L705" s="504">
        <v>12355.905145111628</v>
      </c>
      <c r="M705" s="504">
        <v>10490.291677891604</v>
      </c>
      <c r="N705" s="505">
        <v>20314.842506110941</v>
      </c>
      <c r="O705" s="75">
        <v>20094.734328211176</v>
      </c>
      <c r="P705" s="75">
        <v>20303.068536636241</v>
      </c>
      <c r="Q705" s="75">
        <v>20215.95494140084</v>
      </c>
      <c r="R705" s="75">
        <v>20561.977798510983</v>
      </c>
      <c r="S705" s="75">
        <v>19136.577682909723</v>
      </c>
      <c r="T705" s="75">
        <v>14442.277344132024</v>
      </c>
      <c r="U705" s="75">
        <v>13622.03343977051</v>
      </c>
      <c r="V705" s="75">
        <v>12202.897075002034</v>
      </c>
      <c r="W705" s="75">
        <v>10962.540251083152</v>
      </c>
      <c r="X705" s="75">
        <v>8702.7362798593931</v>
      </c>
    </row>
    <row r="708" spans="1:24">
      <c r="A708" s="1075" t="s">
        <v>713</v>
      </c>
    </row>
    <row r="709" spans="1:24">
      <c r="A709" s="442">
        <v>36509</v>
      </c>
    </row>
    <row r="710" spans="1:24" ht="13.2">
      <c r="A710" s="64" t="s">
        <v>368</v>
      </c>
      <c r="B710" s="65">
        <v>49351.289110306068</v>
      </c>
      <c r="C710" s="60"/>
      <c r="D710" s="60"/>
      <c r="E710" s="60"/>
      <c r="F710" s="60"/>
      <c r="G710" s="60"/>
      <c r="H710" s="60"/>
      <c r="I710" s="60"/>
      <c r="J710" s="60"/>
      <c r="K710" s="60"/>
      <c r="L710" s="60"/>
      <c r="M710" s="60"/>
      <c r="N710" s="60"/>
      <c r="O710" s="60"/>
      <c r="P710" s="60"/>
      <c r="Q710" s="60"/>
      <c r="R710" s="60"/>
      <c r="S710" s="60"/>
      <c r="T710" s="60"/>
      <c r="U710" s="60"/>
      <c r="V710" s="60"/>
      <c r="W710" s="60"/>
      <c r="X710" s="60"/>
    </row>
    <row r="711" spans="1:24" ht="13.2">
      <c r="A711" s="66" t="s">
        <v>369</v>
      </c>
      <c r="B711" s="67">
        <v>91138.549474299929</v>
      </c>
      <c r="C711" s="60"/>
      <c r="D711" s="60"/>
      <c r="E711" s="60"/>
      <c r="F711" s="60"/>
      <c r="G711" s="60"/>
      <c r="H711" s="60"/>
      <c r="I711" s="60"/>
      <c r="J711" s="60"/>
      <c r="K711" s="60"/>
      <c r="L711" s="60"/>
      <c r="M711" s="60"/>
      <c r="N711" s="60"/>
      <c r="O711" s="60"/>
      <c r="P711" s="60"/>
      <c r="Q711" s="60"/>
      <c r="R711" s="60"/>
      <c r="S711" s="60"/>
      <c r="T711" s="60"/>
      <c r="U711" s="60"/>
      <c r="V711" s="60"/>
      <c r="W711" s="60"/>
      <c r="X711" s="60"/>
    </row>
    <row r="712" spans="1:24" ht="13.2">
      <c r="A712" s="68" t="s">
        <v>370</v>
      </c>
      <c r="B712" s="495" t="s">
        <v>468</v>
      </c>
      <c r="C712" s="495" t="s">
        <v>469</v>
      </c>
      <c r="D712" s="497">
        <v>2000</v>
      </c>
      <c r="E712" s="498">
        <v>2001</v>
      </c>
      <c r="F712" s="498">
        <v>2002</v>
      </c>
      <c r="G712" s="498">
        <v>2003</v>
      </c>
      <c r="H712" s="498">
        <v>2004</v>
      </c>
      <c r="I712" s="498">
        <v>2005</v>
      </c>
      <c r="J712" s="498">
        <v>2006</v>
      </c>
      <c r="K712" s="498">
        <v>2007</v>
      </c>
      <c r="L712" s="498">
        <v>2008</v>
      </c>
      <c r="M712" s="498">
        <v>2009</v>
      </c>
      <c r="N712" s="499">
        <v>2010</v>
      </c>
      <c r="O712" s="69">
        <v>2011</v>
      </c>
      <c r="P712" s="69">
        <v>2012</v>
      </c>
      <c r="Q712" s="69">
        <v>2013</v>
      </c>
      <c r="R712" s="69">
        <v>2014</v>
      </c>
      <c r="S712" s="69">
        <v>2015</v>
      </c>
      <c r="T712" s="69">
        <v>2016</v>
      </c>
      <c r="U712" s="69">
        <v>2017</v>
      </c>
      <c r="V712" s="69">
        <v>2018</v>
      </c>
      <c r="W712" s="69">
        <v>2019</v>
      </c>
      <c r="X712" s="69">
        <v>2020</v>
      </c>
    </row>
    <row r="713" spans="1:24" ht="13.2">
      <c r="A713" s="68" t="s">
        <v>371</v>
      </c>
      <c r="B713" s="496">
        <f>NPV(0.1,D713:Y713)</f>
        <v>457195.72312395548</v>
      </c>
      <c r="C713" s="496">
        <f>B713-B702</f>
        <v>0</v>
      </c>
      <c r="D713" s="500">
        <v>25347.056333333334</v>
      </c>
      <c r="E713" s="501">
        <v>42007.487139999997</v>
      </c>
      <c r="F713" s="501">
        <v>42094.521254200001</v>
      </c>
      <c r="G713" s="501">
        <v>50668.657660713434</v>
      </c>
      <c r="H713" s="501">
        <v>57743.893261455611</v>
      </c>
      <c r="I713" s="501">
        <v>58943.222063339272</v>
      </c>
      <c r="J713" s="501">
        <v>59552.465288799118</v>
      </c>
      <c r="K713" s="501">
        <v>60161.203847808363</v>
      </c>
      <c r="L713" s="501">
        <v>60768.85914147702</v>
      </c>
      <c r="M713" s="501">
        <v>61374.818309181566</v>
      </c>
      <c r="N713" s="502">
        <v>61978.432693599862</v>
      </c>
      <c r="O713" s="75">
        <v>62579.016244483784</v>
      </c>
      <c r="P713" s="75">
        <v>63175.843858875312</v>
      </c>
      <c r="Q713" s="75">
        <v>62998.168132096616</v>
      </c>
      <c r="R713" s="75">
        <v>63562.044211108274</v>
      </c>
      <c r="S713" s="75">
        <v>64119.044143420528</v>
      </c>
      <c r="T713" s="75">
        <v>64668.247871760315</v>
      </c>
      <c r="U713" s="75">
        <v>65208.686323950235</v>
      </c>
      <c r="V713" s="75">
        <v>65739.339300065752</v>
      </c>
      <c r="W713" s="75">
        <v>65339.735070763163</v>
      </c>
      <c r="X713" s="75">
        <v>39294.512599893416</v>
      </c>
    </row>
    <row r="714" spans="1:24" ht="13.2">
      <c r="A714" s="70" t="s">
        <v>372</v>
      </c>
      <c r="B714" s="496">
        <f>NPV(0.1,D714:Y714)</f>
        <v>204145.8833211952</v>
      </c>
      <c r="C714" s="496">
        <f>B714-B703</f>
        <v>0</v>
      </c>
      <c r="D714" s="500">
        <v>13735.271874132448</v>
      </c>
      <c r="E714" s="501">
        <v>21850.0328500346</v>
      </c>
      <c r="F714" s="501">
        <v>22096.53252159369</v>
      </c>
      <c r="G714" s="501">
        <v>23413.601741481685</v>
      </c>
      <c r="H714" s="501">
        <v>24271.789190606411</v>
      </c>
      <c r="I714" s="501">
        <v>24506.506554867738</v>
      </c>
      <c r="J714" s="501">
        <v>24787.300713664747</v>
      </c>
      <c r="K714" s="501">
        <v>25095.823285374754</v>
      </c>
      <c r="L714" s="501">
        <v>25370.703072846401</v>
      </c>
      <c r="M714" s="501">
        <v>25576.150475946626</v>
      </c>
      <c r="N714" s="502">
        <v>25789.810925993592</v>
      </c>
      <c r="O714" s="75">
        <v>26181.589008353592</v>
      </c>
      <c r="P714" s="75">
        <v>26413.896379185117</v>
      </c>
      <c r="Q714" s="75">
        <v>26653.172971141583</v>
      </c>
      <c r="R714" s="75">
        <v>26899.627860856748</v>
      </c>
      <c r="S714" s="75">
        <v>27153.476397263359</v>
      </c>
      <c r="T714" s="75">
        <v>27414.940389762178</v>
      </c>
      <c r="U714" s="75">
        <v>27684.248302035958</v>
      </c>
      <c r="V714" s="75">
        <v>27961.635451677954</v>
      </c>
      <c r="W714" s="75">
        <v>28247.344215809204</v>
      </c>
      <c r="X714" s="75">
        <v>25770.43099873039</v>
      </c>
    </row>
    <row r="715" spans="1:24" ht="13.2">
      <c r="A715" s="70" t="s">
        <v>34</v>
      </c>
      <c r="B715" s="496">
        <f>NPV(0.1,D715:Y715)</f>
        <v>95453.372146293055</v>
      </c>
      <c r="C715" s="496">
        <f>B715-B704</f>
        <v>-100.3844665720535</v>
      </c>
      <c r="D715" s="500">
        <v>-333.9348905160432</v>
      </c>
      <c r="E715" s="501">
        <v>3695.1384294168001</v>
      </c>
      <c r="F715" s="501">
        <v>3796.1233651063553</v>
      </c>
      <c r="G715" s="501">
        <v>8528.7312763935843</v>
      </c>
      <c r="H715" s="501">
        <v>12656.044263988257</v>
      </c>
      <c r="I715" s="501">
        <v>13587.576130679554</v>
      </c>
      <c r="J715" s="501">
        <v>14099.594411158765</v>
      </c>
      <c r="K715" s="501">
        <v>14541.661297038987</v>
      </c>
      <c r="L715" s="501">
        <v>15003.463585857215</v>
      </c>
      <c r="M715" s="501">
        <v>15670.575513698608</v>
      </c>
      <c r="N715" s="502">
        <v>16445.36207618867</v>
      </c>
      <c r="O715" s="75">
        <v>16699.717430388358</v>
      </c>
      <c r="P715" s="75">
        <v>17080.404528550887</v>
      </c>
      <c r="Q715" s="75">
        <v>16987.415220427694</v>
      </c>
      <c r="R715" s="75">
        <v>17339.554021644941</v>
      </c>
      <c r="S715" s="75">
        <v>17683.043428401077</v>
      </c>
      <c r="T715" s="75">
        <v>18017.191317480785</v>
      </c>
      <c r="U715" s="75">
        <v>18501.011126538579</v>
      </c>
      <c r="V715" s="75">
        <v>19037.898262533265</v>
      </c>
      <c r="W715" s="75">
        <v>19101.725267643338</v>
      </c>
      <c r="X715" s="75">
        <v>5359.3059616229484</v>
      </c>
    </row>
    <row r="716" spans="1:24" ht="13.2">
      <c r="A716" s="70" t="s">
        <v>32</v>
      </c>
      <c r="B716" s="496">
        <f>NPV(0.1,D716:Y716)</f>
        <v>101456.19062690802</v>
      </c>
      <c r="C716" s="496">
        <f>B716-B705</f>
        <v>-31.796267249403172</v>
      </c>
      <c r="D716" s="503">
        <v>-2251.1541680919213</v>
      </c>
      <c r="E716" s="504">
        <v>6068.4304280467877</v>
      </c>
      <c r="F716" s="504">
        <v>4653.101975317044</v>
      </c>
      <c r="G716" s="504">
        <v>10460.746469856853</v>
      </c>
      <c r="H716" s="504">
        <v>17564.30147100256</v>
      </c>
      <c r="I716" s="504">
        <v>15522.383343828864</v>
      </c>
      <c r="J716" s="504">
        <v>15083.005528580303</v>
      </c>
      <c r="K716" s="504">
        <v>15552.957392546792</v>
      </c>
      <c r="L716" s="504">
        <v>12344.654710117211</v>
      </c>
      <c r="M716" s="504">
        <v>10477.504406730361</v>
      </c>
      <c r="N716" s="505">
        <v>20309.276257185724</v>
      </c>
      <c r="O716" s="75">
        <v>20088.770948972979</v>
      </c>
      <c r="P716" s="75">
        <v>20297.227923358387</v>
      </c>
      <c r="Q716" s="75">
        <v>20210.231793381943</v>
      </c>
      <c r="R716" s="75">
        <v>20556.377416452437</v>
      </c>
      <c r="S716" s="75">
        <v>19131.879269917328</v>
      </c>
      <c r="T716" s="75">
        <v>14436.028037955788</v>
      </c>
      <c r="U716" s="75">
        <v>13615.043219913583</v>
      </c>
      <c r="V716" s="75">
        <v>12194.723415258264</v>
      </c>
      <c r="W716" s="75">
        <v>10953.745793268336</v>
      </c>
      <c r="X716" s="75">
        <v>8702.689946767392</v>
      </c>
    </row>
    <row r="719" spans="1:24">
      <c r="A719" s="1075" t="s">
        <v>713</v>
      </c>
    </row>
    <row r="720" spans="1:24">
      <c r="A720" s="442">
        <v>36529</v>
      </c>
    </row>
    <row r="721" spans="1:24" ht="13.2">
      <c r="A721" s="64" t="s">
        <v>368</v>
      </c>
      <c r="B721" s="65">
        <v>49424.393934144253</v>
      </c>
      <c r="C721" s="60"/>
      <c r="D721" s="60"/>
      <c r="E721" s="60"/>
      <c r="F721" s="60"/>
      <c r="G721" s="60"/>
      <c r="H721" s="60"/>
      <c r="I721" s="60"/>
      <c r="J721" s="60"/>
      <c r="K721" s="60"/>
      <c r="L721" s="60"/>
      <c r="M721" s="60"/>
      <c r="N721" s="60"/>
      <c r="O721" s="60"/>
      <c r="P721" s="60"/>
      <c r="Q721" s="60"/>
      <c r="R721" s="60"/>
      <c r="S721" s="60"/>
      <c r="T721" s="60"/>
      <c r="U721" s="60"/>
      <c r="V721" s="60"/>
      <c r="W721" s="60"/>
      <c r="X721" s="60"/>
    </row>
    <row r="722" spans="1:24" ht="13.2">
      <c r="A722" s="66" t="s">
        <v>369</v>
      </c>
      <c r="B722" s="67">
        <v>91246.394576740553</v>
      </c>
      <c r="C722" s="60"/>
      <c r="D722" s="60"/>
      <c r="E722" s="60"/>
      <c r="F722" s="60"/>
      <c r="G722" s="60"/>
      <c r="H722" s="60"/>
      <c r="I722" s="60"/>
      <c r="J722" s="60"/>
      <c r="K722" s="60"/>
      <c r="L722" s="60"/>
      <c r="M722" s="60"/>
      <c r="N722" s="60"/>
      <c r="O722" s="60"/>
      <c r="P722" s="60"/>
      <c r="Q722" s="60"/>
      <c r="R722" s="60"/>
      <c r="S722" s="60"/>
      <c r="T722" s="60"/>
      <c r="U722" s="60"/>
      <c r="V722" s="60"/>
      <c r="W722" s="60"/>
      <c r="X722" s="60"/>
    </row>
    <row r="723" spans="1:24" ht="13.2">
      <c r="A723" s="68" t="s">
        <v>370</v>
      </c>
      <c r="B723" s="495" t="s">
        <v>468</v>
      </c>
      <c r="C723" s="495" t="s">
        <v>469</v>
      </c>
      <c r="D723" s="497">
        <v>2000</v>
      </c>
      <c r="E723" s="498">
        <v>2001</v>
      </c>
      <c r="F723" s="498">
        <v>2002</v>
      </c>
      <c r="G723" s="498">
        <v>2003</v>
      </c>
      <c r="H723" s="498">
        <v>2004</v>
      </c>
      <c r="I723" s="498">
        <v>2005</v>
      </c>
      <c r="J723" s="498">
        <v>2006</v>
      </c>
      <c r="K723" s="498">
        <v>2007</v>
      </c>
      <c r="L723" s="498">
        <v>2008</v>
      </c>
      <c r="M723" s="498">
        <v>2009</v>
      </c>
      <c r="N723" s="499">
        <v>2010</v>
      </c>
      <c r="O723" s="69">
        <v>2011</v>
      </c>
      <c r="P723" s="69">
        <v>2012</v>
      </c>
      <c r="Q723" s="69">
        <v>2013</v>
      </c>
      <c r="R723" s="69">
        <v>2014</v>
      </c>
      <c r="S723" s="69">
        <v>2015</v>
      </c>
      <c r="T723" s="69">
        <v>2016</v>
      </c>
      <c r="U723" s="69">
        <v>2017</v>
      </c>
      <c r="V723" s="69">
        <v>2018</v>
      </c>
      <c r="W723" s="69">
        <v>2019</v>
      </c>
      <c r="X723" s="69">
        <v>2020</v>
      </c>
    </row>
    <row r="724" spans="1:24" ht="13.2">
      <c r="A724" s="68" t="s">
        <v>371</v>
      </c>
      <c r="B724" s="496">
        <f>NPV(0.1,D724:Y724)</f>
        <v>457195.72312395548</v>
      </c>
      <c r="C724" s="496">
        <f>B724-B713</f>
        <v>0</v>
      </c>
      <c r="D724" s="500">
        <v>25347.056333333334</v>
      </c>
      <c r="E724" s="501">
        <v>42007.487139999997</v>
      </c>
      <c r="F724" s="501">
        <v>42094.521254200001</v>
      </c>
      <c r="G724" s="501">
        <v>50668.657660713434</v>
      </c>
      <c r="H724" s="501">
        <v>57743.893261455611</v>
      </c>
      <c r="I724" s="501">
        <v>58943.222063339272</v>
      </c>
      <c r="J724" s="501">
        <v>59552.465288799118</v>
      </c>
      <c r="K724" s="501">
        <v>60161.203847808363</v>
      </c>
      <c r="L724" s="501">
        <v>60768.85914147702</v>
      </c>
      <c r="M724" s="501">
        <v>61374.818309181566</v>
      </c>
      <c r="N724" s="502">
        <v>61978.432693599862</v>
      </c>
      <c r="O724" s="75">
        <v>62579.016244483784</v>
      </c>
      <c r="P724" s="75">
        <v>63175.843858875312</v>
      </c>
      <c r="Q724" s="75">
        <v>62998.168132096616</v>
      </c>
      <c r="R724" s="75">
        <v>63562.044211108274</v>
      </c>
      <c r="S724" s="75">
        <v>64119.044143420528</v>
      </c>
      <c r="T724" s="75">
        <v>64668.247871760315</v>
      </c>
      <c r="U724" s="75">
        <v>65208.686323950235</v>
      </c>
      <c r="V724" s="75">
        <v>65739.339300065752</v>
      </c>
      <c r="W724" s="75">
        <v>65339.735070763163</v>
      </c>
      <c r="X724" s="75">
        <v>39294.512599893416</v>
      </c>
    </row>
    <row r="725" spans="1:24" ht="13.2">
      <c r="A725" s="70" t="s">
        <v>372</v>
      </c>
      <c r="B725" s="496">
        <f>NPV(0.1,D725:Y725)</f>
        <v>204145.8833211952</v>
      </c>
      <c r="C725" s="496">
        <f>B725-B714</f>
        <v>0</v>
      </c>
      <c r="D725" s="500">
        <v>13735.271874132448</v>
      </c>
      <c r="E725" s="501">
        <v>21850.0328500346</v>
      </c>
      <c r="F725" s="501">
        <v>22096.53252159369</v>
      </c>
      <c r="G725" s="501">
        <v>23413.601741481685</v>
      </c>
      <c r="H725" s="501">
        <v>24271.789190606411</v>
      </c>
      <c r="I725" s="501">
        <v>24506.506554867738</v>
      </c>
      <c r="J725" s="501">
        <v>24787.300713664747</v>
      </c>
      <c r="K725" s="501">
        <v>25095.823285374754</v>
      </c>
      <c r="L725" s="501">
        <v>25370.703072846401</v>
      </c>
      <c r="M725" s="501">
        <v>25576.150475946626</v>
      </c>
      <c r="N725" s="502">
        <v>25789.810925993592</v>
      </c>
      <c r="O725" s="75">
        <v>26181.589008353592</v>
      </c>
      <c r="P725" s="75">
        <v>26413.896379185117</v>
      </c>
      <c r="Q725" s="75">
        <v>26653.172971141583</v>
      </c>
      <c r="R725" s="75">
        <v>26899.627860856748</v>
      </c>
      <c r="S725" s="75">
        <v>27153.476397263359</v>
      </c>
      <c r="T725" s="75">
        <v>27414.940389762178</v>
      </c>
      <c r="U725" s="75">
        <v>27684.248302035958</v>
      </c>
      <c r="V725" s="75">
        <v>27961.635451677954</v>
      </c>
      <c r="W725" s="75">
        <v>28247.344215809204</v>
      </c>
      <c r="X725" s="75">
        <v>25770.43099873039</v>
      </c>
    </row>
    <row r="726" spans="1:24" ht="13.2">
      <c r="A726" s="70" t="s">
        <v>34</v>
      </c>
      <c r="B726" s="496">
        <f>NPV(0.1,D726:Y726)</f>
        <v>95563.556479199731</v>
      </c>
      <c r="C726" s="496">
        <f>B726-B715</f>
        <v>110.18433290667599</v>
      </c>
      <c r="D726" s="500">
        <v>-319.61887626921509</v>
      </c>
      <c r="E726" s="501">
        <v>3711.4355777824067</v>
      </c>
      <c r="F726" s="501">
        <v>3812.0388791063674</v>
      </c>
      <c r="G726" s="501">
        <v>8543.5568730264495</v>
      </c>
      <c r="H726" s="501">
        <v>12670.191324528416</v>
      </c>
      <c r="I726" s="501">
        <v>13601.29191953076</v>
      </c>
      <c r="J726" s="501">
        <v>14112.878928321021</v>
      </c>
      <c r="K726" s="501">
        <v>14554.454151022692</v>
      </c>
      <c r="L726" s="501">
        <v>15015.764776662367</v>
      </c>
      <c r="M726" s="501">
        <v>15682.074552615448</v>
      </c>
      <c r="N726" s="502">
        <v>16455.843327372724</v>
      </c>
      <c r="O726" s="75">
        <v>16709.95711561403</v>
      </c>
      <c r="P726" s="75">
        <v>17090.342256328571</v>
      </c>
      <c r="Q726" s="75">
        <v>16997.050990757391</v>
      </c>
      <c r="R726" s="75">
        <v>17348.887834526649</v>
      </c>
      <c r="S726" s="75">
        <v>17692.075283834805</v>
      </c>
      <c r="T726" s="75">
        <v>18025.921215466529</v>
      </c>
      <c r="U726" s="75">
        <v>18509.137109628347</v>
      </c>
      <c r="V726" s="75">
        <v>19045.299547747873</v>
      </c>
      <c r="W726" s="75">
        <v>19108.220680513994</v>
      </c>
      <c r="X726" s="75">
        <v>5364.7747191704493</v>
      </c>
    </row>
    <row r="727" spans="1:24" ht="13.2">
      <c r="A727" s="70" t="s">
        <v>32</v>
      </c>
      <c r="B727" s="496">
        <f>NPV(0.1,D727:Y727)</f>
        <v>101564.5727550013</v>
      </c>
      <c r="C727" s="496">
        <f>B727-B716</f>
        <v>108.38212809327524</v>
      </c>
      <c r="D727" s="503">
        <v>-2224.2854081544224</v>
      </c>
      <c r="E727" s="504">
        <v>6094.6843923892866</v>
      </c>
      <c r="F727" s="504">
        <v>4682.1668253145435</v>
      </c>
      <c r="G727" s="504">
        <v>10491.520869769944</v>
      </c>
      <c r="H727" s="504">
        <v>17513.471683212319</v>
      </c>
      <c r="I727" s="504">
        <v>15532.55171794369</v>
      </c>
      <c r="J727" s="504">
        <v>15094.356971876303</v>
      </c>
      <c r="K727" s="504">
        <v>15563.805624312117</v>
      </c>
      <c r="L727" s="504">
        <v>12361.874189556111</v>
      </c>
      <c r="M727" s="504">
        <v>10498.569112428822</v>
      </c>
      <c r="N727" s="505">
        <v>20312.206317253527</v>
      </c>
      <c r="O727" s="75">
        <v>20092.681139980268</v>
      </c>
      <c r="P727" s="75">
        <v>20300.847705269822</v>
      </c>
      <c r="Q727" s="75">
        <v>20213.538069493268</v>
      </c>
      <c r="R727" s="75">
        <v>20559.393283467893</v>
      </c>
      <c r="S727" s="75">
        <v>19137.999943361683</v>
      </c>
      <c r="T727" s="75">
        <v>14451.41974407903</v>
      </c>
      <c r="U727" s="75">
        <v>13632.297501640847</v>
      </c>
      <c r="V727" s="75">
        <v>12214.952734860373</v>
      </c>
      <c r="W727" s="75">
        <v>10975.535731026492</v>
      </c>
      <c r="X727" s="75">
        <v>8702.4880599523931</v>
      </c>
    </row>
  </sheetData>
  <pageMargins left="0.5" right="0.5" top="0.75" bottom="0.75" header="0" footer="0"/>
  <pageSetup scale="65" orientation="landscape" r:id="rId1"/>
  <headerFooter alignWithMargins="0">
    <oddFooter>&amp;L&amp;D   &amp;T&amp;R&amp;F
&amp;A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X38"/>
  <sheetViews>
    <sheetView topLeftCell="A9" workbookViewId="0">
      <selection activeCell="D34" sqref="D34"/>
    </sheetView>
  </sheetViews>
  <sheetFormatPr defaultColWidth="9.109375" defaultRowHeight="13.2"/>
  <cols>
    <col min="1" max="16384" width="9.109375" style="60"/>
  </cols>
  <sheetData>
    <row r="1" spans="1:24" ht="20.399999999999999">
      <c r="A1" s="525" t="str">
        <f>'Project Assumtions'!$A$2</f>
        <v>WHEATLAND POWER IN, L.L.C.</v>
      </c>
      <c r="B1" s="607"/>
      <c r="C1" s="607"/>
      <c r="D1" s="607"/>
      <c r="E1" s="607"/>
      <c r="F1" s="526"/>
    </row>
    <row r="2" spans="1:24">
      <c r="A2" s="527" t="s">
        <v>374</v>
      </c>
      <c r="B2" s="608"/>
      <c r="C2" s="608"/>
      <c r="D2" s="608"/>
      <c r="E2" s="608"/>
      <c r="F2" s="528"/>
    </row>
    <row r="3" spans="1:24">
      <c r="D3" s="76">
        <f>'PPA Assumptions &amp;Summary'!C3</f>
        <v>1</v>
      </c>
      <c r="E3" s="76">
        <f>'PPA Assumptions &amp;Summary'!D3</f>
        <v>2</v>
      </c>
      <c r="F3" s="76">
        <f>'PPA Assumptions &amp;Summary'!E3</f>
        <v>3</v>
      </c>
      <c r="G3" s="76">
        <f>'PPA Assumptions &amp;Summary'!F3</f>
        <v>4</v>
      </c>
      <c r="H3" s="76">
        <f>'PPA Assumptions &amp;Summary'!G3</f>
        <v>5</v>
      </c>
      <c r="I3" s="76">
        <f>'PPA Assumptions &amp;Summary'!H3</f>
        <v>6</v>
      </c>
      <c r="J3" s="76">
        <f>'PPA Assumptions &amp;Summary'!I3</f>
        <v>7</v>
      </c>
      <c r="K3" s="76">
        <f>'PPA Assumptions &amp;Summary'!J3</f>
        <v>8</v>
      </c>
      <c r="L3" s="76">
        <f>'PPA Assumptions &amp;Summary'!K3</f>
        <v>9</v>
      </c>
      <c r="M3" s="76">
        <f>'PPA Assumptions &amp;Summary'!L3</f>
        <v>10</v>
      </c>
      <c r="N3" s="76">
        <f>'PPA Assumptions &amp;Summary'!M3</f>
        <v>11</v>
      </c>
      <c r="O3" s="76">
        <f>'PPA Assumptions &amp;Summary'!N3</f>
        <v>12</v>
      </c>
      <c r="P3" s="76">
        <f>'PPA Assumptions &amp;Summary'!O3</f>
        <v>13</v>
      </c>
      <c r="Q3" s="76">
        <f>'PPA Assumptions &amp;Summary'!P3</f>
        <v>14</v>
      </c>
      <c r="R3" s="76">
        <f>'PPA Assumptions &amp;Summary'!Q3</f>
        <v>15</v>
      </c>
      <c r="S3" s="76">
        <f>'PPA Assumptions &amp;Summary'!R3</f>
        <v>16</v>
      </c>
      <c r="T3" s="76">
        <f>'PPA Assumptions &amp;Summary'!S3</f>
        <v>17</v>
      </c>
      <c r="U3" s="76">
        <f>'PPA Assumptions &amp;Summary'!T3</f>
        <v>18</v>
      </c>
      <c r="V3" s="76">
        <f>'PPA Assumptions &amp;Summary'!U3</f>
        <v>19</v>
      </c>
      <c r="W3" s="76">
        <f>'PPA Assumptions &amp;Summary'!V3</f>
        <v>20</v>
      </c>
      <c r="X3" s="76">
        <f>'PPA Assumptions &amp;Summary'!W3</f>
        <v>21</v>
      </c>
    </row>
    <row r="4" spans="1:24">
      <c r="A4" s="529"/>
      <c r="B4" s="593"/>
      <c r="C4" s="593"/>
      <c r="D4" s="800">
        <f>'PPA Assumptions &amp;Summary'!C4</f>
        <v>2000</v>
      </c>
      <c r="E4" s="800">
        <f>'PPA Assumptions &amp;Summary'!D4</f>
        <v>2001</v>
      </c>
      <c r="F4" s="800">
        <f>'PPA Assumptions &amp;Summary'!E4</f>
        <v>2002</v>
      </c>
      <c r="G4" s="800">
        <f>'PPA Assumptions &amp;Summary'!F4</f>
        <v>2003</v>
      </c>
      <c r="H4" s="800">
        <f>'PPA Assumptions &amp;Summary'!G4</f>
        <v>2004</v>
      </c>
      <c r="I4" s="800">
        <f>'PPA Assumptions &amp;Summary'!H4</f>
        <v>2005</v>
      </c>
      <c r="J4" s="800">
        <f>'PPA Assumptions &amp;Summary'!I4</f>
        <v>2006</v>
      </c>
      <c r="K4" s="800">
        <f>'PPA Assumptions &amp;Summary'!J4</f>
        <v>2007</v>
      </c>
      <c r="L4" s="800">
        <f>'PPA Assumptions &amp;Summary'!K4</f>
        <v>2008</v>
      </c>
      <c r="M4" s="800">
        <f>'PPA Assumptions &amp;Summary'!L4</f>
        <v>2009</v>
      </c>
      <c r="N4" s="800">
        <f>'PPA Assumptions &amp;Summary'!M4</f>
        <v>2010</v>
      </c>
      <c r="O4" s="800">
        <f>'PPA Assumptions &amp;Summary'!N4</f>
        <v>2011</v>
      </c>
      <c r="P4" s="800">
        <f>'PPA Assumptions &amp;Summary'!O4</f>
        <v>2012</v>
      </c>
      <c r="Q4" s="800">
        <f>'PPA Assumptions &amp;Summary'!P4</f>
        <v>2013</v>
      </c>
      <c r="R4" s="800">
        <f>'PPA Assumptions &amp;Summary'!Q4</f>
        <v>2014</v>
      </c>
      <c r="S4" s="800">
        <f>'PPA Assumptions &amp;Summary'!R4</f>
        <v>2015</v>
      </c>
      <c r="T4" s="800">
        <f>'PPA Assumptions &amp;Summary'!S4</f>
        <v>2016</v>
      </c>
      <c r="U4" s="800">
        <f>'PPA Assumptions &amp;Summary'!T4</f>
        <v>2017</v>
      </c>
      <c r="V4" s="800">
        <f>'PPA Assumptions &amp;Summary'!U4</f>
        <v>2018</v>
      </c>
      <c r="W4" s="800">
        <f>'PPA Assumptions &amp;Summary'!V4</f>
        <v>2019</v>
      </c>
      <c r="X4" s="801">
        <f>'PPA Assumptions &amp;Summary'!W4</f>
        <v>2020</v>
      </c>
    </row>
    <row r="5" spans="1:24">
      <c r="A5" s="802" t="s">
        <v>375</v>
      </c>
      <c r="B5" s="175"/>
      <c r="C5" s="175"/>
      <c r="D5" s="175"/>
      <c r="E5" s="175"/>
      <c r="F5" s="175"/>
      <c r="G5" s="175"/>
      <c r="H5" s="175"/>
      <c r="I5" s="175"/>
      <c r="J5" s="175"/>
      <c r="K5" s="175"/>
      <c r="L5" s="175"/>
      <c r="M5" s="175"/>
      <c r="N5" s="175"/>
      <c r="O5" s="175"/>
      <c r="P5" s="175"/>
      <c r="Q5" s="175"/>
      <c r="R5" s="175"/>
      <c r="S5" s="175"/>
      <c r="T5" s="175"/>
      <c r="U5" s="175"/>
      <c r="V5" s="175"/>
      <c r="W5" s="175"/>
      <c r="X5" s="580"/>
    </row>
    <row r="6" spans="1:24">
      <c r="A6" s="547"/>
      <c r="B6" s="173" t="s">
        <v>376</v>
      </c>
      <c r="C6" s="175"/>
      <c r="D6" s="175"/>
      <c r="E6" s="175"/>
      <c r="F6" s="175"/>
      <c r="G6" s="175"/>
      <c r="H6" s="175"/>
      <c r="I6" s="175"/>
      <c r="J6" s="175"/>
      <c r="K6" s="175"/>
      <c r="L6" s="175"/>
      <c r="M6" s="175"/>
      <c r="N6" s="175"/>
      <c r="O6" s="175"/>
      <c r="P6" s="175"/>
      <c r="Q6" s="175"/>
      <c r="R6" s="175"/>
      <c r="S6" s="175"/>
      <c r="T6" s="175"/>
      <c r="U6" s="175"/>
      <c r="V6" s="175"/>
      <c r="W6" s="175"/>
      <c r="X6" s="580"/>
    </row>
    <row r="7" spans="1:24">
      <c r="A7" s="547"/>
      <c r="B7" s="173" t="s">
        <v>377</v>
      </c>
      <c r="C7" s="175"/>
      <c r="D7" s="175"/>
      <c r="E7" s="175"/>
      <c r="F7" s="175"/>
      <c r="G7" s="175"/>
      <c r="H7" s="175"/>
      <c r="I7" s="175"/>
      <c r="J7" s="175"/>
      <c r="K7" s="175"/>
      <c r="L7" s="175"/>
      <c r="M7" s="175"/>
      <c r="N7" s="175"/>
      <c r="O7" s="175"/>
      <c r="P7" s="175"/>
      <c r="Q7" s="175"/>
      <c r="R7" s="175"/>
      <c r="S7" s="175"/>
      <c r="T7" s="175"/>
      <c r="U7" s="175"/>
      <c r="V7" s="175"/>
      <c r="W7" s="175"/>
      <c r="X7" s="580"/>
    </row>
    <row r="8" spans="1:24">
      <c r="A8" s="547"/>
      <c r="B8" s="173" t="s">
        <v>378</v>
      </c>
      <c r="C8" s="175"/>
      <c r="D8" s="175"/>
      <c r="E8" s="175"/>
      <c r="F8" s="175"/>
      <c r="G8" s="175"/>
      <c r="H8" s="175"/>
      <c r="I8" s="175"/>
      <c r="J8" s="175"/>
      <c r="K8" s="175"/>
      <c r="L8" s="175"/>
      <c r="M8" s="175"/>
      <c r="N8" s="175"/>
      <c r="O8" s="175"/>
      <c r="P8" s="175"/>
      <c r="Q8" s="175"/>
      <c r="R8" s="175"/>
      <c r="S8" s="175"/>
      <c r="T8" s="175"/>
      <c r="U8" s="175"/>
      <c r="V8" s="175"/>
      <c r="W8" s="175"/>
      <c r="X8" s="580"/>
    </row>
    <row r="9" spans="1:24">
      <c r="A9" s="547"/>
      <c r="B9" s="173" t="s">
        <v>379</v>
      </c>
      <c r="C9" s="175"/>
      <c r="D9" s="175"/>
      <c r="E9" s="175"/>
      <c r="F9" s="175"/>
      <c r="G9" s="175"/>
      <c r="H9" s="175"/>
      <c r="I9" s="175"/>
      <c r="J9" s="175"/>
      <c r="K9" s="175"/>
      <c r="L9" s="175"/>
      <c r="M9" s="175"/>
      <c r="N9" s="175"/>
      <c r="O9" s="175"/>
      <c r="P9" s="175"/>
      <c r="Q9" s="175"/>
      <c r="R9" s="175"/>
      <c r="S9" s="175"/>
      <c r="T9" s="175"/>
      <c r="U9" s="175"/>
      <c r="V9" s="175"/>
      <c r="W9" s="175"/>
      <c r="X9" s="580"/>
    </row>
    <row r="10" spans="1:24">
      <c r="A10" s="547"/>
      <c r="B10" s="173" t="s">
        <v>380</v>
      </c>
      <c r="C10" s="175"/>
      <c r="D10" s="803">
        <f>IF(D3&gt;ProjectLife+1,0,'Project Assumtions'!$C$49+'Cash Flow Statement'!D17-'Cash Flow Statement'!D16)</f>
        <v>0</v>
      </c>
      <c r="E10" s="803">
        <f>IF(E3&gt;ProjectLife+1,0,'Project Assumtions'!$C$49+'Cash Flow Statement'!E17-'Cash Flow Statement'!E16)</f>
        <v>0</v>
      </c>
      <c r="F10" s="803">
        <f>IF(F3&gt;ProjectLife+1,0,'Project Assumtions'!$C$49+'Cash Flow Statement'!F17-'Cash Flow Statement'!F16)</f>
        <v>0</v>
      </c>
      <c r="G10" s="803">
        <f>IF(G3&gt;ProjectLife+1,0,'Project Assumtions'!$C$49+'Cash Flow Statement'!G17-'Cash Flow Statement'!G16)</f>
        <v>0</v>
      </c>
      <c r="H10" s="803">
        <f>IF(H3&gt;ProjectLife+1,0,'Project Assumtions'!$C$49+'Cash Flow Statement'!H17-'Cash Flow Statement'!H16)</f>
        <v>0</v>
      </c>
      <c r="I10" s="803">
        <f>IF(I3&gt;ProjectLife+1,0,'Project Assumtions'!$C$49+'Cash Flow Statement'!I17-'Cash Flow Statement'!I16)</f>
        <v>0</v>
      </c>
      <c r="J10" s="803">
        <f>IF(J3&gt;ProjectLife+1,0,'Project Assumtions'!$C$49+'Cash Flow Statement'!J17-'Cash Flow Statement'!J16)</f>
        <v>0</v>
      </c>
      <c r="K10" s="803">
        <f>IF(K3&gt;ProjectLife+1,0,'Project Assumtions'!$C$49+'Cash Flow Statement'!K17-'Cash Flow Statement'!K16)</f>
        <v>0</v>
      </c>
      <c r="L10" s="803">
        <f>IF(L3&gt;ProjectLife+1,0,'Project Assumtions'!$C$49+'Cash Flow Statement'!L17-'Cash Flow Statement'!L16)</f>
        <v>0</v>
      </c>
      <c r="M10" s="803">
        <f>IF(M3&gt;ProjectLife+1,0,'Project Assumtions'!$C$49+'Cash Flow Statement'!M17-'Cash Flow Statement'!M16)</f>
        <v>0</v>
      </c>
      <c r="N10" s="803">
        <f>IF(N3&gt;ProjectLife+1,0,'Project Assumtions'!$C$49+'Cash Flow Statement'!N17-'Cash Flow Statement'!N16)</f>
        <v>0</v>
      </c>
      <c r="O10" s="803">
        <f>IF(O3&gt;ProjectLife+1,0,'Project Assumtions'!$C$49+'Cash Flow Statement'!O17-'Cash Flow Statement'!O16)</f>
        <v>0</v>
      </c>
      <c r="P10" s="803">
        <f>IF(P3&gt;ProjectLife+1,0,'Project Assumtions'!$C$49+'Cash Flow Statement'!P17-'Cash Flow Statement'!P16)</f>
        <v>0</v>
      </c>
      <c r="Q10" s="803">
        <f>IF(Q3&gt;ProjectLife+1,0,'Project Assumtions'!$C$49+'Cash Flow Statement'!Q17-'Cash Flow Statement'!Q16)</f>
        <v>0</v>
      </c>
      <c r="R10" s="803">
        <f>IF(R3&gt;ProjectLife+1,0,'Project Assumtions'!$C$49+'Cash Flow Statement'!R17-'Cash Flow Statement'!R16)</f>
        <v>0</v>
      </c>
      <c r="S10" s="803">
        <f>IF(S3&gt;ProjectLife+1,0,'Project Assumtions'!$C$49+'Cash Flow Statement'!S17-'Cash Flow Statement'!S16)</f>
        <v>0</v>
      </c>
      <c r="T10" s="803">
        <f>IF(T3&gt;ProjectLife+1,0,'Project Assumtions'!$C$49+'Cash Flow Statement'!T17-'Cash Flow Statement'!T16)</f>
        <v>0</v>
      </c>
      <c r="U10" s="803">
        <f>IF(U3&gt;ProjectLife+1,0,'Project Assumtions'!$C$49+'Cash Flow Statement'!U17-'Cash Flow Statement'!U16)</f>
        <v>0</v>
      </c>
      <c r="V10" s="803">
        <f>IF(V3&gt;ProjectLife+1,0,'Project Assumtions'!$C$49+'Cash Flow Statement'!V17-'Cash Flow Statement'!V16)</f>
        <v>0</v>
      </c>
      <c r="W10" s="803">
        <f>IF(W3&gt;ProjectLife+1,0,'Project Assumtions'!$C$49+'Cash Flow Statement'!W17-'Cash Flow Statement'!W16)</f>
        <v>0</v>
      </c>
      <c r="X10" s="804">
        <f>IF(X3&gt;ProjectLife+1,0,'Project Assumtions'!$C$49+'Cash Flow Statement'!X17-'Cash Flow Statement'!X16)</f>
        <v>0</v>
      </c>
    </row>
    <row r="11" spans="1:24">
      <c r="A11" s="547"/>
      <c r="B11" s="173" t="s">
        <v>381</v>
      </c>
      <c r="C11" s="175"/>
      <c r="D11" s="805">
        <f>'Maintenance Reserves'!D13</f>
        <v>2140.752</v>
      </c>
      <c r="E11" s="805">
        <f>'Maintenance Reserves'!E13</f>
        <v>4345.7265600000001</v>
      </c>
      <c r="F11" s="805">
        <f>'Maintenance Reserves'!F13</f>
        <v>6616.8503567999996</v>
      </c>
      <c r="G11" s="805">
        <f>'Maintenance Reserves'!G13</f>
        <v>6441.1809417352006</v>
      </c>
      <c r="H11" s="805">
        <f>'Maintenance Reserves'!H13</f>
        <v>8850.6161777603193</v>
      </c>
      <c r="I11" s="805">
        <f>'Maintenance Reserves'!I13</f>
        <v>11332.334470866193</v>
      </c>
      <c r="J11" s="805">
        <f>'Maintenance Reserves'!J13</f>
        <v>6666.1930254442423</v>
      </c>
      <c r="K11" s="805">
        <f>'Maintenance Reserves'!K13</f>
        <v>9299.0479626002634</v>
      </c>
      <c r="L11" s="805">
        <f>'Maintenance Reserves'!L13</f>
        <v>12010.888547870965</v>
      </c>
      <c r="M11" s="805">
        <f>'Maintenance Reserves'!M13</f>
        <v>11801.130079382936</v>
      </c>
      <c r="N11" s="805">
        <f>'Maintenance Reserves'!N13</f>
        <v>14678.121756296623</v>
      </c>
      <c r="O11" s="805">
        <f>'Maintenance Reserves'!O13</f>
        <v>17641.42318351772</v>
      </c>
      <c r="P11" s="805">
        <f>'Maintenance Reserves'!P13</f>
        <v>20693.623653555449</v>
      </c>
      <c r="Q11" s="805">
        <f>'Maintenance Reserves'!Q13</f>
        <v>-6492.4539892104513</v>
      </c>
      <c r="R11" s="805">
        <f>'Maintenance Reserves'!R13</f>
        <v>-3254.3745105474227</v>
      </c>
      <c r="S11" s="805">
        <f>'Maintenance Reserves'!S13</f>
        <v>80.847352475496791</v>
      </c>
      <c r="T11" s="805">
        <f>'Maintenance Reserves'!T13</f>
        <v>-4536.1511096071372</v>
      </c>
      <c r="U11" s="805">
        <f>'Maintenance Reserves'!U13</f>
        <v>-997.81423512612218</v>
      </c>
      <c r="V11" s="805">
        <f>'Maintenance Reserves'!V13</f>
        <v>2646.6727455893229</v>
      </c>
      <c r="W11" s="805">
        <f>'Maintenance Reserves'!W13</f>
        <v>-11595.598006519809</v>
      </c>
      <c r="X11" s="806">
        <f>'Maintenance Reserves'!X13</f>
        <v>-7729.161768678794</v>
      </c>
    </row>
    <row r="12" spans="1:24">
      <c r="A12" s="547"/>
      <c r="B12" s="173" t="s">
        <v>382</v>
      </c>
      <c r="C12" s="175"/>
      <c r="D12" s="501">
        <f>SUM(D6:D11)</f>
        <v>2140.752</v>
      </c>
      <c r="E12" s="501">
        <f t="shared" ref="E12:X12" si="0">SUM(E6:E11)</f>
        <v>4345.7265600000001</v>
      </c>
      <c r="F12" s="501">
        <f t="shared" si="0"/>
        <v>6616.8503567999996</v>
      </c>
      <c r="G12" s="501">
        <f t="shared" si="0"/>
        <v>6441.1809417352006</v>
      </c>
      <c r="H12" s="501">
        <f t="shared" si="0"/>
        <v>8850.6161777603193</v>
      </c>
      <c r="I12" s="501">
        <f t="shared" si="0"/>
        <v>11332.334470866193</v>
      </c>
      <c r="J12" s="501">
        <f t="shared" si="0"/>
        <v>6666.1930254442423</v>
      </c>
      <c r="K12" s="501">
        <f t="shared" si="0"/>
        <v>9299.0479626002634</v>
      </c>
      <c r="L12" s="501">
        <f t="shared" si="0"/>
        <v>12010.888547870965</v>
      </c>
      <c r="M12" s="501">
        <f t="shared" si="0"/>
        <v>11801.130079382936</v>
      </c>
      <c r="N12" s="501">
        <f t="shared" si="0"/>
        <v>14678.121756296623</v>
      </c>
      <c r="O12" s="501">
        <f t="shared" si="0"/>
        <v>17641.42318351772</v>
      </c>
      <c r="P12" s="501">
        <f t="shared" si="0"/>
        <v>20693.623653555449</v>
      </c>
      <c r="Q12" s="501">
        <f t="shared" si="0"/>
        <v>-6492.4539892104513</v>
      </c>
      <c r="R12" s="501">
        <f t="shared" si="0"/>
        <v>-3254.3745105474227</v>
      </c>
      <c r="S12" s="501">
        <f t="shared" si="0"/>
        <v>80.847352475496791</v>
      </c>
      <c r="T12" s="501">
        <f t="shared" si="0"/>
        <v>-4536.1511096071372</v>
      </c>
      <c r="U12" s="501">
        <f t="shared" si="0"/>
        <v>-997.81423512612218</v>
      </c>
      <c r="V12" s="501">
        <f t="shared" si="0"/>
        <v>2646.6727455893229</v>
      </c>
      <c r="W12" s="501">
        <f t="shared" si="0"/>
        <v>-11595.598006519809</v>
      </c>
      <c r="X12" s="502">
        <f t="shared" si="0"/>
        <v>-7729.161768678794</v>
      </c>
    </row>
    <row r="13" spans="1:24">
      <c r="A13" s="807"/>
      <c r="B13" s="175"/>
      <c r="C13" s="175"/>
      <c r="D13" s="175"/>
      <c r="E13" s="175"/>
      <c r="F13" s="175"/>
      <c r="G13" s="175"/>
      <c r="H13" s="175"/>
      <c r="I13" s="175"/>
      <c r="J13" s="175"/>
      <c r="K13" s="175"/>
      <c r="L13" s="175"/>
      <c r="M13" s="175"/>
      <c r="N13" s="175"/>
      <c r="O13" s="175"/>
      <c r="P13" s="175"/>
      <c r="Q13" s="175"/>
      <c r="R13" s="175"/>
      <c r="S13" s="175"/>
      <c r="T13" s="175"/>
      <c r="U13" s="175"/>
      <c r="V13" s="175"/>
      <c r="W13" s="175"/>
      <c r="X13" s="580"/>
    </row>
    <row r="14" spans="1:24">
      <c r="A14" s="807"/>
      <c r="B14" s="175"/>
      <c r="C14" s="175"/>
      <c r="D14" s="175"/>
      <c r="E14" s="175"/>
      <c r="F14" s="175"/>
      <c r="G14" s="175"/>
      <c r="H14" s="175"/>
      <c r="I14" s="175"/>
      <c r="J14" s="175"/>
      <c r="K14" s="175"/>
      <c r="L14" s="175"/>
      <c r="M14" s="175"/>
      <c r="N14" s="175"/>
      <c r="O14" s="175"/>
      <c r="P14" s="175"/>
      <c r="Q14" s="175"/>
      <c r="R14" s="175"/>
      <c r="S14" s="175"/>
      <c r="T14" s="175"/>
      <c r="U14" s="175"/>
      <c r="V14" s="175"/>
      <c r="W14" s="175"/>
      <c r="X14" s="580"/>
    </row>
    <row r="15" spans="1:24">
      <c r="A15" s="547"/>
      <c r="B15" s="173" t="s">
        <v>383</v>
      </c>
      <c r="C15" s="175"/>
      <c r="D15" s="501">
        <f>Depreciation!$B$40</f>
        <v>159422.15400000001</v>
      </c>
      <c r="E15" s="501">
        <f>Depreciation!$B$40</f>
        <v>159422.15400000001</v>
      </c>
      <c r="F15" s="501">
        <f>Depreciation!$B$40</f>
        <v>159422.15400000001</v>
      </c>
      <c r="G15" s="501">
        <f>Depreciation!$B$40</f>
        <v>159422.15400000001</v>
      </c>
      <c r="H15" s="501">
        <f>Depreciation!$B$40</f>
        <v>159422.15400000001</v>
      </c>
      <c r="I15" s="501">
        <f>Depreciation!$B$40</f>
        <v>159422.15400000001</v>
      </c>
      <c r="J15" s="501">
        <f>Depreciation!$B$40</f>
        <v>159422.15400000001</v>
      </c>
      <c r="K15" s="501">
        <f>Depreciation!$B$40</f>
        <v>159422.15400000001</v>
      </c>
      <c r="L15" s="501">
        <f>Depreciation!$B$40</f>
        <v>159422.15400000001</v>
      </c>
      <c r="M15" s="501">
        <f>Depreciation!$B$40</f>
        <v>159422.15400000001</v>
      </c>
      <c r="N15" s="501">
        <f>Depreciation!$B$40</f>
        <v>159422.15400000001</v>
      </c>
      <c r="O15" s="501">
        <f>Depreciation!$B$40</f>
        <v>159422.15400000001</v>
      </c>
      <c r="P15" s="501">
        <f>Depreciation!$B$40</f>
        <v>159422.15400000001</v>
      </c>
      <c r="Q15" s="501">
        <f>Depreciation!$B$40</f>
        <v>159422.15400000001</v>
      </c>
      <c r="R15" s="501">
        <f>Depreciation!$B$40</f>
        <v>159422.15400000001</v>
      </c>
      <c r="S15" s="501">
        <f>Depreciation!$B$40</f>
        <v>159422.15400000001</v>
      </c>
      <c r="T15" s="501">
        <f>Depreciation!$B$40</f>
        <v>159422.15400000001</v>
      </c>
      <c r="U15" s="501">
        <f>Depreciation!$B$40</f>
        <v>159422.15400000001</v>
      </c>
      <c r="V15" s="501">
        <f>Depreciation!$B$40</f>
        <v>159422.15400000001</v>
      </c>
      <c r="W15" s="501">
        <f>Depreciation!$B$40</f>
        <v>159422.15400000001</v>
      </c>
      <c r="X15" s="502">
        <f>Depreciation!$B$40</f>
        <v>159422.15400000001</v>
      </c>
    </row>
    <row r="16" spans="1:24">
      <c r="A16" s="547"/>
      <c r="B16" s="173" t="s">
        <v>384</v>
      </c>
      <c r="C16" s="175"/>
      <c r="D16" s="808">
        <f>SUM(Depreciation!$D$40:D40)</f>
        <v>2958.4263041666673</v>
      </c>
      <c r="E16" s="808">
        <f>SUM(Depreciation!$D$40:E40)</f>
        <v>8030.0142541666683</v>
      </c>
      <c r="F16" s="808">
        <f>SUM(Depreciation!$D$40:F40)</f>
        <v>13101.602204166669</v>
      </c>
      <c r="G16" s="808">
        <f>SUM(Depreciation!$D$40:G40)</f>
        <v>18173.19015416667</v>
      </c>
      <c r="H16" s="808">
        <f>SUM(Depreciation!$D$40:H40)</f>
        <v>23244.778104166671</v>
      </c>
      <c r="I16" s="808">
        <f>SUM(Depreciation!$D$40:I40)</f>
        <v>28118.085337500004</v>
      </c>
      <c r="J16" s="808">
        <f>SUM(Depreciation!$D$40:J40)</f>
        <v>32849.763487500008</v>
      </c>
      <c r="K16" s="808">
        <f>SUM(Depreciation!$D$40:K40)</f>
        <v>37581.441637500007</v>
      </c>
      <c r="L16" s="808">
        <f>SUM(Depreciation!$D$40:L40)</f>
        <v>42313.119787500007</v>
      </c>
      <c r="M16" s="808">
        <f>SUM(Depreciation!$D$40:M40)</f>
        <v>47044.797937500007</v>
      </c>
      <c r="N16" s="808">
        <f>SUM(Depreciation!$D$40:N40)</f>
        <v>51776.476087500007</v>
      </c>
      <c r="O16" s="808">
        <f>SUM(Depreciation!$D$40:O40)</f>
        <v>56508.154237500006</v>
      </c>
      <c r="P16" s="808">
        <f>SUM(Depreciation!$D$40:P40)</f>
        <v>61239.832387500006</v>
      </c>
      <c r="Q16" s="808">
        <f>SUM(Depreciation!$D$40:Q40)</f>
        <v>65971.510537500013</v>
      </c>
      <c r="R16" s="808">
        <f>SUM(Depreciation!$D$40:R40)</f>
        <v>70703.18868750002</v>
      </c>
      <c r="S16" s="808">
        <f>SUM(Depreciation!$D$40:S40)</f>
        <v>75434.866837500027</v>
      </c>
      <c r="T16" s="808">
        <f>SUM(Depreciation!$D$40:T40)</f>
        <v>80166.544987500034</v>
      </c>
      <c r="U16" s="808">
        <f>SUM(Depreciation!$D$40:U40)</f>
        <v>84898.223137500041</v>
      </c>
      <c r="V16" s="808">
        <f>SUM(Depreciation!$D$40:V40)</f>
        <v>89629.901287500048</v>
      </c>
      <c r="W16" s="808">
        <f>SUM(Depreciation!$D$40:W40)</f>
        <v>94361.579437500055</v>
      </c>
      <c r="X16" s="809">
        <f>SUM(Depreciation!$D$40:X40)</f>
        <v>99093.257587500062</v>
      </c>
    </row>
    <row r="17" spans="1:24">
      <c r="A17" s="547"/>
      <c r="B17" s="173" t="s">
        <v>385</v>
      </c>
      <c r="C17" s="175"/>
      <c r="D17" s="501">
        <f>D15-D16</f>
        <v>156463.72769583334</v>
      </c>
      <c r="E17" s="501">
        <f t="shared" ref="E17:X17" si="1">E15-E16</f>
        <v>151392.13974583335</v>
      </c>
      <c r="F17" s="501">
        <f t="shared" si="1"/>
        <v>146320.55179583334</v>
      </c>
      <c r="G17" s="501">
        <f t="shared" si="1"/>
        <v>141248.96384583335</v>
      </c>
      <c r="H17" s="501">
        <f t="shared" si="1"/>
        <v>136177.37589583333</v>
      </c>
      <c r="I17" s="501">
        <f t="shared" si="1"/>
        <v>131304.06866250001</v>
      </c>
      <c r="J17" s="501">
        <f t="shared" si="1"/>
        <v>126572.3905125</v>
      </c>
      <c r="K17" s="501">
        <f t="shared" si="1"/>
        <v>121840.71236249999</v>
      </c>
      <c r="L17" s="501">
        <f t="shared" si="1"/>
        <v>117109.0342125</v>
      </c>
      <c r="M17" s="501">
        <f t="shared" si="1"/>
        <v>112377.35606250001</v>
      </c>
      <c r="N17" s="501">
        <f t="shared" si="1"/>
        <v>107645.6779125</v>
      </c>
      <c r="O17" s="501">
        <f t="shared" si="1"/>
        <v>102913.9997625</v>
      </c>
      <c r="P17" s="501">
        <f t="shared" si="1"/>
        <v>98182.321612500004</v>
      </c>
      <c r="Q17" s="501">
        <f t="shared" si="1"/>
        <v>93450.643462499997</v>
      </c>
      <c r="R17" s="501">
        <f t="shared" si="1"/>
        <v>88718.96531249999</v>
      </c>
      <c r="S17" s="501">
        <f t="shared" si="1"/>
        <v>83987.287162499983</v>
      </c>
      <c r="T17" s="501">
        <f t="shared" si="1"/>
        <v>79255.609012499976</v>
      </c>
      <c r="U17" s="501">
        <f t="shared" si="1"/>
        <v>74523.930862499968</v>
      </c>
      <c r="V17" s="501">
        <f t="shared" si="1"/>
        <v>69792.252712499961</v>
      </c>
      <c r="W17" s="501">
        <f t="shared" si="1"/>
        <v>65060.574562499954</v>
      </c>
      <c r="X17" s="502">
        <f t="shared" si="1"/>
        <v>60328.896412499947</v>
      </c>
    </row>
    <row r="18" spans="1:24">
      <c r="A18" s="547"/>
      <c r="B18" s="173" t="s">
        <v>386</v>
      </c>
      <c r="C18" s="175"/>
      <c r="D18" s="175">
        <f>'Project Assumtions'!$C$25</f>
        <v>1112.944</v>
      </c>
      <c r="E18" s="175">
        <f>'Project Assumtions'!$C$25</f>
        <v>1112.944</v>
      </c>
      <c r="F18" s="175">
        <f>'Project Assumtions'!$C$25</f>
        <v>1112.944</v>
      </c>
      <c r="G18" s="175">
        <f>'Project Assumtions'!$C$25</f>
        <v>1112.944</v>
      </c>
      <c r="H18" s="175">
        <f>'Project Assumtions'!$C$25</f>
        <v>1112.944</v>
      </c>
      <c r="I18" s="175">
        <f>'Project Assumtions'!$C$25</f>
        <v>1112.944</v>
      </c>
      <c r="J18" s="175">
        <f>'Project Assumtions'!$C$25</f>
        <v>1112.944</v>
      </c>
      <c r="K18" s="175">
        <f>'Project Assumtions'!$C$25</f>
        <v>1112.944</v>
      </c>
      <c r="L18" s="175">
        <f>'Project Assumtions'!$C$25</f>
        <v>1112.944</v>
      </c>
      <c r="M18" s="175">
        <f>'Project Assumtions'!$C$25</f>
        <v>1112.944</v>
      </c>
      <c r="N18" s="175">
        <f>'Project Assumtions'!$C$25</f>
        <v>1112.944</v>
      </c>
      <c r="O18" s="175">
        <f>'Project Assumtions'!$C$25</f>
        <v>1112.944</v>
      </c>
      <c r="P18" s="175">
        <f>'Project Assumtions'!$C$25</f>
        <v>1112.944</v>
      </c>
      <c r="Q18" s="175">
        <f>'Project Assumtions'!$C$25</f>
        <v>1112.944</v>
      </c>
      <c r="R18" s="175">
        <f>'Project Assumtions'!$C$25</f>
        <v>1112.944</v>
      </c>
      <c r="S18" s="175">
        <f>'Project Assumtions'!$C$25</f>
        <v>1112.944</v>
      </c>
      <c r="T18" s="175">
        <f>'Project Assumtions'!$C$25</f>
        <v>1112.944</v>
      </c>
      <c r="U18" s="175">
        <f>'Project Assumtions'!$C$25</f>
        <v>1112.944</v>
      </c>
      <c r="V18" s="175">
        <f>'Project Assumtions'!$C$25</f>
        <v>1112.944</v>
      </c>
      <c r="W18" s="175">
        <f>'Project Assumtions'!$C$25</f>
        <v>1112.944</v>
      </c>
      <c r="X18" s="580">
        <f>'Project Assumtions'!$C$25</f>
        <v>1112.944</v>
      </c>
    </row>
    <row r="19" spans="1:24">
      <c r="A19" s="547"/>
      <c r="B19" s="173" t="s">
        <v>387</v>
      </c>
      <c r="C19" s="175"/>
      <c r="D19" s="805">
        <v>0</v>
      </c>
      <c r="E19" s="805">
        <v>0</v>
      </c>
      <c r="F19" s="805">
        <v>0</v>
      </c>
      <c r="G19" s="805">
        <v>0</v>
      </c>
      <c r="H19" s="805">
        <v>0</v>
      </c>
      <c r="I19" s="805">
        <v>0</v>
      </c>
      <c r="J19" s="805">
        <v>0</v>
      </c>
      <c r="K19" s="805">
        <v>0</v>
      </c>
      <c r="L19" s="805">
        <v>0</v>
      </c>
      <c r="M19" s="805">
        <v>0</v>
      </c>
      <c r="N19" s="805">
        <v>0</v>
      </c>
      <c r="O19" s="805">
        <v>0</v>
      </c>
      <c r="P19" s="805">
        <v>0</v>
      </c>
      <c r="Q19" s="805">
        <v>0</v>
      </c>
      <c r="R19" s="805">
        <v>0</v>
      </c>
      <c r="S19" s="805">
        <v>0</v>
      </c>
      <c r="T19" s="805">
        <v>0</v>
      </c>
      <c r="U19" s="805">
        <v>0</v>
      </c>
      <c r="V19" s="805">
        <v>0</v>
      </c>
      <c r="W19" s="805">
        <v>0</v>
      </c>
      <c r="X19" s="806">
        <v>0</v>
      </c>
    </row>
    <row r="20" spans="1:24">
      <c r="A20" s="807"/>
      <c r="B20" s="175"/>
      <c r="C20" s="175"/>
      <c r="D20" s="175"/>
      <c r="E20" s="175"/>
      <c r="F20" s="175"/>
      <c r="G20" s="175"/>
      <c r="H20" s="175"/>
      <c r="I20" s="175"/>
      <c r="J20" s="175"/>
      <c r="K20" s="175"/>
      <c r="L20" s="175"/>
      <c r="M20" s="175"/>
      <c r="N20" s="175"/>
      <c r="O20" s="175"/>
      <c r="P20" s="175"/>
      <c r="Q20" s="175"/>
      <c r="R20" s="175"/>
      <c r="S20" s="175"/>
      <c r="T20" s="175"/>
      <c r="U20" s="175"/>
      <c r="V20" s="175"/>
      <c r="W20" s="175"/>
      <c r="X20" s="580"/>
    </row>
    <row r="21" spans="1:24">
      <c r="A21" s="810" t="s">
        <v>388</v>
      </c>
      <c r="B21" s="605"/>
      <c r="C21" s="605"/>
      <c r="D21" s="504">
        <f>D12+SUM(D17:D19)</f>
        <v>159717.42369583333</v>
      </c>
      <c r="E21" s="504">
        <f t="shared" ref="E21:X21" si="2">E12+SUM(E17:E19)</f>
        <v>156850.81030583335</v>
      </c>
      <c r="F21" s="504">
        <f t="shared" si="2"/>
        <v>154050.34615263331</v>
      </c>
      <c r="G21" s="504">
        <f t="shared" si="2"/>
        <v>148803.08878756853</v>
      </c>
      <c r="H21" s="504">
        <f t="shared" si="2"/>
        <v>146140.93607359365</v>
      </c>
      <c r="I21" s="504">
        <f t="shared" si="2"/>
        <v>143749.34713336619</v>
      </c>
      <c r="J21" s="504">
        <f t="shared" si="2"/>
        <v>134351.52753794426</v>
      </c>
      <c r="K21" s="504">
        <f t="shared" si="2"/>
        <v>132252.70432510026</v>
      </c>
      <c r="L21" s="504">
        <f t="shared" si="2"/>
        <v>130232.86676037098</v>
      </c>
      <c r="M21" s="504">
        <f t="shared" si="2"/>
        <v>125291.43014188294</v>
      </c>
      <c r="N21" s="504">
        <f t="shared" si="2"/>
        <v>123436.74366879663</v>
      </c>
      <c r="O21" s="504">
        <f t="shared" si="2"/>
        <v>121668.36694601772</v>
      </c>
      <c r="P21" s="504">
        <f t="shared" si="2"/>
        <v>119988.88926605546</v>
      </c>
      <c r="Q21" s="504">
        <f t="shared" si="2"/>
        <v>88071.133473289548</v>
      </c>
      <c r="R21" s="504">
        <f t="shared" si="2"/>
        <v>86577.53480195257</v>
      </c>
      <c r="S21" s="504">
        <f t="shared" si="2"/>
        <v>85181.078514975481</v>
      </c>
      <c r="T21" s="504">
        <f t="shared" si="2"/>
        <v>75832.401902892845</v>
      </c>
      <c r="U21" s="504">
        <f t="shared" si="2"/>
        <v>74639.060627373852</v>
      </c>
      <c r="V21" s="504">
        <f t="shared" si="2"/>
        <v>73551.869458089292</v>
      </c>
      <c r="W21" s="504">
        <f t="shared" si="2"/>
        <v>54577.920555980148</v>
      </c>
      <c r="X21" s="505">
        <f t="shared" si="2"/>
        <v>53712.678643821157</v>
      </c>
    </row>
    <row r="22" spans="1:24">
      <c r="A22" s="77"/>
    </row>
    <row r="23" spans="1:24">
      <c r="A23" s="811" t="s">
        <v>389</v>
      </c>
      <c r="B23" s="593"/>
      <c r="C23" s="593"/>
      <c r="D23" s="593"/>
      <c r="E23" s="593"/>
      <c r="F23" s="593"/>
      <c r="G23" s="593"/>
      <c r="H23" s="593"/>
      <c r="I23" s="593"/>
      <c r="J23" s="593"/>
      <c r="K23" s="593"/>
      <c r="L23" s="593"/>
      <c r="M23" s="593"/>
      <c r="N23" s="593"/>
      <c r="O23" s="593"/>
      <c r="P23" s="593"/>
      <c r="Q23" s="593"/>
      <c r="R23" s="593"/>
      <c r="S23" s="593"/>
      <c r="T23" s="593"/>
      <c r="U23" s="593"/>
      <c r="V23" s="593"/>
      <c r="W23" s="593"/>
      <c r="X23" s="523"/>
    </row>
    <row r="24" spans="1:24">
      <c r="A24" s="547"/>
      <c r="B24" s="173" t="s">
        <v>390</v>
      </c>
      <c r="C24" s="175"/>
      <c r="D24" s="812">
        <f>'Maintenance Reserves'!D13</f>
        <v>2140.752</v>
      </c>
      <c r="E24" s="812">
        <f>'Maintenance Reserves'!E13</f>
        <v>4345.7265600000001</v>
      </c>
      <c r="F24" s="812">
        <f>'Maintenance Reserves'!F13</f>
        <v>6616.8503567999996</v>
      </c>
      <c r="G24" s="812">
        <f>'Maintenance Reserves'!G13</f>
        <v>6441.1809417352006</v>
      </c>
      <c r="H24" s="812">
        <f>'Maintenance Reserves'!H13</f>
        <v>8850.6161777603193</v>
      </c>
      <c r="I24" s="812">
        <f>'Maintenance Reserves'!I13</f>
        <v>11332.334470866193</v>
      </c>
      <c r="J24" s="812">
        <f>'Maintenance Reserves'!J13</f>
        <v>6666.1930254442423</v>
      </c>
      <c r="K24" s="812">
        <f>'Maintenance Reserves'!K13</f>
        <v>9299.0479626002634</v>
      </c>
      <c r="L24" s="812">
        <f>'Maintenance Reserves'!L13</f>
        <v>12010.888547870965</v>
      </c>
      <c r="M24" s="812">
        <f>'Maintenance Reserves'!M13</f>
        <v>11801.130079382936</v>
      </c>
      <c r="N24" s="812">
        <f>'Maintenance Reserves'!N13</f>
        <v>14678.121756296623</v>
      </c>
      <c r="O24" s="812">
        <f>'Maintenance Reserves'!O13</f>
        <v>17641.42318351772</v>
      </c>
      <c r="P24" s="812">
        <f>'Maintenance Reserves'!P13</f>
        <v>20693.623653555449</v>
      </c>
      <c r="Q24" s="812">
        <f>'Maintenance Reserves'!Q13</f>
        <v>-6492.4539892104513</v>
      </c>
      <c r="R24" s="812">
        <f>'Maintenance Reserves'!R13</f>
        <v>-3254.3745105474227</v>
      </c>
      <c r="S24" s="812">
        <f>'Maintenance Reserves'!S13</f>
        <v>80.847352475496791</v>
      </c>
      <c r="T24" s="812">
        <f>'Maintenance Reserves'!T13</f>
        <v>-4536.1511096071372</v>
      </c>
      <c r="U24" s="812">
        <f>'Maintenance Reserves'!U13</f>
        <v>-997.81423512612218</v>
      </c>
      <c r="V24" s="812">
        <f>'Maintenance Reserves'!V13</f>
        <v>2646.6727455893229</v>
      </c>
      <c r="W24" s="812">
        <f>'Maintenance Reserves'!W13</f>
        <v>-11595.598006519809</v>
      </c>
      <c r="X24" s="813">
        <f>'Maintenance Reserves'!X13</f>
        <v>-7729.161768678794</v>
      </c>
    </row>
    <row r="25" spans="1:24">
      <c r="A25" s="547"/>
      <c r="B25" s="173" t="s">
        <v>391</v>
      </c>
      <c r="C25" s="175"/>
      <c r="D25" s="175"/>
      <c r="E25" s="175"/>
      <c r="F25" s="175"/>
      <c r="G25" s="175"/>
      <c r="H25" s="175"/>
      <c r="I25" s="175"/>
      <c r="J25" s="175"/>
      <c r="K25" s="175"/>
      <c r="L25" s="175"/>
      <c r="M25" s="175"/>
      <c r="N25" s="175"/>
      <c r="O25" s="175"/>
      <c r="P25" s="175"/>
      <c r="Q25" s="175"/>
      <c r="R25" s="175"/>
      <c r="S25" s="175"/>
      <c r="T25" s="175"/>
      <c r="U25" s="175"/>
      <c r="V25" s="175"/>
      <c r="W25" s="175"/>
      <c r="X25" s="580"/>
    </row>
    <row r="26" spans="1:24">
      <c r="A26" s="547"/>
      <c r="B26" s="173" t="s">
        <v>392</v>
      </c>
      <c r="C26" s="175"/>
      <c r="D26" s="501">
        <f>'Tax Calculations'!D64</f>
        <v>-39.618256051874255</v>
      </c>
      <c r="E26" s="501">
        <f>'Tax Calculations'!E64</f>
        <v>2095.5171885550021</v>
      </c>
      <c r="F26" s="501">
        <f>'Tax Calculations'!F64</f>
        <v>4526.3347322631762</v>
      </c>
      <c r="G26" s="501">
        <f>'Tax Calculations'!G64</f>
        <v>9843.7912940066708</v>
      </c>
      <c r="H26" s="501">
        <f>'Tax Calculations'!H64</f>
        <v>14535.427774290569</v>
      </c>
      <c r="I26" s="501">
        <f>'Tax Calculations'!I64</f>
        <v>16513.32441097017</v>
      </c>
      <c r="J26" s="501">
        <f>'Tax Calculations'!J64</f>
        <v>18334.237444425456</v>
      </c>
      <c r="K26" s="501">
        <f>'Tax Calculations'!K64</f>
        <v>20183.023907614875</v>
      </c>
      <c r="L26" s="501">
        <f>'Tax Calculations'!L64</f>
        <v>21986.17424540862</v>
      </c>
      <c r="M26" s="501">
        <f>'Tax Calculations'!M64</f>
        <v>23719.681765921992</v>
      </c>
      <c r="N26" s="501">
        <f>'Tax Calculations'!N64</f>
        <v>25449.042879002795</v>
      </c>
      <c r="O26" s="501">
        <f>'Tax Calculations'!O64</f>
        <v>27355.934094869037</v>
      </c>
      <c r="P26" s="501">
        <f>'Tax Calculations'!P64</f>
        <v>29090.606735310284</v>
      </c>
      <c r="Q26" s="501">
        <f>'Tax Calculations'!Q64</f>
        <v>30831.261005546159</v>
      </c>
      <c r="R26" s="501">
        <f>'Tax Calculations'!R64</f>
        <v>32565.93364598741</v>
      </c>
      <c r="S26" s="501">
        <f>'Tax Calculations'!S64</f>
        <v>32536.025497014285</v>
      </c>
      <c r="T26" s="501">
        <f>'Tax Calculations'!T64</f>
        <v>30741.536558626784</v>
      </c>
      <c r="U26" s="501">
        <f>'Tax Calculations'!U64</f>
        <v>28947.047620239282</v>
      </c>
      <c r="V26" s="501">
        <f>'Tax Calculations'!V64</f>
        <v>27152.55868185178</v>
      </c>
      <c r="W26" s="501">
        <f>'Tax Calculations'!W64</f>
        <v>25358.069743464279</v>
      </c>
      <c r="X26" s="502">
        <f>'Tax Calculations'!X64</f>
        <v>23964.104934246221</v>
      </c>
    </row>
    <row r="27" spans="1:24">
      <c r="A27" s="547"/>
      <c r="B27" s="173" t="s">
        <v>393</v>
      </c>
      <c r="C27" s="175"/>
      <c r="D27" s="175"/>
      <c r="E27" s="175"/>
      <c r="F27" s="175"/>
      <c r="G27" s="175"/>
      <c r="H27" s="175"/>
      <c r="I27" s="175"/>
      <c r="J27" s="175"/>
      <c r="K27" s="175"/>
      <c r="L27" s="175"/>
      <c r="M27" s="175"/>
      <c r="N27" s="175"/>
      <c r="O27" s="175"/>
      <c r="P27" s="175"/>
      <c r="Q27" s="175"/>
      <c r="R27" s="175"/>
      <c r="S27" s="175"/>
      <c r="T27" s="175"/>
      <c r="U27" s="175"/>
      <c r="V27" s="175"/>
      <c r="W27" s="175"/>
      <c r="X27" s="580"/>
    </row>
    <row r="28" spans="1:24">
      <c r="A28" s="547"/>
      <c r="B28" s="173" t="s">
        <v>394</v>
      </c>
      <c r="C28" s="175"/>
      <c r="D28" s="501">
        <f>'Debt Amortization'!E55</f>
        <v>115763.38991999999</v>
      </c>
      <c r="E28" s="501">
        <f>'Debt Amortization'!F55</f>
        <v>110939.91534000001</v>
      </c>
      <c r="F28" s="501">
        <f>'Debt Amortization'!G55</f>
        <v>104307.6377925</v>
      </c>
      <c r="G28" s="501">
        <f>'Debt Amortization'!H55</f>
        <v>95866.557277499989</v>
      </c>
      <c r="H28" s="501">
        <f>'Debt Amortization'!I55</f>
        <v>90946.613205899994</v>
      </c>
      <c r="I28" s="501">
        <f>'Debt Amortization'!J55</f>
        <v>86026.669134299998</v>
      </c>
      <c r="J28" s="501">
        <f>'Debt Amortization'!K55</f>
        <v>80455.555994399998</v>
      </c>
      <c r="K28" s="501">
        <f>'Debt Amortization'!L55</f>
        <v>74884.442854499997</v>
      </c>
      <c r="L28" s="501">
        <f>'Debt Amortization'!M55</f>
        <v>65695.723779599997</v>
      </c>
      <c r="M28" s="501">
        <f>'Debt Amortization'!N55</f>
        <v>54047.032668899992</v>
      </c>
      <c r="N28" s="501">
        <f>'Debt Amortization'!O55</f>
        <v>51442.356395699993</v>
      </c>
      <c r="O28" s="501">
        <f>'Debt Amortization'!P55</f>
        <v>48186.511054199989</v>
      </c>
      <c r="P28" s="501">
        <f>'Debt Amortization'!Q55</f>
        <v>44930.665712699993</v>
      </c>
      <c r="Q28" s="501">
        <f>'Debt Amortization'!R55</f>
        <v>41674.820371199996</v>
      </c>
      <c r="R28" s="501">
        <f>'Debt Amortization'!S55</f>
        <v>38418.975029699999</v>
      </c>
      <c r="S28" s="501">
        <f>'Debt Amortization'!T55</f>
        <v>35163.129688200002</v>
      </c>
      <c r="T28" s="501">
        <f>'Debt Amortization'!U55</f>
        <v>28651.439005200002</v>
      </c>
      <c r="U28" s="501">
        <f>'Debt Amortization'!V55</f>
        <v>20837.410185600002</v>
      </c>
      <c r="V28" s="501">
        <f>'Debt Amortization'!W55</f>
        <v>11069.874161100002</v>
      </c>
      <c r="W28" s="501">
        <f>'Debt Amortization'!X55</f>
        <v>0</v>
      </c>
      <c r="X28" s="502">
        <f>'Debt Amortization'!Y55</f>
        <v>0</v>
      </c>
    </row>
    <row r="29" spans="1:24">
      <c r="A29" s="547"/>
      <c r="B29" s="173" t="s">
        <v>395</v>
      </c>
      <c r="C29" s="175"/>
      <c r="D29" s="805">
        <v>0</v>
      </c>
      <c r="E29" s="805">
        <v>0</v>
      </c>
      <c r="F29" s="805">
        <v>0</v>
      </c>
      <c r="G29" s="805">
        <v>0</v>
      </c>
      <c r="H29" s="805">
        <v>0</v>
      </c>
      <c r="I29" s="805">
        <v>0</v>
      </c>
      <c r="J29" s="805">
        <v>0</v>
      </c>
      <c r="K29" s="805">
        <v>0</v>
      </c>
      <c r="L29" s="805">
        <v>0</v>
      </c>
      <c r="M29" s="805">
        <v>0</v>
      </c>
      <c r="N29" s="805">
        <v>0</v>
      </c>
      <c r="O29" s="805">
        <v>0</v>
      </c>
      <c r="P29" s="805">
        <v>0</v>
      </c>
      <c r="Q29" s="805">
        <v>0</v>
      </c>
      <c r="R29" s="805">
        <v>0</v>
      </c>
      <c r="S29" s="805">
        <v>0</v>
      </c>
      <c r="T29" s="805">
        <v>0</v>
      </c>
      <c r="U29" s="805">
        <v>0</v>
      </c>
      <c r="V29" s="805">
        <v>0</v>
      </c>
      <c r="W29" s="805">
        <v>0</v>
      </c>
      <c r="X29" s="806">
        <v>0</v>
      </c>
    </row>
    <row r="30" spans="1:24">
      <c r="A30" s="814" t="s">
        <v>396</v>
      </c>
      <c r="B30" s="175"/>
      <c r="C30" s="175"/>
      <c r="D30" s="501">
        <f>SUM(D24:D29)</f>
        <v>117864.52366394812</v>
      </c>
      <c r="E30" s="501">
        <f t="shared" ref="E30:X30" si="3">SUM(E24:E29)</f>
        <v>117381.15908855501</v>
      </c>
      <c r="F30" s="501">
        <f t="shared" si="3"/>
        <v>115450.82288156317</v>
      </c>
      <c r="G30" s="501">
        <f t="shared" si="3"/>
        <v>112151.52951324187</v>
      </c>
      <c r="H30" s="501">
        <f t="shared" si="3"/>
        <v>114332.65715795089</v>
      </c>
      <c r="I30" s="501">
        <f t="shared" si="3"/>
        <v>113872.32801613637</v>
      </c>
      <c r="J30" s="501">
        <f t="shared" si="3"/>
        <v>105455.98646426969</v>
      </c>
      <c r="K30" s="501">
        <f t="shared" si="3"/>
        <v>104366.51472471513</v>
      </c>
      <c r="L30" s="501">
        <f t="shared" si="3"/>
        <v>99692.786572879588</v>
      </c>
      <c r="M30" s="501">
        <f t="shared" si="3"/>
        <v>89567.844514204917</v>
      </c>
      <c r="N30" s="501">
        <f t="shared" si="3"/>
        <v>91569.5210309994</v>
      </c>
      <c r="O30" s="501">
        <f t="shared" si="3"/>
        <v>93183.868332586746</v>
      </c>
      <c r="P30" s="501">
        <f t="shared" si="3"/>
        <v>94714.896101565726</v>
      </c>
      <c r="Q30" s="501">
        <f t="shared" si="3"/>
        <v>66013.6273875357</v>
      </c>
      <c r="R30" s="501">
        <f t="shared" si="3"/>
        <v>67730.534165139979</v>
      </c>
      <c r="S30" s="501">
        <f t="shared" si="3"/>
        <v>67780.002537689783</v>
      </c>
      <c r="T30" s="501">
        <f t="shared" si="3"/>
        <v>54856.824454219648</v>
      </c>
      <c r="U30" s="501">
        <f t="shared" si="3"/>
        <v>48786.64357071316</v>
      </c>
      <c r="V30" s="501">
        <f t="shared" si="3"/>
        <v>40869.105588541104</v>
      </c>
      <c r="W30" s="501">
        <f t="shared" si="3"/>
        <v>13762.47173694447</v>
      </c>
      <c r="X30" s="502">
        <f t="shared" si="3"/>
        <v>16234.943165567427</v>
      </c>
    </row>
    <row r="31" spans="1:24">
      <c r="A31" s="807"/>
      <c r="B31" s="175"/>
      <c r="C31" s="175"/>
      <c r="D31" s="175"/>
      <c r="E31" s="175"/>
      <c r="F31" s="175"/>
      <c r="G31" s="175"/>
      <c r="H31" s="175"/>
      <c r="I31" s="175"/>
      <c r="J31" s="175"/>
      <c r="K31" s="175"/>
      <c r="L31" s="175"/>
      <c r="M31" s="175"/>
      <c r="N31" s="175"/>
      <c r="O31" s="175"/>
      <c r="P31" s="175"/>
      <c r="Q31" s="175"/>
      <c r="R31" s="175"/>
      <c r="S31" s="175"/>
      <c r="T31" s="175"/>
      <c r="U31" s="175"/>
      <c r="V31" s="175"/>
      <c r="W31" s="175"/>
      <c r="X31" s="580"/>
    </row>
    <row r="32" spans="1:24">
      <c r="A32" s="802" t="s">
        <v>397</v>
      </c>
      <c r="B32" s="175"/>
      <c r="C32" s="175"/>
      <c r="D32" s="175"/>
      <c r="E32" s="175"/>
      <c r="F32" s="175"/>
      <c r="G32" s="175"/>
      <c r="H32" s="175"/>
      <c r="I32" s="175"/>
      <c r="J32" s="175"/>
      <c r="K32" s="175"/>
      <c r="L32" s="175"/>
      <c r="M32" s="175"/>
      <c r="N32" s="175"/>
      <c r="O32" s="175"/>
      <c r="P32" s="175"/>
      <c r="Q32" s="175"/>
      <c r="R32" s="175"/>
      <c r="S32" s="175"/>
      <c r="T32" s="175"/>
      <c r="U32" s="175"/>
      <c r="V32" s="175"/>
      <c r="W32" s="175"/>
      <c r="X32" s="580"/>
    </row>
    <row r="33" spans="1:24">
      <c r="A33" s="547"/>
      <c r="B33" s="79" t="s">
        <v>398</v>
      </c>
      <c r="C33" s="175"/>
      <c r="D33" s="501">
        <f ca="1">'Project Assumtions'!$C$8-SUM('Book Income Statement'!$D$66:'Book Income Statement'!D66)</f>
        <v>39948.233500000009</v>
      </c>
      <c r="E33" s="501">
        <f ca="1">'Project Assumtions'!$C$8-SUM('Book Income Statement'!$D$66:'Book Income Statement'!E66)</f>
        <v>39948.233500000009</v>
      </c>
      <c r="F33" s="501">
        <f ca="1">'Project Assumtions'!$C$8-SUM('Book Income Statement'!$D$66:'Book Income Statement'!F66)</f>
        <v>39948.233500000009</v>
      </c>
      <c r="G33" s="501">
        <f ca="1">'Project Assumtions'!$C$8-SUM('Book Income Statement'!$D$66:'Book Income Statement'!G66)</f>
        <v>39948.233500000009</v>
      </c>
      <c r="H33" s="501">
        <f ca="1">'Project Assumtions'!$C$8-SUM('Book Income Statement'!$D$66:'Book Income Statement'!H66)</f>
        <v>39948.233500000009</v>
      </c>
      <c r="I33" s="501">
        <f ca="1">'Project Assumtions'!$C$8-SUM('Book Income Statement'!$D$66:'Book Income Statement'!I66)</f>
        <v>39948.233500000009</v>
      </c>
      <c r="J33" s="501">
        <f ca="1">'Project Assumtions'!$C$8-SUM('Book Income Statement'!$D$66:'Book Income Statement'!J66)</f>
        <v>39948.233500000009</v>
      </c>
      <c r="K33" s="501">
        <f ca="1">'Project Assumtions'!$C$8-SUM('Book Income Statement'!$D$66:'Book Income Statement'!K66)</f>
        <v>39948.233500000009</v>
      </c>
      <c r="L33" s="501">
        <f ca="1">'Project Assumtions'!$C$8-SUM('Book Income Statement'!$D$66:'Book Income Statement'!L66)</f>
        <v>39948.233500000009</v>
      </c>
      <c r="M33" s="501">
        <f ca="1">'Project Assumtions'!$C$8-SUM('Book Income Statement'!$D$66:'Book Income Statement'!M66)</f>
        <v>39948.233500000009</v>
      </c>
      <c r="N33" s="501">
        <f ca="1">'Project Assumtions'!$C$8-SUM('Book Income Statement'!$D$66:'Book Income Statement'!N66)</f>
        <v>39948.233500000009</v>
      </c>
      <c r="O33" s="501">
        <f ca="1">'Project Assumtions'!$C$8-SUM('Book Income Statement'!$D$66:'Book Income Statement'!O66)</f>
        <v>39948.233500000009</v>
      </c>
      <c r="P33" s="501">
        <f ca="1">'Project Assumtions'!$C$8-SUM('Book Income Statement'!$D$66:'Book Income Statement'!P66)</f>
        <v>39948.233500000009</v>
      </c>
      <c r="Q33" s="501">
        <f ca="1">'Project Assumtions'!$C$8-SUM('Book Income Statement'!$D$66:'Book Income Statement'!Q66)</f>
        <v>39948.233500000009</v>
      </c>
      <c r="R33" s="501">
        <f ca="1">'Project Assumtions'!$C$8-SUM('Book Income Statement'!$D$66:'Book Income Statement'!R66)</f>
        <v>39948.233500000009</v>
      </c>
      <c r="S33" s="501">
        <f ca="1">'Project Assumtions'!$C$8-SUM('Book Income Statement'!$D$66:'Book Income Statement'!S66)</f>
        <v>39948.233500000009</v>
      </c>
      <c r="T33" s="501">
        <f ca="1">'Project Assumtions'!$C$8-SUM('Book Income Statement'!$D$66:'Book Income Statement'!T66)</f>
        <v>39948.233500000009</v>
      </c>
      <c r="U33" s="501">
        <f ca="1">'Project Assumtions'!$C$8-SUM('Book Income Statement'!$D$66:'Book Income Statement'!U66)</f>
        <v>39948.233500000009</v>
      </c>
      <c r="V33" s="501">
        <f ca="1">'Project Assumtions'!$C$8-SUM('Book Income Statement'!$D$66:'Book Income Statement'!V66)</f>
        <v>39948.233500000009</v>
      </c>
      <c r="W33" s="501">
        <f ca="1">'Project Assumtions'!$C$8-SUM('Book Income Statement'!$D$66:'Book Income Statement'!W66)</f>
        <v>39948.233500000009</v>
      </c>
      <c r="X33" s="501">
        <f ca="1">'Project Assumtions'!$C$8-SUM('Book Income Statement'!$D$66:'Book Income Statement'!X66)</f>
        <v>39948.233500000009</v>
      </c>
    </row>
    <row r="34" spans="1:24">
      <c r="A34" s="547"/>
      <c r="B34" s="79" t="s">
        <v>399</v>
      </c>
      <c r="C34" s="175"/>
      <c r="D34" s="716">
        <f>'Book Income Statement'!D81-'Cash Flow Statement'!D36</f>
        <v>1904.6665318852074</v>
      </c>
      <c r="E34" s="716">
        <f>'Book Income Statement'!E81-'Cash Flow Statement'!E36+D34</f>
        <v>-478.58228272167253</v>
      </c>
      <c r="F34" s="716">
        <f>'Book Income Statement'!F81-'Cash Flow Statement'!F36+E34</f>
        <v>-1348.7102289298487</v>
      </c>
      <c r="G34" s="716">
        <f>'Book Income Statement'!G81-'Cash Flow Statement'!G36+F34</f>
        <v>-3296.6742256733428</v>
      </c>
      <c r="H34" s="716">
        <f>'Book Income Statement'!H81-'Cash Flow Statement'!H36+G34</f>
        <v>-8139.9545843572469</v>
      </c>
      <c r="I34" s="716">
        <f>'Book Income Statement'!I81-'Cash Flow Statement'!I36+H34</f>
        <v>-10071.214382770177</v>
      </c>
      <c r="J34" s="716">
        <f>'Book Income Statement'!J81-'Cash Flow Statement'!J36+I34</f>
        <v>-11052.692426325459</v>
      </c>
      <c r="K34" s="716">
        <f>'Book Income Statement'!K81-'Cash Flow Statement'!K36+J34</f>
        <v>-12062.043899614884</v>
      </c>
      <c r="L34" s="716">
        <f>'Book Income Statement'!L81-'Cash Flow Statement'!L36+K34</f>
        <v>-9408.153312508628</v>
      </c>
      <c r="M34" s="716">
        <f>'Book Income Statement'!M81-'Cash Flow Statement'!M36+L34</f>
        <v>-4224.6478723220025</v>
      </c>
      <c r="N34" s="716">
        <f>'Book Income Statement'!N81-'Cash Flow Statement'!N36+M34</f>
        <v>-8081.0108622028056</v>
      </c>
      <c r="O34" s="716">
        <f>'Book Income Statement'!O81-'Cash Flow Statement'!O36+N34</f>
        <v>-11463.734886569044</v>
      </c>
      <c r="P34" s="716">
        <f>'Book Income Statement'!P81-'Cash Flow Statement'!P36+O34</f>
        <v>-14674.240335510294</v>
      </c>
      <c r="Q34" s="716">
        <f>'Book Income Statement'!Q81-'Cash Flow Statement'!Q36+P34</f>
        <v>-17890.727414246172</v>
      </c>
      <c r="R34" s="716">
        <f>'Book Income Statement'!R81-'Cash Flow Statement'!R36+Q34</f>
        <v>-21101.232863187415</v>
      </c>
      <c r="S34" s="716">
        <f>'Book Income Statement'!S81-'Cash Flow Statement'!S36+R34</f>
        <v>-22547.157522714293</v>
      </c>
      <c r="T34" s="716">
        <f>'Book Income Statement'!T81-'Cash Flow Statement'!T36+S34</f>
        <v>-18972.656051326794</v>
      </c>
      <c r="U34" s="716">
        <f>'Book Income Statement'!U81-'Cash Flow Statement'!U36+T34</f>
        <v>-14095.816443339294</v>
      </c>
      <c r="V34" s="716">
        <f>'Book Income Statement'!V81-'Cash Flow Statement'!V36+U34</f>
        <v>-7265.4696304517947</v>
      </c>
      <c r="W34" s="716">
        <f>'Book Income Statement'!W81-'Cash Flow Statement'!W36+V34</f>
        <v>867.21531903570758</v>
      </c>
      <c r="X34" s="815">
        <f>'Book Income Statement'!X81-'Cash Flow Statement'!X36+W34</f>
        <v>-2470.4980217462362</v>
      </c>
    </row>
    <row r="35" spans="1:24">
      <c r="A35" s="547"/>
      <c r="B35" s="79" t="s">
        <v>400</v>
      </c>
      <c r="C35" s="175"/>
      <c r="D35" s="808">
        <f t="shared" ref="D35:X35" ca="1" si="4">SUM(D33:D34)</f>
        <v>41852.90003188522</v>
      </c>
      <c r="E35" s="808">
        <f t="shared" ca="1" si="4"/>
        <v>39469.65121727834</v>
      </c>
      <c r="F35" s="808">
        <f t="shared" ca="1" si="4"/>
        <v>38599.52327107016</v>
      </c>
      <c r="G35" s="808">
        <f t="shared" ca="1" si="4"/>
        <v>36651.559274326668</v>
      </c>
      <c r="H35" s="808">
        <f t="shared" ca="1" si="4"/>
        <v>31808.278915642761</v>
      </c>
      <c r="I35" s="808">
        <f t="shared" ca="1" si="4"/>
        <v>29877.019117229833</v>
      </c>
      <c r="J35" s="808">
        <f t="shared" ca="1" si="4"/>
        <v>28895.541073674551</v>
      </c>
      <c r="K35" s="808">
        <f t="shared" ca="1" si="4"/>
        <v>27886.189600385125</v>
      </c>
      <c r="L35" s="808">
        <f t="shared" ca="1" si="4"/>
        <v>30540.080187491381</v>
      </c>
      <c r="M35" s="808">
        <f t="shared" ca="1" si="4"/>
        <v>35723.58562767801</v>
      </c>
      <c r="N35" s="808">
        <f t="shared" ca="1" si="4"/>
        <v>31867.222637797204</v>
      </c>
      <c r="O35" s="808">
        <f t="shared" ca="1" si="4"/>
        <v>28484.498613430966</v>
      </c>
      <c r="P35" s="808">
        <f t="shared" ca="1" si="4"/>
        <v>25273.993164489715</v>
      </c>
      <c r="Q35" s="808">
        <f t="shared" ca="1" si="4"/>
        <v>22057.506085753837</v>
      </c>
      <c r="R35" s="808">
        <f t="shared" ca="1" si="4"/>
        <v>18847.000636812594</v>
      </c>
      <c r="S35" s="808">
        <f t="shared" ca="1" si="4"/>
        <v>17401.075977285716</v>
      </c>
      <c r="T35" s="808">
        <f t="shared" ca="1" si="4"/>
        <v>20975.577448673215</v>
      </c>
      <c r="U35" s="808">
        <f t="shared" ca="1" si="4"/>
        <v>25852.417056660714</v>
      </c>
      <c r="V35" s="808">
        <f t="shared" ca="1" si="4"/>
        <v>32682.763869548216</v>
      </c>
      <c r="W35" s="808">
        <f t="shared" ca="1" si="4"/>
        <v>40815.448819035715</v>
      </c>
      <c r="X35" s="809">
        <f t="shared" ca="1" si="4"/>
        <v>37477.735478253773</v>
      </c>
    </row>
    <row r="36" spans="1:24">
      <c r="A36" s="814" t="s">
        <v>401</v>
      </c>
      <c r="B36" s="175"/>
      <c r="C36" s="175"/>
      <c r="D36" s="501">
        <f t="shared" ref="D36:X36" ca="1" si="5">D30+D35</f>
        <v>159717.42369583333</v>
      </c>
      <c r="E36" s="501">
        <f t="shared" ca="1" si="5"/>
        <v>156850.81030583335</v>
      </c>
      <c r="F36" s="501">
        <f t="shared" ca="1" si="5"/>
        <v>154050.34615263334</v>
      </c>
      <c r="G36" s="501">
        <f t="shared" ca="1" si="5"/>
        <v>148803.08878756853</v>
      </c>
      <c r="H36" s="501">
        <f t="shared" ca="1" si="5"/>
        <v>146140.93607359365</v>
      </c>
      <c r="I36" s="501">
        <f t="shared" ca="1" si="5"/>
        <v>143749.34713336619</v>
      </c>
      <c r="J36" s="501">
        <f t="shared" ca="1" si="5"/>
        <v>134351.52753794423</v>
      </c>
      <c r="K36" s="501">
        <f t="shared" ca="1" si="5"/>
        <v>132252.70432510026</v>
      </c>
      <c r="L36" s="501">
        <f t="shared" ca="1" si="5"/>
        <v>130232.86676037096</v>
      </c>
      <c r="M36" s="501">
        <f t="shared" ca="1" si="5"/>
        <v>125291.43014188293</v>
      </c>
      <c r="N36" s="501">
        <f t="shared" ca="1" si="5"/>
        <v>123436.74366879661</v>
      </c>
      <c r="O36" s="501">
        <f t="shared" ca="1" si="5"/>
        <v>121668.36694601772</v>
      </c>
      <c r="P36" s="501">
        <f t="shared" ca="1" si="5"/>
        <v>119988.88926605544</v>
      </c>
      <c r="Q36" s="501">
        <f t="shared" ca="1" si="5"/>
        <v>88071.133473289534</v>
      </c>
      <c r="R36" s="501">
        <f t="shared" ca="1" si="5"/>
        <v>86577.53480195257</v>
      </c>
      <c r="S36" s="501">
        <f t="shared" ca="1" si="5"/>
        <v>85181.078514975496</v>
      </c>
      <c r="T36" s="501">
        <f t="shared" ca="1" si="5"/>
        <v>75832.40190289286</v>
      </c>
      <c r="U36" s="501">
        <f t="shared" ca="1" si="5"/>
        <v>74639.060627373867</v>
      </c>
      <c r="V36" s="501">
        <f t="shared" ca="1" si="5"/>
        <v>73551.869458089321</v>
      </c>
      <c r="W36" s="501">
        <f t="shared" ca="1" si="5"/>
        <v>54577.920555980185</v>
      </c>
      <c r="X36" s="502">
        <f t="shared" ca="1" si="5"/>
        <v>53712.6786438212</v>
      </c>
    </row>
    <row r="37" spans="1:24">
      <c r="A37" s="807"/>
      <c r="B37" s="175"/>
      <c r="C37" s="175"/>
      <c r="D37" s="175"/>
      <c r="E37" s="175"/>
      <c r="F37" s="175"/>
      <c r="G37" s="175"/>
      <c r="H37" s="175"/>
      <c r="I37" s="175"/>
      <c r="J37" s="175"/>
      <c r="K37" s="175"/>
      <c r="L37" s="175"/>
      <c r="M37" s="175"/>
      <c r="N37" s="175"/>
      <c r="O37" s="175"/>
      <c r="P37" s="175"/>
      <c r="Q37" s="175"/>
      <c r="R37" s="175"/>
      <c r="S37" s="175"/>
      <c r="T37" s="175"/>
      <c r="U37" s="175"/>
      <c r="V37" s="175"/>
      <c r="W37" s="175"/>
      <c r="X37" s="580"/>
    </row>
    <row r="38" spans="1:24">
      <c r="A38" s="816" t="s">
        <v>402</v>
      </c>
      <c r="B38" s="81"/>
      <c r="C38" s="81"/>
      <c r="D38" s="82">
        <f t="shared" ref="D38:X38" ca="1" si="6">IF(D3&gt;ProjectLife+1,0,D21-D36)</f>
        <v>0</v>
      </c>
      <c r="E38" s="82">
        <f t="shared" ca="1" si="6"/>
        <v>0</v>
      </c>
      <c r="F38" s="82">
        <f t="shared" ca="1" si="6"/>
        <v>-2.9103830456733704E-11</v>
      </c>
      <c r="G38" s="82">
        <f t="shared" ca="1" si="6"/>
        <v>0</v>
      </c>
      <c r="H38" s="82">
        <f t="shared" ca="1" si="6"/>
        <v>0</v>
      </c>
      <c r="I38" s="82">
        <f t="shared" ca="1" si="6"/>
        <v>0</v>
      </c>
      <c r="J38" s="82">
        <f t="shared" ca="1" si="6"/>
        <v>2.9103830456733704E-11</v>
      </c>
      <c r="K38" s="82">
        <f t="shared" ca="1" si="6"/>
        <v>0</v>
      </c>
      <c r="L38" s="82">
        <f t="shared" ca="1" si="6"/>
        <v>1.4551915228366852E-11</v>
      </c>
      <c r="M38" s="82">
        <f t="shared" ca="1" si="6"/>
        <v>1.4551915228366852E-11</v>
      </c>
      <c r="N38" s="82">
        <f t="shared" ca="1" si="6"/>
        <v>1.4551915228366852E-11</v>
      </c>
      <c r="O38" s="82">
        <f t="shared" ca="1" si="6"/>
        <v>0</v>
      </c>
      <c r="P38" s="82">
        <f t="shared" ca="1" si="6"/>
        <v>1.4551915228366852E-11</v>
      </c>
      <c r="Q38" s="82">
        <f t="shared" ca="1" si="6"/>
        <v>1.4551915228366852E-11</v>
      </c>
      <c r="R38" s="82">
        <f t="shared" ca="1" si="6"/>
        <v>0</v>
      </c>
      <c r="S38" s="82">
        <f t="shared" ca="1" si="6"/>
        <v>-1.4551915228366852E-11</v>
      </c>
      <c r="T38" s="82">
        <f t="shared" ca="1" si="6"/>
        <v>-1.4551915228366852E-11</v>
      </c>
      <c r="U38" s="82">
        <f t="shared" ca="1" si="6"/>
        <v>-1.4551915228366852E-11</v>
      </c>
      <c r="V38" s="82">
        <f t="shared" ca="1" si="6"/>
        <v>-2.9103830456733704E-11</v>
      </c>
      <c r="W38" s="82">
        <f t="shared" ca="1" si="6"/>
        <v>-3.637978807091713E-11</v>
      </c>
      <c r="X38" s="817">
        <f t="shared" ca="1" si="6"/>
        <v>-4.3655745685100555E-11</v>
      </c>
    </row>
  </sheetData>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pageSetUpPr fitToPage="1"/>
  </sheetPr>
  <dimension ref="A1:IV64"/>
  <sheetViews>
    <sheetView zoomScaleNormal="75" zoomScaleSheetLayoutView="85" workbookViewId="0">
      <selection activeCell="D17" sqref="D17"/>
    </sheetView>
  </sheetViews>
  <sheetFormatPr defaultColWidth="9.33203125" defaultRowHeight="10.199999999999999"/>
  <cols>
    <col min="1" max="1" width="15.88671875" style="72" customWidth="1"/>
    <col min="2" max="2" width="15" style="72" customWidth="1"/>
    <col min="3" max="3" width="16.5546875" style="72" customWidth="1"/>
    <col min="4" max="25" width="9.33203125" style="72" customWidth="1"/>
    <col min="26" max="27" width="9.33203125" style="72" hidden="1" customWidth="1"/>
    <col min="28" max="33" width="9.33203125" style="72" customWidth="1"/>
    <col min="34" max="16384" width="9.33203125" style="8"/>
  </cols>
  <sheetData>
    <row r="1" spans="1:256" ht="21.75" customHeight="1">
      <c r="A1" s="525" t="str">
        <f>'Project Assumtions'!$A$2</f>
        <v>WHEATLAND POWER IN, L.L.C.</v>
      </c>
      <c r="B1" s="818"/>
      <c r="C1" s="766"/>
      <c r="AC1" s="86"/>
      <c r="AD1" s="79"/>
    </row>
    <row r="2" spans="1:256" ht="15.6" customHeight="1">
      <c r="A2" s="527" t="s">
        <v>42</v>
      </c>
      <c r="B2" s="767"/>
      <c r="C2" s="768"/>
      <c r="D2" s="85"/>
      <c r="E2" s="85"/>
      <c r="F2" s="85"/>
      <c r="G2" s="85"/>
      <c r="H2" s="85"/>
      <c r="I2" s="85"/>
      <c r="J2" s="85"/>
      <c r="K2" s="86"/>
      <c r="L2" s="85"/>
      <c r="M2" s="85"/>
      <c r="N2" s="85"/>
      <c r="O2" s="85"/>
      <c r="P2" s="85"/>
      <c r="Q2" s="86"/>
      <c r="R2" s="85"/>
      <c r="S2" s="85"/>
      <c r="T2" s="85"/>
      <c r="U2" s="85"/>
      <c r="V2" s="85"/>
      <c r="W2" s="86"/>
      <c r="X2" s="85"/>
      <c r="Y2" s="85"/>
      <c r="Z2" s="85"/>
      <c r="AA2" s="85"/>
      <c r="AB2" s="85"/>
      <c r="AC2" s="86"/>
      <c r="AD2" s="79"/>
    </row>
    <row r="3" spans="1:256" s="1" customFormat="1" ht="12.6" customHeight="1">
      <c r="A3" s="158"/>
      <c r="B3" s="60"/>
      <c r="C3" s="85"/>
      <c r="D3" s="85">
        <v>1</v>
      </c>
      <c r="E3" s="85">
        <f>D3+1</f>
        <v>2</v>
      </c>
      <c r="F3" s="85">
        <f t="shared" ref="F3:AB3" si="0">E3+1</f>
        <v>3</v>
      </c>
      <c r="G3" s="85">
        <f t="shared" si="0"/>
        <v>4</v>
      </c>
      <c r="H3" s="85">
        <f t="shared" si="0"/>
        <v>5</v>
      </c>
      <c r="I3" s="86">
        <f t="shared" si="0"/>
        <v>6</v>
      </c>
      <c r="J3" s="85">
        <f t="shared" si="0"/>
        <v>7</v>
      </c>
      <c r="K3" s="85">
        <f t="shared" si="0"/>
        <v>8</v>
      </c>
      <c r="L3" s="85">
        <f t="shared" si="0"/>
        <v>9</v>
      </c>
      <c r="M3" s="85">
        <f t="shared" si="0"/>
        <v>10</v>
      </c>
      <c r="N3" s="85">
        <f t="shared" si="0"/>
        <v>11</v>
      </c>
      <c r="O3" s="86">
        <f t="shared" si="0"/>
        <v>12</v>
      </c>
      <c r="P3" s="85">
        <f t="shared" si="0"/>
        <v>13</v>
      </c>
      <c r="Q3" s="85">
        <f t="shared" si="0"/>
        <v>14</v>
      </c>
      <c r="R3" s="85">
        <f t="shared" si="0"/>
        <v>15</v>
      </c>
      <c r="S3" s="85">
        <f t="shared" si="0"/>
        <v>16</v>
      </c>
      <c r="T3" s="85">
        <f t="shared" si="0"/>
        <v>17</v>
      </c>
      <c r="U3" s="86">
        <f t="shared" si="0"/>
        <v>18</v>
      </c>
      <c r="V3" s="85">
        <f t="shared" si="0"/>
        <v>19</v>
      </c>
      <c r="W3" s="85">
        <f t="shared" si="0"/>
        <v>20</v>
      </c>
      <c r="X3" s="85">
        <f t="shared" si="0"/>
        <v>21</v>
      </c>
      <c r="Y3" s="85">
        <f t="shared" si="0"/>
        <v>22</v>
      </c>
      <c r="Z3" s="85">
        <f t="shared" si="0"/>
        <v>23</v>
      </c>
      <c r="AA3" s="86">
        <f t="shared" si="0"/>
        <v>24</v>
      </c>
      <c r="AB3" s="85">
        <f t="shared" si="0"/>
        <v>25</v>
      </c>
      <c r="AC3" s="159"/>
      <c r="AD3" s="60"/>
      <c r="AE3" s="85"/>
      <c r="AF3" s="85"/>
      <c r="AG3" s="85"/>
    </row>
    <row r="4" spans="1:256" s="1" customFormat="1" ht="12.6" customHeight="1">
      <c r="A4" s="609"/>
      <c r="B4" s="610"/>
      <c r="C4" s="769"/>
      <c r="D4" s="769">
        <f>YEAR('Project Assumtions'!G16)</f>
        <v>2000</v>
      </c>
      <c r="E4" s="769">
        <f t="shared" ref="E4:AB4" si="1">D4+1</f>
        <v>2001</v>
      </c>
      <c r="F4" s="769">
        <f t="shared" si="1"/>
        <v>2002</v>
      </c>
      <c r="G4" s="769">
        <f t="shared" si="1"/>
        <v>2003</v>
      </c>
      <c r="H4" s="769">
        <f t="shared" si="1"/>
        <v>2004</v>
      </c>
      <c r="I4" s="769">
        <f t="shared" si="1"/>
        <v>2005</v>
      </c>
      <c r="J4" s="769">
        <f t="shared" si="1"/>
        <v>2006</v>
      </c>
      <c r="K4" s="769">
        <f t="shared" si="1"/>
        <v>2007</v>
      </c>
      <c r="L4" s="769">
        <f t="shared" si="1"/>
        <v>2008</v>
      </c>
      <c r="M4" s="769">
        <f t="shared" si="1"/>
        <v>2009</v>
      </c>
      <c r="N4" s="769">
        <f t="shared" si="1"/>
        <v>2010</v>
      </c>
      <c r="O4" s="769">
        <f t="shared" si="1"/>
        <v>2011</v>
      </c>
      <c r="P4" s="769">
        <f t="shared" si="1"/>
        <v>2012</v>
      </c>
      <c r="Q4" s="769">
        <f t="shared" si="1"/>
        <v>2013</v>
      </c>
      <c r="R4" s="769">
        <f t="shared" si="1"/>
        <v>2014</v>
      </c>
      <c r="S4" s="769">
        <f t="shared" si="1"/>
        <v>2015</v>
      </c>
      <c r="T4" s="769">
        <f t="shared" si="1"/>
        <v>2016</v>
      </c>
      <c r="U4" s="769">
        <f t="shared" si="1"/>
        <v>2017</v>
      </c>
      <c r="V4" s="769">
        <f t="shared" si="1"/>
        <v>2018</v>
      </c>
      <c r="W4" s="769">
        <f t="shared" si="1"/>
        <v>2019</v>
      </c>
      <c r="X4" s="769">
        <f t="shared" si="1"/>
        <v>2020</v>
      </c>
      <c r="Y4" s="769">
        <f t="shared" si="1"/>
        <v>2021</v>
      </c>
      <c r="Z4" s="769">
        <f t="shared" si="1"/>
        <v>2022</v>
      </c>
      <c r="AA4" s="769">
        <f t="shared" si="1"/>
        <v>2023</v>
      </c>
      <c r="AB4" s="819">
        <f t="shared" si="1"/>
        <v>2024</v>
      </c>
      <c r="AC4" s="87"/>
      <c r="AD4" s="60"/>
      <c r="AE4" s="87"/>
      <c r="AF4" s="87"/>
      <c r="AG4" s="87"/>
      <c r="AH4" s="31"/>
      <c r="AI4" s="31"/>
      <c r="AJ4" s="31"/>
      <c r="AK4" s="31"/>
      <c r="AL4" s="31"/>
      <c r="AM4" s="31"/>
      <c r="AN4" s="31"/>
      <c r="AO4" s="31"/>
      <c r="AP4" s="31"/>
      <c r="AQ4" s="31"/>
      <c r="AR4" s="31"/>
      <c r="AS4" s="31"/>
      <c r="AT4" s="31"/>
      <c r="AU4" s="31"/>
      <c r="AV4" s="31"/>
      <c r="AW4" s="31"/>
      <c r="AX4" s="31"/>
      <c r="AY4" s="31"/>
      <c r="AZ4" s="31"/>
    </row>
    <row r="5" spans="1:256" ht="12" customHeight="1">
      <c r="A5" s="820" t="s">
        <v>170</v>
      </c>
      <c r="B5" s="79"/>
      <c r="C5" s="79"/>
      <c r="D5" s="79"/>
      <c r="E5" s="79"/>
      <c r="F5" s="79"/>
      <c r="G5" s="79"/>
      <c r="H5" s="79"/>
      <c r="I5" s="79"/>
      <c r="J5" s="79"/>
      <c r="K5" s="79"/>
      <c r="L5" s="79"/>
      <c r="M5" s="79"/>
      <c r="N5" s="79"/>
      <c r="O5" s="79"/>
      <c r="P5" s="79"/>
      <c r="Q5" s="79"/>
      <c r="R5" s="79"/>
      <c r="S5" s="79"/>
      <c r="T5" s="79"/>
      <c r="U5" s="79"/>
      <c r="V5" s="79"/>
      <c r="W5" s="79"/>
      <c r="X5" s="79"/>
      <c r="Y5" s="79"/>
      <c r="Z5" s="79"/>
      <c r="AA5" s="79"/>
      <c r="AB5" s="556"/>
      <c r="AC5" s="79"/>
      <c r="AD5" s="79"/>
    </row>
    <row r="6" spans="1:256" ht="12" customHeight="1">
      <c r="A6" s="820"/>
      <c r="B6" s="79"/>
      <c r="C6" s="79"/>
      <c r="D6" s="79"/>
      <c r="E6" s="79"/>
      <c r="F6" s="79"/>
      <c r="G6" s="79"/>
      <c r="H6" s="79"/>
      <c r="I6" s="79"/>
      <c r="J6" s="79"/>
      <c r="K6" s="79"/>
      <c r="L6" s="79"/>
      <c r="M6" s="79"/>
      <c r="N6" s="79"/>
      <c r="O6" s="79"/>
      <c r="P6" s="79"/>
      <c r="Q6" s="79"/>
      <c r="R6" s="79"/>
      <c r="S6" s="79"/>
      <c r="T6" s="79"/>
      <c r="U6" s="79"/>
      <c r="V6" s="79"/>
      <c r="W6" s="79"/>
      <c r="X6" s="79"/>
      <c r="Y6" s="79"/>
      <c r="Z6" s="79"/>
      <c r="AA6" s="79"/>
      <c r="AB6" s="556"/>
      <c r="AC6" s="79"/>
      <c r="AD6" s="79"/>
    </row>
    <row r="7" spans="1:256" s="30" customFormat="1" ht="12" customHeight="1">
      <c r="A7" s="821" t="s">
        <v>461</v>
      </c>
      <c r="B7" s="79"/>
      <c r="C7" s="79"/>
      <c r="D7" s="161"/>
      <c r="E7" s="161"/>
      <c r="F7" s="161"/>
      <c r="G7" s="161"/>
      <c r="H7" s="161"/>
      <c r="I7" s="161"/>
      <c r="J7" s="161"/>
      <c r="K7" s="161"/>
      <c r="L7" s="161"/>
      <c r="M7" s="161"/>
      <c r="N7" s="161"/>
      <c r="O7" s="161"/>
      <c r="P7" s="161"/>
      <c r="Q7" s="161"/>
      <c r="R7" s="161"/>
      <c r="S7" s="161"/>
      <c r="T7" s="161"/>
      <c r="U7" s="161"/>
      <c r="V7" s="161"/>
      <c r="W7" s="161"/>
      <c r="X7" s="161"/>
      <c r="Y7" s="161"/>
      <c r="Z7" s="161"/>
      <c r="AA7" s="161"/>
      <c r="AB7" s="822"/>
      <c r="AC7" s="79"/>
      <c r="AD7" s="79"/>
      <c r="AE7" s="166"/>
      <c r="AF7" s="166"/>
      <c r="AG7" s="166"/>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c r="CQ7" s="32"/>
      <c r="CR7" s="32"/>
      <c r="CS7" s="32"/>
      <c r="CT7" s="32"/>
      <c r="CU7" s="32"/>
      <c r="CV7" s="32"/>
      <c r="CW7" s="32"/>
      <c r="CX7" s="32"/>
      <c r="CY7" s="32"/>
      <c r="CZ7" s="32"/>
      <c r="DA7" s="32"/>
      <c r="DB7" s="32"/>
      <c r="DC7" s="32"/>
      <c r="DD7" s="32"/>
      <c r="DE7" s="32"/>
      <c r="DF7" s="32"/>
      <c r="DG7" s="32"/>
      <c r="DH7" s="32"/>
      <c r="DI7" s="32"/>
      <c r="DJ7" s="32"/>
      <c r="DK7" s="32"/>
      <c r="DL7" s="32"/>
      <c r="DM7" s="32"/>
      <c r="DN7" s="32"/>
      <c r="DO7" s="32"/>
      <c r="DP7" s="32"/>
      <c r="DQ7" s="32"/>
      <c r="DR7" s="32"/>
      <c r="DS7" s="32"/>
      <c r="DT7" s="32"/>
      <c r="DU7" s="32"/>
      <c r="DV7" s="32"/>
      <c r="DW7" s="32"/>
      <c r="DX7" s="32"/>
      <c r="DY7" s="32"/>
      <c r="DZ7" s="32"/>
      <c r="EA7" s="32"/>
      <c r="EB7" s="32"/>
      <c r="EC7" s="32"/>
      <c r="ED7" s="32"/>
      <c r="EE7" s="32"/>
      <c r="EF7" s="32"/>
      <c r="EG7" s="32"/>
      <c r="EH7" s="32"/>
      <c r="EI7" s="32"/>
      <c r="EJ7" s="32"/>
      <c r="EK7" s="32"/>
      <c r="EL7" s="32"/>
      <c r="EM7" s="32"/>
      <c r="EN7" s="32"/>
      <c r="EO7" s="32"/>
      <c r="EP7" s="32"/>
      <c r="EQ7" s="32"/>
      <c r="ER7" s="32"/>
      <c r="ES7" s="32"/>
      <c r="ET7" s="32"/>
      <c r="EU7" s="32"/>
      <c r="EV7" s="32"/>
      <c r="EW7" s="32"/>
      <c r="EX7" s="32"/>
      <c r="EY7" s="32"/>
      <c r="EZ7" s="32"/>
      <c r="FA7" s="32"/>
      <c r="FB7" s="32"/>
      <c r="FC7" s="32"/>
      <c r="FD7" s="32"/>
      <c r="FE7" s="32"/>
      <c r="FF7" s="32"/>
      <c r="FG7" s="32"/>
      <c r="FH7" s="32"/>
      <c r="FI7" s="32"/>
      <c r="FJ7" s="32"/>
      <c r="FK7" s="32"/>
      <c r="FL7" s="32"/>
      <c r="FM7" s="32"/>
      <c r="FN7" s="32"/>
      <c r="FO7" s="32"/>
      <c r="FP7" s="32"/>
      <c r="FQ7" s="32"/>
      <c r="FR7" s="32"/>
      <c r="FS7" s="32"/>
      <c r="FT7" s="32"/>
      <c r="FU7" s="32"/>
      <c r="FV7" s="32"/>
      <c r="FW7" s="32"/>
      <c r="FX7" s="32"/>
      <c r="FY7" s="32"/>
      <c r="FZ7" s="32"/>
      <c r="GA7" s="32"/>
      <c r="GB7" s="32"/>
      <c r="GC7" s="32"/>
      <c r="GD7" s="32"/>
      <c r="GE7" s="32"/>
      <c r="GF7" s="32"/>
      <c r="GG7" s="32"/>
      <c r="GH7" s="32"/>
      <c r="GI7" s="32"/>
      <c r="GJ7" s="32"/>
      <c r="GK7" s="32"/>
      <c r="GL7" s="32"/>
      <c r="GM7" s="32"/>
      <c r="GN7" s="32"/>
      <c r="GO7" s="32"/>
      <c r="GP7" s="32"/>
      <c r="GQ7" s="32"/>
      <c r="GR7" s="32"/>
      <c r="GS7" s="32"/>
      <c r="GT7" s="32"/>
      <c r="GU7" s="32"/>
      <c r="GV7" s="32"/>
      <c r="GW7" s="32"/>
      <c r="GX7" s="32"/>
      <c r="GY7" s="32"/>
      <c r="GZ7" s="32"/>
      <c r="HA7" s="32"/>
      <c r="HB7" s="32"/>
      <c r="HC7" s="32"/>
      <c r="HD7" s="32"/>
      <c r="HE7" s="32"/>
      <c r="HF7" s="32"/>
      <c r="HG7" s="32"/>
      <c r="HH7" s="32"/>
      <c r="HI7" s="32"/>
      <c r="HJ7" s="32"/>
      <c r="HK7" s="32"/>
      <c r="HL7" s="32"/>
      <c r="HM7" s="32"/>
      <c r="HN7" s="32"/>
      <c r="HO7" s="32"/>
      <c r="HP7" s="32"/>
      <c r="HQ7" s="32"/>
      <c r="HR7" s="32"/>
      <c r="HS7" s="32"/>
      <c r="HT7" s="32"/>
      <c r="HU7" s="32"/>
      <c r="HV7" s="32"/>
      <c r="HW7" s="32"/>
      <c r="HX7" s="32"/>
      <c r="HY7" s="32"/>
      <c r="HZ7" s="32"/>
      <c r="IA7" s="32"/>
      <c r="IB7" s="32"/>
      <c r="IC7" s="32"/>
      <c r="ID7" s="32"/>
      <c r="IE7" s="32"/>
      <c r="IF7" s="32"/>
      <c r="IG7" s="32"/>
      <c r="IH7" s="32"/>
      <c r="II7" s="32"/>
      <c r="IJ7" s="32"/>
      <c r="IK7" s="32"/>
      <c r="IL7" s="32"/>
      <c r="IM7" s="32"/>
      <c r="IN7" s="32"/>
      <c r="IO7" s="32"/>
      <c r="IP7" s="32"/>
      <c r="IQ7" s="32"/>
      <c r="IR7" s="32"/>
      <c r="IS7" s="32"/>
      <c r="IT7" s="32"/>
      <c r="IU7" s="32"/>
      <c r="IV7" s="32"/>
    </row>
    <row r="8" spans="1:256" s="30" customFormat="1" ht="12" customHeight="1">
      <c r="A8" s="774" t="s">
        <v>494</v>
      </c>
      <c r="B8" s="79"/>
      <c r="C8" s="79"/>
      <c r="D8" s="161">
        <f>'Book Income Statement'!D72</f>
        <v>-317.67656765076936</v>
      </c>
      <c r="E8" s="161">
        <f>'Book Income Statement'!E72</f>
        <v>6298.884329398963</v>
      </c>
      <c r="F8" s="161">
        <f>'Book Income Statement'!F72</f>
        <v>6462.0452918068895</v>
      </c>
      <c r="G8" s="161">
        <f>'Book Income Statement'!G72</f>
        <v>14271.372042138893</v>
      </c>
      <c r="H8" s="161">
        <f>'Book Income Statement'!H72</f>
        <v>21164.605904165066</v>
      </c>
      <c r="I8" s="161">
        <f>'Book Income Statement'!I72</f>
        <v>22719.939730277725</v>
      </c>
      <c r="J8" s="161">
        <f>'Book Income Statement'!J72</f>
        <v>23574.507522460568</v>
      </c>
      <c r="K8" s="161">
        <f>'Book Income Statement'!K72</f>
        <v>24312.125868241361</v>
      </c>
      <c r="L8" s="161">
        <f>'Book Income Statement'!L72</f>
        <v>25082.710726906153</v>
      </c>
      <c r="M8" s="161">
        <f>'Book Income Statement'!M72</f>
        <v>26195.731316487847</v>
      </c>
      <c r="N8" s="161">
        <f>'Book Income Statement'!N72</f>
        <v>27488.254117385324</v>
      </c>
      <c r="O8" s="161">
        <f>'Book Income Statement'!O72</f>
        <v>27912.732173413562</v>
      </c>
      <c r="P8" s="161">
        <f>'Book Income Statement'!P72</f>
        <v>28548.137068952761</v>
      </c>
      <c r="Q8" s="161">
        <f>'Book Income Statement'!Q72</f>
        <v>28392.300995168112</v>
      </c>
      <c r="R8" s="161">
        <f>'Book Income Statement'!R72</f>
        <v>28980.018098265515</v>
      </c>
      <c r="S8" s="161">
        <f>'Book Income Statement'!S72</f>
        <v>29553.287035554673</v>
      </c>
      <c r="T8" s="161">
        <f>'Book Income Statement'!T72</f>
        <v>30110.951667028359</v>
      </c>
      <c r="U8" s="161">
        <f>'Book Income Statement'!U72</f>
        <v>30918.127636562844</v>
      </c>
      <c r="V8" s="161">
        <f>'Book Income Statement'!V72</f>
        <v>31813.746843310568</v>
      </c>
      <c r="W8" s="161">
        <f>'Book Income Statement'!W72</f>
        <v>31918.851884262909</v>
      </c>
      <c r="X8" s="161">
        <f>'Book Income Statement'!X72</f>
        <v>8961.4544711775652</v>
      </c>
      <c r="Y8" s="161">
        <f>'Book Income Statement'!Y72</f>
        <v>0</v>
      </c>
      <c r="Z8" s="161">
        <f>'Book Income Statement'!Z72</f>
        <v>0</v>
      </c>
      <c r="AA8" s="161">
        <f>'Book Income Statement'!AA72</f>
        <v>0</v>
      </c>
      <c r="AB8" s="161">
        <f>'Book Income Statement'!AB72</f>
        <v>0</v>
      </c>
      <c r="AC8" s="79"/>
      <c r="AD8" s="79"/>
      <c r="AE8" s="166"/>
      <c r="AF8" s="166"/>
      <c r="AG8" s="166"/>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c r="CA8" s="32"/>
      <c r="CB8" s="32"/>
      <c r="CC8" s="32"/>
      <c r="CD8" s="32"/>
      <c r="CE8" s="32"/>
      <c r="CF8" s="32"/>
      <c r="CG8" s="32"/>
      <c r="CH8" s="32"/>
      <c r="CI8" s="32"/>
      <c r="CJ8" s="32"/>
      <c r="CK8" s="32"/>
      <c r="CL8" s="32"/>
      <c r="CM8" s="32"/>
      <c r="CN8" s="32"/>
      <c r="CO8" s="32"/>
      <c r="CP8" s="32"/>
      <c r="CQ8" s="32"/>
      <c r="CR8" s="32"/>
      <c r="CS8" s="32"/>
      <c r="CT8" s="32"/>
      <c r="CU8" s="32"/>
      <c r="CV8" s="32"/>
      <c r="CW8" s="32"/>
      <c r="CX8" s="32"/>
      <c r="CY8" s="32"/>
      <c r="CZ8" s="32"/>
      <c r="DA8" s="32"/>
      <c r="DB8" s="32"/>
      <c r="DC8" s="32"/>
      <c r="DD8" s="32"/>
      <c r="DE8" s="32"/>
      <c r="DF8" s="32"/>
      <c r="DG8" s="32"/>
      <c r="DH8" s="32"/>
      <c r="DI8" s="32"/>
      <c r="DJ8" s="32"/>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c r="EL8" s="32"/>
      <c r="EM8" s="32"/>
      <c r="EN8" s="32"/>
      <c r="EO8" s="32"/>
      <c r="EP8" s="32"/>
      <c r="EQ8" s="32"/>
      <c r="ER8" s="32"/>
      <c r="ES8" s="32"/>
      <c r="ET8" s="32"/>
      <c r="EU8" s="32"/>
      <c r="EV8" s="32"/>
      <c r="EW8" s="32"/>
      <c r="EX8" s="32"/>
      <c r="EY8" s="32"/>
      <c r="EZ8" s="32"/>
      <c r="FA8" s="32"/>
      <c r="FB8" s="32"/>
      <c r="FC8" s="32"/>
      <c r="FD8" s="32"/>
      <c r="FE8" s="32"/>
      <c r="FF8" s="32"/>
      <c r="FG8" s="32"/>
      <c r="FH8" s="32"/>
      <c r="FI8" s="32"/>
      <c r="FJ8" s="32"/>
      <c r="FK8" s="32"/>
      <c r="FL8" s="32"/>
      <c r="FM8" s="32"/>
      <c r="FN8" s="32"/>
      <c r="FO8" s="32"/>
      <c r="FP8" s="32"/>
      <c r="FQ8" s="32"/>
      <c r="FR8" s="32"/>
      <c r="FS8" s="32"/>
      <c r="FT8" s="32"/>
      <c r="FU8" s="32"/>
      <c r="FV8" s="32"/>
      <c r="FW8" s="32"/>
      <c r="FX8" s="32"/>
      <c r="FY8" s="32"/>
      <c r="FZ8" s="32"/>
      <c r="GA8" s="32"/>
      <c r="GB8" s="32"/>
      <c r="GC8" s="32"/>
      <c r="GD8" s="32"/>
      <c r="GE8" s="32"/>
      <c r="GF8" s="32"/>
      <c r="GG8" s="32"/>
      <c r="GH8" s="32"/>
      <c r="GI8" s="32"/>
      <c r="GJ8" s="32"/>
      <c r="GK8" s="32"/>
      <c r="GL8" s="32"/>
      <c r="GM8" s="32"/>
      <c r="GN8" s="32"/>
      <c r="GO8" s="32"/>
      <c r="GP8" s="32"/>
      <c r="GQ8" s="32"/>
      <c r="GR8" s="32"/>
      <c r="GS8" s="32"/>
      <c r="GT8" s="32"/>
      <c r="GU8" s="32"/>
      <c r="GV8" s="32"/>
      <c r="GW8" s="32"/>
      <c r="GX8" s="32"/>
      <c r="GY8" s="32"/>
      <c r="GZ8" s="32"/>
      <c r="HA8" s="32"/>
      <c r="HB8" s="32"/>
      <c r="HC8" s="32"/>
      <c r="HD8" s="32"/>
      <c r="HE8" s="32"/>
      <c r="HF8" s="32"/>
      <c r="HG8" s="32"/>
      <c r="HH8" s="32"/>
      <c r="HI8" s="32"/>
      <c r="HJ8" s="32"/>
      <c r="HK8" s="32"/>
      <c r="HL8" s="32"/>
      <c r="HM8" s="32"/>
      <c r="HN8" s="32"/>
      <c r="HO8" s="32"/>
      <c r="HP8" s="32"/>
      <c r="HQ8" s="32"/>
      <c r="HR8" s="32"/>
      <c r="HS8" s="32"/>
      <c r="HT8" s="32"/>
      <c r="HU8" s="32"/>
      <c r="HV8" s="32"/>
      <c r="HW8" s="32"/>
      <c r="HX8" s="32"/>
      <c r="HY8" s="32"/>
      <c r="HZ8" s="32"/>
      <c r="IA8" s="32"/>
      <c r="IB8" s="32"/>
      <c r="IC8" s="32"/>
      <c r="ID8" s="32"/>
      <c r="IE8" s="32"/>
      <c r="IF8" s="32"/>
      <c r="IG8" s="32"/>
      <c r="IH8" s="32"/>
      <c r="II8" s="32"/>
      <c r="IJ8" s="32"/>
      <c r="IK8" s="32"/>
      <c r="IL8" s="32"/>
      <c r="IM8" s="32"/>
      <c r="IN8" s="32"/>
      <c r="IO8" s="32"/>
      <c r="IP8" s="32"/>
      <c r="IQ8" s="32"/>
      <c r="IR8" s="32"/>
      <c r="IS8" s="32"/>
      <c r="IT8" s="32"/>
      <c r="IU8" s="32"/>
      <c r="IV8" s="32"/>
    </row>
    <row r="9" spans="1:256" s="15" customFormat="1" ht="12" customHeight="1">
      <c r="A9" s="774" t="s">
        <v>464</v>
      </c>
      <c r="B9" s="79"/>
      <c r="C9" s="79"/>
      <c r="D9" s="169">
        <f>'Project Assumtions'!$N$68</f>
        <v>3.4000000000000002E-2</v>
      </c>
      <c r="E9" s="169">
        <f>'Project Assumtions'!$N$68</f>
        <v>3.4000000000000002E-2</v>
      </c>
      <c r="F9" s="169">
        <f>'Project Assumtions'!$N$68</f>
        <v>3.4000000000000002E-2</v>
      </c>
      <c r="G9" s="169">
        <f>'Project Assumtions'!$N$68</f>
        <v>3.4000000000000002E-2</v>
      </c>
      <c r="H9" s="169">
        <f>'Project Assumtions'!$N$68</f>
        <v>3.4000000000000002E-2</v>
      </c>
      <c r="I9" s="169">
        <f>'Project Assumtions'!$N$68</f>
        <v>3.4000000000000002E-2</v>
      </c>
      <c r="J9" s="169">
        <f>'Project Assumtions'!$N$68</f>
        <v>3.4000000000000002E-2</v>
      </c>
      <c r="K9" s="169">
        <f>'Project Assumtions'!$N$68</f>
        <v>3.4000000000000002E-2</v>
      </c>
      <c r="L9" s="169">
        <f>'Project Assumtions'!$N$68</f>
        <v>3.4000000000000002E-2</v>
      </c>
      <c r="M9" s="169">
        <f>'Project Assumtions'!$N$68</f>
        <v>3.4000000000000002E-2</v>
      </c>
      <c r="N9" s="169">
        <f>'Project Assumtions'!$N$68</f>
        <v>3.4000000000000002E-2</v>
      </c>
      <c r="O9" s="169">
        <f>'Project Assumtions'!$N$68</f>
        <v>3.4000000000000002E-2</v>
      </c>
      <c r="P9" s="169">
        <f>'Project Assumtions'!$N$68</f>
        <v>3.4000000000000002E-2</v>
      </c>
      <c r="Q9" s="169">
        <f>'Project Assumtions'!$N$68</f>
        <v>3.4000000000000002E-2</v>
      </c>
      <c r="R9" s="169">
        <f>'Project Assumtions'!$N$68</f>
        <v>3.4000000000000002E-2</v>
      </c>
      <c r="S9" s="169">
        <f>'Project Assumtions'!$N$68</f>
        <v>3.4000000000000002E-2</v>
      </c>
      <c r="T9" s="169">
        <f>'Project Assumtions'!$N$68</f>
        <v>3.4000000000000002E-2</v>
      </c>
      <c r="U9" s="169">
        <f>'Project Assumtions'!$N$68</f>
        <v>3.4000000000000002E-2</v>
      </c>
      <c r="V9" s="169">
        <f>'Project Assumtions'!$N$68</f>
        <v>3.4000000000000002E-2</v>
      </c>
      <c r="W9" s="169">
        <f>'Project Assumtions'!$N$68</f>
        <v>3.4000000000000002E-2</v>
      </c>
      <c r="X9" s="169">
        <f>'Project Assumtions'!$N$68</f>
        <v>3.4000000000000002E-2</v>
      </c>
      <c r="Y9" s="169">
        <f>'Project Assumtions'!$N$68</f>
        <v>3.4000000000000002E-2</v>
      </c>
      <c r="Z9" s="169">
        <f>'Project Assumtions'!$N$68</f>
        <v>3.4000000000000002E-2</v>
      </c>
      <c r="AA9" s="169">
        <f>'Project Assumtions'!$N$68</f>
        <v>3.4000000000000002E-2</v>
      </c>
      <c r="AB9" s="823">
        <f>'Project Assumtions'!$N$68</f>
        <v>3.4000000000000002E-2</v>
      </c>
      <c r="AC9" s="166"/>
      <c r="AD9" s="166"/>
      <c r="AE9" s="166"/>
      <c r="AF9" s="166"/>
      <c r="AG9" s="166"/>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c r="CA9" s="32"/>
      <c r="CB9" s="32"/>
      <c r="CC9" s="32"/>
      <c r="CD9" s="32"/>
      <c r="CE9" s="32"/>
      <c r="CF9" s="32"/>
      <c r="CG9" s="32"/>
      <c r="CH9" s="32"/>
      <c r="CI9" s="32"/>
      <c r="CJ9" s="32"/>
      <c r="CK9" s="32"/>
      <c r="CL9" s="32"/>
      <c r="CM9" s="32"/>
      <c r="CN9" s="32"/>
      <c r="CO9" s="32"/>
      <c r="CP9" s="32"/>
      <c r="CQ9" s="32"/>
      <c r="CR9" s="32"/>
      <c r="CS9" s="32"/>
      <c r="CT9" s="32"/>
      <c r="CU9" s="32"/>
      <c r="CV9" s="32"/>
      <c r="CW9" s="32"/>
      <c r="CX9" s="32"/>
      <c r="CY9" s="32"/>
      <c r="CZ9" s="32"/>
      <c r="DA9" s="32"/>
      <c r="DB9" s="32"/>
      <c r="DC9" s="32"/>
      <c r="DD9" s="32"/>
      <c r="DE9" s="32"/>
      <c r="DF9" s="32"/>
      <c r="DG9" s="32"/>
      <c r="DH9" s="32"/>
      <c r="DI9" s="32"/>
      <c r="DJ9" s="32"/>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s="32"/>
      <c r="EP9" s="32"/>
      <c r="EQ9" s="32"/>
      <c r="ER9" s="32"/>
      <c r="ES9" s="32"/>
      <c r="ET9" s="32"/>
      <c r="EU9" s="32"/>
      <c r="EV9" s="32"/>
      <c r="EW9" s="32"/>
      <c r="EX9" s="32"/>
      <c r="EY9" s="32"/>
      <c r="EZ9" s="32"/>
      <c r="FA9" s="32"/>
      <c r="FB9" s="32"/>
      <c r="FC9" s="32"/>
      <c r="FD9" s="32"/>
      <c r="FE9" s="32"/>
      <c r="FF9" s="32"/>
      <c r="FG9" s="32"/>
      <c r="FH9" s="32"/>
      <c r="FI9" s="32"/>
      <c r="FJ9" s="32"/>
      <c r="FK9" s="32"/>
      <c r="FL9" s="32"/>
      <c r="FM9" s="32"/>
      <c r="FN9" s="32"/>
      <c r="FO9" s="32"/>
      <c r="FP9" s="32"/>
      <c r="FQ9" s="32"/>
      <c r="FR9" s="32"/>
      <c r="FS9" s="32"/>
      <c r="FT9" s="32"/>
      <c r="FU9" s="32"/>
      <c r="FV9" s="32"/>
      <c r="FW9" s="32"/>
      <c r="FX9" s="32"/>
      <c r="FY9" s="32"/>
      <c r="FZ9" s="32"/>
      <c r="GA9" s="32"/>
      <c r="GB9" s="32"/>
      <c r="GC9" s="32"/>
      <c r="GD9" s="32"/>
      <c r="GE9" s="32"/>
      <c r="GF9" s="32"/>
      <c r="GG9" s="32"/>
      <c r="GH9" s="32"/>
      <c r="GI9" s="32"/>
      <c r="GJ9" s="32"/>
      <c r="GK9" s="32"/>
      <c r="GL9" s="32"/>
      <c r="GM9" s="32"/>
      <c r="GN9" s="32"/>
      <c r="GO9" s="32"/>
      <c r="GP9" s="32"/>
      <c r="GQ9" s="32"/>
      <c r="GR9" s="32"/>
      <c r="GS9" s="32"/>
      <c r="GT9" s="32"/>
      <c r="GU9" s="32"/>
      <c r="GV9" s="32"/>
      <c r="GW9" s="32"/>
      <c r="GX9" s="32"/>
      <c r="GY9" s="32"/>
      <c r="GZ9" s="32"/>
      <c r="HA9" s="32"/>
      <c r="HB9" s="32"/>
      <c r="HC9" s="32"/>
      <c r="HD9" s="32"/>
      <c r="HE9" s="32"/>
      <c r="HF9" s="32"/>
      <c r="HG9" s="32"/>
      <c r="HH9" s="32"/>
      <c r="HI9" s="32"/>
      <c r="HJ9" s="32"/>
      <c r="HK9" s="32"/>
      <c r="HL9" s="32"/>
      <c r="HM9" s="32"/>
      <c r="HN9" s="32"/>
      <c r="HO9" s="32"/>
      <c r="HP9" s="32"/>
      <c r="HQ9" s="32"/>
      <c r="HR9" s="32"/>
      <c r="HS9" s="32"/>
      <c r="HT9" s="32"/>
      <c r="HU9" s="32"/>
      <c r="HV9" s="32"/>
      <c r="HW9" s="32"/>
      <c r="HX9" s="32"/>
      <c r="HY9" s="32"/>
      <c r="HZ9" s="32"/>
      <c r="IA9" s="32"/>
      <c r="IB9" s="32"/>
      <c r="IC9" s="32"/>
      <c r="ID9" s="32"/>
      <c r="IE9" s="32"/>
      <c r="IF9" s="32"/>
      <c r="IG9" s="32"/>
      <c r="IH9" s="32"/>
      <c r="II9" s="32"/>
      <c r="IJ9" s="32"/>
      <c r="IK9" s="32"/>
      <c r="IL9" s="32"/>
      <c r="IM9" s="32"/>
      <c r="IN9" s="32"/>
      <c r="IO9" s="32"/>
      <c r="IP9" s="32"/>
      <c r="IQ9" s="32"/>
      <c r="IR9" s="32"/>
      <c r="IS9" s="32"/>
    </row>
    <row r="10" spans="1:256" s="15" customFormat="1" ht="12" customHeight="1">
      <c r="A10" s="571" t="s">
        <v>482</v>
      </c>
      <c r="B10" s="179"/>
      <c r="C10" s="179"/>
      <c r="D10" s="468">
        <f>D8*D9</f>
        <v>-10.801003300126158</v>
      </c>
      <c r="E10" s="468">
        <f t="shared" ref="E10:AB10" si="2">E8*E9</f>
        <v>214.16206719956475</v>
      </c>
      <c r="F10" s="468">
        <f t="shared" si="2"/>
        <v>219.70953992143427</v>
      </c>
      <c r="G10" s="468">
        <f t="shared" si="2"/>
        <v>485.22664943272241</v>
      </c>
      <c r="H10" s="468">
        <f t="shared" si="2"/>
        <v>719.59660074161229</v>
      </c>
      <c r="I10" s="468">
        <f t="shared" si="2"/>
        <v>772.47795082944276</v>
      </c>
      <c r="J10" s="468">
        <f t="shared" si="2"/>
        <v>801.53325576365933</v>
      </c>
      <c r="K10" s="468">
        <f t="shared" si="2"/>
        <v>826.61227952020636</v>
      </c>
      <c r="L10" s="468">
        <f t="shared" si="2"/>
        <v>852.81216471480923</v>
      </c>
      <c r="M10" s="468">
        <f t="shared" si="2"/>
        <v>890.65486476058686</v>
      </c>
      <c r="N10" s="468">
        <f t="shared" si="2"/>
        <v>934.60063999110105</v>
      </c>
      <c r="O10" s="468">
        <f t="shared" si="2"/>
        <v>949.03289389606118</v>
      </c>
      <c r="P10" s="468">
        <f t="shared" si="2"/>
        <v>970.63666034439393</v>
      </c>
      <c r="Q10" s="468">
        <f t="shared" si="2"/>
        <v>965.33823383571587</v>
      </c>
      <c r="R10" s="468">
        <f t="shared" si="2"/>
        <v>985.32061534102752</v>
      </c>
      <c r="S10" s="468">
        <f t="shared" si="2"/>
        <v>1004.8117592088589</v>
      </c>
      <c r="T10" s="468">
        <f t="shared" si="2"/>
        <v>1023.7723566789643</v>
      </c>
      <c r="U10" s="468">
        <f t="shared" si="2"/>
        <v>1051.2163396431367</v>
      </c>
      <c r="V10" s="468">
        <f t="shared" si="2"/>
        <v>1081.6673926725593</v>
      </c>
      <c r="W10" s="468">
        <f t="shared" si="2"/>
        <v>1085.2409640649389</v>
      </c>
      <c r="X10" s="468">
        <f t="shared" si="2"/>
        <v>304.68945202003727</v>
      </c>
      <c r="Y10" s="468">
        <f t="shared" si="2"/>
        <v>0</v>
      </c>
      <c r="Z10" s="468">
        <f t="shared" si="2"/>
        <v>0</v>
      </c>
      <c r="AA10" s="468">
        <f t="shared" si="2"/>
        <v>0</v>
      </c>
      <c r="AB10" s="824">
        <f t="shared" si="2"/>
        <v>0</v>
      </c>
      <c r="AC10" s="79"/>
      <c r="AD10" s="166"/>
      <c r="AE10" s="166"/>
      <c r="AF10" s="166"/>
      <c r="AG10" s="166"/>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c r="CR10" s="32"/>
      <c r="CS10" s="32"/>
      <c r="CT10" s="32"/>
      <c r="CU10" s="32"/>
      <c r="CV10" s="32"/>
      <c r="CW10" s="32"/>
      <c r="CX10" s="32"/>
      <c r="CY10" s="32"/>
      <c r="CZ10" s="32"/>
      <c r="DA10" s="32"/>
      <c r="DB10" s="32"/>
      <c r="DC10" s="32"/>
      <c r="DD10" s="32"/>
      <c r="DE10" s="32"/>
      <c r="DF10" s="32"/>
      <c r="DG10" s="32"/>
      <c r="DH10" s="32"/>
      <c r="DI10" s="32"/>
      <c r="DJ10" s="32"/>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s="32"/>
      <c r="EP10" s="32"/>
      <c r="EQ10" s="32"/>
      <c r="ER10" s="32"/>
      <c r="ES10" s="32"/>
      <c r="ET10" s="32"/>
      <c r="EU10" s="32"/>
      <c r="EV10" s="32"/>
      <c r="EW10" s="32"/>
      <c r="EX10" s="32"/>
      <c r="EY10" s="32"/>
      <c r="EZ10" s="32"/>
      <c r="FA10" s="32"/>
      <c r="FB10" s="32"/>
      <c r="FC10" s="32"/>
      <c r="FD10" s="32"/>
      <c r="FE10" s="32"/>
      <c r="FF10" s="32"/>
      <c r="FG10" s="32"/>
      <c r="FH10" s="32"/>
      <c r="FI10" s="32"/>
      <c r="FJ10" s="32"/>
      <c r="FK10" s="32"/>
      <c r="FL10" s="32"/>
      <c r="FM10" s="32"/>
      <c r="FN10" s="32"/>
      <c r="FO10" s="32"/>
      <c r="FP10" s="32"/>
      <c r="FQ10" s="32"/>
      <c r="FR10" s="32"/>
      <c r="FS10" s="32"/>
      <c r="FT10" s="32"/>
      <c r="FU10" s="32"/>
      <c r="FV10" s="32"/>
      <c r="FW10" s="32"/>
      <c r="FX10" s="32"/>
      <c r="FY10" s="32"/>
      <c r="FZ10" s="32"/>
      <c r="GA10" s="32"/>
      <c r="GB10" s="32"/>
      <c r="GC10" s="32"/>
      <c r="GD10" s="32"/>
      <c r="GE10" s="32"/>
      <c r="GF10" s="32"/>
      <c r="GG10" s="32"/>
      <c r="GH10" s="32"/>
      <c r="GI10" s="32"/>
      <c r="GJ10" s="32"/>
      <c r="GK10" s="32"/>
      <c r="GL10" s="32"/>
      <c r="GM10" s="32"/>
      <c r="GN10" s="32"/>
      <c r="GO10" s="32"/>
      <c r="GP10" s="32"/>
      <c r="GQ10" s="32"/>
      <c r="GR10" s="32"/>
      <c r="GS10" s="32"/>
      <c r="GT10" s="32"/>
      <c r="GU10" s="32"/>
      <c r="GV10" s="32"/>
      <c r="GW10" s="32"/>
      <c r="GX10" s="32"/>
      <c r="GY10" s="32"/>
      <c r="GZ10" s="32"/>
      <c r="HA10" s="32"/>
      <c r="HB10" s="32"/>
      <c r="HC10" s="32"/>
      <c r="HD10" s="32"/>
      <c r="HE10" s="32"/>
      <c r="HF10" s="32"/>
      <c r="HG10" s="32"/>
      <c r="HH10" s="32"/>
      <c r="HI10" s="32"/>
      <c r="HJ10" s="32"/>
      <c r="HK10" s="32"/>
      <c r="HL10" s="32"/>
      <c r="HM10" s="32"/>
      <c r="HN10" s="32"/>
      <c r="HO10" s="32"/>
      <c r="HP10" s="32"/>
      <c r="HQ10" s="32"/>
      <c r="HR10" s="32"/>
      <c r="HS10" s="32"/>
      <c r="HT10" s="32"/>
      <c r="HU10" s="32"/>
      <c r="HV10" s="32"/>
      <c r="HW10" s="32"/>
      <c r="HX10" s="32"/>
      <c r="HY10" s="32"/>
      <c r="HZ10" s="32"/>
      <c r="IA10" s="32"/>
      <c r="IB10" s="32"/>
      <c r="IC10" s="32"/>
      <c r="ID10" s="32"/>
      <c r="IE10" s="32"/>
      <c r="IF10" s="32"/>
      <c r="IG10" s="32"/>
      <c r="IH10" s="32"/>
      <c r="II10" s="32"/>
      <c r="IJ10" s="32"/>
      <c r="IK10" s="32"/>
      <c r="IL10" s="32"/>
      <c r="IM10" s="32"/>
      <c r="IN10" s="32"/>
      <c r="IO10" s="32"/>
      <c r="IP10" s="32"/>
      <c r="IQ10" s="32"/>
      <c r="IR10" s="32"/>
      <c r="IS10" s="32"/>
      <c r="IT10" s="32"/>
      <c r="IU10" s="32"/>
    </row>
    <row r="11" spans="1:256" s="15" customFormat="1" ht="12" customHeight="1">
      <c r="A11" s="553"/>
      <c r="B11" s="79"/>
      <c r="C11" s="171"/>
      <c r="D11" s="171"/>
      <c r="E11" s="171"/>
      <c r="F11" s="171"/>
      <c r="G11" s="171"/>
      <c r="H11" s="171"/>
      <c r="I11" s="171"/>
      <c r="J11" s="171"/>
      <c r="K11" s="171"/>
      <c r="L11" s="171"/>
      <c r="M11" s="171"/>
      <c r="N11" s="171"/>
      <c r="O11" s="171"/>
      <c r="P11" s="171"/>
      <c r="Q11" s="171"/>
      <c r="R11" s="171"/>
      <c r="S11" s="171"/>
      <c r="T11" s="171"/>
      <c r="U11" s="171"/>
      <c r="V11" s="171"/>
      <c r="W11" s="171"/>
      <c r="X11" s="171"/>
      <c r="Y11" s="171"/>
      <c r="Z11" s="171"/>
      <c r="AA11" s="171"/>
      <c r="AB11" s="825"/>
      <c r="AC11" s="171"/>
      <c r="AD11" s="171"/>
      <c r="AE11" s="79"/>
      <c r="AF11" s="79"/>
      <c r="AG11" s="79"/>
    </row>
    <row r="12" spans="1:256" s="30" customFormat="1" ht="12" customHeight="1">
      <c r="A12" s="821" t="s">
        <v>172</v>
      </c>
      <c r="B12" s="79"/>
      <c r="C12" s="79"/>
      <c r="D12" s="170"/>
      <c r="E12" s="170"/>
      <c r="F12" s="170"/>
      <c r="G12" s="170"/>
      <c r="H12" s="170"/>
      <c r="I12" s="170"/>
      <c r="J12" s="170"/>
      <c r="K12" s="170"/>
      <c r="L12" s="170"/>
      <c r="M12" s="170"/>
      <c r="N12" s="170"/>
      <c r="O12" s="170"/>
      <c r="P12" s="170"/>
      <c r="Q12" s="170"/>
      <c r="R12" s="170"/>
      <c r="S12" s="170"/>
      <c r="T12" s="170"/>
      <c r="U12" s="170"/>
      <c r="V12" s="170"/>
      <c r="W12" s="170"/>
      <c r="X12" s="170"/>
      <c r="Y12" s="170"/>
      <c r="Z12" s="170"/>
      <c r="AA12" s="170"/>
      <c r="AB12" s="826"/>
      <c r="AC12" s="79"/>
      <c r="AD12" s="79"/>
      <c r="AE12" s="166"/>
      <c r="AF12" s="166"/>
      <c r="AG12" s="166"/>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c r="CA12" s="32"/>
      <c r="CB12" s="32"/>
      <c r="CC12" s="32"/>
      <c r="CD12" s="32"/>
      <c r="CE12" s="32"/>
      <c r="CF12" s="32"/>
      <c r="CG12" s="32"/>
      <c r="CH12" s="32"/>
      <c r="CI12" s="32"/>
      <c r="CJ12" s="32"/>
      <c r="CK12" s="32"/>
      <c r="CL12" s="32"/>
      <c r="CM12" s="32"/>
      <c r="CN12" s="32"/>
      <c r="CO12" s="32"/>
      <c r="CP12" s="32"/>
      <c r="CQ12" s="32"/>
      <c r="CR12" s="32"/>
      <c r="CS12" s="32"/>
      <c r="CT12" s="32"/>
      <c r="CU12" s="32"/>
      <c r="CV12" s="32"/>
      <c r="CW12" s="32"/>
      <c r="CX12" s="32"/>
      <c r="CY12" s="32"/>
      <c r="CZ12" s="32"/>
      <c r="DA12" s="32"/>
      <c r="DB12" s="32"/>
      <c r="DC12" s="32"/>
      <c r="DD12" s="32"/>
      <c r="DE12" s="32"/>
      <c r="DF12" s="32"/>
      <c r="DG12" s="32"/>
      <c r="DH12" s="32"/>
      <c r="DI12" s="32"/>
      <c r="DJ12" s="32"/>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s="32"/>
      <c r="EP12" s="32"/>
      <c r="EQ12" s="32"/>
      <c r="ER12" s="32"/>
      <c r="ES12" s="32"/>
      <c r="ET12" s="32"/>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c r="FZ12" s="32"/>
      <c r="GA12" s="32"/>
      <c r="GB12" s="32"/>
      <c r="GC12" s="32"/>
      <c r="GD12" s="32"/>
      <c r="GE12" s="32"/>
      <c r="GF12" s="32"/>
      <c r="GG12" s="32"/>
      <c r="GH12" s="32"/>
      <c r="GI12" s="32"/>
      <c r="GJ12" s="32"/>
      <c r="GK12" s="32"/>
      <c r="GL12" s="32"/>
      <c r="GM12" s="32"/>
      <c r="GN12" s="32"/>
      <c r="GO12" s="32"/>
      <c r="GP12" s="32"/>
      <c r="GQ12" s="32"/>
      <c r="GR12" s="32"/>
      <c r="GS12" s="32"/>
      <c r="GT12" s="32"/>
      <c r="GU12" s="32"/>
      <c r="GV12" s="32"/>
      <c r="GW12" s="32"/>
      <c r="GX12" s="32"/>
      <c r="GY12" s="32"/>
      <c r="GZ12" s="32"/>
      <c r="HA12" s="32"/>
      <c r="HB12" s="32"/>
      <c r="HC12" s="32"/>
      <c r="HD12" s="32"/>
      <c r="HE12" s="32"/>
      <c r="HF12" s="32"/>
      <c r="HG12" s="32"/>
      <c r="HH12" s="32"/>
      <c r="HI12" s="32"/>
      <c r="HJ12" s="32"/>
      <c r="HK12" s="32"/>
      <c r="HL12" s="32"/>
      <c r="HM12" s="32"/>
      <c r="HN12" s="32"/>
      <c r="HO12" s="32"/>
      <c r="HP12" s="32"/>
      <c r="HQ12" s="32"/>
      <c r="HR12" s="32"/>
      <c r="HS12" s="32"/>
      <c r="HT12" s="32"/>
      <c r="HU12" s="32"/>
      <c r="HV12" s="32"/>
      <c r="HW12" s="32"/>
      <c r="HX12" s="32"/>
      <c r="HY12" s="32"/>
      <c r="HZ12" s="32"/>
      <c r="IA12" s="32"/>
      <c r="IB12" s="32"/>
      <c r="IC12" s="32"/>
      <c r="ID12" s="32"/>
      <c r="IE12" s="32"/>
      <c r="IF12" s="32"/>
      <c r="IG12" s="32"/>
      <c r="IH12" s="32"/>
      <c r="II12" s="32"/>
      <c r="IJ12" s="32"/>
      <c r="IK12" s="32"/>
      <c r="IL12" s="32"/>
      <c r="IM12" s="32"/>
      <c r="IN12" s="32"/>
      <c r="IO12" s="32"/>
      <c r="IP12" s="32"/>
      <c r="IQ12" s="32"/>
      <c r="IR12" s="32"/>
      <c r="IS12" s="32"/>
      <c r="IT12" s="32"/>
      <c r="IU12" s="32"/>
      <c r="IV12" s="32"/>
    </row>
    <row r="13" spans="1:256" s="30" customFormat="1" ht="12" customHeight="1">
      <c r="A13" s="774" t="s">
        <v>677</v>
      </c>
      <c r="B13" s="79"/>
      <c r="C13" s="79"/>
      <c r="D13" s="161">
        <f>'Book Income Statement'!D17-'Book Income Statement'!D10</f>
        <v>15695.018833333334</v>
      </c>
      <c r="E13" s="161">
        <f>'Book Income Statement'!E17-'Book Income Statement'!E10</f>
        <v>25461.137139999999</v>
      </c>
      <c r="F13" s="161">
        <f>'Book Income Statement'!F17-'Book Income Statement'!F10</f>
        <v>25548.171254200002</v>
      </c>
      <c r="G13" s="161">
        <f>'Book Income Statement'!G17-'Book Income Statement'!G10</f>
        <v>33331.445036005098</v>
      </c>
      <c r="H13" s="161">
        <f>'Book Income Statement'!H17-'Book Income Statement'!H10</f>
        <v>39989.730121455606</v>
      </c>
      <c r="I13" s="161">
        <f>'Book Income Statement'!I17-'Book Income Statement'!I10</f>
        <v>41189.058923339267</v>
      </c>
      <c r="J13" s="161">
        <f>'Book Income Statement'!J17-'Book Income Statement'!J10</f>
        <v>41798.302148799121</v>
      </c>
      <c r="K13" s="161">
        <f>'Book Income Statement'!K17-'Book Income Statement'!K10</f>
        <v>42407.040707808366</v>
      </c>
      <c r="L13" s="161">
        <f>'Book Income Statement'!L17-'Book Income Statement'!L10</f>
        <v>43014.696001477016</v>
      </c>
      <c r="M13" s="161">
        <f>'Book Income Statement'!M17-'Book Income Statement'!M10</f>
        <v>43620.655169181569</v>
      </c>
      <c r="N13" s="161">
        <f>'Book Income Statement'!N17-'Book Income Statement'!N10</f>
        <v>44224.269553599865</v>
      </c>
      <c r="O13" s="161">
        <f>'Book Income Statement'!O17-'Book Income Statement'!O10</f>
        <v>44824.853104483787</v>
      </c>
      <c r="P13" s="161">
        <f>'Book Income Statement'!P17-'Book Income Statement'!P10</f>
        <v>45421.680718875316</v>
      </c>
      <c r="Q13" s="161">
        <f>'Book Income Statement'!Q17-'Book Income Statement'!Q10</f>
        <v>45244.004992096612</v>
      </c>
      <c r="R13" s="161">
        <f>'Book Income Statement'!R17-'Book Income Statement'!R10</f>
        <v>45807.881071108277</v>
      </c>
      <c r="S13" s="161">
        <f>'Book Income Statement'!S17-'Book Income Statement'!S10</f>
        <v>46364.881003420523</v>
      </c>
      <c r="T13" s="161">
        <f>'Book Income Statement'!T17-'Book Income Statement'!T10</f>
        <v>46914.084731760318</v>
      </c>
      <c r="U13" s="161">
        <f>'Book Income Statement'!U17-'Book Income Statement'!U10</f>
        <v>47454.523183950238</v>
      </c>
      <c r="V13" s="161">
        <f>'Book Income Statement'!V17-'Book Income Statement'!V10</f>
        <v>47985.176160065748</v>
      </c>
      <c r="W13" s="161">
        <f>'Book Income Statement'!W17-'Book Income Statement'!W10</f>
        <v>47585.571930763166</v>
      </c>
      <c r="X13" s="161">
        <f>'Book Income Statement'!X17-'Book Income Statement'!X10</f>
        <v>21540.349459893416</v>
      </c>
      <c r="Y13" s="161">
        <f>'Book Income Statement'!Y17-'Book Income Statement'!Y10</f>
        <v>0</v>
      </c>
      <c r="Z13" s="161">
        <f>'Book Income Statement'!Z17-'Book Income Statement'!Z10</f>
        <v>0</v>
      </c>
      <c r="AA13" s="161">
        <f>'Book Income Statement'!AA17-'Book Income Statement'!AA10</f>
        <v>0</v>
      </c>
      <c r="AB13" s="161">
        <f>'Book Income Statement'!AB17-'Book Income Statement'!AB10</f>
        <v>0</v>
      </c>
      <c r="AC13" s="79"/>
      <c r="AD13" s="79"/>
      <c r="AE13" s="166"/>
      <c r="AF13" s="166"/>
      <c r="AG13" s="166"/>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c r="CA13" s="32"/>
      <c r="CB13" s="32"/>
      <c r="CC13" s="32"/>
      <c r="CD13" s="32"/>
      <c r="CE13" s="32"/>
      <c r="CF13" s="32"/>
      <c r="CG13" s="32"/>
      <c r="CH13" s="32"/>
      <c r="CI13" s="32"/>
      <c r="CJ13" s="32"/>
      <c r="CK13" s="32"/>
      <c r="CL13" s="32"/>
      <c r="CM13" s="32"/>
      <c r="CN13" s="32"/>
      <c r="CO13" s="32"/>
      <c r="CP13" s="32"/>
      <c r="CQ13" s="32"/>
      <c r="CR13" s="32"/>
      <c r="CS13" s="32"/>
      <c r="CT13" s="32"/>
      <c r="CU13" s="32"/>
      <c r="CV13" s="32"/>
      <c r="CW13" s="32"/>
      <c r="CX13" s="32"/>
      <c r="CY13" s="32"/>
      <c r="CZ13" s="32"/>
      <c r="DA13" s="32"/>
      <c r="DB13" s="32"/>
      <c r="DC13" s="32"/>
      <c r="DD13" s="32"/>
      <c r="DE13" s="32"/>
      <c r="DF13" s="32"/>
      <c r="DG13" s="32"/>
      <c r="DH13" s="32"/>
      <c r="DI13" s="32"/>
      <c r="DJ13" s="32"/>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s="32"/>
      <c r="EP13" s="32"/>
      <c r="EQ13" s="32"/>
      <c r="ER13" s="32"/>
      <c r="ES13" s="32"/>
      <c r="ET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c r="FU13" s="32"/>
      <c r="FV13" s="32"/>
      <c r="FW13" s="32"/>
      <c r="FX13" s="32"/>
      <c r="FY13" s="32"/>
      <c r="FZ13" s="32"/>
      <c r="GA13" s="32"/>
      <c r="GB13" s="32"/>
      <c r="GC13" s="32"/>
      <c r="GD13" s="32"/>
      <c r="GE13" s="32"/>
      <c r="GF13" s="32"/>
      <c r="GG13" s="32"/>
      <c r="GH13" s="32"/>
      <c r="GI13" s="32"/>
      <c r="GJ13" s="32"/>
      <c r="GK13" s="32"/>
      <c r="GL13" s="32"/>
      <c r="GM13" s="32"/>
      <c r="GN13" s="32"/>
      <c r="GO13" s="32"/>
      <c r="GP13" s="32"/>
      <c r="GQ13" s="32"/>
      <c r="GR13" s="32"/>
      <c r="GS13" s="32"/>
      <c r="GT13" s="32"/>
      <c r="GU13" s="32"/>
      <c r="GV13" s="32"/>
      <c r="GW13" s="32"/>
      <c r="GX13" s="32"/>
      <c r="GY13" s="32"/>
      <c r="GZ13" s="32"/>
      <c r="HA13" s="32"/>
      <c r="HB13" s="32"/>
      <c r="HC13" s="32"/>
      <c r="HD13" s="32"/>
      <c r="HE13" s="32"/>
      <c r="HF13" s="32"/>
      <c r="HG13" s="32"/>
      <c r="HH13" s="32"/>
      <c r="HI13" s="32"/>
      <c r="HJ13" s="32"/>
      <c r="HK13" s="32"/>
      <c r="HL13" s="32"/>
      <c r="HM13" s="32"/>
      <c r="HN13" s="32"/>
      <c r="HO13" s="32"/>
      <c r="HP13" s="32"/>
      <c r="HQ13" s="32"/>
      <c r="HR13" s="32"/>
      <c r="HS13" s="32"/>
      <c r="HT13" s="32"/>
      <c r="HU13" s="32"/>
      <c r="HV13" s="32"/>
      <c r="HW13" s="32"/>
      <c r="HX13" s="32"/>
      <c r="HY13" s="32"/>
      <c r="HZ13" s="32"/>
      <c r="IA13" s="32"/>
      <c r="IB13" s="32"/>
      <c r="IC13" s="32"/>
      <c r="ID13" s="32"/>
      <c r="IE13" s="32"/>
      <c r="IF13" s="32"/>
      <c r="IG13" s="32"/>
      <c r="IH13" s="32"/>
      <c r="II13" s="32"/>
      <c r="IJ13" s="32"/>
      <c r="IK13" s="32"/>
      <c r="IL13" s="32"/>
      <c r="IM13" s="32"/>
      <c r="IN13" s="32"/>
      <c r="IO13" s="32"/>
      <c r="IP13" s="32"/>
      <c r="IQ13" s="32"/>
      <c r="IR13" s="32"/>
      <c r="IS13" s="32"/>
      <c r="IT13" s="32"/>
      <c r="IU13" s="32"/>
      <c r="IV13" s="32"/>
    </row>
    <row r="14" spans="1:256" s="30" customFormat="1" ht="12" customHeight="1">
      <c r="A14" s="774" t="s">
        <v>173</v>
      </c>
      <c r="B14" s="79"/>
      <c r="C14" s="79"/>
      <c r="D14" s="169">
        <f>IF(D$3&gt;'Project Assumtions'!$I$15+1,0,'Project Assumtions'!$N$69)</f>
        <v>1.2E-2</v>
      </c>
      <c r="E14" s="169">
        <f>IF(E3&gt;'Project Assumtions'!$I$15+1,0,'Project Assumtions'!$N$69)</f>
        <v>1.2E-2</v>
      </c>
      <c r="F14" s="169">
        <f>IF(F3&gt;'Project Assumtions'!$I$15+1,0,'Project Assumtions'!$N$69)</f>
        <v>1.2E-2</v>
      </c>
      <c r="G14" s="169">
        <f>IF(G3&gt;'Project Assumtions'!$I$15+1,0,'Project Assumtions'!$N$69)</f>
        <v>1.2E-2</v>
      </c>
      <c r="H14" s="169">
        <f>IF(H3&gt;'Project Assumtions'!$I$15+1,0,'Project Assumtions'!$N$69)</f>
        <v>1.2E-2</v>
      </c>
      <c r="I14" s="169">
        <f>IF(I3&gt;'Project Assumtions'!$I$15+1,0,'Project Assumtions'!$N$69)</f>
        <v>1.2E-2</v>
      </c>
      <c r="J14" s="169">
        <f>IF(J3&gt;'Project Assumtions'!$I$15+1,0,'Project Assumtions'!$N$69)</f>
        <v>1.2E-2</v>
      </c>
      <c r="K14" s="169">
        <f>IF(K3&gt;'Project Assumtions'!$I$15+1,0,'Project Assumtions'!$N$69)</f>
        <v>1.2E-2</v>
      </c>
      <c r="L14" s="169">
        <f>IF(L3&gt;'Project Assumtions'!$I$15+1,0,'Project Assumtions'!$N$69)</f>
        <v>1.2E-2</v>
      </c>
      <c r="M14" s="169">
        <f>IF(M3&gt;'Project Assumtions'!$I$15+1,0,'Project Assumtions'!$N$69)</f>
        <v>1.2E-2</v>
      </c>
      <c r="N14" s="169">
        <f>IF(N3&gt;'Project Assumtions'!$I$15+1,0,'Project Assumtions'!$N$69)</f>
        <v>1.2E-2</v>
      </c>
      <c r="O14" s="169">
        <f>IF(O3&gt;'Project Assumtions'!$I$15+1,0,'Project Assumtions'!$N$69)</f>
        <v>1.2E-2</v>
      </c>
      <c r="P14" s="169">
        <f>IF(P3&gt;'Project Assumtions'!$I$15+1,0,'Project Assumtions'!$N$69)</f>
        <v>1.2E-2</v>
      </c>
      <c r="Q14" s="169">
        <f>IF(Q3&gt;'Project Assumtions'!$I$15+1,0,'Project Assumtions'!$N$69)</f>
        <v>1.2E-2</v>
      </c>
      <c r="R14" s="169">
        <f>IF(R3&gt;'Project Assumtions'!$I$15+1,0,'Project Assumtions'!$N$69)</f>
        <v>1.2E-2</v>
      </c>
      <c r="S14" s="169">
        <f>IF(S3&gt;'Project Assumtions'!$I$15+1,0,'Project Assumtions'!$N$69)</f>
        <v>1.2E-2</v>
      </c>
      <c r="T14" s="169">
        <f>IF(T3&gt;'Project Assumtions'!$I$15+1,0,'Project Assumtions'!$N$69)</f>
        <v>1.2E-2</v>
      </c>
      <c r="U14" s="169">
        <f>IF(U3&gt;'Project Assumtions'!$I$15+1,0,'Project Assumtions'!$N$69)</f>
        <v>1.2E-2</v>
      </c>
      <c r="V14" s="169">
        <f>IF(V3&gt;'Project Assumtions'!$I$15+1,0,'Project Assumtions'!$N$69)</f>
        <v>1.2E-2</v>
      </c>
      <c r="W14" s="169">
        <f>IF(W3&gt;'Project Assumtions'!$I$15+1,0,'Project Assumtions'!$N$69)</f>
        <v>1.2E-2</v>
      </c>
      <c r="X14" s="169">
        <f>IF(X3&gt;'Project Assumtions'!$I$15,0,'Project Assumtions'!$N$69)</f>
        <v>0</v>
      </c>
      <c r="Y14" s="169">
        <f>IF(Y3&gt;'Project Assumtions'!$I$15,0,'Project Assumtions'!$N$69)</f>
        <v>0</v>
      </c>
      <c r="Z14" s="169">
        <f>IF(Z3&gt;'Project Assumtions'!$I$15,0,'Project Assumtions'!$N$69)</f>
        <v>0</v>
      </c>
      <c r="AA14" s="169">
        <f>IF(AA3&gt;'Project Assumtions'!$I$15,0,'Project Assumtions'!$N$69)</f>
        <v>0</v>
      </c>
      <c r="AB14" s="823">
        <f>IF(AB3&gt;'Project Assumtions'!$I$15,0,'Project Assumtions'!$N$69)</f>
        <v>0</v>
      </c>
      <c r="AC14" s="79"/>
      <c r="AD14" s="79"/>
      <c r="AE14" s="166"/>
      <c r="AF14" s="166"/>
      <c r="AG14" s="166"/>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c r="CA14" s="32"/>
      <c r="CB14" s="32"/>
      <c r="CC14" s="32"/>
      <c r="CD14" s="32"/>
      <c r="CE14" s="32"/>
      <c r="CF14" s="32"/>
      <c r="CG14" s="32"/>
      <c r="CH14" s="32"/>
      <c r="CI14" s="32"/>
      <c r="CJ14" s="32"/>
      <c r="CK14" s="32"/>
      <c r="CL14" s="32"/>
      <c r="CM14" s="32"/>
      <c r="CN14" s="32"/>
      <c r="CO14" s="32"/>
      <c r="CP14" s="32"/>
      <c r="CQ14" s="32"/>
      <c r="CR14" s="32"/>
      <c r="CS14" s="32"/>
      <c r="CT14" s="32"/>
      <c r="CU14" s="32"/>
      <c r="CV14" s="32"/>
      <c r="CW14" s="32"/>
      <c r="CX14" s="32"/>
      <c r="CY14" s="32"/>
      <c r="CZ14" s="32"/>
      <c r="DA14" s="32"/>
      <c r="DB14" s="32"/>
      <c r="DC14" s="32"/>
      <c r="DD14" s="32"/>
      <c r="DE14" s="32"/>
      <c r="DF14" s="32"/>
      <c r="DG14" s="32"/>
      <c r="DH14" s="32"/>
      <c r="DI14" s="32"/>
      <c r="DJ14" s="32"/>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s="32"/>
      <c r="EP14" s="32"/>
      <c r="EQ14" s="32"/>
      <c r="ER14" s="32"/>
      <c r="ES14" s="32"/>
      <c r="ET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c r="FR14" s="32"/>
      <c r="FS14" s="32"/>
      <c r="FT14" s="32"/>
      <c r="FU14" s="32"/>
      <c r="FV14" s="32"/>
      <c r="FW14" s="32"/>
      <c r="FX14" s="32"/>
      <c r="FY14" s="32"/>
      <c r="FZ14" s="32"/>
      <c r="GA14" s="32"/>
      <c r="GB14" s="32"/>
      <c r="GC14" s="32"/>
      <c r="GD14" s="32"/>
      <c r="GE14" s="32"/>
      <c r="GF14" s="32"/>
      <c r="GG14" s="32"/>
      <c r="GH14" s="32"/>
      <c r="GI14" s="32"/>
      <c r="GJ14" s="32"/>
      <c r="GK14" s="32"/>
      <c r="GL14" s="32"/>
      <c r="GM14" s="32"/>
      <c r="GN14" s="32"/>
      <c r="GO14" s="32"/>
      <c r="GP14" s="32"/>
      <c r="GQ14" s="32"/>
      <c r="GR14" s="32"/>
      <c r="GS14" s="32"/>
      <c r="GT14" s="32"/>
      <c r="GU14" s="32"/>
      <c r="GV14" s="32"/>
      <c r="GW14" s="32"/>
      <c r="GX14" s="32"/>
      <c r="GY14" s="32"/>
      <c r="GZ14" s="32"/>
      <c r="HA14" s="32"/>
      <c r="HB14" s="32"/>
      <c r="HC14" s="32"/>
      <c r="HD14" s="32"/>
      <c r="HE14" s="32"/>
      <c r="HF14" s="32"/>
      <c r="HG14" s="32"/>
      <c r="HH14" s="32"/>
      <c r="HI14" s="32"/>
      <c r="HJ14" s="32"/>
      <c r="HK14" s="32"/>
      <c r="HL14" s="32"/>
      <c r="HM14" s="32"/>
      <c r="HN14" s="32"/>
      <c r="HO14" s="32"/>
      <c r="HP14" s="32"/>
      <c r="HQ14" s="32"/>
      <c r="HR14" s="32"/>
      <c r="HS14" s="32"/>
      <c r="HT14" s="32"/>
      <c r="HU14" s="32"/>
      <c r="HV14" s="32"/>
      <c r="HW14" s="32"/>
      <c r="HX14" s="32"/>
      <c r="HY14" s="32"/>
      <c r="HZ14" s="32"/>
      <c r="IA14" s="32"/>
      <c r="IB14" s="32"/>
      <c r="IC14" s="32"/>
      <c r="ID14" s="32"/>
      <c r="IE14" s="32"/>
      <c r="IF14" s="32"/>
      <c r="IG14" s="32"/>
      <c r="IH14" s="32"/>
      <c r="II14" s="32"/>
      <c r="IJ14" s="32"/>
      <c r="IK14" s="32"/>
      <c r="IL14" s="32"/>
      <c r="IM14" s="32"/>
      <c r="IN14" s="32"/>
      <c r="IO14" s="32"/>
      <c r="IP14" s="32"/>
      <c r="IQ14" s="32"/>
      <c r="IR14" s="32"/>
      <c r="IS14" s="32"/>
      <c r="IT14" s="32"/>
      <c r="IU14" s="32"/>
      <c r="IV14" s="32"/>
    </row>
    <row r="15" spans="1:256" s="30" customFormat="1" ht="12" customHeight="1">
      <c r="A15" s="772" t="s">
        <v>174</v>
      </c>
      <c r="B15" s="179"/>
      <c r="C15" s="179"/>
      <c r="D15" s="468">
        <f>D13*D14</f>
        <v>188.340226</v>
      </c>
      <c r="E15" s="468">
        <f t="shared" ref="E15:AB15" si="3">E13*E14</f>
        <v>305.53364568000001</v>
      </c>
      <c r="F15" s="468">
        <f t="shared" si="3"/>
        <v>306.57805505040005</v>
      </c>
      <c r="G15" s="468">
        <f t="shared" si="3"/>
        <v>399.97734043206117</v>
      </c>
      <c r="H15" s="468">
        <f t="shared" si="3"/>
        <v>479.8767614574673</v>
      </c>
      <c r="I15" s="468">
        <f t="shared" si="3"/>
        <v>494.26870708007124</v>
      </c>
      <c r="J15" s="468">
        <f t="shared" si="3"/>
        <v>501.57962578558949</v>
      </c>
      <c r="K15" s="468">
        <f t="shared" si="3"/>
        <v>508.88448849370042</v>
      </c>
      <c r="L15" s="468">
        <f t="shared" si="3"/>
        <v>516.17635201772418</v>
      </c>
      <c r="M15" s="468">
        <f t="shared" si="3"/>
        <v>523.44786203017884</v>
      </c>
      <c r="N15" s="468">
        <f t="shared" si="3"/>
        <v>530.69123464319841</v>
      </c>
      <c r="O15" s="468">
        <f t="shared" si="3"/>
        <v>537.89823725380541</v>
      </c>
      <c r="P15" s="468">
        <f t="shared" si="3"/>
        <v>545.06016862650381</v>
      </c>
      <c r="Q15" s="468">
        <f t="shared" si="3"/>
        <v>542.92805990515933</v>
      </c>
      <c r="R15" s="468">
        <f t="shared" si="3"/>
        <v>549.69457285329929</v>
      </c>
      <c r="S15" s="468">
        <f t="shared" si="3"/>
        <v>556.37857204104625</v>
      </c>
      <c r="T15" s="468">
        <f t="shared" si="3"/>
        <v>562.96901678112386</v>
      </c>
      <c r="U15" s="468">
        <f t="shared" si="3"/>
        <v>569.45427820740281</v>
      </c>
      <c r="V15" s="468">
        <f t="shared" si="3"/>
        <v>575.82211392078898</v>
      </c>
      <c r="W15" s="468">
        <f t="shared" si="3"/>
        <v>571.02686316915799</v>
      </c>
      <c r="X15" s="468">
        <f t="shared" si="3"/>
        <v>0</v>
      </c>
      <c r="Y15" s="468">
        <f t="shared" si="3"/>
        <v>0</v>
      </c>
      <c r="Z15" s="468">
        <f t="shared" si="3"/>
        <v>0</v>
      </c>
      <c r="AA15" s="468">
        <f t="shared" si="3"/>
        <v>0</v>
      </c>
      <c r="AB15" s="824">
        <f t="shared" si="3"/>
        <v>0</v>
      </c>
      <c r="AC15" s="79"/>
      <c r="AD15" s="79"/>
      <c r="AE15" s="166"/>
      <c r="AF15" s="166"/>
      <c r="AG15" s="166"/>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c r="CA15" s="32"/>
      <c r="CB15" s="32"/>
      <c r="CC15" s="32"/>
      <c r="CD15" s="32"/>
      <c r="CE15" s="32"/>
      <c r="CF15" s="32"/>
      <c r="CG15" s="32"/>
      <c r="CH15" s="32"/>
      <c r="CI15" s="32"/>
      <c r="CJ15" s="32"/>
      <c r="CK15" s="32"/>
      <c r="CL15" s="32"/>
      <c r="CM15" s="32"/>
      <c r="CN15" s="32"/>
      <c r="CO15" s="32"/>
      <c r="CP15" s="32"/>
      <c r="CQ15" s="32"/>
      <c r="CR15" s="32"/>
      <c r="CS15" s="32"/>
      <c r="CT15" s="32"/>
      <c r="CU15" s="32"/>
      <c r="CV15" s="32"/>
      <c r="CW15" s="32"/>
      <c r="CX15" s="32"/>
      <c r="CY15" s="32"/>
      <c r="CZ15" s="32"/>
      <c r="DA15" s="32"/>
      <c r="DB15" s="32"/>
      <c r="DC15" s="32"/>
      <c r="DD15" s="32"/>
      <c r="DE15" s="32"/>
      <c r="DF15" s="32"/>
      <c r="DG15" s="32"/>
      <c r="DH15" s="32"/>
      <c r="DI15" s="32"/>
      <c r="DJ15" s="32"/>
      <c r="DK15" s="32"/>
      <c r="DL15" s="32"/>
      <c r="DM15" s="32"/>
      <c r="DN15" s="32"/>
      <c r="DO15" s="32"/>
      <c r="DP15" s="32"/>
      <c r="DQ15" s="32"/>
      <c r="DR15" s="32"/>
      <c r="DS15" s="32"/>
      <c r="DT15" s="32"/>
      <c r="DU15" s="32"/>
      <c r="DV15" s="32"/>
      <c r="DW15" s="32"/>
      <c r="DX15" s="32"/>
      <c r="DY15" s="32"/>
      <c r="DZ15" s="32"/>
      <c r="EA15" s="32"/>
      <c r="EB15" s="32"/>
      <c r="EC15" s="32"/>
      <c r="ED15" s="32"/>
      <c r="EE15" s="32"/>
      <c r="EF15" s="32"/>
      <c r="EG15" s="32"/>
      <c r="EH15" s="32"/>
      <c r="EI15" s="32"/>
      <c r="EJ15" s="32"/>
      <c r="EK15" s="32"/>
      <c r="EL15" s="32"/>
      <c r="EM15" s="32"/>
      <c r="EN15" s="32"/>
      <c r="EO15" s="32"/>
      <c r="EP15" s="32"/>
      <c r="EQ15" s="32"/>
      <c r="ER15" s="32"/>
      <c r="ES15" s="32"/>
      <c r="ET15" s="32"/>
      <c r="EU15" s="32"/>
      <c r="EV15" s="32"/>
      <c r="EW15" s="32"/>
      <c r="EX15" s="32"/>
      <c r="EY15" s="32"/>
      <c r="EZ15" s="32"/>
      <c r="FA15" s="32"/>
      <c r="FB15" s="32"/>
      <c r="FC15" s="32"/>
      <c r="FD15" s="32"/>
      <c r="FE15" s="32"/>
      <c r="FF15" s="32"/>
      <c r="FG15" s="32"/>
      <c r="FH15" s="32"/>
      <c r="FI15" s="32"/>
      <c r="FJ15" s="32"/>
      <c r="FK15" s="32"/>
      <c r="FL15" s="32"/>
      <c r="FM15" s="32"/>
      <c r="FN15" s="32"/>
      <c r="FO15" s="32"/>
      <c r="FP15" s="32"/>
      <c r="FQ15" s="32"/>
      <c r="FR15" s="32"/>
      <c r="FS15" s="32"/>
      <c r="FT15" s="32"/>
      <c r="FU15" s="32"/>
      <c r="FV15" s="32"/>
      <c r="FW15" s="32"/>
      <c r="FX15" s="32"/>
      <c r="FY15" s="32"/>
      <c r="FZ15" s="32"/>
      <c r="GA15" s="32"/>
      <c r="GB15" s="32"/>
      <c r="GC15" s="32"/>
      <c r="GD15" s="32"/>
      <c r="GE15" s="32"/>
      <c r="GF15" s="32"/>
      <c r="GG15" s="32"/>
      <c r="GH15" s="32"/>
      <c r="GI15" s="32"/>
      <c r="GJ15" s="32"/>
      <c r="GK15" s="32"/>
      <c r="GL15" s="32"/>
      <c r="GM15" s="32"/>
      <c r="GN15" s="32"/>
      <c r="GO15" s="32"/>
      <c r="GP15" s="32"/>
      <c r="GQ15" s="32"/>
      <c r="GR15" s="32"/>
      <c r="GS15" s="32"/>
      <c r="GT15" s="32"/>
      <c r="GU15" s="32"/>
      <c r="GV15" s="32"/>
      <c r="GW15" s="32"/>
      <c r="GX15" s="32"/>
      <c r="GY15" s="32"/>
      <c r="GZ15" s="32"/>
      <c r="HA15" s="32"/>
      <c r="HB15" s="32"/>
      <c r="HC15" s="32"/>
      <c r="HD15" s="32"/>
      <c r="HE15" s="32"/>
      <c r="HF15" s="32"/>
      <c r="HG15" s="32"/>
      <c r="HH15" s="32"/>
      <c r="HI15" s="32"/>
      <c r="HJ15" s="32"/>
      <c r="HK15" s="32"/>
      <c r="HL15" s="32"/>
      <c r="HM15" s="32"/>
      <c r="HN15" s="32"/>
      <c r="HO15" s="32"/>
      <c r="HP15" s="32"/>
      <c r="HQ15" s="32"/>
      <c r="HR15" s="32"/>
      <c r="HS15" s="32"/>
      <c r="HT15" s="32"/>
      <c r="HU15" s="32"/>
      <c r="HV15" s="32"/>
      <c r="HW15" s="32"/>
      <c r="HX15" s="32"/>
      <c r="HY15" s="32"/>
      <c r="HZ15" s="32"/>
      <c r="IA15" s="32"/>
      <c r="IB15" s="32"/>
      <c r="IC15" s="32"/>
      <c r="ID15" s="32"/>
      <c r="IE15" s="32"/>
      <c r="IF15" s="32"/>
      <c r="IG15" s="32"/>
      <c r="IH15" s="32"/>
      <c r="II15" s="32"/>
      <c r="IJ15" s="32"/>
      <c r="IK15" s="32"/>
      <c r="IL15" s="32"/>
      <c r="IM15" s="32"/>
      <c r="IN15" s="32"/>
      <c r="IO15" s="32"/>
      <c r="IP15" s="32"/>
      <c r="IQ15" s="32"/>
      <c r="IR15" s="32"/>
      <c r="IS15" s="32"/>
      <c r="IT15" s="32"/>
      <c r="IU15" s="32"/>
      <c r="IV15" s="32"/>
    </row>
    <row r="16" spans="1:256" s="30" customFormat="1" ht="12" customHeight="1">
      <c r="A16" s="772"/>
      <c r="B16" s="179"/>
      <c r="C16" s="179"/>
      <c r="D16" s="468"/>
      <c r="E16" s="468"/>
      <c r="F16" s="468"/>
      <c r="G16" s="468"/>
      <c r="H16" s="468"/>
      <c r="I16" s="468"/>
      <c r="J16" s="468"/>
      <c r="K16" s="468"/>
      <c r="L16" s="468"/>
      <c r="M16" s="468"/>
      <c r="N16" s="468"/>
      <c r="O16" s="468"/>
      <c r="P16" s="468"/>
      <c r="Q16" s="468"/>
      <c r="R16" s="468"/>
      <c r="S16" s="468"/>
      <c r="T16" s="468"/>
      <c r="U16" s="468"/>
      <c r="V16" s="468"/>
      <c r="W16" s="468"/>
      <c r="X16" s="468"/>
      <c r="Y16" s="468"/>
      <c r="Z16" s="468"/>
      <c r="AA16" s="468"/>
      <c r="AB16" s="824"/>
      <c r="AC16" s="79"/>
      <c r="AD16" s="79"/>
      <c r="AE16" s="166"/>
      <c r="AF16" s="166"/>
      <c r="AG16" s="166"/>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c r="BL16" s="32"/>
      <c r="BM16" s="32"/>
      <c r="BN16" s="32"/>
      <c r="BO16" s="32"/>
      <c r="BP16" s="32"/>
      <c r="BQ16" s="32"/>
      <c r="BR16" s="32"/>
      <c r="BS16" s="32"/>
      <c r="BT16" s="32"/>
      <c r="BU16" s="32"/>
      <c r="BV16" s="32"/>
      <c r="BW16" s="32"/>
      <c r="BX16" s="32"/>
      <c r="BY16" s="32"/>
      <c r="BZ16" s="32"/>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2"/>
      <c r="DK16" s="32"/>
      <c r="DL16" s="32"/>
      <c r="DM16" s="32"/>
      <c r="DN16" s="32"/>
      <c r="DO16" s="32"/>
      <c r="DP16" s="32"/>
      <c r="DQ16" s="32"/>
      <c r="DR16" s="32"/>
      <c r="DS16" s="32"/>
      <c r="DT16" s="32"/>
      <c r="DU16" s="32"/>
      <c r="DV16" s="32"/>
      <c r="DW16" s="32"/>
      <c r="DX16" s="32"/>
      <c r="DY16" s="32"/>
      <c r="DZ16" s="32"/>
      <c r="EA16" s="32"/>
      <c r="EB16" s="32"/>
      <c r="EC16" s="32"/>
      <c r="ED16" s="32"/>
      <c r="EE16" s="32"/>
      <c r="EF16" s="32"/>
      <c r="EG16" s="32"/>
      <c r="EH16" s="32"/>
      <c r="EI16" s="32"/>
      <c r="EJ16" s="32"/>
      <c r="EK16" s="32"/>
      <c r="EL16" s="32"/>
      <c r="EM16" s="32"/>
      <c r="EN16" s="32"/>
      <c r="EO16" s="32"/>
      <c r="EP16" s="32"/>
      <c r="EQ16" s="32"/>
      <c r="ER16" s="32"/>
      <c r="ES16" s="32"/>
      <c r="ET16" s="32"/>
      <c r="EU16" s="32"/>
      <c r="EV16" s="32"/>
      <c r="EW16" s="32"/>
      <c r="EX16" s="32"/>
      <c r="EY16" s="32"/>
      <c r="EZ16" s="32"/>
      <c r="FA16" s="32"/>
      <c r="FB16" s="32"/>
      <c r="FC16" s="32"/>
      <c r="FD16" s="32"/>
      <c r="FE16" s="32"/>
      <c r="FF16" s="32"/>
      <c r="FG16" s="32"/>
      <c r="FH16" s="32"/>
      <c r="FI16" s="32"/>
      <c r="FJ16" s="32"/>
      <c r="FK16" s="32"/>
      <c r="FL16" s="32"/>
      <c r="FM16" s="32"/>
      <c r="FN16" s="32"/>
      <c r="FO16" s="32"/>
      <c r="FP16" s="32"/>
      <c r="FQ16" s="32"/>
      <c r="FR16" s="32"/>
      <c r="FS16" s="32"/>
      <c r="FT16" s="32"/>
      <c r="FU16" s="32"/>
      <c r="FV16" s="32"/>
      <c r="FW16" s="32"/>
      <c r="FX16" s="32"/>
      <c r="FY16" s="32"/>
      <c r="FZ16" s="32"/>
      <c r="GA16" s="32"/>
      <c r="GB16" s="32"/>
      <c r="GC16" s="32"/>
      <c r="GD16" s="32"/>
      <c r="GE16" s="32"/>
      <c r="GF16" s="32"/>
      <c r="GG16" s="32"/>
      <c r="GH16" s="32"/>
      <c r="GI16" s="32"/>
      <c r="GJ16" s="32"/>
      <c r="GK16" s="32"/>
      <c r="GL16" s="32"/>
      <c r="GM16" s="32"/>
      <c r="GN16" s="32"/>
      <c r="GO16" s="32"/>
      <c r="GP16" s="32"/>
      <c r="GQ16" s="32"/>
      <c r="GR16" s="32"/>
      <c r="GS16" s="32"/>
      <c r="GT16" s="32"/>
      <c r="GU16" s="32"/>
      <c r="GV16" s="32"/>
      <c r="GW16" s="32"/>
      <c r="GX16" s="32"/>
      <c r="GY16" s="32"/>
      <c r="GZ16" s="32"/>
      <c r="HA16" s="32"/>
      <c r="HB16" s="32"/>
      <c r="HC16" s="32"/>
      <c r="HD16" s="32"/>
      <c r="HE16" s="32"/>
      <c r="HF16" s="32"/>
      <c r="HG16" s="32"/>
      <c r="HH16" s="32"/>
      <c r="HI16" s="32"/>
      <c r="HJ16" s="32"/>
      <c r="HK16" s="32"/>
      <c r="HL16" s="32"/>
      <c r="HM16" s="32"/>
      <c r="HN16" s="32"/>
      <c r="HO16" s="32"/>
      <c r="HP16" s="32"/>
      <c r="HQ16" s="32"/>
      <c r="HR16" s="32"/>
      <c r="HS16" s="32"/>
      <c r="HT16" s="32"/>
      <c r="HU16" s="32"/>
      <c r="HV16" s="32"/>
      <c r="HW16" s="32"/>
      <c r="HX16" s="32"/>
      <c r="HY16" s="32"/>
      <c r="HZ16" s="32"/>
      <c r="IA16" s="32"/>
      <c r="IB16" s="32"/>
      <c r="IC16" s="32"/>
      <c r="ID16" s="32"/>
      <c r="IE16" s="32"/>
      <c r="IF16" s="32"/>
      <c r="IG16" s="32"/>
      <c r="IH16" s="32"/>
      <c r="II16" s="32"/>
      <c r="IJ16" s="32"/>
      <c r="IK16" s="32"/>
      <c r="IL16" s="32"/>
      <c r="IM16" s="32"/>
      <c r="IN16" s="32"/>
      <c r="IO16" s="32"/>
      <c r="IP16" s="32"/>
      <c r="IQ16" s="32"/>
      <c r="IR16" s="32"/>
      <c r="IS16" s="32"/>
      <c r="IT16" s="32"/>
      <c r="IU16" s="32"/>
      <c r="IV16" s="32"/>
    </row>
    <row r="17" spans="1:256" s="30" customFormat="1" ht="12" customHeight="1">
      <c r="A17" s="772" t="s">
        <v>466</v>
      </c>
      <c r="B17" s="179"/>
      <c r="C17" s="179"/>
      <c r="D17" s="468">
        <f t="shared" ref="D17:AB17" si="4">MAX(D10,D15)</f>
        <v>188.340226</v>
      </c>
      <c r="E17" s="468">
        <f t="shared" si="4"/>
        <v>305.53364568000001</v>
      </c>
      <c r="F17" s="468">
        <f t="shared" si="4"/>
        <v>306.57805505040005</v>
      </c>
      <c r="G17" s="468">
        <f t="shared" si="4"/>
        <v>485.22664943272241</v>
      </c>
      <c r="H17" s="468">
        <f t="shared" si="4"/>
        <v>719.59660074161229</v>
      </c>
      <c r="I17" s="468">
        <f t="shared" si="4"/>
        <v>772.47795082944276</v>
      </c>
      <c r="J17" s="468">
        <f t="shared" si="4"/>
        <v>801.53325576365933</v>
      </c>
      <c r="K17" s="468">
        <f t="shared" si="4"/>
        <v>826.61227952020636</v>
      </c>
      <c r="L17" s="468">
        <f t="shared" si="4"/>
        <v>852.81216471480923</v>
      </c>
      <c r="M17" s="468">
        <f t="shared" si="4"/>
        <v>890.65486476058686</v>
      </c>
      <c r="N17" s="468">
        <f t="shared" si="4"/>
        <v>934.60063999110105</v>
      </c>
      <c r="O17" s="468">
        <f t="shared" si="4"/>
        <v>949.03289389606118</v>
      </c>
      <c r="P17" s="468">
        <f t="shared" si="4"/>
        <v>970.63666034439393</v>
      </c>
      <c r="Q17" s="468">
        <f t="shared" si="4"/>
        <v>965.33823383571587</v>
      </c>
      <c r="R17" s="468">
        <f t="shared" si="4"/>
        <v>985.32061534102752</v>
      </c>
      <c r="S17" s="468">
        <f t="shared" si="4"/>
        <v>1004.8117592088589</v>
      </c>
      <c r="T17" s="468">
        <f t="shared" si="4"/>
        <v>1023.7723566789643</v>
      </c>
      <c r="U17" s="468">
        <f t="shared" si="4"/>
        <v>1051.2163396431367</v>
      </c>
      <c r="V17" s="468">
        <f t="shared" si="4"/>
        <v>1081.6673926725593</v>
      </c>
      <c r="W17" s="468">
        <f t="shared" si="4"/>
        <v>1085.2409640649389</v>
      </c>
      <c r="X17" s="468">
        <f t="shared" si="4"/>
        <v>304.68945202003727</v>
      </c>
      <c r="Y17" s="468">
        <f t="shared" si="4"/>
        <v>0</v>
      </c>
      <c r="Z17" s="468">
        <f t="shared" si="4"/>
        <v>0</v>
      </c>
      <c r="AA17" s="468">
        <f t="shared" si="4"/>
        <v>0</v>
      </c>
      <c r="AB17" s="824">
        <f t="shared" si="4"/>
        <v>0</v>
      </c>
      <c r="AC17" s="79"/>
      <c r="AD17" s="79"/>
      <c r="AE17" s="166"/>
      <c r="AF17" s="166"/>
      <c r="AG17" s="166"/>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c r="BO17" s="32"/>
      <c r="BP17" s="32"/>
      <c r="BQ17" s="32"/>
      <c r="BR17" s="32"/>
      <c r="BS17" s="32"/>
      <c r="BT17" s="32"/>
      <c r="BU17" s="32"/>
      <c r="BV17" s="32"/>
      <c r="BW17" s="32"/>
      <c r="BX17" s="32"/>
      <c r="BY17" s="32"/>
      <c r="BZ17" s="32"/>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2"/>
      <c r="DK17" s="32"/>
      <c r="DL17" s="32"/>
      <c r="DM17" s="32"/>
      <c r="DN17" s="32"/>
      <c r="DO17" s="32"/>
      <c r="DP17" s="32"/>
      <c r="DQ17" s="32"/>
      <c r="DR17" s="32"/>
      <c r="DS17" s="32"/>
      <c r="DT17" s="32"/>
      <c r="DU17" s="32"/>
      <c r="DV17" s="32"/>
      <c r="DW17" s="32"/>
      <c r="DX17" s="32"/>
      <c r="DY17" s="32"/>
      <c r="DZ17" s="32"/>
      <c r="EA17" s="32"/>
      <c r="EB17" s="32"/>
      <c r="EC17" s="32"/>
      <c r="ED17" s="32"/>
      <c r="EE17" s="32"/>
      <c r="EF17" s="32"/>
      <c r="EG17" s="32"/>
      <c r="EH17" s="32"/>
      <c r="EI17" s="32"/>
      <c r="EJ17" s="32"/>
      <c r="EK17" s="32"/>
      <c r="EL17" s="32"/>
      <c r="EM17" s="32"/>
      <c r="EN17" s="32"/>
      <c r="EO17" s="32"/>
      <c r="EP17" s="32"/>
      <c r="EQ17" s="32"/>
      <c r="ER17" s="32"/>
      <c r="ES17" s="32"/>
      <c r="ET17" s="32"/>
      <c r="EU17" s="32"/>
      <c r="EV17" s="32"/>
      <c r="EW17" s="32"/>
      <c r="EX17" s="32"/>
      <c r="EY17" s="32"/>
      <c r="EZ17" s="32"/>
      <c r="FA17" s="32"/>
      <c r="FB17" s="32"/>
      <c r="FC17" s="32"/>
      <c r="FD17" s="32"/>
      <c r="FE17" s="32"/>
      <c r="FF17" s="32"/>
      <c r="FG17" s="32"/>
      <c r="FH17" s="32"/>
      <c r="FI17" s="32"/>
      <c r="FJ17" s="32"/>
      <c r="FK17" s="32"/>
      <c r="FL17" s="32"/>
      <c r="FM17" s="32"/>
      <c r="FN17" s="32"/>
      <c r="FO17" s="32"/>
      <c r="FP17" s="32"/>
      <c r="FQ17" s="32"/>
      <c r="FR17" s="32"/>
      <c r="FS17" s="32"/>
      <c r="FT17" s="32"/>
      <c r="FU17" s="32"/>
      <c r="FV17" s="32"/>
      <c r="FW17" s="32"/>
      <c r="FX17" s="32"/>
      <c r="FY17" s="32"/>
      <c r="FZ17" s="32"/>
      <c r="GA17" s="32"/>
      <c r="GB17" s="32"/>
      <c r="GC17" s="32"/>
      <c r="GD17" s="32"/>
      <c r="GE17" s="32"/>
      <c r="GF17" s="32"/>
      <c r="GG17" s="32"/>
      <c r="GH17" s="32"/>
      <c r="GI17" s="32"/>
      <c r="GJ17" s="32"/>
      <c r="GK17" s="32"/>
      <c r="GL17" s="32"/>
      <c r="GM17" s="32"/>
      <c r="GN17" s="32"/>
      <c r="GO17" s="32"/>
      <c r="GP17" s="32"/>
      <c r="GQ17" s="32"/>
      <c r="GR17" s="32"/>
      <c r="GS17" s="32"/>
      <c r="GT17" s="32"/>
      <c r="GU17" s="32"/>
      <c r="GV17" s="32"/>
      <c r="GW17" s="32"/>
      <c r="GX17" s="32"/>
      <c r="GY17" s="32"/>
      <c r="GZ17" s="32"/>
      <c r="HA17" s="32"/>
      <c r="HB17" s="32"/>
      <c r="HC17" s="32"/>
      <c r="HD17" s="32"/>
      <c r="HE17" s="32"/>
      <c r="HF17" s="32"/>
      <c r="HG17" s="32"/>
      <c r="HH17" s="32"/>
      <c r="HI17" s="32"/>
      <c r="HJ17" s="32"/>
      <c r="HK17" s="32"/>
      <c r="HL17" s="32"/>
      <c r="HM17" s="32"/>
      <c r="HN17" s="32"/>
      <c r="HO17" s="32"/>
      <c r="HP17" s="32"/>
      <c r="HQ17" s="32"/>
      <c r="HR17" s="32"/>
      <c r="HS17" s="32"/>
      <c r="HT17" s="32"/>
      <c r="HU17" s="32"/>
      <c r="HV17" s="32"/>
      <c r="HW17" s="32"/>
      <c r="HX17" s="32"/>
      <c r="HY17" s="32"/>
      <c r="HZ17" s="32"/>
      <c r="IA17" s="32"/>
      <c r="IB17" s="32"/>
      <c r="IC17" s="32"/>
      <c r="ID17" s="32"/>
      <c r="IE17" s="32"/>
      <c r="IF17" s="32"/>
      <c r="IG17" s="32"/>
      <c r="IH17" s="32"/>
      <c r="II17" s="32"/>
      <c r="IJ17" s="32"/>
      <c r="IK17" s="32"/>
      <c r="IL17" s="32"/>
      <c r="IM17" s="32"/>
      <c r="IN17" s="32"/>
      <c r="IO17" s="32"/>
      <c r="IP17" s="32"/>
      <c r="IQ17" s="32"/>
      <c r="IR17" s="32"/>
      <c r="IS17" s="32"/>
      <c r="IT17" s="32"/>
      <c r="IU17" s="32"/>
      <c r="IV17" s="32"/>
    </row>
    <row r="18" spans="1:256" ht="12" customHeight="1">
      <c r="A18" s="820"/>
      <c r="B18" s="79"/>
      <c r="C18" s="79"/>
      <c r="D18" s="79"/>
      <c r="E18" s="79"/>
      <c r="F18" s="79"/>
      <c r="G18" s="79"/>
      <c r="H18" s="79"/>
      <c r="I18" s="79"/>
      <c r="J18" s="79"/>
      <c r="K18" s="79"/>
      <c r="L18" s="79"/>
      <c r="M18" s="79"/>
      <c r="N18" s="79"/>
      <c r="O18" s="79"/>
      <c r="P18" s="79"/>
      <c r="Q18" s="79"/>
      <c r="R18" s="79"/>
      <c r="S18" s="79"/>
      <c r="T18" s="79"/>
      <c r="U18" s="79"/>
      <c r="V18" s="79"/>
      <c r="W18" s="79"/>
      <c r="X18" s="79"/>
      <c r="Y18" s="79"/>
      <c r="Z18" s="79"/>
      <c r="AA18" s="79"/>
      <c r="AB18" s="556"/>
      <c r="AC18" s="79"/>
      <c r="AD18" s="79"/>
    </row>
    <row r="19" spans="1:256" ht="12" customHeight="1">
      <c r="A19" s="821" t="s">
        <v>171</v>
      </c>
      <c r="B19" s="79"/>
      <c r="C19" s="79"/>
      <c r="D19" s="79"/>
      <c r="E19" s="79"/>
      <c r="F19" s="79"/>
      <c r="G19" s="79"/>
      <c r="H19" s="79"/>
      <c r="I19" s="79"/>
      <c r="J19" s="79"/>
      <c r="K19" s="79"/>
      <c r="L19" s="79"/>
      <c r="M19" s="79"/>
      <c r="N19" s="79"/>
      <c r="O19" s="79"/>
      <c r="P19" s="79"/>
      <c r="Q19" s="79"/>
      <c r="R19" s="79"/>
      <c r="S19" s="79"/>
      <c r="T19" s="79"/>
      <c r="U19" s="79"/>
      <c r="V19" s="79"/>
      <c r="W19" s="79"/>
      <c r="X19" s="79"/>
      <c r="Y19" s="79"/>
      <c r="Z19" s="79"/>
      <c r="AA19" s="79"/>
      <c r="AB19" s="556"/>
      <c r="AC19" s="79"/>
      <c r="AD19" s="79"/>
    </row>
    <row r="20" spans="1:256" s="26" customFormat="1" ht="12" customHeight="1">
      <c r="A20" s="774" t="s">
        <v>92</v>
      </c>
      <c r="B20" s="196"/>
      <c r="C20" s="161"/>
      <c r="D20" s="161">
        <f>'Book Income Statement'!D72</f>
        <v>-317.67656765076936</v>
      </c>
      <c r="E20" s="161">
        <f>'Book Income Statement'!E72</f>
        <v>6298.884329398963</v>
      </c>
      <c r="F20" s="161">
        <f>'Book Income Statement'!F72</f>
        <v>6462.0452918068895</v>
      </c>
      <c r="G20" s="161">
        <f>'Book Income Statement'!G72</f>
        <v>14271.372042138893</v>
      </c>
      <c r="H20" s="161">
        <f>'Book Income Statement'!H72</f>
        <v>21164.605904165066</v>
      </c>
      <c r="I20" s="161">
        <f>'Book Income Statement'!I72</f>
        <v>22719.939730277725</v>
      </c>
      <c r="J20" s="161">
        <f>'Book Income Statement'!J72</f>
        <v>23574.507522460568</v>
      </c>
      <c r="K20" s="161">
        <f>'Book Income Statement'!K72</f>
        <v>24312.125868241361</v>
      </c>
      <c r="L20" s="161">
        <f>'Book Income Statement'!L72</f>
        <v>25082.710726906153</v>
      </c>
      <c r="M20" s="161">
        <f>'Book Income Statement'!M72</f>
        <v>26195.731316487847</v>
      </c>
      <c r="N20" s="161">
        <f>'Book Income Statement'!N72</f>
        <v>27488.254117385324</v>
      </c>
      <c r="O20" s="161">
        <f>'Book Income Statement'!O72</f>
        <v>27912.732173413562</v>
      </c>
      <c r="P20" s="161">
        <f>'Book Income Statement'!P72</f>
        <v>28548.137068952761</v>
      </c>
      <c r="Q20" s="161">
        <f>'Book Income Statement'!Q72</f>
        <v>28392.300995168112</v>
      </c>
      <c r="R20" s="161">
        <f>'Book Income Statement'!R72</f>
        <v>28980.018098265515</v>
      </c>
      <c r="S20" s="161">
        <f>'Book Income Statement'!S72</f>
        <v>29553.287035554673</v>
      </c>
      <c r="T20" s="161">
        <f>'Book Income Statement'!T72</f>
        <v>30110.951667028359</v>
      </c>
      <c r="U20" s="161">
        <f>'Book Income Statement'!U72</f>
        <v>30918.127636562844</v>
      </c>
      <c r="V20" s="161">
        <f>'Book Income Statement'!V72</f>
        <v>31813.746843310568</v>
      </c>
      <c r="W20" s="161">
        <f>'Book Income Statement'!W72</f>
        <v>31918.851884262909</v>
      </c>
      <c r="X20" s="161">
        <f>'Book Income Statement'!X72</f>
        <v>8961.4544711775652</v>
      </c>
      <c r="Y20" s="161">
        <f>'Book Income Statement'!Y72</f>
        <v>0</v>
      </c>
      <c r="Z20" s="161">
        <f>'Book Income Statement'!Z72</f>
        <v>0</v>
      </c>
      <c r="AA20" s="161">
        <f>'Book Income Statement'!AA72</f>
        <v>0</v>
      </c>
      <c r="AB20" s="822">
        <f>'Book Income Statement'!AB72</f>
        <v>0</v>
      </c>
      <c r="AC20" s="161"/>
      <c r="AD20" s="161"/>
      <c r="AE20" s="152"/>
      <c r="AF20" s="152"/>
      <c r="AG20" s="152"/>
    </row>
    <row r="21" spans="1:256" s="26" customFormat="1" ht="12" customHeight="1">
      <c r="A21" s="774" t="s">
        <v>465</v>
      </c>
      <c r="B21" s="196"/>
      <c r="C21" s="161"/>
      <c r="D21" s="161">
        <v>0</v>
      </c>
      <c r="E21" s="161">
        <v>0</v>
      </c>
      <c r="F21" s="161">
        <v>0</v>
      </c>
      <c r="G21" s="161">
        <v>0</v>
      </c>
      <c r="H21" s="161">
        <v>0</v>
      </c>
      <c r="I21" s="161">
        <v>0</v>
      </c>
      <c r="J21" s="161">
        <v>0</v>
      </c>
      <c r="K21" s="161">
        <v>0</v>
      </c>
      <c r="L21" s="161">
        <v>0</v>
      </c>
      <c r="M21" s="161">
        <v>0</v>
      </c>
      <c r="N21" s="161">
        <v>0</v>
      </c>
      <c r="O21" s="161">
        <v>0</v>
      </c>
      <c r="P21" s="161">
        <v>0</v>
      </c>
      <c r="Q21" s="161">
        <v>0</v>
      </c>
      <c r="R21" s="161">
        <v>0</v>
      </c>
      <c r="S21" s="161">
        <v>0</v>
      </c>
      <c r="T21" s="161">
        <v>0</v>
      </c>
      <c r="U21" s="161">
        <v>0</v>
      </c>
      <c r="V21" s="161">
        <v>0</v>
      </c>
      <c r="W21" s="161">
        <v>0</v>
      </c>
      <c r="X21" s="161">
        <v>0</v>
      </c>
      <c r="Y21" s="161">
        <v>0</v>
      </c>
      <c r="Z21" s="161">
        <v>0</v>
      </c>
      <c r="AA21" s="161">
        <v>0</v>
      </c>
      <c r="AB21" s="161">
        <v>0</v>
      </c>
      <c r="AC21" s="161"/>
      <c r="AD21" s="161"/>
      <c r="AE21" s="152"/>
      <c r="AF21" s="152"/>
      <c r="AG21" s="152"/>
    </row>
    <row r="22" spans="1:256" s="26" customFormat="1" ht="12" customHeight="1">
      <c r="A22" s="774" t="s">
        <v>465</v>
      </c>
      <c r="B22" s="196"/>
      <c r="C22" s="161"/>
      <c r="D22" s="827">
        <v>0</v>
      </c>
      <c r="E22" s="827">
        <v>0</v>
      </c>
      <c r="F22" s="827">
        <v>0</v>
      </c>
      <c r="G22" s="827">
        <v>0</v>
      </c>
      <c r="H22" s="827">
        <v>0</v>
      </c>
      <c r="I22" s="827">
        <v>0</v>
      </c>
      <c r="J22" s="827">
        <v>0</v>
      </c>
      <c r="K22" s="827">
        <v>0</v>
      </c>
      <c r="L22" s="827">
        <v>0</v>
      </c>
      <c r="M22" s="827">
        <v>0</v>
      </c>
      <c r="N22" s="827">
        <v>0</v>
      </c>
      <c r="O22" s="827">
        <v>0</v>
      </c>
      <c r="P22" s="827">
        <v>0</v>
      </c>
      <c r="Q22" s="827">
        <v>0</v>
      </c>
      <c r="R22" s="827">
        <v>0</v>
      </c>
      <c r="S22" s="827">
        <v>0</v>
      </c>
      <c r="T22" s="827">
        <v>0</v>
      </c>
      <c r="U22" s="827">
        <v>0</v>
      </c>
      <c r="V22" s="827">
        <v>0</v>
      </c>
      <c r="W22" s="827">
        <v>0</v>
      </c>
      <c r="X22" s="827">
        <v>0</v>
      </c>
      <c r="Y22" s="827">
        <v>0</v>
      </c>
      <c r="Z22" s="827">
        <v>0</v>
      </c>
      <c r="AA22" s="827">
        <v>0</v>
      </c>
      <c r="AB22" s="828">
        <v>0</v>
      </c>
      <c r="AC22" s="161"/>
      <c r="AD22" s="161"/>
      <c r="AE22" s="152"/>
      <c r="AF22" s="152"/>
      <c r="AG22" s="152"/>
    </row>
    <row r="23" spans="1:256" s="26" customFormat="1" ht="12" customHeight="1">
      <c r="A23" s="774" t="s">
        <v>441</v>
      </c>
      <c r="B23" s="196"/>
      <c r="C23" s="161"/>
      <c r="D23" s="161">
        <f>SUM(D20:D22)</f>
        <v>-317.67656765076936</v>
      </c>
      <c r="E23" s="161">
        <f t="shared" ref="E23:AB23" si="5">SUM(E20:E22)</f>
        <v>6298.884329398963</v>
      </c>
      <c r="F23" s="161">
        <f t="shared" si="5"/>
        <v>6462.0452918068895</v>
      </c>
      <c r="G23" s="161">
        <f t="shared" si="5"/>
        <v>14271.372042138893</v>
      </c>
      <c r="H23" s="161">
        <f t="shared" si="5"/>
        <v>21164.605904165066</v>
      </c>
      <c r="I23" s="161">
        <f t="shared" si="5"/>
        <v>22719.939730277725</v>
      </c>
      <c r="J23" s="161">
        <f t="shared" si="5"/>
        <v>23574.507522460568</v>
      </c>
      <c r="K23" s="161">
        <f t="shared" si="5"/>
        <v>24312.125868241361</v>
      </c>
      <c r="L23" s="161">
        <f t="shared" si="5"/>
        <v>25082.710726906153</v>
      </c>
      <c r="M23" s="161">
        <f t="shared" si="5"/>
        <v>26195.731316487847</v>
      </c>
      <c r="N23" s="161">
        <f t="shared" si="5"/>
        <v>27488.254117385324</v>
      </c>
      <c r="O23" s="161">
        <f t="shared" si="5"/>
        <v>27912.732173413562</v>
      </c>
      <c r="P23" s="161">
        <f t="shared" si="5"/>
        <v>28548.137068952761</v>
      </c>
      <c r="Q23" s="161">
        <f t="shared" si="5"/>
        <v>28392.300995168112</v>
      </c>
      <c r="R23" s="161">
        <f t="shared" si="5"/>
        <v>28980.018098265515</v>
      </c>
      <c r="S23" s="161">
        <f t="shared" si="5"/>
        <v>29553.287035554673</v>
      </c>
      <c r="T23" s="161">
        <f t="shared" si="5"/>
        <v>30110.951667028359</v>
      </c>
      <c r="U23" s="161">
        <f t="shared" si="5"/>
        <v>30918.127636562844</v>
      </c>
      <c r="V23" s="161">
        <f t="shared" si="5"/>
        <v>31813.746843310568</v>
      </c>
      <c r="W23" s="161">
        <f t="shared" si="5"/>
        <v>31918.851884262909</v>
      </c>
      <c r="X23" s="161">
        <f t="shared" si="5"/>
        <v>8961.4544711775652</v>
      </c>
      <c r="Y23" s="161">
        <f t="shared" si="5"/>
        <v>0</v>
      </c>
      <c r="Z23" s="161">
        <f t="shared" si="5"/>
        <v>0</v>
      </c>
      <c r="AA23" s="161">
        <f t="shared" si="5"/>
        <v>0</v>
      </c>
      <c r="AB23" s="822">
        <f t="shared" si="5"/>
        <v>0</v>
      </c>
      <c r="AC23" s="161"/>
      <c r="AD23" s="161"/>
      <c r="AE23" s="152"/>
      <c r="AF23" s="152"/>
      <c r="AG23" s="152"/>
    </row>
    <row r="24" spans="1:256" ht="12" customHeight="1">
      <c r="A24" s="774" t="s">
        <v>35</v>
      </c>
      <c r="B24" s="79"/>
      <c r="C24" s="162"/>
      <c r="D24" s="164">
        <f>'Book Income Statement'!D65</f>
        <v>2958.4263041666673</v>
      </c>
      <c r="E24" s="164">
        <f>'Book Income Statement'!E65</f>
        <v>5071.587950000001</v>
      </c>
      <c r="F24" s="164">
        <f>'Book Income Statement'!F65</f>
        <v>5071.587950000001</v>
      </c>
      <c r="G24" s="164">
        <f>'Book Income Statement'!G65</f>
        <v>5071.587950000001</v>
      </c>
      <c r="H24" s="164">
        <f>'Book Income Statement'!H65</f>
        <v>5071.587950000001</v>
      </c>
      <c r="I24" s="164">
        <f>'Book Income Statement'!I65</f>
        <v>4873.3072333333339</v>
      </c>
      <c r="J24" s="164">
        <f>'Book Income Statement'!J65</f>
        <v>4731.6781500000006</v>
      </c>
      <c r="K24" s="164">
        <f>'Book Income Statement'!K65</f>
        <v>4731.6781500000006</v>
      </c>
      <c r="L24" s="164">
        <f>'Book Income Statement'!L65</f>
        <v>4731.6781500000006</v>
      </c>
      <c r="M24" s="164">
        <f>'Book Income Statement'!M65</f>
        <v>4731.6781500000006</v>
      </c>
      <c r="N24" s="164">
        <f>'Book Income Statement'!N65</f>
        <v>4731.6781500000006</v>
      </c>
      <c r="O24" s="164">
        <f>'Book Income Statement'!O65</f>
        <v>4731.6781500000006</v>
      </c>
      <c r="P24" s="164">
        <f>'Book Income Statement'!P65</f>
        <v>4731.6781500000006</v>
      </c>
      <c r="Q24" s="164">
        <f>'Book Income Statement'!Q65</f>
        <v>4731.6781500000006</v>
      </c>
      <c r="R24" s="164">
        <f>'Book Income Statement'!R65</f>
        <v>4731.6781500000006</v>
      </c>
      <c r="S24" s="164">
        <f>'Book Income Statement'!S65</f>
        <v>4731.6781500000006</v>
      </c>
      <c r="T24" s="164">
        <f>'Book Income Statement'!T65</f>
        <v>4731.6781500000006</v>
      </c>
      <c r="U24" s="164">
        <f>'Book Income Statement'!U65</f>
        <v>4731.6781500000006</v>
      </c>
      <c r="V24" s="164">
        <f>'Book Income Statement'!V65</f>
        <v>4731.6781500000006</v>
      </c>
      <c r="W24" s="164">
        <f>'Book Income Statement'!W65</f>
        <v>4731.6781500000006</v>
      </c>
      <c r="X24" s="164">
        <f>'Book Income Statement'!X65</f>
        <v>4731.6781500000006</v>
      </c>
      <c r="Y24" s="164">
        <f>'Book Income Statement'!Y65</f>
        <v>0</v>
      </c>
      <c r="Z24" s="164">
        <f>'Book Income Statement'!Z65</f>
        <v>0</v>
      </c>
      <c r="AA24" s="164">
        <f>'Book Income Statement'!AA65</f>
        <v>0</v>
      </c>
      <c r="AB24" s="775">
        <f>'Book Income Statement'!AB65</f>
        <v>0</v>
      </c>
      <c r="AC24" s="164"/>
      <c r="AD24" s="164"/>
    </row>
    <row r="25" spans="1:256" s="17" customFormat="1" ht="12" customHeight="1">
      <c r="A25" s="774" t="s">
        <v>175</v>
      </c>
      <c r="B25" s="79"/>
      <c r="C25" s="79"/>
      <c r="D25" s="167">
        <f>IF(D3&lt;='Project Assumtions'!$I$15+1,Depreciation!D28*-1,0)</f>
        <v>-8084.4109666666682</v>
      </c>
      <c r="E25" s="167">
        <f>IF(E3&lt;='Project Assumtions'!$I$15+1,Depreciation!E28*-1,0)</f>
        <v>-15323.557275000001</v>
      </c>
      <c r="F25" s="167">
        <f>IF(F3&lt;='Project Assumtions'!$I$15+1,Depreciation!F28*-1,0)</f>
        <v>-13825.192527500001</v>
      </c>
      <c r="G25" s="167">
        <f>IF(G3&lt;='Project Assumtions'!$I$15+1,Depreciation!G28*-1,0)</f>
        <v>-12484.550385</v>
      </c>
      <c r="H25" s="167">
        <f>IF(H3&lt;='Project Assumtions'!$I$15+1,Depreciation!H28*-1,0)</f>
        <v>-11270.086326500001</v>
      </c>
      <c r="I25" s="167">
        <f>IF(I3&lt;='Project Assumtions'!$I$15+1,Depreciation!I28*-1,0)</f>
        <v>-9967.7473748333341</v>
      </c>
      <c r="J25" s="167">
        <f>IF(J3&lt;='Project Assumtions'!$I$15+1,Depreciation!J28*-1,0)</f>
        <v>-9305.6336950000004</v>
      </c>
      <c r="K25" s="167">
        <f>IF(K3&lt;='Project Assumtions'!$I$15+1,Depreciation!K28*-1,0)</f>
        <v>-9321.4059555000003</v>
      </c>
      <c r="L25" s="167">
        <f>IF(L3&lt;='Project Assumtions'!$I$15+1,Depreciation!L28*-1,0)</f>
        <v>-9305.6336950000004</v>
      </c>
      <c r="M25" s="167">
        <f>IF(M3&lt;='Project Assumtions'!$I$15+1,Depreciation!M28*-1,0)</f>
        <v>-9321.4059555000003</v>
      </c>
      <c r="N25" s="167">
        <f>IF(N3&lt;='Project Assumtions'!$I$15+1,Depreciation!N28*-1,0)</f>
        <v>-9305.6336950000004</v>
      </c>
      <c r="O25" s="167">
        <f>IF(O3&lt;='Project Assumtions'!$I$15+1,Depreciation!O28*-1,0)</f>
        <v>-9321.4059555000003</v>
      </c>
      <c r="P25" s="167">
        <f>IF(P3&lt;='Project Assumtions'!$I$15+1,Depreciation!P28*-1,0)</f>
        <v>-9305.6336950000004</v>
      </c>
      <c r="Q25" s="167">
        <f>IF(Q3&lt;='Project Assumtions'!$I$15+1,Depreciation!Q28*-1,0)</f>
        <v>-9321.4059555000003</v>
      </c>
      <c r="R25" s="167">
        <f>IF(R3&lt;='Project Assumtions'!$I$15+1,Depreciation!R28*-1,0)</f>
        <v>-9305.6336950000004</v>
      </c>
      <c r="S25" s="167">
        <f>IF(S3&lt;='Project Assumtions'!$I$15+1,Depreciation!S28*-1,0)</f>
        <v>-4652.8168475000002</v>
      </c>
      <c r="T25" s="167">
        <f>IF(T3&lt;='Project Assumtions'!$I$15+1,Depreciation!T28*-1,0)</f>
        <v>0</v>
      </c>
      <c r="U25" s="167">
        <f>IF(U3&lt;='Project Assumtions'!$I$15+1,Depreciation!U28*-1,0)</f>
        <v>0</v>
      </c>
      <c r="V25" s="167">
        <f>IF(V3&lt;='Project Assumtions'!$I$15+1,Depreciation!V28*-1,0)</f>
        <v>0</v>
      </c>
      <c r="W25" s="167">
        <f>IF(W3&lt;='Project Assumtions'!$I$15+1,Depreciation!W28*-1,0)</f>
        <v>0</v>
      </c>
      <c r="X25" s="167">
        <f>IF(X3&lt;='Project Assumtions'!$I$15,Depreciation!X28*-1,0)</f>
        <v>0</v>
      </c>
      <c r="Y25" s="167">
        <f>IF(Y3&lt;='Project Assumtions'!$I$15,Depreciation!Y28*-1,0)</f>
        <v>0</v>
      </c>
      <c r="Z25" s="167">
        <f>IF(Z3&lt;='Project Assumtions'!$I$15,Depreciation!Z28*-1,0)</f>
        <v>0</v>
      </c>
      <c r="AA25" s="167">
        <f>IF(AA3&lt;='Project Assumtions'!$I$15,Depreciation!AA28*-1,0)</f>
        <v>0</v>
      </c>
      <c r="AB25" s="829">
        <f>IF(AB3&lt;='Project Assumtions'!$I$15,Depreciation!AB28*-1,0)</f>
        <v>0</v>
      </c>
      <c r="AC25" s="79"/>
      <c r="AD25" s="79"/>
      <c r="AE25" s="166"/>
      <c r="AF25" s="166"/>
      <c r="AG25" s="166"/>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c r="BM25" s="32"/>
      <c r="BN25" s="32"/>
      <c r="BO25" s="32"/>
      <c r="BP25" s="32"/>
      <c r="BQ25" s="32"/>
      <c r="BR25" s="32"/>
      <c r="BS25" s="32"/>
      <c r="BT25" s="32"/>
      <c r="BU25" s="32"/>
      <c r="BV25" s="32"/>
      <c r="BW25" s="32"/>
      <c r="BX25" s="32"/>
      <c r="BY25" s="32"/>
      <c r="BZ25" s="32"/>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2"/>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s="32"/>
      <c r="EP25" s="32"/>
      <c r="EQ25" s="32"/>
      <c r="ER25" s="32"/>
      <c r="ES25" s="32"/>
      <c r="ET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c r="FR25" s="32"/>
      <c r="FS25" s="32"/>
      <c r="FT25" s="32"/>
      <c r="FU25" s="32"/>
      <c r="FV25" s="32"/>
      <c r="FW25" s="32"/>
      <c r="FX25" s="32"/>
      <c r="FY25" s="32"/>
      <c r="FZ25" s="32"/>
      <c r="GA25" s="32"/>
      <c r="GB25" s="32"/>
      <c r="GC25" s="32"/>
      <c r="GD25" s="32"/>
      <c r="GE25" s="32"/>
      <c r="GF25" s="32"/>
      <c r="GG25" s="32"/>
      <c r="GH25" s="32"/>
      <c r="GI25" s="32"/>
      <c r="GJ25" s="32"/>
      <c r="GK25" s="32"/>
      <c r="GL25" s="32"/>
      <c r="GM25" s="32"/>
      <c r="GN25" s="32"/>
      <c r="GO25" s="32"/>
      <c r="GP25" s="32"/>
      <c r="GQ25" s="32"/>
      <c r="GR25" s="32"/>
      <c r="GS25" s="32"/>
      <c r="GT25" s="32"/>
      <c r="GU25" s="32"/>
      <c r="GV25" s="32"/>
      <c r="GW25" s="32"/>
      <c r="GX25" s="32"/>
      <c r="GY25" s="32"/>
      <c r="GZ25" s="32"/>
      <c r="HA25" s="32"/>
      <c r="HB25" s="32"/>
      <c r="HC25" s="32"/>
      <c r="HD25" s="32"/>
      <c r="HE25" s="32"/>
      <c r="HF25" s="32"/>
      <c r="HG25" s="32"/>
      <c r="HH25" s="32"/>
      <c r="HI25" s="32"/>
      <c r="HJ25" s="32"/>
      <c r="HK25" s="32"/>
      <c r="HL25" s="32"/>
      <c r="HM25" s="32"/>
      <c r="HN25" s="32"/>
      <c r="HO25" s="32"/>
      <c r="HP25" s="32"/>
      <c r="HQ25" s="32"/>
      <c r="HR25" s="32"/>
      <c r="HS25" s="32"/>
      <c r="HT25" s="32"/>
      <c r="HU25" s="32"/>
      <c r="HV25" s="32"/>
      <c r="HW25" s="32"/>
      <c r="HX25" s="32"/>
      <c r="HY25" s="32"/>
      <c r="HZ25" s="32"/>
      <c r="IA25" s="32"/>
      <c r="IB25" s="32"/>
      <c r="IC25" s="32"/>
      <c r="ID25" s="32"/>
      <c r="IE25" s="32"/>
      <c r="IF25" s="32"/>
      <c r="IG25" s="32"/>
      <c r="IH25" s="32"/>
      <c r="II25" s="32"/>
      <c r="IJ25" s="32"/>
      <c r="IK25" s="32"/>
      <c r="IL25" s="32"/>
      <c r="IM25" s="32"/>
      <c r="IN25" s="32"/>
      <c r="IO25" s="32"/>
      <c r="IP25" s="32"/>
      <c r="IQ25" s="32"/>
      <c r="IR25" s="32"/>
      <c r="IS25" s="32"/>
      <c r="IT25" s="32"/>
      <c r="IU25" s="32"/>
      <c r="IV25" s="32"/>
    </row>
    <row r="26" spans="1:256" s="17" customFormat="1" ht="12" customHeight="1">
      <c r="A26" s="772" t="s">
        <v>442</v>
      </c>
      <c r="B26" s="79"/>
      <c r="C26" s="79"/>
      <c r="D26" s="170">
        <f>SUM(D23:D25)</f>
        <v>-5443.6612301507703</v>
      </c>
      <c r="E26" s="170">
        <f t="shared" ref="E26:AB26" si="6">SUM(E23:E25)</f>
        <v>-3953.084995601037</v>
      </c>
      <c r="F26" s="170">
        <f t="shared" si="6"/>
        <v>-2291.5592856931107</v>
      </c>
      <c r="G26" s="170">
        <f t="shared" si="6"/>
        <v>6858.409607138894</v>
      </c>
      <c r="H26" s="170">
        <f t="shared" si="6"/>
        <v>14966.107527665066</v>
      </c>
      <c r="I26" s="170">
        <f t="shared" si="6"/>
        <v>17625.499588777726</v>
      </c>
      <c r="J26" s="170">
        <f t="shared" si="6"/>
        <v>19000.551977460567</v>
      </c>
      <c r="K26" s="170">
        <f t="shared" si="6"/>
        <v>19722.398062741362</v>
      </c>
      <c r="L26" s="170">
        <f t="shared" si="6"/>
        <v>20508.755181906152</v>
      </c>
      <c r="M26" s="170">
        <f t="shared" si="6"/>
        <v>21606.003510987844</v>
      </c>
      <c r="N26" s="170">
        <f t="shared" si="6"/>
        <v>22914.298572385323</v>
      </c>
      <c r="O26" s="170">
        <f t="shared" si="6"/>
        <v>23323.004367913563</v>
      </c>
      <c r="P26" s="170">
        <f t="shared" si="6"/>
        <v>23974.18152395276</v>
      </c>
      <c r="Q26" s="170">
        <f t="shared" si="6"/>
        <v>23802.573189668117</v>
      </c>
      <c r="R26" s="170">
        <f t="shared" si="6"/>
        <v>24406.062553265514</v>
      </c>
      <c r="S26" s="170">
        <f t="shared" si="6"/>
        <v>29632.148338054678</v>
      </c>
      <c r="T26" s="170">
        <f t="shared" si="6"/>
        <v>34842.629817028363</v>
      </c>
      <c r="U26" s="170">
        <f t="shared" si="6"/>
        <v>35649.805786562843</v>
      </c>
      <c r="V26" s="170">
        <f t="shared" si="6"/>
        <v>36545.424993310568</v>
      </c>
      <c r="W26" s="170">
        <f t="shared" si="6"/>
        <v>36650.530034262913</v>
      </c>
      <c r="X26" s="170">
        <f t="shared" si="6"/>
        <v>13693.132621177567</v>
      </c>
      <c r="Y26" s="170">
        <f t="shared" si="6"/>
        <v>0</v>
      </c>
      <c r="Z26" s="170">
        <f t="shared" si="6"/>
        <v>0</v>
      </c>
      <c r="AA26" s="170">
        <f t="shared" si="6"/>
        <v>0</v>
      </c>
      <c r="AB26" s="826">
        <f t="shared" si="6"/>
        <v>0</v>
      </c>
      <c r="AC26" s="79"/>
      <c r="AD26" s="79"/>
      <c r="AE26" s="166"/>
      <c r="AF26" s="166"/>
      <c r="AG26" s="166"/>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2"/>
      <c r="BM26" s="32"/>
      <c r="BN26" s="32"/>
      <c r="BO26" s="32"/>
      <c r="BP26" s="32"/>
      <c r="BQ26" s="32"/>
      <c r="BR26" s="32"/>
      <c r="BS26" s="32"/>
      <c r="BT26" s="32"/>
      <c r="BU26" s="32"/>
      <c r="BV26" s="32"/>
      <c r="BW26" s="32"/>
      <c r="BX26" s="32"/>
      <c r="BY26" s="32"/>
      <c r="BZ26" s="32"/>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2"/>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c r="EL26" s="32"/>
      <c r="EM26" s="32"/>
      <c r="EN26" s="32"/>
      <c r="EO26" s="32"/>
      <c r="EP26" s="32"/>
      <c r="EQ26" s="32"/>
      <c r="ER26" s="32"/>
      <c r="ES26" s="32"/>
      <c r="ET26" s="32"/>
      <c r="EU26" s="32"/>
      <c r="EV26" s="32"/>
      <c r="EW26" s="32"/>
      <c r="EX26" s="32"/>
      <c r="EY26" s="32"/>
      <c r="EZ26" s="32"/>
      <c r="FA26" s="32"/>
      <c r="FB26" s="32"/>
      <c r="FC26" s="32"/>
      <c r="FD26" s="32"/>
      <c r="FE26" s="32"/>
      <c r="FF26" s="32"/>
      <c r="FG26" s="32"/>
      <c r="FH26" s="32"/>
      <c r="FI26" s="32"/>
      <c r="FJ26" s="32"/>
      <c r="FK26" s="32"/>
      <c r="FL26" s="32"/>
      <c r="FM26" s="32"/>
      <c r="FN26" s="32"/>
      <c r="FO26" s="32"/>
      <c r="FP26" s="32"/>
      <c r="FQ26" s="32"/>
      <c r="FR26" s="32"/>
      <c r="FS26" s="32"/>
      <c r="FT26" s="32"/>
      <c r="FU26" s="32"/>
      <c r="FV26" s="32"/>
      <c r="FW26" s="32"/>
      <c r="FX26" s="32"/>
      <c r="FY26" s="32"/>
      <c r="FZ26" s="32"/>
      <c r="GA26" s="32"/>
      <c r="GB26" s="32"/>
      <c r="GC26" s="32"/>
      <c r="GD26" s="32"/>
      <c r="GE26" s="32"/>
      <c r="GF26" s="32"/>
      <c r="GG26" s="32"/>
      <c r="GH26" s="32"/>
      <c r="GI26" s="32"/>
      <c r="GJ26" s="32"/>
      <c r="GK26" s="32"/>
      <c r="GL26" s="32"/>
      <c r="GM26" s="32"/>
      <c r="GN26" s="32"/>
      <c r="GO26" s="32"/>
      <c r="GP26" s="32"/>
      <c r="GQ26" s="32"/>
      <c r="GR26" s="32"/>
      <c r="GS26" s="32"/>
      <c r="GT26" s="32"/>
      <c r="GU26" s="32"/>
      <c r="GV26" s="32"/>
      <c r="GW26" s="32"/>
      <c r="GX26" s="32"/>
      <c r="GY26" s="32"/>
      <c r="GZ26" s="32"/>
      <c r="HA26" s="32"/>
      <c r="HB26" s="32"/>
      <c r="HC26" s="32"/>
      <c r="HD26" s="32"/>
      <c r="HE26" s="32"/>
      <c r="HF26" s="32"/>
      <c r="HG26" s="32"/>
      <c r="HH26" s="32"/>
      <c r="HI26" s="32"/>
      <c r="HJ26" s="32"/>
      <c r="HK26" s="32"/>
      <c r="HL26" s="32"/>
      <c r="HM26" s="32"/>
      <c r="HN26" s="32"/>
      <c r="HO26" s="32"/>
      <c r="HP26" s="32"/>
      <c r="HQ26" s="32"/>
      <c r="HR26" s="32"/>
      <c r="HS26" s="32"/>
      <c r="HT26" s="32"/>
      <c r="HU26" s="32"/>
      <c r="HV26" s="32"/>
      <c r="HW26" s="32"/>
      <c r="HX26" s="32"/>
      <c r="HY26" s="32"/>
      <c r="HZ26" s="32"/>
      <c r="IA26" s="32"/>
      <c r="IB26" s="32"/>
      <c r="IC26" s="32"/>
      <c r="ID26" s="32"/>
      <c r="IE26" s="32"/>
      <c r="IF26" s="32"/>
      <c r="IG26" s="32"/>
      <c r="IH26" s="32"/>
      <c r="II26" s="32"/>
      <c r="IJ26" s="32"/>
      <c r="IK26" s="32"/>
      <c r="IL26" s="32"/>
      <c r="IM26" s="32"/>
      <c r="IN26" s="32"/>
      <c r="IO26" s="32"/>
      <c r="IP26" s="32"/>
      <c r="IQ26" s="32"/>
      <c r="IR26" s="32"/>
      <c r="IS26" s="32"/>
      <c r="IT26" s="32"/>
      <c r="IU26" s="32"/>
      <c r="IV26" s="32"/>
    </row>
    <row r="27" spans="1:256" ht="12" customHeight="1">
      <c r="A27" s="774"/>
      <c r="B27" s="79"/>
      <c r="C27" s="79"/>
      <c r="D27" s="79"/>
      <c r="E27" s="79"/>
      <c r="F27" s="79"/>
      <c r="G27" s="79"/>
      <c r="H27" s="79"/>
      <c r="I27" s="79"/>
      <c r="J27" s="79"/>
      <c r="K27" s="79"/>
      <c r="L27" s="79"/>
      <c r="M27" s="79"/>
      <c r="N27" s="79"/>
      <c r="O27" s="79"/>
      <c r="P27" s="79"/>
      <c r="Q27" s="79"/>
      <c r="R27" s="79"/>
      <c r="S27" s="79"/>
      <c r="T27" s="79"/>
      <c r="U27" s="79"/>
      <c r="V27" s="79"/>
      <c r="W27" s="79"/>
      <c r="X27" s="79"/>
      <c r="Y27" s="79"/>
      <c r="Z27" s="79"/>
      <c r="AA27" s="79"/>
      <c r="AB27" s="830"/>
      <c r="AC27" s="166"/>
      <c r="AD27" s="166"/>
      <c r="AE27" s="166"/>
      <c r="AF27" s="166"/>
      <c r="AG27" s="166"/>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c r="BO27" s="32"/>
      <c r="BP27" s="32"/>
      <c r="BQ27" s="32"/>
      <c r="BR27" s="32"/>
      <c r="BS27" s="32"/>
      <c r="BT27" s="32"/>
      <c r="BU27" s="32"/>
      <c r="BV27" s="32"/>
      <c r="BW27" s="32"/>
      <c r="BX27" s="32"/>
      <c r="BY27" s="32"/>
      <c r="BZ27" s="32"/>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2"/>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c r="EL27" s="32"/>
      <c r="EM27" s="32"/>
      <c r="EN27" s="32"/>
      <c r="EO27" s="32"/>
      <c r="EP27" s="32"/>
      <c r="EQ27" s="32"/>
      <c r="ER27" s="32"/>
      <c r="ES27" s="32"/>
      <c r="ET27" s="32"/>
      <c r="EU27" s="32"/>
      <c r="EV27" s="32"/>
      <c r="EW27" s="32"/>
      <c r="EX27" s="32"/>
      <c r="EY27" s="32"/>
      <c r="EZ27" s="32"/>
      <c r="FA27" s="32"/>
      <c r="FB27" s="32"/>
      <c r="FC27" s="32"/>
      <c r="FD27" s="32"/>
      <c r="FE27" s="32"/>
      <c r="FF27" s="32"/>
      <c r="FG27" s="32"/>
      <c r="FH27" s="32"/>
      <c r="FI27" s="32"/>
      <c r="FJ27" s="32"/>
      <c r="FK27" s="32"/>
      <c r="FL27" s="32"/>
      <c r="FM27" s="32"/>
      <c r="FN27" s="32"/>
      <c r="FO27" s="32"/>
      <c r="FP27" s="32"/>
      <c r="FQ27" s="32"/>
      <c r="FR27" s="32"/>
      <c r="FS27" s="32"/>
      <c r="FT27" s="32"/>
      <c r="FU27" s="32"/>
      <c r="FV27" s="32"/>
      <c r="FW27" s="32"/>
      <c r="FX27" s="32"/>
      <c r="FY27" s="32"/>
      <c r="FZ27" s="32"/>
      <c r="GA27" s="32"/>
      <c r="GB27" s="32"/>
      <c r="GC27" s="32"/>
      <c r="GD27" s="32"/>
      <c r="GE27" s="32"/>
      <c r="GF27" s="32"/>
      <c r="GG27" s="32"/>
      <c r="GH27" s="32"/>
      <c r="GI27" s="32"/>
      <c r="GJ27" s="32"/>
      <c r="GK27" s="32"/>
      <c r="GL27" s="32"/>
      <c r="GM27" s="32"/>
      <c r="GN27" s="32"/>
      <c r="GO27" s="32"/>
      <c r="GP27" s="32"/>
      <c r="GQ27" s="32"/>
      <c r="GR27" s="32"/>
      <c r="GS27" s="32"/>
      <c r="GT27" s="32"/>
      <c r="GU27" s="32"/>
      <c r="GV27" s="32"/>
      <c r="GW27" s="32"/>
      <c r="GX27" s="32"/>
      <c r="GY27" s="32"/>
      <c r="GZ27" s="32"/>
      <c r="HA27" s="32"/>
      <c r="HB27" s="32"/>
      <c r="HC27" s="32"/>
      <c r="HD27" s="32"/>
      <c r="HE27" s="32"/>
      <c r="HF27" s="32"/>
      <c r="HG27" s="32"/>
      <c r="HH27" s="32"/>
      <c r="HI27" s="32"/>
      <c r="HJ27" s="32"/>
      <c r="HK27" s="32"/>
      <c r="HL27" s="32"/>
      <c r="HM27" s="32"/>
      <c r="HN27" s="32"/>
      <c r="HO27" s="32"/>
      <c r="HP27" s="32"/>
      <c r="HQ27" s="32"/>
      <c r="HR27" s="32"/>
      <c r="HS27" s="32"/>
      <c r="HT27" s="32"/>
      <c r="HU27" s="32"/>
      <c r="HV27" s="32"/>
      <c r="HW27" s="32"/>
      <c r="HX27" s="32"/>
      <c r="HY27" s="32"/>
      <c r="HZ27" s="32"/>
      <c r="IA27" s="32"/>
      <c r="IB27" s="32"/>
      <c r="IC27" s="32"/>
      <c r="ID27" s="32"/>
      <c r="IE27" s="32"/>
      <c r="IF27" s="32"/>
      <c r="IG27" s="32"/>
      <c r="IH27" s="32"/>
      <c r="II27" s="32"/>
      <c r="IJ27" s="32"/>
      <c r="IK27" s="32"/>
      <c r="IL27" s="32"/>
      <c r="IM27" s="32"/>
      <c r="IN27" s="32"/>
      <c r="IO27" s="32"/>
      <c r="IP27" s="32"/>
      <c r="IQ27" s="32"/>
      <c r="IR27" s="32"/>
      <c r="IS27" s="32"/>
    </row>
    <row r="28" spans="1:256" ht="12" customHeight="1">
      <c r="A28" s="774" t="s">
        <v>89</v>
      </c>
      <c r="B28" s="79"/>
      <c r="C28" s="168"/>
      <c r="D28" s="164">
        <f>D26</f>
        <v>-5443.6612301507703</v>
      </c>
      <c r="E28" s="164">
        <f t="shared" ref="E28:AB28" si="7">E26</f>
        <v>-3953.084995601037</v>
      </c>
      <c r="F28" s="164">
        <f t="shared" si="7"/>
        <v>-2291.5592856931107</v>
      </c>
      <c r="G28" s="164">
        <f t="shared" si="7"/>
        <v>6858.409607138894</v>
      </c>
      <c r="H28" s="164">
        <f t="shared" si="7"/>
        <v>14966.107527665066</v>
      </c>
      <c r="I28" s="164">
        <f t="shared" si="7"/>
        <v>17625.499588777726</v>
      </c>
      <c r="J28" s="164">
        <f t="shared" si="7"/>
        <v>19000.551977460567</v>
      </c>
      <c r="K28" s="164">
        <f t="shared" si="7"/>
        <v>19722.398062741362</v>
      </c>
      <c r="L28" s="164">
        <f t="shared" si="7"/>
        <v>20508.755181906152</v>
      </c>
      <c r="M28" s="164">
        <f t="shared" si="7"/>
        <v>21606.003510987844</v>
      </c>
      <c r="N28" s="164">
        <f t="shared" si="7"/>
        <v>22914.298572385323</v>
      </c>
      <c r="O28" s="164">
        <f t="shared" si="7"/>
        <v>23323.004367913563</v>
      </c>
      <c r="P28" s="164">
        <f t="shared" si="7"/>
        <v>23974.18152395276</v>
      </c>
      <c r="Q28" s="164">
        <f t="shared" si="7"/>
        <v>23802.573189668117</v>
      </c>
      <c r="R28" s="164">
        <f t="shared" si="7"/>
        <v>24406.062553265514</v>
      </c>
      <c r="S28" s="164">
        <f t="shared" si="7"/>
        <v>29632.148338054678</v>
      </c>
      <c r="T28" s="164">
        <f t="shared" si="7"/>
        <v>34842.629817028363</v>
      </c>
      <c r="U28" s="164">
        <f t="shared" si="7"/>
        <v>35649.805786562843</v>
      </c>
      <c r="V28" s="164">
        <f t="shared" si="7"/>
        <v>36545.424993310568</v>
      </c>
      <c r="W28" s="164">
        <f t="shared" si="7"/>
        <v>36650.530034262913</v>
      </c>
      <c r="X28" s="164">
        <f t="shared" si="7"/>
        <v>13693.132621177567</v>
      </c>
      <c r="Y28" s="164">
        <f t="shared" si="7"/>
        <v>0</v>
      </c>
      <c r="Z28" s="164">
        <f t="shared" si="7"/>
        <v>0</v>
      </c>
      <c r="AA28" s="164">
        <f t="shared" si="7"/>
        <v>0</v>
      </c>
      <c r="AB28" s="775">
        <f t="shared" si="7"/>
        <v>0</v>
      </c>
      <c r="AC28" s="168"/>
      <c r="AD28" s="168"/>
    </row>
    <row r="29" spans="1:256" ht="12" customHeight="1">
      <c r="A29" s="774" t="s">
        <v>176</v>
      </c>
      <c r="B29" s="79"/>
      <c r="C29" s="79"/>
      <c r="D29" s="169">
        <f>IF(D$3&gt;'Project Assumtions'!$I$15+1,0,'Project Assumtions'!$N$65)</f>
        <v>4.4999999999999998E-2</v>
      </c>
      <c r="E29" s="169">
        <f>IF(E$3&gt;'Project Assumtions'!$I$15+1,0,'Project Assumtions'!$N$65)</f>
        <v>4.4999999999999998E-2</v>
      </c>
      <c r="F29" s="169">
        <f>IF(F$3&gt;'Project Assumtions'!$I$15+1,0,'Project Assumtions'!$N$65)</f>
        <v>4.4999999999999998E-2</v>
      </c>
      <c r="G29" s="169">
        <f>IF(G$3&gt;'Project Assumtions'!$I$15+1,0,'Project Assumtions'!$N$65)</f>
        <v>4.4999999999999998E-2</v>
      </c>
      <c r="H29" s="169">
        <f>IF(H$3&gt;'Project Assumtions'!$I$15+1,0,'Project Assumtions'!$N$65)</f>
        <v>4.4999999999999998E-2</v>
      </c>
      <c r="I29" s="169">
        <f>IF(I$3&gt;'Project Assumtions'!$I$15+1,0,'Project Assumtions'!$N$65)</f>
        <v>4.4999999999999998E-2</v>
      </c>
      <c r="J29" s="169">
        <f>IF(J$3&gt;'Project Assumtions'!$I$15+1,0,'Project Assumtions'!$N$65)</f>
        <v>4.4999999999999998E-2</v>
      </c>
      <c r="K29" s="169">
        <f>IF(K$3&gt;'Project Assumtions'!$I$15+1,0,'Project Assumtions'!$N$65)</f>
        <v>4.4999999999999998E-2</v>
      </c>
      <c r="L29" s="169">
        <f>IF(L$3&gt;'Project Assumtions'!$I$15+1,0,'Project Assumtions'!$N$65)</f>
        <v>4.4999999999999998E-2</v>
      </c>
      <c r="M29" s="169">
        <f>IF(M$3&gt;'Project Assumtions'!$I$15+1,0,'Project Assumtions'!$N$65)</f>
        <v>4.4999999999999998E-2</v>
      </c>
      <c r="N29" s="169">
        <f>IF(N$3&gt;'Project Assumtions'!$I$15+1,0,'Project Assumtions'!$N$65)</f>
        <v>4.4999999999999998E-2</v>
      </c>
      <c r="O29" s="169">
        <f>IF(O$3&gt;'Project Assumtions'!$I$15+1,0,'Project Assumtions'!$N$65)</f>
        <v>4.4999999999999998E-2</v>
      </c>
      <c r="P29" s="169">
        <f>IF(P$3&gt;'Project Assumtions'!$I$15+1,0,'Project Assumtions'!$N$65)</f>
        <v>4.4999999999999998E-2</v>
      </c>
      <c r="Q29" s="169">
        <f>IF(Q$3&gt;'Project Assumtions'!$I$15+1,0,'Project Assumtions'!$N$65)</f>
        <v>4.4999999999999998E-2</v>
      </c>
      <c r="R29" s="169">
        <f>IF(R$3&gt;'Project Assumtions'!$I$15+1,0,'Project Assumtions'!$N$65)</f>
        <v>4.4999999999999998E-2</v>
      </c>
      <c r="S29" s="169">
        <f>IF(S$3&gt;'Project Assumtions'!$I$15+1,0,'Project Assumtions'!$N$65)</f>
        <v>4.4999999999999998E-2</v>
      </c>
      <c r="T29" s="169">
        <f>IF(T$3&gt;'Project Assumtions'!$I$15+1,0,'Project Assumtions'!$N$65)</f>
        <v>4.4999999999999998E-2</v>
      </c>
      <c r="U29" s="169">
        <f>IF(U$3&gt;'Project Assumtions'!$I$15+1,0,'Project Assumtions'!$N$65)</f>
        <v>4.4999999999999998E-2</v>
      </c>
      <c r="V29" s="169">
        <f>IF(V$3&gt;'Project Assumtions'!$I$15+1,0,'Project Assumtions'!$N$65)</f>
        <v>4.4999999999999998E-2</v>
      </c>
      <c r="W29" s="169">
        <f>IF(W$3&gt;'Project Assumtions'!$I$15+1,0,'Project Assumtions'!$N$65)</f>
        <v>4.4999999999999998E-2</v>
      </c>
      <c r="X29" s="169">
        <f>IF(X$3&gt;'Project Assumtions'!$I$15,0,'Project Assumtions'!$N$65)</f>
        <v>0</v>
      </c>
      <c r="Y29" s="169">
        <f>IF(Y$3&gt;'Project Assumtions'!$I$15,0,'Project Assumtions'!$N$65)</f>
        <v>0</v>
      </c>
      <c r="Z29" s="169">
        <f>IF(Z$3&gt;'Project Assumtions'!$I$15,0,'Project Assumtions'!$N$65)</f>
        <v>0</v>
      </c>
      <c r="AA29" s="169">
        <f>IF(AA$3&gt;'Project Assumtions'!$I$15,0,'Project Assumtions'!$N$65)</f>
        <v>0</v>
      </c>
      <c r="AB29" s="823">
        <f>IF(AB$3&gt;'Project Assumtions'!$I$15,0,'Project Assumtions'!$N$65)</f>
        <v>0</v>
      </c>
      <c r="AC29" s="79"/>
      <c r="AD29" s="166"/>
      <c r="AE29" s="166"/>
      <c r="AF29" s="166"/>
      <c r="AG29" s="166"/>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2"/>
      <c r="BG29" s="32"/>
      <c r="BH29" s="32"/>
      <c r="BI29" s="32"/>
      <c r="BJ29" s="32"/>
      <c r="BK29" s="32"/>
      <c r="BL29" s="32"/>
      <c r="BM29" s="32"/>
      <c r="BN29" s="32"/>
      <c r="BO29" s="32"/>
      <c r="BP29" s="32"/>
      <c r="BQ29" s="32"/>
      <c r="BR29" s="32"/>
      <c r="BS29" s="32"/>
      <c r="BT29" s="32"/>
      <c r="BU29" s="32"/>
      <c r="BV29" s="32"/>
      <c r="BW29" s="32"/>
      <c r="BX29" s="32"/>
      <c r="BY29" s="32"/>
      <c r="BZ29" s="32"/>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2"/>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c r="EL29" s="32"/>
      <c r="EM29" s="32"/>
      <c r="EN29" s="32"/>
      <c r="EO29" s="32"/>
      <c r="EP29" s="32"/>
      <c r="EQ29" s="32"/>
      <c r="ER29" s="32"/>
      <c r="ES29" s="32"/>
      <c r="ET29" s="32"/>
      <c r="EU29" s="32"/>
      <c r="EV29" s="32"/>
      <c r="EW29" s="32"/>
      <c r="EX29" s="32"/>
      <c r="EY29" s="32"/>
      <c r="EZ29" s="32"/>
      <c r="FA29" s="32"/>
      <c r="FB29" s="32"/>
      <c r="FC29" s="32"/>
      <c r="FD29" s="32"/>
      <c r="FE29" s="32"/>
      <c r="FF29" s="32"/>
      <c r="FG29" s="32"/>
      <c r="FH29" s="32"/>
      <c r="FI29" s="32"/>
      <c r="FJ29" s="32"/>
      <c r="FK29" s="32"/>
      <c r="FL29" s="32"/>
      <c r="FM29" s="32"/>
      <c r="FN29" s="32"/>
      <c r="FO29" s="32"/>
      <c r="FP29" s="32"/>
      <c r="FQ29" s="32"/>
      <c r="FR29" s="32"/>
      <c r="FS29" s="32"/>
      <c r="FT29" s="32"/>
      <c r="FU29" s="32"/>
      <c r="FV29" s="32"/>
      <c r="FW29" s="32"/>
      <c r="FX29" s="32"/>
      <c r="FY29" s="32"/>
      <c r="FZ29" s="32"/>
      <c r="GA29" s="32"/>
      <c r="GB29" s="32"/>
      <c r="GC29" s="32"/>
      <c r="GD29" s="32"/>
      <c r="GE29" s="32"/>
      <c r="GF29" s="32"/>
      <c r="GG29" s="32"/>
      <c r="GH29" s="32"/>
      <c r="GI29" s="32"/>
      <c r="GJ29" s="32"/>
      <c r="GK29" s="32"/>
      <c r="GL29" s="32"/>
      <c r="GM29" s="32"/>
      <c r="GN29" s="32"/>
      <c r="GO29" s="32"/>
      <c r="GP29" s="32"/>
      <c r="GQ29" s="32"/>
      <c r="GR29" s="32"/>
      <c r="GS29" s="32"/>
      <c r="GT29" s="32"/>
      <c r="GU29" s="32"/>
      <c r="GV29" s="32"/>
      <c r="GW29" s="32"/>
      <c r="GX29" s="32"/>
      <c r="GY29" s="32"/>
      <c r="GZ29" s="32"/>
      <c r="HA29" s="32"/>
      <c r="HB29" s="32"/>
      <c r="HC29" s="32"/>
      <c r="HD29" s="32"/>
      <c r="HE29" s="32"/>
      <c r="HF29" s="32"/>
      <c r="HG29" s="32"/>
      <c r="HH29" s="32"/>
      <c r="HI29" s="32"/>
      <c r="HJ29" s="32"/>
      <c r="HK29" s="32"/>
      <c r="HL29" s="32"/>
      <c r="HM29" s="32"/>
      <c r="HN29" s="32"/>
      <c r="HO29" s="32"/>
      <c r="HP29" s="32"/>
      <c r="HQ29" s="32"/>
      <c r="HR29" s="32"/>
      <c r="HS29" s="32"/>
      <c r="HT29" s="32"/>
      <c r="HU29" s="32"/>
      <c r="HV29" s="32"/>
      <c r="HW29" s="32"/>
      <c r="HX29" s="32"/>
      <c r="HY29" s="32"/>
      <c r="HZ29" s="32"/>
      <c r="IA29" s="32"/>
      <c r="IB29" s="32"/>
      <c r="IC29" s="32"/>
      <c r="ID29" s="32"/>
      <c r="IE29" s="32"/>
      <c r="IF29" s="32"/>
      <c r="IG29" s="32"/>
      <c r="IH29" s="32"/>
      <c r="II29" s="32"/>
      <c r="IJ29" s="32"/>
      <c r="IK29" s="32"/>
      <c r="IL29" s="32"/>
      <c r="IM29" s="32"/>
      <c r="IN29" s="32"/>
      <c r="IO29" s="32"/>
      <c r="IP29" s="32"/>
      <c r="IQ29" s="32"/>
      <c r="IR29" s="32"/>
      <c r="IS29" s="32"/>
      <c r="IT29" s="32"/>
      <c r="IU29" s="32"/>
    </row>
    <row r="30" spans="1:256" s="26" customFormat="1" ht="12" customHeight="1">
      <c r="A30" s="774" t="s">
        <v>169</v>
      </c>
      <c r="B30" s="196"/>
      <c r="C30" s="161"/>
      <c r="D30" s="161">
        <f>D28*D29</f>
        <v>-244.96475535678465</v>
      </c>
      <c r="E30" s="161">
        <f t="shared" ref="E30:AB30" si="8">E28*E29</f>
        <v>-177.88882480204666</v>
      </c>
      <c r="F30" s="161">
        <f t="shared" si="8"/>
        <v>-103.12016785618998</v>
      </c>
      <c r="G30" s="161">
        <f t="shared" si="8"/>
        <v>308.62843232125022</v>
      </c>
      <c r="H30" s="161">
        <f t="shared" si="8"/>
        <v>673.47483874492798</v>
      </c>
      <c r="I30" s="161">
        <f t="shared" si="8"/>
        <v>793.14748149499769</v>
      </c>
      <c r="J30" s="161">
        <f t="shared" si="8"/>
        <v>855.02483898572552</v>
      </c>
      <c r="K30" s="161">
        <f t="shared" si="8"/>
        <v>887.50791282336127</v>
      </c>
      <c r="L30" s="161">
        <f t="shared" si="8"/>
        <v>922.89398318577685</v>
      </c>
      <c r="M30" s="161">
        <f t="shared" si="8"/>
        <v>972.27015799445292</v>
      </c>
      <c r="N30" s="161">
        <f t="shared" si="8"/>
        <v>1031.1434357573396</v>
      </c>
      <c r="O30" s="161">
        <f t="shared" si="8"/>
        <v>1049.5351965561103</v>
      </c>
      <c r="P30" s="161">
        <f t="shared" si="8"/>
        <v>1078.8381685778743</v>
      </c>
      <c r="Q30" s="161">
        <f t="shared" si="8"/>
        <v>1071.1157935350652</v>
      </c>
      <c r="R30" s="161">
        <f t="shared" si="8"/>
        <v>1098.2728148969481</v>
      </c>
      <c r="S30" s="161">
        <f t="shared" si="8"/>
        <v>1333.4466752124604</v>
      </c>
      <c r="T30" s="161">
        <f t="shared" si="8"/>
        <v>1567.9183417662762</v>
      </c>
      <c r="U30" s="161">
        <f t="shared" si="8"/>
        <v>1604.2412603953278</v>
      </c>
      <c r="V30" s="161">
        <f t="shared" si="8"/>
        <v>1644.5441246989756</v>
      </c>
      <c r="W30" s="161">
        <f t="shared" si="8"/>
        <v>1649.2738515418309</v>
      </c>
      <c r="X30" s="161">
        <f t="shared" si="8"/>
        <v>0</v>
      </c>
      <c r="Y30" s="161">
        <f t="shared" si="8"/>
        <v>0</v>
      </c>
      <c r="Z30" s="161">
        <f t="shared" si="8"/>
        <v>0</v>
      </c>
      <c r="AA30" s="161">
        <f t="shared" si="8"/>
        <v>0</v>
      </c>
      <c r="AB30" s="822">
        <f t="shared" si="8"/>
        <v>0</v>
      </c>
      <c r="AC30" s="161"/>
      <c r="AD30" s="161"/>
      <c r="AE30" s="152"/>
      <c r="AF30" s="152"/>
      <c r="AG30" s="152"/>
    </row>
    <row r="31" spans="1:256" s="30" customFormat="1" ht="12" customHeight="1">
      <c r="A31" s="774"/>
      <c r="B31" s="79"/>
      <c r="C31" s="79"/>
      <c r="D31" s="170"/>
      <c r="E31" s="170"/>
      <c r="F31" s="170"/>
      <c r="G31" s="170"/>
      <c r="H31" s="170"/>
      <c r="I31" s="170"/>
      <c r="J31" s="170"/>
      <c r="K31" s="170"/>
      <c r="L31" s="170"/>
      <c r="M31" s="170"/>
      <c r="N31" s="170"/>
      <c r="O31" s="170"/>
      <c r="P31" s="170"/>
      <c r="Q31" s="170"/>
      <c r="R31" s="170"/>
      <c r="S31" s="170"/>
      <c r="T31" s="170"/>
      <c r="U31" s="170"/>
      <c r="V31" s="170"/>
      <c r="W31" s="170"/>
      <c r="X31" s="170"/>
      <c r="Y31" s="170"/>
      <c r="Z31" s="170"/>
      <c r="AA31" s="170"/>
      <c r="AB31" s="826"/>
      <c r="AC31" s="79"/>
      <c r="AD31" s="79"/>
      <c r="AE31" s="166"/>
      <c r="AF31" s="166"/>
      <c r="AG31" s="166"/>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c r="BM31" s="32"/>
      <c r="BN31" s="32"/>
      <c r="BO31" s="32"/>
      <c r="BP31" s="32"/>
      <c r="BQ31" s="32"/>
      <c r="BR31" s="32"/>
      <c r="BS31" s="32"/>
      <c r="BT31" s="32"/>
      <c r="BU31" s="32"/>
      <c r="BV31" s="32"/>
      <c r="BW31" s="32"/>
      <c r="BX31" s="32"/>
      <c r="BY31" s="32"/>
      <c r="BZ31" s="32"/>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2"/>
      <c r="DK31" s="32"/>
      <c r="DL31" s="32"/>
      <c r="DM31" s="32"/>
      <c r="DN31" s="32"/>
      <c r="DO31" s="32"/>
      <c r="DP31" s="32"/>
      <c r="DQ31" s="32"/>
      <c r="DR31" s="32"/>
      <c r="DS31" s="32"/>
      <c r="DT31" s="32"/>
      <c r="DU31" s="32"/>
      <c r="DV31" s="32"/>
      <c r="DW31" s="32"/>
      <c r="DX31" s="32"/>
      <c r="DY31" s="32"/>
      <c r="DZ31" s="32"/>
      <c r="EA31" s="32"/>
      <c r="EB31" s="32"/>
      <c r="EC31" s="32"/>
      <c r="ED31" s="32"/>
      <c r="EE31" s="32"/>
      <c r="EF31" s="32"/>
      <c r="EG31" s="32"/>
      <c r="EH31" s="32"/>
      <c r="EI31" s="32"/>
      <c r="EJ31" s="32"/>
      <c r="EK31" s="32"/>
      <c r="EL31" s="32"/>
      <c r="EM31" s="32"/>
      <c r="EN31" s="32"/>
      <c r="EO31" s="32"/>
      <c r="EP31" s="32"/>
      <c r="EQ31" s="32"/>
      <c r="ER31" s="32"/>
      <c r="ES31" s="32"/>
      <c r="ET31" s="32"/>
      <c r="EU31" s="32"/>
      <c r="EV31" s="32"/>
      <c r="EW31" s="32"/>
      <c r="EX31" s="32"/>
      <c r="EY31" s="32"/>
      <c r="EZ31" s="32"/>
      <c r="FA31" s="32"/>
      <c r="FB31" s="32"/>
      <c r="FC31" s="32"/>
      <c r="FD31" s="32"/>
      <c r="FE31" s="32"/>
      <c r="FF31" s="32"/>
      <c r="FG31" s="32"/>
      <c r="FH31" s="32"/>
      <c r="FI31" s="32"/>
      <c r="FJ31" s="32"/>
      <c r="FK31" s="32"/>
      <c r="FL31" s="32"/>
      <c r="FM31" s="32"/>
      <c r="FN31" s="32"/>
      <c r="FO31" s="32"/>
      <c r="FP31" s="32"/>
      <c r="FQ31" s="32"/>
      <c r="FR31" s="32"/>
      <c r="FS31" s="32"/>
      <c r="FT31" s="32"/>
      <c r="FU31" s="32"/>
      <c r="FV31" s="32"/>
      <c r="FW31" s="32"/>
      <c r="FX31" s="32"/>
      <c r="FY31" s="32"/>
      <c r="FZ31" s="32"/>
      <c r="GA31" s="32"/>
      <c r="GB31" s="32"/>
      <c r="GC31" s="32"/>
      <c r="GD31" s="32"/>
      <c r="GE31" s="32"/>
      <c r="GF31" s="32"/>
      <c r="GG31" s="32"/>
      <c r="GH31" s="32"/>
      <c r="GI31" s="32"/>
      <c r="GJ31" s="32"/>
      <c r="GK31" s="32"/>
      <c r="GL31" s="32"/>
      <c r="GM31" s="32"/>
      <c r="GN31" s="32"/>
      <c r="GO31" s="32"/>
      <c r="GP31" s="32"/>
      <c r="GQ31" s="32"/>
      <c r="GR31" s="32"/>
      <c r="GS31" s="32"/>
      <c r="GT31" s="32"/>
      <c r="GU31" s="32"/>
      <c r="GV31" s="32"/>
      <c r="GW31" s="32"/>
      <c r="GX31" s="32"/>
      <c r="GY31" s="32"/>
      <c r="GZ31" s="32"/>
      <c r="HA31" s="32"/>
      <c r="HB31" s="32"/>
      <c r="HC31" s="32"/>
      <c r="HD31" s="32"/>
      <c r="HE31" s="32"/>
      <c r="HF31" s="32"/>
      <c r="HG31" s="32"/>
      <c r="HH31" s="32"/>
      <c r="HI31" s="32"/>
      <c r="HJ31" s="32"/>
      <c r="HK31" s="32"/>
      <c r="HL31" s="32"/>
      <c r="HM31" s="32"/>
      <c r="HN31" s="32"/>
      <c r="HO31" s="32"/>
      <c r="HP31" s="32"/>
      <c r="HQ31" s="32"/>
      <c r="HR31" s="32"/>
      <c r="HS31" s="32"/>
      <c r="HT31" s="32"/>
      <c r="HU31" s="32"/>
      <c r="HV31" s="32"/>
      <c r="HW31" s="32"/>
      <c r="HX31" s="32"/>
      <c r="HY31" s="32"/>
      <c r="HZ31" s="32"/>
      <c r="IA31" s="32"/>
      <c r="IB31" s="32"/>
      <c r="IC31" s="32"/>
      <c r="ID31" s="32"/>
      <c r="IE31" s="32"/>
      <c r="IF31" s="32"/>
      <c r="IG31" s="32"/>
      <c r="IH31" s="32"/>
      <c r="II31" s="32"/>
      <c r="IJ31" s="32"/>
      <c r="IK31" s="32"/>
      <c r="IL31" s="32"/>
      <c r="IM31" s="32"/>
      <c r="IN31" s="32"/>
      <c r="IO31" s="32"/>
      <c r="IP31" s="32"/>
      <c r="IQ31" s="32"/>
      <c r="IR31" s="32"/>
      <c r="IS31" s="32"/>
      <c r="IT31" s="32"/>
      <c r="IU31" s="32"/>
      <c r="IV31" s="32"/>
    </row>
    <row r="32" spans="1:256">
      <c r="A32" s="774" t="s">
        <v>443</v>
      </c>
      <c r="B32" s="196"/>
      <c r="C32" s="161"/>
      <c r="D32" s="469">
        <f>C36</f>
        <v>0</v>
      </c>
      <c r="E32" s="469">
        <f>D36</f>
        <v>244.96475535678465</v>
      </c>
      <c r="F32" s="469">
        <f t="shared" ref="F32:AB32" si="9">E36</f>
        <v>422.85358015883128</v>
      </c>
      <c r="G32" s="469">
        <f t="shared" si="9"/>
        <v>525.97374801502121</v>
      </c>
      <c r="H32" s="469">
        <f t="shared" si="9"/>
        <v>217.345315693771</v>
      </c>
      <c r="I32" s="469">
        <f t="shared" si="9"/>
        <v>0</v>
      </c>
      <c r="J32" s="469">
        <f t="shared" si="9"/>
        <v>0</v>
      </c>
      <c r="K32" s="469">
        <f t="shared" si="9"/>
        <v>0</v>
      </c>
      <c r="L32" s="469">
        <f t="shared" si="9"/>
        <v>0</v>
      </c>
      <c r="M32" s="469">
        <f t="shared" si="9"/>
        <v>0</v>
      </c>
      <c r="N32" s="469">
        <f t="shared" si="9"/>
        <v>0</v>
      </c>
      <c r="O32" s="469">
        <f t="shared" si="9"/>
        <v>0</v>
      </c>
      <c r="P32" s="469">
        <f t="shared" si="9"/>
        <v>0</v>
      </c>
      <c r="Q32" s="469">
        <f t="shared" si="9"/>
        <v>0</v>
      </c>
      <c r="R32" s="469">
        <f t="shared" si="9"/>
        <v>0</v>
      </c>
      <c r="S32" s="469">
        <f t="shared" si="9"/>
        <v>0</v>
      </c>
      <c r="T32" s="469">
        <f t="shared" si="9"/>
        <v>0</v>
      </c>
      <c r="U32" s="469">
        <f t="shared" si="9"/>
        <v>0</v>
      </c>
      <c r="V32" s="469">
        <f t="shared" si="9"/>
        <v>0</v>
      </c>
      <c r="W32" s="469">
        <f t="shared" si="9"/>
        <v>0</v>
      </c>
      <c r="X32" s="469">
        <f t="shared" si="9"/>
        <v>0</v>
      </c>
      <c r="Y32" s="469">
        <f t="shared" si="9"/>
        <v>0</v>
      </c>
      <c r="Z32" s="469">
        <f t="shared" si="9"/>
        <v>0</v>
      </c>
      <c r="AA32" s="469">
        <f t="shared" si="9"/>
        <v>0</v>
      </c>
      <c r="AB32" s="831">
        <f t="shared" si="9"/>
        <v>0</v>
      </c>
    </row>
    <row r="33" spans="1:256">
      <c r="A33" s="774" t="s">
        <v>444</v>
      </c>
      <c r="B33" s="196"/>
      <c r="C33" s="161"/>
      <c r="D33" s="469">
        <f>IF('Project Assumtions'!$C$67="NO",0,IF(D1&gt;ProjectLife+1,0,IF(D30&lt;0,-D30,0)))</f>
        <v>244.96475535678465</v>
      </c>
      <c r="E33" s="469">
        <f>IF('Project Assumtions'!$C$67="NO",0,IF(E1&gt;ProjectLife+1,0,IF(E30&lt;0,-E30,0)))</f>
        <v>177.88882480204666</v>
      </c>
      <c r="F33" s="469">
        <f>IF('Project Assumtions'!$C$67="NO",0,IF(F1&gt;ProjectLife+1,0,IF(F30&lt;0,-F30,0)))</f>
        <v>103.12016785618998</v>
      </c>
      <c r="G33" s="469">
        <f>IF('Project Assumtions'!$C$67="NO",0,IF(G1&gt;ProjectLife+1,0,IF(G30&lt;0,-G30,0)))</f>
        <v>0</v>
      </c>
      <c r="H33" s="469">
        <f>IF('Project Assumtions'!$C$67="NO",0,IF(H1&gt;ProjectLife+1,0,IF(H30&lt;0,-H30,0)))</f>
        <v>0</v>
      </c>
      <c r="I33" s="469">
        <f>IF('Project Assumtions'!$C$67="NO",0,IF(I1&gt;ProjectLife+1,0,IF(I30&lt;0,-I30,0)))</f>
        <v>0</v>
      </c>
      <c r="J33" s="469">
        <f>IF('Project Assumtions'!$C$67="NO",0,IF(J1&gt;ProjectLife+1,0,IF(J30&lt;0,-J30,0)))</f>
        <v>0</v>
      </c>
      <c r="K33" s="469">
        <f>IF('Project Assumtions'!$C$67="NO",0,IF(K1&gt;ProjectLife+1,0,IF(K30&lt;0,-K30,0)))</f>
        <v>0</v>
      </c>
      <c r="L33" s="469">
        <f>IF('Project Assumtions'!$C$67="NO",0,IF(L1&gt;ProjectLife+1,0,IF(L30&lt;0,-L30,0)))</f>
        <v>0</v>
      </c>
      <c r="M33" s="469">
        <f>IF('Project Assumtions'!$C$67="NO",0,IF(M1&gt;ProjectLife+1,0,IF(M30&lt;0,-M30,0)))</f>
        <v>0</v>
      </c>
      <c r="N33" s="469">
        <f>IF('Project Assumtions'!$C$67="NO",0,IF(N1&gt;ProjectLife+1,0,IF(N30&lt;0,-N30,0)))</f>
        <v>0</v>
      </c>
      <c r="O33" s="469">
        <f>IF('Project Assumtions'!$C$67="NO",0,IF(O1&gt;ProjectLife+1,0,IF(O30&lt;0,-O30,0)))</f>
        <v>0</v>
      </c>
      <c r="P33" s="469">
        <f>IF('Project Assumtions'!$C$67="NO",0,IF(P1&gt;ProjectLife+1,0,IF(P30&lt;0,-P30,0)))</f>
        <v>0</v>
      </c>
      <c r="Q33" s="469">
        <f>IF('Project Assumtions'!$C$67="NO",0,IF(Q1&gt;ProjectLife+1,0,IF(Q30&lt;0,-Q30,0)))</f>
        <v>0</v>
      </c>
      <c r="R33" s="469">
        <f>IF('Project Assumtions'!$C$67="NO",0,IF(R1&gt;ProjectLife+1,0,IF(R30&lt;0,-R30,0)))</f>
        <v>0</v>
      </c>
      <c r="S33" s="469">
        <f>IF('Project Assumtions'!$C$67="NO",0,IF(S1&gt;ProjectLife+1,0,IF(S30&lt;0,-S30,0)))</f>
        <v>0</v>
      </c>
      <c r="T33" s="469">
        <f>IF('Project Assumtions'!$C$67="NO",0,IF(T1&gt;ProjectLife+1,0,IF(T30&lt;0,-T30,0)))</f>
        <v>0</v>
      </c>
      <c r="U33" s="469">
        <f>IF('Project Assumtions'!$C$67="NO",0,IF(U1&gt;ProjectLife+1,0,IF(U30&lt;0,-U30,0)))</f>
        <v>0</v>
      </c>
      <c r="V33" s="469">
        <f>IF('Project Assumtions'!$C$67="NO",0,IF(V1&gt;ProjectLife+1,0,IF(V30&lt;0,-V30,0)))</f>
        <v>0</v>
      </c>
      <c r="W33" s="469">
        <f>IF('Project Assumtions'!$C$67="NO",0,IF(W1&gt;ProjectLife+1,0,IF(W30&lt;0,-W30,0)))</f>
        <v>0</v>
      </c>
      <c r="X33" s="469">
        <f>IF('Project Assumtions'!$C$67="NO",0,IF(X1&gt;ProjectLife,0,IF(X30&lt;0,-X30,0)))</f>
        <v>0</v>
      </c>
      <c r="Y33" s="469">
        <f>IF('Project Assumtions'!$C$67="NO",0,IF(Y1&gt;ProjectLife,0,IF(Y30&lt;0,-Y30,0)))</f>
        <v>0</v>
      </c>
      <c r="Z33" s="469">
        <f>IF('Project Assumtions'!$C$67="NO",0,IF(Z1&gt;ProjectLife,0,IF(Z30&lt;0,-Z30,0)))</f>
        <v>0</v>
      </c>
      <c r="AA33" s="469">
        <f>IF('Project Assumtions'!$C$67="NO",0,IF(AA1&gt;ProjectLife,0,IF(AA30&lt;0,-AA30,0)))</f>
        <v>0</v>
      </c>
      <c r="AB33" s="831">
        <f>IF('Project Assumtions'!$C$67="NO",0,IF(AB1&gt;ProjectLife,0,IF(AB30&lt;0,-AB30,0)))</f>
        <v>0</v>
      </c>
    </row>
    <row r="34" spans="1:256">
      <c r="A34" s="774" t="s">
        <v>445</v>
      </c>
      <c r="B34" s="196"/>
      <c r="C34" s="470" t="s">
        <v>447</v>
      </c>
      <c r="D34" s="471">
        <v>0</v>
      </c>
      <c r="E34" s="472">
        <v>0</v>
      </c>
      <c r="F34" s="472">
        <v>0</v>
      </c>
      <c r="G34" s="472">
        <v>0</v>
      </c>
      <c r="H34" s="472">
        <v>0</v>
      </c>
      <c r="I34" s="472">
        <v>0</v>
      </c>
      <c r="J34" s="472">
        <v>0</v>
      </c>
      <c r="K34" s="472">
        <v>0</v>
      </c>
      <c r="L34" s="472">
        <v>0</v>
      </c>
      <c r="M34" s="472">
        <v>0</v>
      </c>
      <c r="N34" s="472">
        <v>0</v>
      </c>
      <c r="O34" s="472">
        <v>0</v>
      </c>
      <c r="P34" s="472">
        <v>0</v>
      </c>
      <c r="Q34" s="472">
        <v>0</v>
      </c>
      <c r="R34" s="472">
        <v>0</v>
      </c>
      <c r="S34" s="472">
        <v>0</v>
      </c>
      <c r="T34" s="472">
        <v>0</v>
      </c>
      <c r="U34" s="472">
        <v>0</v>
      </c>
      <c r="V34" s="472">
        <v>0</v>
      </c>
      <c r="W34" s="473">
        <v>0</v>
      </c>
      <c r="X34" s="165">
        <f>IF(P33&gt;(SUM(Q35:W35)+SUM(P34:W34))*-1,P33-(SUM(P35:W35)+SUM(P34:W34))*-1,0)</f>
        <v>0</v>
      </c>
      <c r="Y34" s="469"/>
      <c r="Z34" s="469"/>
      <c r="AA34" s="469"/>
      <c r="AB34" s="831"/>
    </row>
    <row r="35" spans="1:256">
      <c r="A35" s="553" t="s">
        <v>91</v>
      </c>
      <c r="B35" s="490"/>
      <c r="C35" s="79"/>
      <c r="D35" s="832">
        <f>IF('Project Assumtions'!$C$67="No",0,IF(D1&lt;='Project Assumtions'!$C$67,IF(D30&lt;0,0,IF(D32&gt;D30,-D30,-D32)),0))</f>
        <v>0</v>
      </c>
      <c r="E35" s="832">
        <f>IF('Project Assumtions'!$C$67="No",0,IF(E1&lt;='Project Assumtions'!$C$67,IF(E30&lt;0,0,IF(E32&gt;E30,-E30,-E32)),0))</f>
        <v>0</v>
      </c>
      <c r="F35" s="832">
        <f>IF('Project Assumtions'!$C$67="No",0,IF(F1&lt;='Project Assumtions'!$C$67,IF(F30&lt;0,0,IF(F32&gt;F30,-F30,-F32)),0))</f>
        <v>0</v>
      </c>
      <c r="G35" s="832">
        <f>IF('Project Assumtions'!$C$67="No",0,IF(G1&lt;='Project Assumtions'!$C$67,IF(G30&lt;0,0,IF(G32&gt;G30,-G30,-G32)),0))</f>
        <v>-308.62843232125022</v>
      </c>
      <c r="H35" s="832">
        <f>IF('Project Assumtions'!$C$67="No",0,IF(H1&lt;='Project Assumtions'!$C$67,IF(H30&lt;0,0,IF(H32&gt;H30,-H30,-H32)),0))</f>
        <v>-217.345315693771</v>
      </c>
      <c r="I35" s="832">
        <f>IF('Project Assumtions'!$C$67="No",0,IF(I1&lt;='Project Assumtions'!$C$67,IF(I30&lt;0,0,IF(I32&gt;I30,-I30,-I32)),0))</f>
        <v>0</v>
      </c>
      <c r="J35" s="832">
        <f>IF('Project Assumtions'!$C$67="No",0,IF(J1&lt;='Project Assumtions'!$C$67,IF(J30&lt;0,0,IF(J32&gt;J30,-J30,-J32)),0))</f>
        <v>0</v>
      </c>
      <c r="K35" s="832">
        <f>IF('Project Assumtions'!$C$67="No",0,IF(K1&lt;='Project Assumtions'!$C$67,IF(K30&lt;0,0,IF(K32&gt;K30,-K30,-K32)),0))</f>
        <v>0</v>
      </c>
      <c r="L35" s="832">
        <f>IF('Project Assumtions'!$C$67="No",0,IF(L1&lt;='Project Assumtions'!$C$67,IF(L30&lt;0,0,IF(L32&gt;L30,-L30,-L32)),0))</f>
        <v>0</v>
      </c>
      <c r="M35" s="832">
        <f>IF('Project Assumtions'!$C$67="No",0,IF(M1&lt;='Project Assumtions'!$C$67,IF(M30&lt;0,0,IF(M32&gt;M30,-M30,-M32)),0))</f>
        <v>0</v>
      </c>
      <c r="N35" s="832">
        <f>IF('Project Assumtions'!$C$67="No",0,IF(N1&lt;='Project Assumtions'!$C$67,IF(N30&lt;0,0,IF(N32&gt;N30,-N30,-N32)),0))</f>
        <v>0</v>
      </c>
      <c r="O35" s="832">
        <f>IF('Project Assumtions'!$C$67="No",0,IF(O1&lt;='Project Assumtions'!$C$67,IF(O30&lt;0,0,IF(O32&gt;O30,-O30,-O32)),0))</f>
        <v>0</v>
      </c>
      <c r="P35" s="832">
        <f>IF('Project Assumtions'!$C$67="No",0,IF(P1&lt;='Project Assumtions'!$C$67,IF(P30&lt;0,0,IF(P32&gt;P30,-P30,-P32)),0))</f>
        <v>0</v>
      </c>
      <c r="Q35" s="832">
        <f>IF('Project Assumtions'!$C$67="No",0,IF(Q1&lt;='Project Assumtions'!$C$67,IF(Q30&lt;0,0,IF(Q32&gt;Q30,-Q30,-Q32)),0))</f>
        <v>0</v>
      </c>
      <c r="R35" s="832">
        <f>IF('Project Assumtions'!$C$67="No",0,IF(R1&lt;='Project Assumtions'!$C$67,IF(R30&lt;0,0,IF(R32&gt;R30,-R30,-R32)),0))</f>
        <v>0</v>
      </c>
      <c r="S35" s="832">
        <f>IF('Project Assumtions'!$C$67="No",0,IF(S1&lt;='Project Assumtions'!$C$67,IF(S30&lt;0,0,IF(S32&gt;S30,-S30,-S32)),0))</f>
        <v>0</v>
      </c>
      <c r="T35" s="832">
        <f>IF('Project Assumtions'!$C$67="No",0,IF(T1&lt;='Project Assumtions'!$C$67,IF(T30&lt;0,0,IF(T32&gt;T30,-T30,-T32)),0))</f>
        <v>0</v>
      </c>
      <c r="U35" s="832">
        <f>IF('Project Assumtions'!$C$67="No",0,IF(U1&lt;='Project Assumtions'!$C$67,IF(U30&lt;0,0,IF(U32&gt;U30,-U30,-U32)),0))</f>
        <v>0</v>
      </c>
      <c r="V35" s="832">
        <f>IF('Project Assumtions'!$C$67="No",0,IF(V1&lt;='Project Assumtions'!$C$67,IF(V30&lt;0,0,IF(V32&gt;V30,-V30,-V32)),0))</f>
        <v>0</v>
      </c>
      <c r="W35" s="832">
        <f>IF('Project Assumtions'!$C$67="No",0,IF(W1&lt;='Project Assumtions'!$C$67,IF(W30&lt;0,0,IF(W32&gt;W30,-W30,-W32)),0))</f>
        <v>0</v>
      </c>
      <c r="X35" s="832">
        <f>IF('Project Assumtions'!$C$67="No",0,IF(X1&lt;='Project Assumtions'!$C$67,IF(X30&lt;0,0,IF(X32&gt;X30,-X30,-X32)),0))</f>
        <v>0</v>
      </c>
      <c r="Y35" s="832">
        <f>IF('Project Assumtions'!$C$67="No",0,IF(Y1&lt;='Project Assumtions'!$C$67,IF(Y30&lt;0,0,IF(Y32&gt;Y30,-Y30,-Y32)),0))</f>
        <v>0</v>
      </c>
      <c r="Z35" s="832">
        <f>IF('Project Assumtions'!$C$67="No",0,IF(Z1&lt;='Project Assumtions'!$C$67,IF(Z30&lt;0,0,IF(Z32&gt;Z30,-Z30,-Z32)),0))</f>
        <v>0</v>
      </c>
      <c r="AA35" s="832">
        <f>IF('Project Assumtions'!$C$67="No",0,IF(AA1&lt;='Project Assumtions'!$C$67,IF(AA30&lt;0,0,IF(AA32&gt;AA30,-AA30,-AA32)),0))</f>
        <v>0</v>
      </c>
      <c r="AB35" s="833">
        <f>IF('Project Assumtions'!$C$67="No",0,IF(AB1&lt;='Project Assumtions'!$C$67,IF(AB30&lt;0,0,IF(AB32&gt;AB30,-AB30,-AB32)),0))</f>
        <v>0</v>
      </c>
    </row>
    <row r="36" spans="1:256">
      <c r="A36" s="553" t="s">
        <v>446</v>
      </c>
      <c r="B36" s="490"/>
      <c r="C36" s="79"/>
      <c r="D36" s="832">
        <f t="shared" ref="D36:AB36" si="10">SUM(D32:D35)</f>
        <v>244.96475535678465</v>
      </c>
      <c r="E36" s="832">
        <f t="shared" si="10"/>
        <v>422.85358015883128</v>
      </c>
      <c r="F36" s="832">
        <f t="shared" si="10"/>
        <v>525.97374801502121</v>
      </c>
      <c r="G36" s="832">
        <f t="shared" si="10"/>
        <v>217.345315693771</v>
      </c>
      <c r="H36" s="832">
        <f t="shared" si="10"/>
        <v>0</v>
      </c>
      <c r="I36" s="832">
        <f t="shared" si="10"/>
        <v>0</v>
      </c>
      <c r="J36" s="832">
        <f t="shared" si="10"/>
        <v>0</v>
      </c>
      <c r="K36" s="832">
        <f t="shared" si="10"/>
        <v>0</v>
      </c>
      <c r="L36" s="832">
        <f t="shared" si="10"/>
        <v>0</v>
      </c>
      <c r="M36" s="832">
        <f t="shared" si="10"/>
        <v>0</v>
      </c>
      <c r="N36" s="832">
        <f t="shared" si="10"/>
        <v>0</v>
      </c>
      <c r="O36" s="832">
        <f t="shared" si="10"/>
        <v>0</v>
      </c>
      <c r="P36" s="832">
        <f t="shared" si="10"/>
        <v>0</v>
      </c>
      <c r="Q36" s="832">
        <f t="shared" si="10"/>
        <v>0</v>
      </c>
      <c r="R36" s="832">
        <f t="shared" si="10"/>
        <v>0</v>
      </c>
      <c r="S36" s="832">
        <f t="shared" si="10"/>
        <v>0</v>
      </c>
      <c r="T36" s="832">
        <f t="shared" si="10"/>
        <v>0</v>
      </c>
      <c r="U36" s="832">
        <f t="shared" si="10"/>
        <v>0</v>
      </c>
      <c r="V36" s="832">
        <f t="shared" si="10"/>
        <v>0</v>
      </c>
      <c r="W36" s="832">
        <f t="shared" si="10"/>
        <v>0</v>
      </c>
      <c r="X36" s="832">
        <f t="shared" si="10"/>
        <v>0</v>
      </c>
      <c r="Y36" s="832">
        <f t="shared" si="10"/>
        <v>0</v>
      </c>
      <c r="Z36" s="832">
        <f t="shared" si="10"/>
        <v>0</v>
      </c>
      <c r="AA36" s="832">
        <f t="shared" si="10"/>
        <v>0</v>
      </c>
      <c r="AB36" s="833">
        <f t="shared" si="10"/>
        <v>0</v>
      </c>
    </row>
    <row r="37" spans="1:256">
      <c r="A37" s="553"/>
      <c r="B37" s="79"/>
      <c r="C37" s="79"/>
      <c r="D37" s="79"/>
      <c r="E37" s="79"/>
      <c r="F37" s="79"/>
      <c r="G37" s="79"/>
      <c r="H37" s="79"/>
      <c r="I37" s="79"/>
      <c r="J37" s="79"/>
      <c r="K37" s="79"/>
      <c r="L37" s="79"/>
      <c r="M37" s="79"/>
      <c r="N37" s="79"/>
      <c r="O37" s="79"/>
      <c r="P37" s="79"/>
      <c r="Q37" s="79"/>
      <c r="R37" s="79"/>
      <c r="S37" s="79"/>
      <c r="T37" s="79"/>
      <c r="U37" s="79"/>
      <c r="V37" s="79"/>
      <c r="W37" s="79"/>
      <c r="X37" s="79"/>
      <c r="Y37" s="79"/>
      <c r="Z37" s="79"/>
      <c r="AA37" s="79"/>
      <c r="AB37" s="556"/>
    </row>
    <row r="38" spans="1:256">
      <c r="A38" s="571" t="s">
        <v>422</v>
      </c>
      <c r="B38" s="79"/>
      <c r="C38" s="79"/>
      <c r="D38" s="834">
        <f>IF(D30&lt;0,0,D30+D35)</f>
        <v>0</v>
      </c>
      <c r="E38" s="834">
        <f t="shared" ref="E38:AB38" si="11">IF(E30&lt;0,0,E30+E35)</f>
        <v>0</v>
      </c>
      <c r="F38" s="834">
        <f t="shared" si="11"/>
        <v>0</v>
      </c>
      <c r="G38" s="834">
        <f t="shared" si="11"/>
        <v>0</v>
      </c>
      <c r="H38" s="834">
        <f t="shared" si="11"/>
        <v>456.12952305115698</v>
      </c>
      <c r="I38" s="834">
        <f t="shared" si="11"/>
        <v>793.14748149499769</v>
      </c>
      <c r="J38" s="834">
        <f t="shared" si="11"/>
        <v>855.02483898572552</v>
      </c>
      <c r="K38" s="834">
        <f t="shared" si="11"/>
        <v>887.50791282336127</v>
      </c>
      <c r="L38" s="834">
        <f t="shared" si="11"/>
        <v>922.89398318577685</v>
      </c>
      <c r="M38" s="834">
        <f t="shared" si="11"/>
        <v>972.27015799445292</v>
      </c>
      <c r="N38" s="834">
        <f t="shared" si="11"/>
        <v>1031.1434357573396</v>
      </c>
      <c r="O38" s="834">
        <f t="shared" si="11"/>
        <v>1049.5351965561103</v>
      </c>
      <c r="P38" s="834">
        <f t="shared" si="11"/>
        <v>1078.8381685778743</v>
      </c>
      <c r="Q38" s="834">
        <f t="shared" si="11"/>
        <v>1071.1157935350652</v>
      </c>
      <c r="R38" s="834">
        <f t="shared" si="11"/>
        <v>1098.2728148969481</v>
      </c>
      <c r="S38" s="834">
        <f t="shared" si="11"/>
        <v>1333.4466752124604</v>
      </c>
      <c r="T38" s="834">
        <f t="shared" si="11"/>
        <v>1567.9183417662762</v>
      </c>
      <c r="U38" s="834">
        <f t="shared" si="11"/>
        <v>1604.2412603953278</v>
      </c>
      <c r="V38" s="834">
        <f t="shared" si="11"/>
        <v>1644.5441246989756</v>
      </c>
      <c r="W38" s="834">
        <f t="shared" si="11"/>
        <v>1649.2738515418309</v>
      </c>
      <c r="X38" s="834">
        <f t="shared" si="11"/>
        <v>0</v>
      </c>
      <c r="Y38" s="834">
        <f t="shared" si="11"/>
        <v>0</v>
      </c>
      <c r="Z38" s="834">
        <f t="shared" si="11"/>
        <v>0</v>
      </c>
      <c r="AA38" s="834">
        <f t="shared" si="11"/>
        <v>0</v>
      </c>
      <c r="AB38" s="835">
        <f t="shared" si="11"/>
        <v>0</v>
      </c>
    </row>
    <row r="39" spans="1:256">
      <c r="A39" s="553" t="s">
        <v>467</v>
      </c>
      <c r="B39" s="79"/>
      <c r="C39" s="79"/>
      <c r="D39" s="836">
        <f>D17</f>
        <v>188.340226</v>
      </c>
      <c r="E39" s="836">
        <f t="shared" ref="E39:AB39" si="12">E17</f>
        <v>305.53364568000001</v>
      </c>
      <c r="F39" s="836">
        <f t="shared" si="12"/>
        <v>306.57805505040005</v>
      </c>
      <c r="G39" s="836">
        <f t="shared" si="12"/>
        <v>485.22664943272241</v>
      </c>
      <c r="H39" s="836">
        <f t="shared" si="12"/>
        <v>719.59660074161229</v>
      </c>
      <c r="I39" s="836">
        <f t="shared" si="12"/>
        <v>772.47795082944276</v>
      </c>
      <c r="J39" s="836">
        <f t="shared" si="12"/>
        <v>801.53325576365933</v>
      </c>
      <c r="K39" s="836">
        <f t="shared" si="12"/>
        <v>826.61227952020636</v>
      </c>
      <c r="L39" s="836">
        <f t="shared" si="12"/>
        <v>852.81216471480923</v>
      </c>
      <c r="M39" s="836">
        <f t="shared" si="12"/>
        <v>890.65486476058686</v>
      </c>
      <c r="N39" s="836">
        <f t="shared" si="12"/>
        <v>934.60063999110105</v>
      </c>
      <c r="O39" s="836">
        <f t="shared" si="12"/>
        <v>949.03289389606118</v>
      </c>
      <c r="P39" s="836">
        <f t="shared" si="12"/>
        <v>970.63666034439393</v>
      </c>
      <c r="Q39" s="836">
        <f t="shared" si="12"/>
        <v>965.33823383571587</v>
      </c>
      <c r="R39" s="836">
        <f t="shared" si="12"/>
        <v>985.32061534102752</v>
      </c>
      <c r="S39" s="836">
        <f t="shared" si="12"/>
        <v>1004.8117592088589</v>
      </c>
      <c r="T39" s="836">
        <f t="shared" si="12"/>
        <v>1023.7723566789643</v>
      </c>
      <c r="U39" s="836">
        <f t="shared" si="12"/>
        <v>1051.2163396431367</v>
      </c>
      <c r="V39" s="836">
        <f t="shared" si="12"/>
        <v>1081.6673926725593</v>
      </c>
      <c r="W39" s="836">
        <f t="shared" si="12"/>
        <v>1085.2409640649389</v>
      </c>
      <c r="X39" s="836">
        <f t="shared" si="12"/>
        <v>304.68945202003727</v>
      </c>
      <c r="Y39" s="836">
        <f t="shared" si="12"/>
        <v>0</v>
      </c>
      <c r="Z39" s="836">
        <f t="shared" si="12"/>
        <v>0</v>
      </c>
      <c r="AA39" s="836">
        <f t="shared" si="12"/>
        <v>0</v>
      </c>
      <c r="AB39" s="837">
        <f t="shared" si="12"/>
        <v>0</v>
      </c>
    </row>
    <row r="40" spans="1:256">
      <c r="A40" s="476" t="s">
        <v>450</v>
      </c>
      <c r="B40" s="481"/>
      <c r="C40" s="481"/>
      <c r="D40" s="482">
        <f t="shared" ref="D40:AB40" si="13">SUM(D38:D39)</f>
        <v>188.340226</v>
      </c>
      <c r="E40" s="482">
        <f t="shared" si="13"/>
        <v>305.53364568000001</v>
      </c>
      <c r="F40" s="482">
        <f t="shared" si="13"/>
        <v>306.57805505040005</v>
      </c>
      <c r="G40" s="482">
        <f t="shared" si="13"/>
        <v>485.22664943272241</v>
      </c>
      <c r="H40" s="482">
        <f t="shared" si="13"/>
        <v>1175.7261237927692</v>
      </c>
      <c r="I40" s="482">
        <f t="shared" si="13"/>
        <v>1565.6254323244405</v>
      </c>
      <c r="J40" s="482">
        <f t="shared" si="13"/>
        <v>1656.558094749385</v>
      </c>
      <c r="K40" s="482">
        <f t="shared" si="13"/>
        <v>1714.1201923435676</v>
      </c>
      <c r="L40" s="482">
        <f t="shared" si="13"/>
        <v>1775.7061479005861</v>
      </c>
      <c r="M40" s="482">
        <f t="shared" si="13"/>
        <v>1862.9250227550397</v>
      </c>
      <c r="N40" s="482">
        <f t="shared" si="13"/>
        <v>1965.7440757484405</v>
      </c>
      <c r="O40" s="482">
        <f t="shared" si="13"/>
        <v>1998.5680904521714</v>
      </c>
      <c r="P40" s="482">
        <f t="shared" si="13"/>
        <v>2049.474828922268</v>
      </c>
      <c r="Q40" s="482">
        <f t="shared" si="13"/>
        <v>2036.4540273707812</v>
      </c>
      <c r="R40" s="482">
        <f t="shared" si="13"/>
        <v>2083.5934302379756</v>
      </c>
      <c r="S40" s="482">
        <f t="shared" si="13"/>
        <v>2338.2584344213192</v>
      </c>
      <c r="T40" s="482">
        <f t="shared" si="13"/>
        <v>2591.6906984452407</v>
      </c>
      <c r="U40" s="482">
        <f t="shared" si="13"/>
        <v>2655.4576000384645</v>
      </c>
      <c r="V40" s="482">
        <f t="shared" si="13"/>
        <v>2726.2115173715347</v>
      </c>
      <c r="W40" s="482">
        <f t="shared" si="13"/>
        <v>2734.5148156067698</v>
      </c>
      <c r="X40" s="482">
        <f t="shared" si="13"/>
        <v>304.68945202003727</v>
      </c>
      <c r="Y40" s="482">
        <f t="shared" si="13"/>
        <v>0</v>
      </c>
      <c r="Z40" s="482">
        <f t="shared" si="13"/>
        <v>0</v>
      </c>
      <c r="AA40" s="482">
        <f t="shared" si="13"/>
        <v>0</v>
      </c>
      <c r="AB40" s="483">
        <f t="shared" si="13"/>
        <v>0</v>
      </c>
    </row>
    <row r="41" spans="1:256" s="17" customFormat="1" ht="12" customHeight="1">
      <c r="A41" s="149"/>
      <c r="B41" s="79"/>
      <c r="C41" s="79"/>
      <c r="D41" s="154"/>
      <c r="E41" s="154"/>
      <c r="F41" s="154"/>
      <c r="G41" s="154"/>
      <c r="H41" s="154"/>
      <c r="I41" s="154"/>
      <c r="J41" s="154"/>
      <c r="K41" s="154"/>
      <c r="L41" s="154"/>
      <c r="M41" s="154"/>
      <c r="N41" s="154"/>
      <c r="O41" s="154"/>
      <c r="P41" s="154"/>
      <c r="Q41" s="154"/>
      <c r="R41" s="154"/>
      <c r="S41" s="154"/>
      <c r="T41" s="154"/>
      <c r="U41" s="154"/>
      <c r="V41" s="154"/>
      <c r="W41" s="154"/>
      <c r="X41" s="154"/>
      <c r="Y41" s="154"/>
      <c r="Z41" s="154"/>
      <c r="AA41" s="154"/>
      <c r="AB41" s="154"/>
      <c r="AC41" s="79"/>
      <c r="AD41" s="79"/>
      <c r="AE41" s="166"/>
      <c r="AF41" s="166"/>
      <c r="AG41" s="166"/>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c r="BP41" s="32"/>
      <c r="BQ41" s="32"/>
      <c r="BR41" s="32"/>
      <c r="BS41" s="32"/>
      <c r="BT41" s="32"/>
      <c r="BU41" s="32"/>
      <c r="BV41" s="32"/>
      <c r="BW41" s="32"/>
      <c r="BX41" s="32"/>
      <c r="BY41" s="32"/>
      <c r="BZ41" s="32"/>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2"/>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s="32"/>
      <c r="EP41" s="32"/>
      <c r="EQ41" s="32"/>
      <c r="ER41" s="32"/>
      <c r="ES41" s="32"/>
      <c r="ET41" s="32"/>
      <c r="EU41" s="32"/>
      <c r="EV41" s="32"/>
      <c r="EW41" s="32"/>
      <c r="EX41" s="32"/>
      <c r="EY41" s="32"/>
      <c r="EZ41" s="32"/>
      <c r="FA41" s="32"/>
      <c r="FB41" s="32"/>
      <c r="FC41" s="32"/>
      <c r="FD41" s="32"/>
      <c r="FE41" s="32"/>
      <c r="FF41" s="32"/>
      <c r="FG41" s="32"/>
      <c r="FH41" s="32"/>
      <c r="FI41" s="32"/>
      <c r="FJ41" s="32"/>
      <c r="FK41" s="32"/>
      <c r="FL41" s="32"/>
      <c r="FM41" s="32"/>
      <c r="FN41" s="32"/>
      <c r="FO41" s="32"/>
      <c r="FP41" s="32"/>
      <c r="FQ41" s="32"/>
      <c r="FR41" s="32"/>
      <c r="FS41" s="32"/>
      <c r="FT41" s="32"/>
      <c r="FU41" s="32"/>
      <c r="FV41" s="32"/>
      <c r="FW41" s="32"/>
      <c r="FX41" s="32"/>
      <c r="FY41" s="32"/>
      <c r="FZ41" s="32"/>
      <c r="GA41" s="32"/>
      <c r="GB41" s="32"/>
      <c r="GC41" s="32"/>
      <c r="GD41" s="32"/>
      <c r="GE41" s="32"/>
      <c r="GF41" s="32"/>
      <c r="GG41" s="32"/>
      <c r="GH41" s="32"/>
      <c r="GI41" s="32"/>
      <c r="GJ41" s="32"/>
      <c r="GK41" s="32"/>
      <c r="GL41" s="32"/>
      <c r="GM41" s="32"/>
      <c r="GN41" s="32"/>
      <c r="GO41" s="32"/>
      <c r="GP41" s="32"/>
      <c r="GQ41" s="32"/>
      <c r="GR41" s="32"/>
      <c r="GS41" s="32"/>
      <c r="GT41" s="32"/>
      <c r="GU41" s="32"/>
      <c r="GV41" s="32"/>
      <c r="GW41" s="32"/>
      <c r="GX41" s="32"/>
      <c r="GY41" s="32"/>
      <c r="GZ41" s="32"/>
      <c r="HA41" s="32"/>
      <c r="HB41" s="32"/>
      <c r="HC41" s="32"/>
      <c r="HD41" s="32"/>
      <c r="HE41" s="32"/>
      <c r="HF41" s="32"/>
      <c r="HG41" s="32"/>
      <c r="HH41" s="32"/>
      <c r="HI41" s="32"/>
      <c r="HJ41" s="32"/>
      <c r="HK41" s="32"/>
      <c r="HL41" s="32"/>
      <c r="HM41" s="32"/>
      <c r="HN41" s="32"/>
      <c r="HO41" s="32"/>
      <c r="HP41" s="32"/>
      <c r="HQ41" s="32"/>
      <c r="HR41" s="32"/>
      <c r="HS41" s="32"/>
      <c r="HT41" s="32"/>
      <c r="HU41" s="32"/>
      <c r="HV41" s="32"/>
      <c r="HW41" s="32"/>
      <c r="HX41" s="32"/>
      <c r="HY41" s="32"/>
      <c r="HZ41" s="32"/>
      <c r="IA41" s="32"/>
      <c r="IB41" s="32"/>
      <c r="IC41" s="32"/>
      <c r="ID41" s="32"/>
      <c r="IE41" s="32"/>
      <c r="IF41" s="32"/>
      <c r="IG41" s="32"/>
      <c r="IH41" s="32"/>
      <c r="II41" s="32"/>
      <c r="IJ41" s="32"/>
      <c r="IK41" s="32"/>
      <c r="IL41" s="32"/>
      <c r="IM41" s="32"/>
      <c r="IN41" s="32"/>
      <c r="IO41" s="32"/>
      <c r="IP41" s="32"/>
      <c r="IQ41" s="32"/>
      <c r="IR41" s="32"/>
      <c r="IS41" s="32"/>
      <c r="IT41" s="32"/>
      <c r="IU41" s="32"/>
      <c r="IV41" s="32"/>
    </row>
    <row r="42" spans="1:256" ht="12" customHeight="1">
      <c r="A42" s="838" t="s">
        <v>177</v>
      </c>
      <c r="B42" s="530"/>
      <c r="C42" s="530"/>
      <c r="D42" s="530"/>
      <c r="E42" s="530"/>
      <c r="F42" s="530"/>
      <c r="G42" s="530"/>
      <c r="H42" s="530"/>
      <c r="I42" s="530"/>
      <c r="J42" s="530"/>
      <c r="K42" s="530"/>
      <c r="L42" s="530"/>
      <c r="M42" s="530"/>
      <c r="N42" s="530"/>
      <c r="O42" s="530"/>
      <c r="P42" s="530"/>
      <c r="Q42" s="530"/>
      <c r="R42" s="530"/>
      <c r="S42" s="530"/>
      <c r="T42" s="530"/>
      <c r="U42" s="530"/>
      <c r="V42" s="530"/>
      <c r="W42" s="530"/>
      <c r="X42" s="530"/>
      <c r="Y42" s="530"/>
      <c r="Z42" s="530"/>
      <c r="AA42" s="530"/>
      <c r="AB42" s="629"/>
      <c r="AC42" s="79"/>
      <c r="AD42" s="79"/>
    </row>
    <row r="43" spans="1:256" ht="12" customHeight="1">
      <c r="A43" s="774" t="s">
        <v>92</v>
      </c>
      <c r="B43" s="79"/>
      <c r="C43" s="162"/>
      <c r="D43" s="172">
        <f>D20</f>
        <v>-317.67656765076936</v>
      </c>
      <c r="E43" s="172">
        <f t="shared" ref="E43:AB43" si="14">E20</f>
        <v>6298.884329398963</v>
      </c>
      <c r="F43" s="172">
        <f t="shared" si="14"/>
        <v>6462.0452918068895</v>
      </c>
      <c r="G43" s="172">
        <f t="shared" si="14"/>
        <v>14271.372042138893</v>
      </c>
      <c r="H43" s="172">
        <f t="shared" si="14"/>
        <v>21164.605904165066</v>
      </c>
      <c r="I43" s="172">
        <f t="shared" si="14"/>
        <v>22719.939730277725</v>
      </c>
      <c r="J43" s="172">
        <f t="shared" si="14"/>
        <v>23574.507522460568</v>
      </c>
      <c r="K43" s="172">
        <f t="shared" si="14"/>
        <v>24312.125868241361</v>
      </c>
      <c r="L43" s="172">
        <f t="shared" si="14"/>
        <v>25082.710726906153</v>
      </c>
      <c r="M43" s="172">
        <f t="shared" si="14"/>
        <v>26195.731316487847</v>
      </c>
      <c r="N43" s="172">
        <f t="shared" si="14"/>
        <v>27488.254117385324</v>
      </c>
      <c r="O43" s="172">
        <f t="shared" si="14"/>
        <v>27912.732173413562</v>
      </c>
      <c r="P43" s="172">
        <f t="shared" si="14"/>
        <v>28548.137068952761</v>
      </c>
      <c r="Q43" s="172">
        <f t="shared" si="14"/>
        <v>28392.300995168112</v>
      </c>
      <c r="R43" s="172">
        <f t="shared" si="14"/>
        <v>28980.018098265515</v>
      </c>
      <c r="S43" s="172">
        <f t="shared" si="14"/>
        <v>29553.287035554673</v>
      </c>
      <c r="T43" s="172">
        <f t="shared" si="14"/>
        <v>30110.951667028359</v>
      </c>
      <c r="U43" s="172">
        <f t="shared" si="14"/>
        <v>30918.127636562844</v>
      </c>
      <c r="V43" s="172">
        <f t="shared" si="14"/>
        <v>31813.746843310568</v>
      </c>
      <c r="W43" s="172">
        <f t="shared" si="14"/>
        <v>31918.851884262909</v>
      </c>
      <c r="X43" s="172">
        <f t="shared" si="14"/>
        <v>8961.4544711775652</v>
      </c>
      <c r="Y43" s="172">
        <f t="shared" si="14"/>
        <v>0</v>
      </c>
      <c r="Z43" s="172">
        <f t="shared" si="14"/>
        <v>0</v>
      </c>
      <c r="AA43" s="172">
        <f t="shared" si="14"/>
        <v>0</v>
      </c>
      <c r="AB43" s="839">
        <f t="shared" si="14"/>
        <v>0</v>
      </c>
      <c r="AC43" s="172"/>
      <c r="AD43" s="172"/>
    </row>
    <row r="44" spans="1:256" ht="12" customHeight="1">
      <c r="A44" s="774" t="s">
        <v>35</v>
      </c>
      <c r="B44" s="79"/>
      <c r="C44" s="162"/>
      <c r="D44" s="164">
        <f>D24</f>
        <v>2958.4263041666673</v>
      </c>
      <c r="E44" s="164">
        <f t="shared" ref="E44:AB44" si="15">E24</f>
        <v>5071.587950000001</v>
      </c>
      <c r="F44" s="164">
        <f t="shared" si="15"/>
        <v>5071.587950000001</v>
      </c>
      <c r="G44" s="164">
        <f t="shared" si="15"/>
        <v>5071.587950000001</v>
      </c>
      <c r="H44" s="164">
        <f t="shared" si="15"/>
        <v>5071.587950000001</v>
      </c>
      <c r="I44" s="164">
        <f t="shared" si="15"/>
        <v>4873.3072333333339</v>
      </c>
      <c r="J44" s="164">
        <f t="shared" si="15"/>
        <v>4731.6781500000006</v>
      </c>
      <c r="K44" s="164">
        <f t="shared" si="15"/>
        <v>4731.6781500000006</v>
      </c>
      <c r="L44" s="164">
        <f t="shared" si="15"/>
        <v>4731.6781500000006</v>
      </c>
      <c r="M44" s="164">
        <f t="shared" si="15"/>
        <v>4731.6781500000006</v>
      </c>
      <c r="N44" s="164">
        <f t="shared" si="15"/>
        <v>4731.6781500000006</v>
      </c>
      <c r="O44" s="164">
        <f t="shared" si="15"/>
        <v>4731.6781500000006</v>
      </c>
      <c r="P44" s="164">
        <f t="shared" si="15"/>
        <v>4731.6781500000006</v>
      </c>
      <c r="Q44" s="164">
        <f t="shared" si="15"/>
        <v>4731.6781500000006</v>
      </c>
      <c r="R44" s="164">
        <f t="shared" si="15"/>
        <v>4731.6781500000006</v>
      </c>
      <c r="S44" s="164">
        <f t="shared" si="15"/>
        <v>4731.6781500000006</v>
      </c>
      <c r="T44" s="164">
        <f t="shared" si="15"/>
        <v>4731.6781500000006</v>
      </c>
      <c r="U44" s="164">
        <f t="shared" si="15"/>
        <v>4731.6781500000006</v>
      </c>
      <c r="V44" s="164">
        <f t="shared" si="15"/>
        <v>4731.6781500000006</v>
      </c>
      <c r="W44" s="164">
        <f t="shared" si="15"/>
        <v>4731.6781500000006</v>
      </c>
      <c r="X44" s="164">
        <f t="shared" si="15"/>
        <v>4731.6781500000006</v>
      </c>
      <c r="Y44" s="164">
        <f t="shared" si="15"/>
        <v>0</v>
      </c>
      <c r="Z44" s="164">
        <f t="shared" si="15"/>
        <v>0</v>
      </c>
      <c r="AA44" s="164">
        <f t="shared" si="15"/>
        <v>0</v>
      </c>
      <c r="AB44" s="775">
        <f t="shared" si="15"/>
        <v>0</v>
      </c>
      <c r="AC44" s="164"/>
      <c r="AD44" s="164"/>
    </row>
    <row r="45" spans="1:256" s="17" customFormat="1" ht="12" customHeight="1">
      <c r="A45" s="774" t="s">
        <v>451</v>
      </c>
      <c r="B45" s="173"/>
      <c r="C45" s="165"/>
      <c r="D45" s="165">
        <f>IF(D3&lt;='Project Assumtions'!$I$15+1,Depreciation!D15*-1,0)</f>
        <v>-8084.4109666666682</v>
      </c>
      <c r="E45" s="165">
        <f>IF(E3&lt;='Project Assumtions'!$I$15+1,Depreciation!E15*-1,0)</f>
        <v>-15323.557275000001</v>
      </c>
      <c r="F45" s="165">
        <f>IF(F3&lt;='Project Assumtions'!$I$15+1,Depreciation!F15*-1,0)</f>
        <v>-13825.192527500001</v>
      </c>
      <c r="G45" s="165">
        <f>IF(G3&lt;='Project Assumtions'!$I$15+1,Depreciation!G15*-1,0)</f>
        <v>-12484.550385</v>
      </c>
      <c r="H45" s="165">
        <f>IF(H3&lt;='Project Assumtions'!$I$15+1,Depreciation!H15*-1,0)</f>
        <v>-11270.086326500001</v>
      </c>
      <c r="I45" s="165">
        <f>IF(I3&lt;='Project Assumtions'!$I$15+1,Depreciation!I15*-1,0)</f>
        <v>-9967.7473748333341</v>
      </c>
      <c r="J45" s="165">
        <f>IF(J3&lt;='Project Assumtions'!$I$15+1,Depreciation!J15*-1,0)</f>
        <v>-9305.6336950000004</v>
      </c>
      <c r="K45" s="165">
        <f>IF(K3&lt;='Project Assumtions'!$I$15+1,Depreciation!K15*-1,0)</f>
        <v>-9321.4059555000003</v>
      </c>
      <c r="L45" s="165">
        <f>IF(L3&lt;='Project Assumtions'!$I$15+1,Depreciation!L15*-1,0)</f>
        <v>-9305.6336950000004</v>
      </c>
      <c r="M45" s="165">
        <f>IF(M3&lt;='Project Assumtions'!$I$15+1,Depreciation!M15*-1,0)</f>
        <v>-9321.4059555000003</v>
      </c>
      <c r="N45" s="165">
        <f>IF(N3&lt;='Project Assumtions'!$I$15+1,Depreciation!N15*-1,0)</f>
        <v>-9305.6336950000004</v>
      </c>
      <c r="O45" s="165">
        <f>IF(O3&lt;='Project Assumtions'!$I$15+1,Depreciation!O15*-1,0)</f>
        <v>-9321.4059555000003</v>
      </c>
      <c r="P45" s="165">
        <f>IF(P3&lt;='Project Assumtions'!$I$15+1,Depreciation!P15*-1,0)</f>
        <v>-9305.6336950000004</v>
      </c>
      <c r="Q45" s="165">
        <f>IF(Q3&lt;='Project Assumtions'!$I$15+1,Depreciation!Q15*-1,0)</f>
        <v>-9321.4059555000003</v>
      </c>
      <c r="R45" s="165">
        <f>IF(R3&lt;='Project Assumtions'!$I$15+1,Depreciation!R15*-1,0)</f>
        <v>-9305.6336950000004</v>
      </c>
      <c r="S45" s="165">
        <f>IF(S3&lt;='Project Assumtions'!$I$15+1,Depreciation!S15*-1,0)</f>
        <v>-4652.8168475000002</v>
      </c>
      <c r="T45" s="165">
        <f>IF(T3&lt;='Project Assumtions'!$I$15+1,Depreciation!T15*-1,0)</f>
        <v>0</v>
      </c>
      <c r="U45" s="165">
        <f>IF(U3&lt;='Project Assumtions'!$I$15+1,Depreciation!U15*-1,0)</f>
        <v>0</v>
      </c>
      <c r="V45" s="165">
        <f>IF(V3&lt;='Project Assumtions'!$I$15+1,Depreciation!V15*-1,0)</f>
        <v>0</v>
      </c>
      <c r="W45" s="165">
        <f>IF(W3&lt;='Project Assumtions'!$I$15+1,Depreciation!W15*-1,0)</f>
        <v>0</v>
      </c>
      <c r="X45" s="165">
        <f>IF(X3&lt;='Project Assumtions'!$I$15,Depreciation!X15*-1,0)</f>
        <v>0</v>
      </c>
      <c r="Y45" s="165">
        <f>IF(Y3&lt;='Project Assumtions'!$I$15,Depreciation!Y15*-1,0)</f>
        <v>0</v>
      </c>
      <c r="Z45" s="165">
        <f>IF(Z3&lt;='Project Assumtions'!$I$15,Depreciation!Z15*-1,0)</f>
        <v>0</v>
      </c>
      <c r="AA45" s="165">
        <f>IF(AA3&lt;='Project Assumtions'!$I$15,Depreciation!AA15*-1,0)</f>
        <v>0</v>
      </c>
      <c r="AB45" s="776">
        <f>IF(AB3&lt;='Project Assumtions'!$I$15,Depreciation!AB15*-1,0)</f>
        <v>0</v>
      </c>
      <c r="AC45" s="165"/>
      <c r="AD45" s="165"/>
      <c r="AE45" s="77"/>
      <c r="AF45" s="77"/>
      <c r="AG45" s="77"/>
    </row>
    <row r="46" spans="1:256" s="17" customFormat="1" ht="12" customHeight="1">
      <c r="A46" s="774" t="s">
        <v>452</v>
      </c>
      <c r="B46" s="173"/>
      <c r="C46" s="173"/>
      <c r="D46" s="163">
        <f>-D40</f>
        <v>-188.340226</v>
      </c>
      <c r="E46" s="163">
        <f t="shared" ref="E46:AB46" si="16">-E40</f>
        <v>-305.53364568000001</v>
      </c>
      <c r="F46" s="163">
        <f t="shared" si="16"/>
        <v>-306.57805505040005</v>
      </c>
      <c r="G46" s="163">
        <f t="shared" si="16"/>
        <v>-485.22664943272241</v>
      </c>
      <c r="H46" s="163">
        <f t="shared" si="16"/>
        <v>-1175.7261237927692</v>
      </c>
      <c r="I46" s="163">
        <f t="shared" si="16"/>
        <v>-1565.6254323244405</v>
      </c>
      <c r="J46" s="163">
        <f t="shared" si="16"/>
        <v>-1656.558094749385</v>
      </c>
      <c r="K46" s="163">
        <f t="shared" si="16"/>
        <v>-1714.1201923435676</v>
      </c>
      <c r="L46" s="163">
        <f t="shared" si="16"/>
        <v>-1775.7061479005861</v>
      </c>
      <c r="M46" s="163">
        <f t="shared" si="16"/>
        <v>-1862.9250227550397</v>
      </c>
      <c r="N46" s="163">
        <f t="shared" si="16"/>
        <v>-1965.7440757484405</v>
      </c>
      <c r="O46" s="163">
        <f t="shared" si="16"/>
        <v>-1998.5680904521714</v>
      </c>
      <c r="P46" s="163">
        <f t="shared" si="16"/>
        <v>-2049.474828922268</v>
      </c>
      <c r="Q46" s="163">
        <f t="shared" si="16"/>
        <v>-2036.4540273707812</v>
      </c>
      <c r="R46" s="163">
        <f t="shared" si="16"/>
        <v>-2083.5934302379756</v>
      </c>
      <c r="S46" s="163">
        <f t="shared" si="16"/>
        <v>-2338.2584344213192</v>
      </c>
      <c r="T46" s="163">
        <f t="shared" si="16"/>
        <v>-2591.6906984452407</v>
      </c>
      <c r="U46" s="163">
        <f t="shared" si="16"/>
        <v>-2655.4576000384645</v>
      </c>
      <c r="V46" s="163">
        <f t="shared" si="16"/>
        <v>-2726.2115173715347</v>
      </c>
      <c r="W46" s="163">
        <f t="shared" si="16"/>
        <v>-2734.5148156067698</v>
      </c>
      <c r="X46" s="163">
        <f t="shared" si="16"/>
        <v>-304.68945202003727</v>
      </c>
      <c r="Y46" s="163">
        <f t="shared" si="16"/>
        <v>0</v>
      </c>
      <c r="Z46" s="163">
        <f t="shared" si="16"/>
        <v>0</v>
      </c>
      <c r="AA46" s="163">
        <f t="shared" si="16"/>
        <v>0</v>
      </c>
      <c r="AB46" s="840">
        <f t="shared" si="16"/>
        <v>0</v>
      </c>
      <c r="AC46" s="173"/>
      <c r="AD46" s="173"/>
      <c r="AE46" s="77"/>
      <c r="AF46" s="77"/>
      <c r="AG46" s="77"/>
    </row>
    <row r="47" spans="1:256" s="17" customFormat="1" ht="12" customHeight="1">
      <c r="A47" s="772" t="s">
        <v>89</v>
      </c>
      <c r="B47" s="80"/>
      <c r="C47" s="474"/>
      <c r="D47" s="475">
        <f>SUM(D43:D46)</f>
        <v>-5632.0014561507705</v>
      </c>
      <c r="E47" s="475">
        <f t="shared" ref="E47:AB47" si="17">SUM(E43:E46)</f>
        <v>-4258.6186412810366</v>
      </c>
      <c r="F47" s="475">
        <f t="shared" si="17"/>
        <v>-2598.1373407435108</v>
      </c>
      <c r="G47" s="475">
        <f t="shared" si="17"/>
        <v>6373.1829577061717</v>
      </c>
      <c r="H47" s="475">
        <f t="shared" si="17"/>
        <v>13790.381403872298</v>
      </c>
      <c r="I47" s="475">
        <f t="shared" si="17"/>
        <v>16059.874156453285</v>
      </c>
      <c r="J47" s="475">
        <f t="shared" si="17"/>
        <v>17343.993882711184</v>
      </c>
      <c r="K47" s="475">
        <f t="shared" si="17"/>
        <v>18008.277870397793</v>
      </c>
      <c r="L47" s="475">
        <f t="shared" si="17"/>
        <v>18733.049034005566</v>
      </c>
      <c r="M47" s="475">
        <f t="shared" si="17"/>
        <v>19743.078488232804</v>
      </c>
      <c r="N47" s="475">
        <f t="shared" si="17"/>
        <v>20948.554496636883</v>
      </c>
      <c r="O47" s="475">
        <f t="shared" si="17"/>
        <v>21324.436277461391</v>
      </c>
      <c r="P47" s="475">
        <f t="shared" si="17"/>
        <v>21924.706695030494</v>
      </c>
      <c r="Q47" s="475">
        <f t="shared" si="17"/>
        <v>21766.119162297335</v>
      </c>
      <c r="R47" s="475">
        <f t="shared" si="17"/>
        <v>22322.469123027538</v>
      </c>
      <c r="S47" s="475">
        <f t="shared" si="17"/>
        <v>27293.889903633361</v>
      </c>
      <c r="T47" s="475">
        <f t="shared" si="17"/>
        <v>32250.939118583123</v>
      </c>
      <c r="U47" s="475">
        <f t="shared" si="17"/>
        <v>32994.348186524381</v>
      </c>
      <c r="V47" s="475">
        <f t="shared" si="17"/>
        <v>33819.213475939032</v>
      </c>
      <c r="W47" s="475">
        <f t="shared" si="17"/>
        <v>33916.015218656146</v>
      </c>
      <c r="X47" s="475">
        <f t="shared" si="17"/>
        <v>13388.44316915753</v>
      </c>
      <c r="Y47" s="475">
        <f t="shared" si="17"/>
        <v>0</v>
      </c>
      <c r="Z47" s="475">
        <f t="shared" si="17"/>
        <v>0</v>
      </c>
      <c r="AA47" s="475">
        <f t="shared" si="17"/>
        <v>0</v>
      </c>
      <c r="AB47" s="841">
        <f t="shared" si="17"/>
        <v>0</v>
      </c>
      <c r="AC47" s="165"/>
      <c r="AD47" s="165"/>
      <c r="AE47" s="77"/>
      <c r="AF47" s="77"/>
      <c r="AG47" s="77"/>
    </row>
    <row r="48" spans="1:256" s="17" customFormat="1" ht="12" customHeight="1">
      <c r="A48" s="772"/>
      <c r="B48" s="80"/>
      <c r="C48" s="474"/>
      <c r="D48" s="475"/>
      <c r="E48" s="475"/>
      <c r="F48" s="475"/>
      <c r="G48" s="475"/>
      <c r="H48" s="475"/>
      <c r="I48" s="475"/>
      <c r="J48" s="475"/>
      <c r="K48" s="475"/>
      <c r="L48" s="475"/>
      <c r="M48" s="475"/>
      <c r="N48" s="475"/>
      <c r="O48" s="475"/>
      <c r="P48" s="475"/>
      <c r="Q48" s="475"/>
      <c r="R48" s="475"/>
      <c r="S48" s="475"/>
      <c r="T48" s="475"/>
      <c r="U48" s="475"/>
      <c r="V48" s="475"/>
      <c r="W48" s="475"/>
      <c r="X48" s="475"/>
      <c r="Y48" s="475"/>
      <c r="Z48" s="475"/>
      <c r="AA48" s="475"/>
      <c r="AB48" s="841"/>
      <c r="AC48" s="165"/>
      <c r="AD48" s="165"/>
      <c r="AE48" s="77"/>
      <c r="AF48" s="77"/>
      <c r="AG48" s="77"/>
    </row>
    <row r="49" spans="1:33" ht="12" customHeight="1">
      <c r="A49" s="774" t="s">
        <v>453</v>
      </c>
      <c r="B49" s="79"/>
      <c r="C49" s="174"/>
      <c r="D49" s="551">
        <f>IF(D3&gt;ProjectLife+1,0,'Project Assumtions'!$N$64)</f>
        <v>0.35</v>
      </c>
      <c r="E49" s="551">
        <f>IF(E3&gt;ProjectLife+1,0,'Project Assumtions'!$N$64)</f>
        <v>0.35</v>
      </c>
      <c r="F49" s="551">
        <f>IF(F3&gt;ProjectLife+1,0,'Project Assumtions'!$N$64)</f>
        <v>0.35</v>
      </c>
      <c r="G49" s="551">
        <f>IF(G3&gt;ProjectLife+1,0,'Project Assumtions'!$N$64)</f>
        <v>0.35</v>
      </c>
      <c r="H49" s="551">
        <f>IF(H3&gt;ProjectLife+1,0,'Project Assumtions'!$N$64)</f>
        <v>0.35</v>
      </c>
      <c r="I49" s="551">
        <f>IF(I3&gt;ProjectLife+1,0,'Project Assumtions'!$N$64)</f>
        <v>0.35</v>
      </c>
      <c r="J49" s="551">
        <f>IF(J3&gt;ProjectLife+1,0,'Project Assumtions'!$N$64)</f>
        <v>0.35</v>
      </c>
      <c r="K49" s="551">
        <f>IF(K3&gt;ProjectLife+1,0,'Project Assumtions'!$N$64)</f>
        <v>0.35</v>
      </c>
      <c r="L49" s="551">
        <f>IF(L3&gt;ProjectLife+1,0,'Project Assumtions'!$N$64)</f>
        <v>0.35</v>
      </c>
      <c r="M49" s="551">
        <f>IF(M3&gt;ProjectLife+1,0,'Project Assumtions'!$N$64)</f>
        <v>0.35</v>
      </c>
      <c r="N49" s="551">
        <f>IF(N3&gt;ProjectLife+1,0,'Project Assumtions'!$N$64)</f>
        <v>0.35</v>
      </c>
      <c r="O49" s="551">
        <f>IF(O3&gt;ProjectLife+1,0,'Project Assumtions'!$N$64)</f>
        <v>0.35</v>
      </c>
      <c r="P49" s="551">
        <f>IF(P3&gt;ProjectLife+1,0,'Project Assumtions'!$N$64)</f>
        <v>0.35</v>
      </c>
      <c r="Q49" s="551">
        <f>IF(Q3&gt;ProjectLife+1,0,'Project Assumtions'!$N$64)</f>
        <v>0.35</v>
      </c>
      <c r="R49" s="551">
        <f>IF(R3&gt;ProjectLife+1,0,'Project Assumtions'!$N$64)</f>
        <v>0.35</v>
      </c>
      <c r="S49" s="551">
        <f>IF(S3&gt;ProjectLife+1,0,'Project Assumtions'!$N$64)</f>
        <v>0.35</v>
      </c>
      <c r="T49" s="551">
        <f>IF(T3&gt;ProjectLife+1,0,'Project Assumtions'!$N$64)</f>
        <v>0.35</v>
      </c>
      <c r="U49" s="551">
        <f>IF(U3&gt;ProjectLife+1,0,'Project Assumtions'!$N$64)</f>
        <v>0.35</v>
      </c>
      <c r="V49" s="551">
        <f>IF(V3&gt;ProjectLife+1,0,'Project Assumtions'!$N$64)</f>
        <v>0.35</v>
      </c>
      <c r="W49" s="551">
        <f>IF(W3&gt;ProjectLife+1,0,'Project Assumtions'!$N$64)</f>
        <v>0.35</v>
      </c>
      <c r="X49" s="551">
        <f>IF(X3&gt;ProjectLife+1,0,'Project Assumtions'!$N$64)</f>
        <v>0.35</v>
      </c>
      <c r="Y49" s="551">
        <f>IF(Y3&gt;ProjectLife,0,'Project Assumtions'!$N$64)</f>
        <v>0</v>
      </c>
      <c r="Z49" s="551">
        <f>IF(Z3&gt;ProjectLife,0,'Project Assumtions'!$N$64)</f>
        <v>0</v>
      </c>
      <c r="AA49" s="551">
        <f>IF(AA3&gt;ProjectLife,0,'Project Assumtions'!$N$64)</f>
        <v>0</v>
      </c>
      <c r="AB49" s="842">
        <f>IF(AB3&gt;ProjectLife,0,'Project Assumtions'!$N$64)</f>
        <v>0</v>
      </c>
      <c r="AC49" s="79"/>
      <c r="AD49" s="79"/>
    </row>
    <row r="50" spans="1:33" s="17" customFormat="1" ht="12" customHeight="1">
      <c r="A50" s="774" t="s">
        <v>454</v>
      </c>
      <c r="B50" s="173"/>
      <c r="C50" s="165"/>
      <c r="D50" s="165">
        <f>D47*D49</f>
        <v>-1971.2005096527696</v>
      </c>
      <c r="E50" s="165">
        <f t="shared" ref="E50:AB50" si="18">E47*E49</f>
        <v>-1490.5165244483628</v>
      </c>
      <c r="F50" s="165">
        <f t="shared" si="18"/>
        <v>-909.34806926022873</v>
      </c>
      <c r="G50" s="165">
        <f t="shared" si="18"/>
        <v>2230.6140351971599</v>
      </c>
      <c r="H50" s="165">
        <f t="shared" si="18"/>
        <v>4826.6334913553037</v>
      </c>
      <c r="I50" s="165">
        <f t="shared" si="18"/>
        <v>5620.9559547586496</v>
      </c>
      <c r="J50" s="165">
        <f t="shared" si="18"/>
        <v>6070.3978589489143</v>
      </c>
      <c r="K50" s="165">
        <f t="shared" si="18"/>
        <v>6302.897254639227</v>
      </c>
      <c r="L50" s="165">
        <f t="shared" si="18"/>
        <v>6556.5671619019477</v>
      </c>
      <c r="M50" s="165">
        <f t="shared" si="18"/>
        <v>6910.0774708814815</v>
      </c>
      <c r="N50" s="165">
        <f t="shared" si="18"/>
        <v>7331.9940738229088</v>
      </c>
      <c r="O50" s="165">
        <f t="shared" si="18"/>
        <v>7463.5526971114859</v>
      </c>
      <c r="P50" s="165">
        <f t="shared" si="18"/>
        <v>7673.6473432606726</v>
      </c>
      <c r="Q50" s="165">
        <f t="shared" si="18"/>
        <v>7618.1417068040664</v>
      </c>
      <c r="R50" s="165">
        <f t="shared" si="18"/>
        <v>7812.8641930596377</v>
      </c>
      <c r="S50" s="165">
        <f t="shared" si="18"/>
        <v>9552.8614662716755</v>
      </c>
      <c r="T50" s="165">
        <f t="shared" si="18"/>
        <v>11287.828691504092</v>
      </c>
      <c r="U50" s="165">
        <f t="shared" si="18"/>
        <v>11548.021865283532</v>
      </c>
      <c r="V50" s="165">
        <f t="shared" si="18"/>
        <v>11836.724716578661</v>
      </c>
      <c r="W50" s="165">
        <f t="shared" si="18"/>
        <v>11870.60532652965</v>
      </c>
      <c r="X50" s="165">
        <f t="shared" si="18"/>
        <v>4685.9551092051352</v>
      </c>
      <c r="Y50" s="165">
        <f t="shared" si="18"/>
        <v>0</v>
      </c>
      <c r="Z50" s="165">
        <f t="shared" si="18"/>
        <v>0</v>
      </c>
      <c r="AA50" s="165">
        <f t="shared" si="18"/>
        <v>0</v>
      </c>
      <c r="AB50" s="776">
        <f t="shared" si="18"/>
        <v>0</v>
      </c>
      <c r="AC50" s="165"/>
      <c r="AD50" s="165"/>
      <c r="AE50" s="77"/>
      <c r="AF50" s="77"/>
      <c r="AG50" s="77"/>
    </row>
    <row r="51" spans="1:33">
      <c r="A51" s="553"/>
      <c r="B51" s="79"/>
      <c r="C51" s="79"/>
      <c r="D51" s="79"/>
      <c r="E51" s="79"/>
      <c r="F51" s="79"/>
      <c r="G51" s="79"/>
      <c r="H51" s="79"/>
      <c r="I51" s="79"/>
      <c r="J51" s="79"/>
      <c r="K51" s="79"/>
      <c r="L51" s="79"/>
      <c r="M51" s="79"/>
      <c r="N51" s="79"/>
      <c r="O51" s="79"/>
      <c r="P51" s="79"/>
      <c r="Q51" s="79"/>
      <c r="R51" s="79"/>
      <c r="S51" s="79"/>
      <c r="T51" s="79"/>
      <c r="U51" s="79"/>
      <c r="V51" s="79"/>
      <c r="W51" s="79"/>
      <c r="X51" s="79"/>
      <c r="Y51" s="79"/>
      <c r="Z51" s="79"/>
      <c r="AA51" s="79"/>
      <c r="AB51" s="556"/>
      <c r="AC51" s="79"/>
      <c r="AD51" s="79"/>
    </row>
    <row r="52" spans="1:33" s="41" customFormat="1">
      <c r="A52" s="553" t="s">
        <v>90</v>
      </c>
      <c r="B52" s="490"/>
      <c r="C52" s="79"/>
      <c r="D52" s="165">
        <f>IF(D3&gt;'Project Assumtions'!$I$15+1,0,IF(C52-C53+IF(D50&lt;0,-1*D50,0)&gt;0,C52-C53+IF(D50&lt;0,-1*D50,0),0))</f>
        <v>1971.2005096527696</v>
      </c>
      <c r="E52" s="165">
        <f>IF(E3&gt;'Project Assumtions'!$I$15+1,0,IF(D52-D53+IF(E50&lt;0,-1*E50,0)&gt;0,D52-D53+IF(E50&lt;0,-1*E50,0),0))</f>
        <v>3461.7170341011324</v>
      </c>
      <c r="F52" s="165">
        <f>IF(F3&gt;'Project Assumtions'!$I$15+1,0,IF(E52-E53+IF(F50&lt;0,-1*F50,0)&gt;0,E52-E53+IF(F50&lt;0,-1*F50,0),0))</f>
        <v>4371.0651033613613</v>
      </c>
      <c r="G52" s="165">
        <f>IF(G3&gt;'Project Assumtions'!$I$15+1,0,IF(F52-F53+IF(G50&lt;0,-1*G50,0)&gt;0,F52-F53+IF(G50&lt;0,-1*G50,0),0))</f>
        <v>4371.0651033613613</v>
      </c>
      <c r="H52" s="165">
        <f>IF(H3&gt;'Project Assumtions'!$I$15+1,0,IF(G52-G53+IF(H50&lt;0,-1*H50,0)&gt;0,G52-G53+IF(H50&lt;0,-1*H50,0),0))</f>
        <v>2140.4510681642014</v>
      </c>
      <c r="I52" s="165">
        <f>IF(I3&gt;'Project Assumtions'!$I$15+1,0,IF(H52-H53+IF(I50&lt;0,-1*I50,0)&gt;0,H52-H53+IF(I50&lt;0,-1*I50,0),0))</f>
        <v>0</v>
      </c>
      <c r="J52" s="165">
        <f>IF(J3&gt;'Project Assumtions'!$I$15+1,0,IF(I52-I53+IF(J50&lt;0,-1*J50,0)&gt;0,I52-I53+IF(J50&lt;0,-1*J50,0),0))</f>
        <v>0</v>
      </c>
      <c r="K52" s="165">
        <f>IF(K3&gt;'Project Assumtions'!$I$15+1,0,IF(J52-J53+IF(K50&lt;0,-1*K50,0)&gt;0,J52-J53+IF(K50&lt;0,-1*K50,0),0))</f>
        <v>0</v>
      </c>
      <c r="L52" s="165">
        <f>IF(L3&gt;'Project Assumtions'!$I$15+1,0,IF(K52-K53+IF(L50&lt;0,-1*L50,0)&gt;0,K52-K53+IF(L50&lt;0,-1*L50,0),0))</f>
        <v>0</v>
      </c>
      <c r="M52" s="165">
        <f>IF(M3&gt;'Project Assumtions'!$I$15+1,0,IF(L52-L53+IF(M50&lt;0,-1*M50,0)&gt;0,L52-L53+IF(M50&lt;0,-1*M50,0),0))</f>
        <v>0</v>
      </c>
      <c r="N52" s="165">
        <f>IF(N3&gt;'Project Assumtions'!$I$15+1,0,IF(M52-M53+IF(N50&lt;0,-1*N50,0)&gt;0,M52-M53+IF(N50&lt;0,-1*N50,0),0))</f>
        <v>0</v>
      </c>
      <c r="O52" s="165">
        <f>IF(O3&gt;'Project Assumtions'!$I$15+1,0,IF(N52-N53+IF(O50&lt;0,-1*O50,0)&gt;0,N52-N53+IF(O50&lt;0,-1*O50,0),0))</f>
        <v>0</v>
      </c>
      <c r="P52" s="165">
        <f>IF(P3&gt;'Project Assumtions'!$I$15+1,0,IF(O52-O53+IF(P50&lt;0,-1*P50,0)&gt;0,O52-O53+IF(P50&lt;0,-1*P50,0),0))</f>
        <v>0</v>
      </c>
      <c r="Q52" s="165">
        <f>IF(Q3&gt;'Project Assumtions'!$I$15+1,0,IF(P52-P53+IF(Q50&lt;0,-1*Q50,0)&gt;0,P52-P53+IF(Q50&lt;0,-1*Q50,0),0))</f>
        <v>0</v>
      </c>
      <c r="R52" s="165">
        <f>IF(R3&gt;'Project Assumtions'!$I$15+1,0,IF(Q52-Q53+IF(R50&lt;0,-1*R50,0)&gt;0,Q52-Q53+IF(R50&lt;0,-1*R50,0),0))</f>
        <v>0</v>
      </c>
      <c r="S52" s="165">
        <f>IF(S3&gt;'Project Assumtions'!$I$15+1,0,IF(R52-R53+IF(S50&lt;0,-1*S50,0)&gt;0,R52-R53+IF(S50&lt;0,-1*S50,0),0))</f>
        <v>0</v>
      </c>
      <c r="T52" s="165">
        <f>IF(T3&gt;'Project Assumtions'!$I$15+1,0,IF(S52-S53+IF(T50&lt;0,-1*T50,0)&gt;0,S52-S53+IF(T50&lt;0,-1*T50,0),0))</f>
        <v>0</v>
      </c>
      <c r="U52" s="165">
        <f>IF(U3&gt;'Project Assumtions'!$I$15+1,0,IF(T52-T53+IF(U50&lt;0,-1*U50,0)&gt;0,T52-T53+IF(U50&lt;0,-1*U50,0),0))</f>
        <v>0</v>
      </c>
      <c r="V52" s="165">
        <f>IF(V3&gt;'Project Assumtions'!$I$15+1,0,IF(U52-U53+IF(V50&lt;0,-1*V50,0)&gt;0,U52-U53+IF(V50&lt;0,-1*V50,0),0))</f>
        <v>0</v>
      </c>
      <c r="W52" s="165">
        <f>IF(W3&gt;'Project Assumtions'!$I$15+1,0,IF(V52-V53+IF(W50&lt;0,-1*W50,0)&gt;0,V52-V53+IF(W50&lt;0,-1*W50,0),0))</f>
        <v>0</v>
      </c>
      <c r="X52" s="165">
        <f>IF(X3&gt;'Project Assumtions'!$I$15,0,IF(W52-W53+IF(X50&lt;0,-1*X50,0)&gt;0,W52-W53+IF(X50&lt;0,-1*X50,0),0))</f>
        <v>0</v>
      </c>
      <c r="Y52" s="165">
        <f>IF(Y3&gt;'Project Assumtions'!$I$15,0,IF(X52-X53+IF(Y50&lt;0,-1*Y50,0)&gt;0,X52-X53+IF(Y50&lt;0,-1*Y50,0),0))</f>
        <v>0</v>
      </c>
      <c r="Z52" s="165">
        <f>IF(Z3&gt;'Project Assumtions'!$I$15,0,IF(Y52-Y53+IF(Z50&lt;0,-1*Z50,0)&gt;0,Y52-Y53+IF(Z50&lt;0,-1*Z50,0),0))</f>
        <v>0</v>
      </c>
      <c r="AA52" s="165">
        <f>IF(AA3&gt;'Project Assumtions'!$I$15,0,IF(Z52-Z53+IF(AA50&lt;0,-1*AA50,0)&gt;0,Z52-Z53+IF(AA50&lt;0,-1*AA50,0),0))</f>
        <v>0</v>
      </c>
      <c r="AB52" s="776">
        <f>IF(AB3&gt;'Project Assumtions'!$I$15,0,IF(AA52-AA53+IF(AB50&lt;0,-1*AB50,0)&gt;0,AA52-AA53+IF(AB50&lt;0,-1*AB50,0),0))</f>
        <v>0</v>
      </c>
      <c r="AC52" s="79"/>
      <c r="AD52" s="79"/>
      <c r="AE52" s="72"/>
      <c r="AF52" s="72"/>
      <c r="AG52" s="72"/>
    </row>
    <row r="53" spans="1:33" s="41" customFormat="1">
      <c r="A53" s="553" t="s">
        <v>91</v>
      </c>
      <c r="B53" s="490"/>
      <c r="C53" s="79"/>
      <c r="D53" s="165">
        <f>IF('Project Assumtions'!$C$66="No",0,IF(D3&lt;='Project Assumtions'!$C$68,IF(D50&lt;0,0,IF(D52&gt;D50,D50,D52)),0))</f>
        <v>0</v>
      </c>
      <c r="E53" s="165">
        <f>IF('Project Assumtions'!$C$66="No",0,IF(E3&lt;='Project Assumtions'!$C$68,IF(E50&lt;0,0,IF(E52&gt;E50,E50,E52)),0))</f>
        <v>0</v>
      </c>
      <c r="F53" s="165">
        <f>IF('Project Assumtions'!$C$66="No",0,IF(F3&lt;='Project Assumtions'!$C$68,IF(F50&lt;0,0,IF(F52&gt;F50,F50,F52)),0))</f>
        <v>0</v>
      </c>
      <c r="G53" s="165">
        <f>IF('Project Assumtions'!$C$66="No",0,IF(G3&lt;='Project Assumtions'!$C$68,IF(G50&lt;0,0,IF(G52&gt;G50,G50,G52)),0))</f>
        <v>2230.6140351971599</v>
      </c>
      <c r="H53" s="165">
        <f>IF('Project Assumtions'!$C$66="No",0,IF(H3&lt;='Project Assumtions'!$C$68,IF(H50&lt;0,0,IF(H52&gt;H50,H50,H52)),0))</f>
        <v>2140.4510681642014</v>
      </c>
      <c r="I53" s="165">
        <f>IF('Project Assumtions'!$C$66="No",0,IF(I3&lt;='Project Assumtions'!$C$68,IF(I50&lt;0,0,IF(I52&gt;I50,I50,I52)),0))</f>
        <v>0</v>
      </c>
      <c r="J53" s="165">
        <f>IF('Project Assumtions'!$C$66="No",0,IF(J3&lt;='Project Assumtions'!$C$68,IF(J50&lt;0,0,IF(J52&gt;J50,J50,J52)),0))</f>
        <v>0</v>
      </c>
      <c r="K53" s="165">
        <f>IF('Project Assumtions'!$C$66="No",0,IF(K3&lt;='Project Assumtions'!$C$68,IF(K50&lt;0,0,IF(K52&gt;K50,K50,K52)),0))</f>
        <v>0</v>
      </c>
      <c r="L53" s="165">
        <f>IF('Project Assumtions'!$C$66="No",0,IF(L3&lt;='Project Assumtions'!$C$68,IF(L50&lt;0,0,IF(L52&gt;L50,L50,L52)),0))</f>
        <v>0</v>
      </c>
      <c r="M53" s="165">
        <f>IF('Project Assumtions'!$C$66="No",0,IF(M3&lt;='Project Assumtions'!$C$68,IF(M50&lt;0,0,IF(M52&gt;M50,M50,M52)),0))</f>
        <v>0</v>
      </c>
      <c r="N53" s="165">
        <f>IF('Project Assumtions'!$C$66="No",0,IF(N3&lt;='Project Assumtions'!$C$68,IF(N50&lt;0,0,IF(N52&gt;N50,N50,N52)),0))</f>
        <v>0</v>
      </c>
      <c r="O53" s="165">
        <f>IF('Project Assumtions'!$C$66="No",0,IF(O3&lt;='Project Assumtions'!$C$68,IF(O50&lt;0,0,IF(O52&gt;O50,O50,O52)),0))</f>
        <v>0</v>
      </c>
      <c r="P53" s="165">
        <f>IF('Project Assumtions'!$C$66="No",0,IF(P3&lt;='Project Assumtions'!$C$68,IF(P50&lt;0,0,IF(P52&gt;P50,P50,P52)),0))</f>
        <v>0</v>
      </c>
      <c r="Q53" s="165">
        <f>IF('Project Assumtions'!$C$66="No",0,IF(Q3&lt;='Project Assumtions'!$C$68,IF(Q50&lt;0,0,IF(Q52&gt;Q50,Q50,Q52)),0))</f>
        <v>0</v>
      </c>
      <c r="R53" s="165">
        <f>IF('Project Assumtions'!$C$66="No",0,IF(R3&lt;='Project Assumtions'!$C$68,IF(R50&lt;0,0,IF(R52&gt;R50,R50,R52)),0))</f>
        <v>0</v>
      </c>
      <c r="S53" s="165">
        <f>IF('Project Assumtions'!$C$66="No",0,IF(S3&lt;='Project Assumtions'!$C$68,IF(S50&lt;0,0,IF(S52&gt;S50,S50,S52)),0))</f>
        <v>0</v>
      </c>
      <c r="T53" s="165">
        <f>IF('Project Assumtions'!$C$66="No",0,IF(T3&lt;='Project Assumtions'!$C$68,IF(T50&lt;0,0,IF(T52&gt;T50,T50,T52)),0))</f>
        <v>0</v>
      </c>
      <c r="U53" s="165">
        <f>IF('Project Assumtions'!$C$66="No",0,IF(U3&lt;='Project Assumtions'!$C$68,IF(U50&lt;0,0,IF(U52&gt;U50,U50,U52)),0))</f>
        <v>0</v>
      </c>
      <c r="V53" s="165">
        <f>IF('Project Assumtions'!$C$66="No",0,IF(V3&lt;='Project Assumtions'!$C$68,IF(V50&lt;0,0,IF(V52&gt;V50,V50,V52)),0))</f>
        <v>0</v>
      </c>
      <c r="W53" s="165">
        <f>IF('Project Assumtions'!$C$66="No",0,IF(W3&lt;='Project Assumtions'!$C$68,IF(W50&lt;0,0,IF(W52&gt;W50,W50,W52)),0))</f>
        <v>0</v>
      </c>
      <c r="X53" s="165">
        <f>IF('Project Assumtions'!$C$66="No",0,IF(X3&lt;='Project Assumtions'!$C$68,IF(X50&lt;0,0,IF(X52&gt;X50,X50,X52)),0))</f>
        <v>0</v>
      </c>
      <c r="Y53" s="165">
        <f>IF('Project Assumtions'!$C$66="No",0,IF(Y3&lt;='Project Assumtions'!$C$68,IF(Y50&lt;0,0,IF(Y52&gt;Y50,Y50,Y52)),0))</f>
        <v>0</v>
      </c>
      <c r="Z53" s="165">
        <f>IF('Project Assumtions'!$C$66="No",0,IF(Z3&lt;='Project Assumtions'!$C$68,IF(Z50&lt;0,0,IF(Z52&gt;Z50,Z50,Z52)),0))</f>
        <v>0</v>
      </c>
      <c r="AA53" s="165">
        <f>IF('Project Assumtions'!$C$66="No",0,IF(AA3&lt;='Project Assumtions'!$C$68,IF(AA50&lt;0,0,IF(AA52&gt;AA50,AA50,AA52)),0))</f>
        <v>0</v>
      </c>
      <c r="AB53" s="776">
        <f>IF('Project Assumtions'!$C$66="No",0,IF(AB3&lt;='Project Assumtions'!$C$68,IF(AB50&lt;0,0,IF(AB52&gt;AB50,AB50,AB52)),0))</f>
        <v>0</v>
      </c>
      <c r="AC53" s="72"/>
      <c r="AD53" s="72"/>
      <c r="AE53" s="72"/>
      <c r="AF53" s="72"/>
      <c r="AG53" s="72"/>
    </row>
    <row r="54" spans="1:33" s="41" customFormat="1">
      <c r="A54" s="553"/>
      <c r="B54" s="490"/>
      <c r="C54" s="79"/>
      <c r="D54" s="165"/>
      <c r="E54" s="165"/>
      <c r="F54" s="165"/>
      <c r="G54" s="165"/>
      <c r="H54" s="165"/>
      <c r="I54" s="165"/>
      <c r="J54" s="165"/>
      <c r="K54" s="165"/>
      <c r="L54" s="165"/>
      <c r="M54" s="165"/>
      <c r="N54" s="165"/>
      <c r="O54" s="165"/>
      <c r="P54" s="165"/>
      <c r="Q54" s="165"/>
      <c r="R54" s="165"/>
      <c r="S54" s="165"/>
      <c r="T54" s="165"/>
      <c r="U54" s="165"/>
      <c r="V54" s="165"/>
      <c r="W54" s="165"/>
      <c r="X54" s="165"/>
      <c r="Y54" s="165"/>
      <c r="Z54" s="165"/>
      <c r="AA54" s="165"/>
      <c r="AB54" s="776"/>
      <c r="AC54" s="72"/>
      <c r="AD54" s="72"/>
      <c r="AE54" s="72"/>
      <c r="AF54" s="72"/>
      <c r="AG54" s="72"/>
    </row>
    <row r="55" spans="1:33" s="41" customFormat="1">
      <c r="A55" s="476" t="s">
        <v>455</v>
      </c>
      <c r="B55" s="477"/>
      <c r="C55" s="478"/>
      <c r="D55" s="479">
        <f>IF(AND('Project Assumtions'!$C$66="No",D50&lt;0),D50,IF(AND('Project Assumtions'!$C$66="No",D50&gt;0),D50,IF(D50&lt;0,0,(D50-D53))))</f>
        <v>0</v>
      </c>
      <c r="E55" s="479">
        <f>IF(AND('Project Assumtions'!$C$66="No",E50&lt;0),E50,IF(AND('Project Assumtions'!$C$66="No",E50&gt;0),E50,IF(E50&lt;0,0,(E50-E53))))</f>
        <v>0</v>
      </c>
      <c r="F55" s="479">
        <f>IF(AND('Project Assumtions'!$C$66="No",F50&lt;0),F50,IF(AND('Project Assumtions'!$C$66="No",F50&gt;0),F50,IF(F50&lt;0,0,(F50-F53))))</f>
        <v>0</v>
      </c>
      <c r="G55" s="479">
        <f>IF(AND('Project Assumtions'!$C$66="No",G50&lt;0),G50,IF(AND('Project Assumtions'!$C$66="No",G50&gt;0),G50,IF(G50&lt;0,0,(G50-G53))))</f>
        <v>0</v>
      </c>
      <c r="H55" s="479">
        <f>IF(AND('Project Assumtions'!$C$66="No",H50&lt;0),H50,IF(AND('Project Assumtions'!$C$66="No",H50&gt;0),H50,IF(H50&lt;0,0,(H50-H53))))</f>
        <v>2686.1824231911023</v>
      </c>
      <c r="I55" s="479">
        <f>IF(AND('Project Assumtions'!$C$66="No",I50&lt;0),I50,IF(AND('Project Assumtions'!$C$66="No",I50&gt;0),I50,IF(I50&lt;0,0,(I50-I53))))</f>
        <v>5620.9559547586496</v>
      </c>
      <c r="J55" s="479">
        <f>IF(AND('Project Assumtions'!$C$66="No",J50&lt;0),J50,IF(AND('Project Assumtions'!$C$66="No",J50&gt;0),J50,IF(J50&lt;0,0,(J50-J53))))</f>
        <v>6070.3978589489143</v>
      </c>
      <c r="K55" s="479">
        <f>IF(AND('Project Assumtions'!$C$66="No",K50&lt;0),K50,IF(AND('Project Assumtions'!$C$66="No",K50&gt;0),K50,IF(K50&lt;0,0,(K50-K53))))</f>
        <v>6302.897254639227</v>
      </c>
      <c r="L55" s="479">
        <f>IF(AND('Project Assumtions'!$C$66="No",L50&lt;0),L50,IF(AND('Project Assumtions'!$C$66="No",L50&gt;0),L50,IF(L50&lt;0,0,(L50-L53))))</f>
        <v>6556.5671619019477</v>
      </c>
      <c r="M55" s="479">
        <f>IF(AND('Project Assumtions'!$C$66="No",M50&lt;0),M50,IF(AND('Project Assumtions'!$C$66="No",M50&gt;0),M50,IF(M50&lt;0,0,(M50-M53))))</f>
        <v>6910.0774708814815</v>
      </c>
      <c r="N55" s="479">
        <f>IF(AND('Project Assumtions'!$C$66="No",N50&lt;0),N50,IF(AND('Project Assumtions'!$C$66="No",N50&gt;0),N50,IF(N50&lt;0,0,(N50-N53))))</f>
        <v>7331.9940738229088</v>
      </c>
      <c r="O55" s="479">
        <f>IF(AND('Project Assumtions'!$C$66="No",O50&lt;0),O50,IF(AND('Project Assumtions'!$C$66="No",O50&gt;0),O50,IF(O50&lt;0,0,(O50-O53))))</f>
        <v>7463.5526971114859</v>
      </c>
      <c r="P55" s="479">
        <f>IF(AND('Project Assumtions'!$C$66="No",P50&lt;0),P50,IF(AND('Project Assumtions'!$C$66="No",P50&gt;0),P50,IF(P50&lt;0,0,(P50-P53))))</f>
        <v>7673.6473432606726</v>
      </c>
      <c r="Q55" s="479">
        <f>IF(AND('Project Assumtions'!$C$66="No",Q50&lt;0),Q50,IF(AND('Project Assumtions'!$C$66="No",Q50&gt;0),Q50,IF(Q50&lt;0,0,(Q50-Q53))))</f>
        <v>7618.1417068040664</v>
      </c>
      <c r="R55" s="479">
        <f>IF(AND('Project Assumtions'!$C$66="No",R50&lt;0),R50,IF(AND('Project Assumtions'!$C$66="No",R50&gt;0),R50,IF(R50&lt;0,0,(R50-R53))))</f>
        <v>7812.8641930596377</v>
      </c>
      <c r="S55" s="479">
        <f>IF(AND('Project Assumtions'!$C$66="No",S50&lt;0),S50,IF(AND('Project Assumtions'!$C$66="No",S50&gt;0),S50,IF(S50&lt;0,0,(S50-S53))))</f>
        <v>9552.8614662716755</v>
      </c>
      <c r="T55" s="479">
        <f>IF(AND('Project Assumtions'!$C$66="No",T50&lt;0),T50,IF(AND('Project Assumtions'!$C$66="No",T50&gt;0),T50,IF(T50&lt;0,0,(T50-T53))))</f>
        <v>11287.828691504092</v>
      </c>
      <c r="U55" s="479">
        <f>IF(AND('Project Assumtions'!$C$66="No",U50&lt;0),U50,IF(AND('Project Assumtions'!$C$66="No",U50&gt;0),U50,IF(U50&lt;0,0,(U50-U53))))</f>
        <v>11548.021865283532</v>
      </c>
      <c r="V55" s="479">
        <f>IF(AND('Project Assumtions'!$C$66="No",V50&lt;0),V50,IF(AND('Project Assumtions'!$C$66="No",V50&gt;0),V50,IF(V50&lt;0,0,(V50-V53))))</f>
        <v>11836.724716578661</v>
      </c>
      <c r="W55" s="479">
        <f>IF(AND('Project Assumtions'!$C$66="No",W50&lt;0),W50,IF(AND('Project Assumtions'!$C$66="No",W50&gt;0),W50,IF(W50&lt;0,0,(W50-W53))))</f>
        <v>11870.60532652965</v>
      </c>
      <c r="X55" s="479">
        <f>IF(AND('Project Assumtions'!$C$66="No",X50&lt;0),X50,IF(AND('Project Assumtions'!$C$66="No",X50&gt;0),X50,IF(X50&lt;0,0,(X50-X53))))</f>
        <v>4685.9551092051352</v>
      </c>
      <c r="Y55" s="479">
        <f>IF(AND('Project Assumtions'!$C$66="No",Y50&lt;0),Y50,IF(AND('Project Assumtions'!$C$66="No",Y50&gt;0),Y50,IF(Y50&lt;0,0,(Y50-Y53))))</f>
        <v>0</v>
      </c>
      <c r="Z55" s="479">
        <f>IF(AND('Project Assumtions'!$C$66="No",Z50&lt;0),Z50,IF(AND('Project Assumtions'!$C$66="No",Z50&gt;0),Z50,IF(Z50&lt;0,0,(Z50-Z53))))</f>
        <v>0</v>
      </c>
      <c r="AA55" s="479">
        <f>IF(AND('Project Assumtions'!$C$66="No",AA50&lt;0),AA50,IF(AND('Project Assumtions'!$C$66="No",AA50&gt;0),AA50,IF(AA50&lt;0,0,(AA50-AA53))))</f>
        <v>0</v>
      </c>
      <c r="AB55" s="480">
        <f>IF(AND('Project Assumtions'!$C$66="No",AB50&lt;0),AB50,IF(AND('Project Assumtions'!$C$66="No",AB50&gt;0),AB50,IF(AB50&lt;0,0,(AB50-AB53))))</f>
        <v>0</v>
      </c>
      <c r="AC55" s="72"/>
      <c r="AD55" s="72"/>
      <c r="AE55" s="72"/>
      <c r="AF55" s="72"/>
      <c r="AG55" s="72"/>
    </row>
    <row r="56" spans="1:33" s="41" customFormat="1">
      <c r="A56" s="179"/>
      <c r="B56" s="490"/>
      <c r="C56" s="179"/>
      <c r="D56" s="491"/>
      <c r="E56" s="491"/>
      <c r="F56" s="491"/>
      <c r="G56" s="491"/>
      <c r="H56" s="491"/>
      <c r="I56" s="491"/>
      <c r="J56" s="491"/>
      <c r="K56" s="491"/>
      <c r="L56" s="491"/>
      <c r="M56" s="491"/>
      <c r="N56" s="491"/>
      <c r="O56" s="491"/>
      <c r="P56" s="491"/>
      <c r="Q56" s="491"/>
      <c r="R56" s="491"/>
      <c r="S56" s="491"/>
      <c r="T56" s="491"/>
      <c r="U56" s="491"/>
      <c r="V56" s="491"/>
      <c r="W56" s="491"/>
      <c r="X56" s="491"/>
      <c r="Y56" s="491"/>
      <c r="Z56" s="491"/>
      <c r="AA56" s="491"/>
      <c r="AB56" s="491"/>
      <c r="AC56" s="72"/>
      <c r="AD56" s="72"/>
      <c r="AE56" s="72"/>
      <c r="AF56" s="72"/>
      <c r="AG56" s="72"/>
    </row>
    <row r="57" spans="1:33" ht="13.2">
      <c r="A57" s="175"/>
      <c r="B57" s="160"/>
      <c r="D57" s="153"/>
      <c r="E57" s="153"/>
      <c r="F57" s="153"/>
      <c r="G57" s="153"/>
      <c r="H57" s="153"/>
      <c r="I57" s="153"/>
      <c r="J57" s="153"/>
      <c r="K57" s="153"/>
      <c r="L57" s="153"/>
      <c r="M57" s="153"/>
      <c r="N57" s="153"/>
      <c r="O57" s="153"/>
      <c r="P57" s="153"/>
      <c r="Q57" s="153"/>
      <c r="R57" s="153"/>
      <c r="S57" s="153"/>
      <c r="T57" s="153"/>
      <c r="U57" s="153"/>
      <c r="V57" s="153"/>
      <c r="W57" s="153"/>
      <c r="X57" s="153"/>
      <c r="Y57" s="153"/>
      <c r="Z57" s="153"/>
      <c r="AA57" s="153"/>
      <c r="AB57" s="153"/>
    </row>
    <row r="58" spans="1:33">
      <c r="A58" s="838" t="s">
        <v>406</v>
      </c>
      <c r="B58" s="530"/>
      <c r="C58" s="530"/>
      <c r="D58" s="530"/>
      <c r="E58" s="530"/>
      <c r="F58" s="530"/>
      <c r="G58" s="530"/>
      <c r="H58" s="530"/>
      <c r="I58" s="530"/>
      <c r="J58" s="530"/>
      <c r="K58" s="530"/>
      <c r="L58" s="530"/>
      <c r="M58" s="530"/>
      <c r="N58" s="530"/>
      <c r="O58" s="530"/>
      <c r="P58" s="530"/>
      <c r="Q58" s="530"/>
      <c r="R58" s="530"/>
      <c r="S58" s="530"/>
      <c r="T58" s="530"/>
      <c r="U58" s="530"/>
      <c r="V58" s="530"/>
      <c r="W58" s="530"/>
      <c r="X58" s="530"/>
      <c r="Y58" s="530"/>
      <c r="Z58" s="530"/>
      <c r="AA58" s="530"/>
      <c r="AB58" s="629"/>
    </row>
    <row r="59" spans="1:33">
      <c r="A59" s="553"/>
      <c r="B59" s="79"/>
      <c r="C59" s="79"/>
      <c r="D59" s="79"/>
      <c r="E59" s="79"/>
      <c r="F59" s="79"/>
      <c r="G59" s="79"/>
      <c r="H59" s="79"/>
      <c r="I59" s="79"/>
      <c r="J59" s="79"/>
      <c r="K59" s="79"/>
      <c r="L59" s="79"/>
      <c r="M59" s="79"/>
      <c r="N59" s="79"/>
      <c r="O59" s="79"/>
      <c r="P59" s="79"/>
      <c r="Q59" s="79"/>
      <c r="R59" s="79"/>
      <c r="S59" s="79"/>
      <c r="T59" s="79"/>
      <c r="U59" s="79"/>
      <c r="V59" s="79"/>
      <c r="W59" s="79"/>
      <c r="X59" s="79"/>
      <c r="Y59" s="79"/>
      <c r="Z59" s="79"/>
      <c r="AA59" s="79"/>
      <c r="AB59" s="556"/>
    </row>
    <row r="60" spans="1:33">
      <c r="A60" s="553" t="s">
        <v>407</v>
      </c>
      <c r="B60" s="79"/>
      <c r="C60" s="79"/>
      <c r="D60" s="585">
        <f>'Cash Flow Statement'!D21+'Cash Flow Statement'!D9</f>
        <v>188.340226</v>
      </c>
      <c r="E60" s="585">
        <f>'Cash Flow Statement'!E21+'Cash Flow Statement'!E9</f>
        <v>452.31330700967999</v>
      </c>
      <c r="F60" s="585">
        <f>'Cash Flow Statement'!F21+'Cash Flow Statement'!F9</f>
        <v>306.57805505040005</v>
      </c>
      <c r="G60" s="585">
        <f>'Cash Flow Statement'!G21+'Cash Flow Statement'!G9</f>
        <v>572.61583549077432</v>
      </c>
      <c r="H60" s="585">
        <f>'Cash Flow Statement'!H21+'Cash Flow Statement'!H9</f>
        <v>4024.165775105696</v>
      </c>
      <c r="I60" s="585">
        <f>'Cash Flow Statement'!I21+'Cash Flow Statement'!I9</f>
        <v>7407.9690628360349</v>
      </c>
      <c r="J60" s="585">
        <f>'Cash Flow Statement'!J21+'Cash Flow Statement'!J9</f>
        <v>7994.1738424669702</v>
      </c>
      <c r="K60" s="585">
        <f>'Cash Flow Statement'!K21+'Cash Flow Statement'!K9</f>
        <v>8370.4757287655029</v>
      </c>
      <c r="L60" s="585">
        <f>'Cash Flow Statement'!L21+'Cash Flow Statement'!L9</f>
        <v>8793.8637845387875</v>
      </c>
      <c r="M60" s="585">
        <f>'Cash Flow Statement'!M21+'Cash Flow Statement'!M9</f>
        <v>9303.0706657252686</v>
      </c>
      <c r="N60" s="585">
        <f>'Cash Flow Statement'!N21+'Cash Flow Statement'!N9</f>
        <v>9820.6595719375928</v>
      </c>
      <c r="O60" s="585">
        <f>'Cash Flow Statement'!O21+'Cash Flow Statement'!O9</f>
        <v>9979.7306825694541</v>
      </c>
      <c r="P60" s="585">
        <f>'Cash Flow Statement'!P21+'Cash Flow Statement'!P9</f>
        <v>10406.969012819105</v>
      </c>
      <c r="Q60" s="585">
        <f>'Cash Flow Statement'!Q21+'Cash Flow Statement'!Q9</f>
        <v>10338.442574811012</v>
      </c>
      <c r="R60" s="585">
        <f>'Cash Flow Statement'!R21+'Cash Flow Statement'!R9</f>
        <v>10580.304463933779</v>
      </c>
      <c r="S60" s="585">
        <f>'Cash Flow Statement'!S21+'Cash Flow Statement'!S9</f>
        <v>12574.966741329159</v>
      </c>
      <c r="T60" s="585">
        <f>'Cash Flow Statement'!T21+'Cash Flow Statement'!T9</f>
        <v>14563.366230585496</v>
      </c>
      <c r="U60" s="585">
        <f>'Cash Flow Statement'!U21+'Cash Flow Statement'!U9</f>
        <v>14887.32630595816</v>
      </c>
      <c r="V60" s="585">
        <f>'Cash Flow Statement'!V21+'Cash Flow Statement'!V9</f>
        <v>15246.783074586361</v>
      </c>
      <c r="W60" s="585">
        <f>'Cash Flow Statement'!W21+'Cash Flow Statement'!W9</f>
        <v>15288.966982772585</v>
      </c>
      <c r="X60" s="585">
        <f>'Cash Flow Statement'!X21+'Cash Flow Statement'!X9</f>
        <v>5674.4914018613381</v>
      </c>
      <c r="Y60" s="585">
        <f>'Cash Flow Statement'!Y21+'Cash Flow Statement'!Y9</f>
        <v>0</v>
      </c>
      <c r="Z60" s="585">
        <f>'Cash Flow Statement'!Z21+'Cash Flow Statement'!Z9</f>
        <v>0</v>
      </c>
      <c r="AA60" s="585">
        <f>'Cash Flow Statement'!AA21+'Cash Flow Statement'!AA9</f>
        <v>0</v>
      </c>
      <c r="AB60" s="586">
        <f>'Cash Flow Statement'!AB21+'Cash Flow Statement'!AB9</f>
        <v>0</v>
      </c>
    </row>
    <row r="61" spans="1:33">
      <c r="A61" s="553" t="s">
        <v>408</v>
      </c>
      <c r="B61" s="79"/>
      <c r="C61" s="79"/>
      <c r="D61" s="843">
        <f>'Book Income Statement'!D75+'Book Income Statement'!D74+'Book Income Statement'!D79+'Cash Flow Statement'!D8</f>
        <v>148.72196994812575</v>
      </c>
      <c r="E61" s="843">
        <f>'Book Income Statement'!E75+'Book Income Statement'!E74+'Book Income Statement'!E79+'Cash Flow Statement'!E8</f>
        <v>2587.4487516165564</v>
      </c>
      <c r="F61" s="843">
        <f>'Book Income Statement'!F75+'Book Income Statement'!F74+'Book Income Statement'!F79+'Cash Flow Statement'!F8</f>
        <v>2737.3955987585746</v>
      </c>
      <c r="G61" s="843">
        <f>'Book Income Statement'!G75+'Book Income Statement'!G74+'Book Income Statement'!G79+'Cash Flow Statement'!G8</f>
        <v>5890.0723972342685</v>
      </c>
      <c r="H61" s="843">
        <f>'Book Income Statement'!H75+'Book Income Statement'!H74+'Book Income Statement'!H79+'Cash Flow Statement'!H8</f>
        <v>8715.8022553895935</v>
      </c>
      <c r="I61" s="843">
        <f>'Book Income Statement'!I75+'Book Income Statement'!I74+'Book Income Statement'!I79+'Cash Flow Statement'!I8</f>
        <v>9385.8656995156343</v>
      </c>
      <c r="J61" s="843">
        <f>'Book Income Statement'!J75+'Book Income Statement'!J74+'Book Income Statement'!J79+'Cash Flow Statement'!J8</f>
        <v>9815.0868759222558</v>
      </c>
      <c r="K61" s="843">
        <f>'Book Income Statement'!K75+'Book Income Statement'!K74+'Book Income Statement'!K79+'Cash Flow Statement'!K8</f>
        <v>10219.262191954922</v>
      </c>
      <c r="L61" s="843">
        <f>'Book Income Statement'!L75+'Book Income Statement'!L74+'Book Income Statement'!L79+'Cash Flow Statement'!L8</f>
        <v>10597.014122332532</v>
      </c>
      <c r="M61" s="843">
        <f>'Book Income Statement'!M75+'Book Income Statement'!M74+'Book Income Statement'!M79+'Cash Flow Statement'!M8</f>
        <v>11036.578186238641</v>
      </c>
      <c r="N61" s="843">
        <f>'Book Income Statement'!N75+'Book Income Statement'!N74+'Book Income Statement'!N79+'Cash Flow Statement'!N8</f>
        <v>11550.020685018397</v>
      </c>
      <c r="O61" s="843">
        <f>'Book Income Statement'!O75+'Book Income Statement'!O74+'Book Income Statement'!O79+'Cash Flow Statement'!O8</f>
        <v>11886.621898435695</v>
      </c>
      <c r="P61" s="843">
        <f>'Book Income Statement'!P75+'Book Income Statement'!P74+'Book Income Statement'!P79+'Cash Flow Statement'!P8</f>
        <v>12141.641653260354</v>
      </c>
      <c r="Q61" s="843">
        <f>'Book Income Statement'!Q75+'Book Income Statement'!Q74+'Book Income Statement'!Q79+'Cash Flow Statement'!Q8</f>
        <v>12079.096845046886</v>
      </c>
      <c r="R61" s="843">
        <f>'Book Income Statement'!R75+'Book Income Statement'!R74+'Book Income Statement'!R79+'Cash Flow Statement'!R8</f>
        <v>12314.977104375028</v>
      </c>
      <c r="S61" s="843">
        <f>'Book Income Statement'!S75+'Book Income Statement'!S74+'Book Income Statement'!S79+'Cash Flow Statement'!S8</f>
        <v>12545.058592356032</v>
      </c>
      <c r="T61" s="843">
        <f>'Book Income Statement'!T75+'Book Income Statement'!T74+'Book Income Statement'!T79+'Cash Flow Statement'!T8</f>
        <v>12768.877292197994</v>
      </c>
      <c r="U61" s="843">
        <f>'Book Income Statement'!U75+'Book Income Statement'!U74+'Book Income Statement'!U79+'Cash Flow Statement'!U8</f>
        <v>13092.837367570661</v>
      </c>
      <c r="V61" s="843">
        <f>'Book Income Statement'!V75+'Book Income Statement'!V74+'Book Income Statement'!V79+'Cash Flow Statement'!V8</f>
        <v>13452.29413619886</v>
      </c>
      <c r="W61" s="843">
        <f>'Book Income Statement'!W75+'Book Income Statement'!W74+'Book Income Statement'!W79+'Cash Flow Statement'!W8</f>
        <v>13494.478044385083</v>
      </c>
      <c r="X61" s="843">
        <f>'Book Income Statement'!X75+'Book Income Statement'!X74+'Book Income Statement'!X79+'Cash Flow Statement'!X8</f>
        <v>4280.5265926432812</v>
      </c>
      <c r="Y61" s="843">
        <f>'Book Income Statement'!Y75+'Book Income Statement'!Y74+'Book Income Statement'!Y79+'Cash Flow Statement'!Y8</f>
        <v>0</v>
      </c>
      <c r="Z61" s="843">
        <f>'Book Income Statement'!Z75+'Book Income Statement'!Z74+'Book Income Statement'!Z79+'Cash Flow Statement'!Z8</f>
        <v>0</v>
      </c>
      <c r="AA61" s="843">
        <f>'Book Income Statement'!AA75+'Book Income Statement'!AA74+'Book Income Statement'!AA79+'Cash Flow Statement'!AA8</f>
        <v>0</v>
      </c>
      <c r="AB61" s="844">
        <f>'Book Income Statement'!AB75+'Book Income Statement'!AB74+'Book Income Statement'!AB79+'Cash Flow Statement'!AB8</f>
        <v>0</v>
      </c>
    </row>
    <row r="62" spans="1:33">
      <c r="A62" s="553" t="s">
        <v>409</v>
      </c>
      <c r="B62" s="79"/>
      <c r="C62" s="79"/>
      <c r="D62" s="585">
        <f>D61-D60</f>
        <v>-39.618256051874255</v>
      </c>
      <c r="E62" s="585">
        <f t="shared" ref="E62:AB62" si="19">E61-E60</f>
        <v>2135.1354446068763</v>
      </c>
      <c r="F62" s="585">
        <f t="shared" si="19"/>
        <v>2430.8175437081745</v>
      </c>
      <c r="G62" s="585">
        <f t="shared" si="19"/>
        <v>5317.4565617434946</v>
      </c>
      <c r="H62" s="585">
        <f t="shared" si="19"/>
        <v>4691.636480283898</v>
      </c>
      <c r="I62" s="585">
        <f t="shared" si="19"/>
        <v>1977.8966366795994</v>
      </c>
      <c r="J62" s="585">
        <f t="shared" si="19"/>
        <v>1820.9130334552856</v>
      </c>
      <c r="K62" s="585">
        <f t="shared" si="19"/>
        <v>1848.786463189419</v>
      </c>
      <c r="L62" s="585">
        <f t="shared" si="19"/>
        <v>1803.1503377937443</v>
      </c>
      <c r="M62" s="585">
        <f t="shared" si="19"/>
        <v>1733.5075205133726</v>
      </c>
      <c r="N62" s="585">
        <f t="shared" si="19"/>
        <v>1729.361113080804</v>
      </c>
      <c r="O62" s="585">
        <f t="shared" si="19"/>
        <v>1906.8912158662406</v>
      </c>
      <c r="P62" s="585">
        <f t="shared" si="19"/>
        <v>1734.6726404412493</v>
      </c>
      <c r="Q62" s="585">
        <f t="shared" si="19"/>
        <v>1740.6542702358747</v>
      </c>
      <c r="R62" s="585">
        <f t="shared" si="19"/>
        <v>1734.6726404412493</v>
      </c>
      <c r="S62" s="585">
        <f t="shared" si="19"/>
        <v>-29.908148973127027</v>
      </c>
      <c r="T62" s="585">
        <f t="shared" si="19"/>
        <v>-1794.4889383875015</v>
      </c>
      <c r="U62" s="585">
        <f t="shared" si="19"/>
        <v>-1794.4889383874997</v>
      </c>
      <c r="V62" s="585">
        <f t="shared" si="19"/>
        <v>-1794.4889383875015</v>
      </c>
      <c r="W62" s="585">
        <f t="shared" si="19"/>
        <v>-1794.4889383875015</v>
      </c>
      <c r="X62" s="585">
        <f t="shared" si="19"/>
        <v>-1393.9648092180569</v>
      </c>
      <c r="Y62" s="585">
        <f t="shared" si="19"/>
        <v>0</v>
      </c>
      <c r="Z62" s="585">
        <f t="shared" si="19"/>
        <v>0</v>
      </c>
      <c r="AA62" s="585">
        <f t="shared" si="19"/>
        <v>0</v>
      </c>
      <c r="AB62" s="586">
        <f t="shared" si="19"/>
        <v>0</v>
      </c>
    </row>
    <row r="63" spans="1:33">
      <c r="A63" s="553"/>
      <c r="B63" s="79"/>
      <c r="C63" s="79"/>
      <c r="D63" s="585"/>
      <c r="E63" s="585"/>
      <c r="F63" s="585"/>
      <c r="G63" s="585"/>
      <c r="H63" s="585"/>
      <c r="I63" s="585"/>
      <c r="J63" s="585"/>
      <c r="K63" s="585"/>
      <c r="L63" s="585"/>
      <c r="M63" s="585"/>
      <c r="N63" s="585"/>
      <c r="O63" s="585"/>
      <c r="P63" s="585"/>
      <c r="Q63" s="585"/>
      <c r="R63" s="585"/>
      <c r="S63" s="585"/>
      <c r="T63" s="585"/>
      <c r="U63" s="585"/>
      <c r="V63" s="585"/>
      <c r="W63" s="585"/>
      <c r="X63" s="585"/>
      <c r="Y63" s="585"/>
      <c r="Z63" s="585"/>
      <c r="AA63" s="585"/>
      <c r="AB63" s="586"/>
    </row>
    <row r="64" spans="1:33">
      <c r="A64" s="589" t="s">
        <v>410</v>
      </c>
      <c r="B64" s="724"/>
      <c r="C64" s="724"/>
      <c r="D64" s="845">
        <f>SUM($D$62:D62)</f>
        <v>-39.618256051874255</v>
      </c>
      <c r="E64" s="845">
        <f>SUM($D$62:E62)</f>
        <v>2095.5171885550021</v>
      </c>
      <c r="F64" s="845">
        <f>SUM($D$62:F62)</f>
        <v>4526.3347322631762</v>
      </c>
      <c r="G64" s="845">
        <f>SUM($D$62:G62)</f>
        <v>9843.7912940066708</v>
      </c>
      <c r="H64" s="845">
        <f>SUM($D$62:H62)</f>
        <v>14535.427774290569</v>
      </c>
      <c r="I64" s="845">
        <f>SUM($D$62:I62)</f>
        <v>16513.32441097017</v>
      </c>
      <c r="J64" s="845">
        <f>SUM($D$62:J62)</f>
        <v>18334.237444425456</v>
      </c>
      <c r="K64" s="845">
        <f>SUM($D$62:K62)</f>
        <v>20183.023907614875</v>
      </c>
      <c r="L64" s="845">
        <f>SUM($D$62:L62)</f>
        <v>21986.17424540862</v>
      </c>
      <c r="M64" s="845">
        <f>SUM($D$62:M62)</f>
        <v>23719.681765921992</v>
      </c>
      <c r="N64" s="845">
        <f>SUM($D$62:N62)</f>
        <v>25449.042879002795</v>
      </c>
      <c r="O64" s="845">
        <f>SUM($D$62:O62)</f>
        <v>27355.934094869037</v>
      </c>
      <c r="P64" s="845">
        <f>SUM($D$62:P62)</f>
        <v>29090.606735310284</v>
      </c>
      <c r="Q64" s="845">
        <f>SUM($D$62:Q62)</f>
        <v>30831.261005546159</v>
      </c>
      <c r="R64" s="845">
        <f>SUM($D$62:R62)</f>
        <v>32565.93364598741</v>
      </c>
      <c r="S64" s="845">
        <f>SUM($D$62:S62)</f>
        <v>32536.025497014285</v>
      </c>
      <c r="T64" s="845">
        <f>SUM($D$62:T62)</f>
        <v>30741.536558626784</v>
      </c>
      <c r="U64" s="845">
        <f>SUM($D$62:U62)</f>
        <v>28947.047620239282</v>
      </c>
      <c r="V64" s="845">
        <f>SUM($D$62:V62)</f>
        <v>27152.55868185178</v>
      </c>
      <c r="W64" s="845">
        <f>SUM($D$62:W62)</f>
        <v>25358.069743464279</v>
      </c>
      <c r="X64" s="845">
        <f>SUM($D$62:X62)</f>
        <v>23964.104934246221</v>
      </c>
      <c r="Y64" s="845">
        <f>SUM($D$62:Y62)</f>
        <v>23964.104934246221</v>
      </c>
      <c r="Z64" s="845">
        <f>SUM($D$62:Z62)</f>
        <v>23964.104934246221</v>
      </c>
      <c r="AA64" s="845">
        <f>SUM($D$62:AA62)</f>
        <v>23964.104934246221</v>
      </c>
      <c r="AB64" s="846">
        <f>SUM($D$62:AB62)</f>
        <v>23964.104934246221</v>
      </c>
    </row>
  </sheetData>
  <customSheetViews>
    <customSheetView guid="{9D7575BF-255B-11D2-8267-00A0D1027254}" showPageBreaks="1" showRuler="0">
      <colBreaks count="2" manualBreakCount="2">
        <brk id="16" max="48" man="1"/>
        <brk id="32" max="1048575" man="1"/>
      </colBreaks>
      <pageMargins left="0.75" right="0.75" top="1" bottom="1" header="0.5" footer="0.5"/>
      <pageSetup scale="78" orientation="landscape" r:id="rId1"/>
      <headerFooter alignWithMargins="0">
        <oddFooter>&amp;L&amp;D   &amp;T&amp;RO:\Naes\GenSvcs\TVA\TVA Model\&amp;F
&amp;A &amp;P</oddFooter>
      </headerFooter>
    </customSheetView>
    <customSheetView guid="{773475A7-2559-11D2-A5F6-0060080AEB13}" showPageBreaks="1" showRuler="0" topLeftCell="A10">
      <selection activeCell="E31" sqref="E31"/>
      <colBreaks count="1" manualBreakCount="1">
        <brk id="16" max="36" man="1"/>
      </colBreaks>
      <pageMargins left="0.41" right="0.38" top="1" bottom="1" header="0.5" footer="0.5"/>
      <pageSetup scale="75" pageOrder="overThenDown" orientation="landscape" r:id="rId2"/>
      <headerFooter alignWithMargins="0">
        <oddFooter>&amp;L&amp;D   &amp;T&amp;RO:\Naes\GenSvcs\Tva\Tva Models\&amp;F
&amp;A   &amp;P</oddFooter>
      </headerFooter>
    </customSheetView>
  </customSheetViews>
  <pageMargins left="0.25" right="0.25" top="0.25" bottom="0.5" header="0" footer="0"/>
  <pageSetup scale="48" orientation="landscape" r:id="rId3"/>
  <headerFooter alignWithMargins="0">
    <oddFooter>&amp;L&amp;D   &amp;T&amp;R&amp;F
&amp;A &amp;P</oddFooter>
  </headerFooter>
  <colBreaks count="2" manualBreakCount="2">
    <brk id="16" max="63" man="1"/>
    <brk id="32" max="1048575" man="1"/>
  </colBreaks>
  <legacyDrawing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AE111"/>
  <sheetViews>
    <sheetView zoomScale="75" zoomScaleNormal="75" zoomScaleSheetLayoutView="85" workbookViewId="0">
      <selection activeCell="B13" sqref="B13"/>
    </sheetView>
  </sheetViews>
  <sheetFormatPr defaultColWidth="9.33203125" defaultRowHeight="10.199999999999999" outlineLevelRow="1"/>
  <cols>
    <col min="1" max="1" width="28.5546875" style="72" customWidth="1"/>
    <col min="2" max="2" width="11.6640625" style="72" customWidth="1"/>
    <col min="3" max="3" width="10" style="72" customWidth="1"/>
    <col min="4" max="28" width="9.33203125" style="72" customWidth="1"/>
    <col min="29" max="16384" width="9.33203125" style="8"/>
  </cols>
  <sheetData>
    <row r="1" spans="1:31" s="21" customFormat="1" ht="20.399999999999999">
      <c r="A1" s="525" t="str">
        <f>'Project Assumtions'!$A$2</f>
        <v>WHEATLAND POWER IN, L.L.C.</v>
      </c>
      <c r="B1" s="847"/>
      <c r="C1" s="848"/>
      <c r="D1" s="146"/>
      <c r="E1" s="146"/>
      <c r="F1" s="146"/>
      <c r="G1" s="146"/>
      <c r="H1" s="146"/>
      <c r="I1" s="146"/>
      <c r="J1" s="146"/>
      <c r="K1" s="146"/>
      <c r="L1" s="146"/>
      <c r="M1" s="146"/>
      <c r="N1" s="146"/>
      <c r="O1" s="146"/>
      <c r="P1" s="146"/>
      <c r="Q1" s="146"/>
      <c r="R1" s="146"/>
      <c r="S1" s="146"/>
      <c r="T1" s="146"/>
      <c r="U1" s="146"/>
      <c r="V1" s="146"/>
      <c r="W1" s="146"/>
      <c r="X1" s="146"/>
      <c r="Y1" s="146"/>
      <c r="Z1" s="146"/>
      <c r="AA1" s="146"/>
      <c r="AB1" s="146"/>
    </row>
    <row r="2" spans="1:31" s="21" customFormat="1" ht="13.2">
      <c r="A2" s="527" t="s">
        <v>40</v>
      </c>
      <c r="B2" s="849"/>
      <c r="C2" s="850"/>
      <c r="D2" s="147"/>
      <c r="E2" s="147"/>
      <c r="F2" s="147"/>
      <c r="G2" s="147"/>
      <c r="H2" s="147"/>
      <c r="I2" s="147"/>
      <c r="J2" s="147"/>
      <c r="K2" s="147"/>
      <c r="L2" s="147"/>
      <c r="M2" s="147"/>
      <c r="N2" s="147"/>
      <c r="O2" s="147"/>
      <c r="P2" s="147"/>
      <c r="Q2" s="147"/>
      <c r="R2" s="147"/>
      <c r="S2" s="147"/>
      <c r="T2" s="147"/>
      <c r="U2" s="147"/>
      <c r="V2" s="147"/>
      <c r="W2" s="147"/>
      <c r="X2" s="147"/>
      <c r="Y2" s="147"/>
      <c r="Z2" s="147"/>
      <c r="AA2" s="147"/>
      <c r="AB2" s="147"/>
    </row>
    <row r="3" spans="1:31" ht="15.6" customHeight="1"/>
    <row r="4" spans="1:31">
      <c r="D4" s="85">
        <v>1</v>
      </c>
      <c r="E4" s="85">
        <f>D4+1</f>
        <v>2</v>
      </c>
      <c r="F4" s="85">
        <f t="shared" ref="F4:AB4" si="0">E4+1</f>
        <v>3</v>
      </c>
      <c r="G4" s="85">
        <f t="shared" si="0"/>
        <v>4</v>
      </c>
      <c r="H4" s="85">
        <f t="shared" si="0"/>
        <v>5</v>
      </c>
      <c r="I4" s="148">
        <f t="shared" si="0"/>
        <v>6</v>
      </c>
      <c r="J4" s="85">
        <f t="shared" si="0"/>
        <v>7</v>
      </c>
      <c r="K4" s="86">
        <f t="shared" si="0"/>
        <v>8</v>
      </c>
      <c r="L4" s="85">
        <f t="shared" si="0"/>
        <v>9</v>
      </c>
      <c r="M4" s="85">
        <f t="shared" si="0"/>
        <v>10</v>
      </c>
      <c r="N4" s="85">
        <f t="shared" si="0"/>
        <v>11</v>
      </c>
      <c r="O4" s="85">
        <f t="shared" si="0"/>
        <v>12</v>
      </c>
      <c r="P4" s="85">
        <f t="shared" si="0"/>
        <v>13</v>
      </c>
      <c r="Q4" s="86">
        <f t="shared" si="0"/>
        <v>14</v>
      </c>
      <c r="R4" s="85">
        <f t="shared" si="0"/>
        <v>15</v>
      </c>
      <c r="S4" s="85">
        <f t="shared" si="0"/>
        <v>16</v>
      </c>
      <c r="T4" s="85">
        <f t="shared" si="0"/>
        <v>17</v>
      </c>
      <c r="U4" s="85">
        <f t="shared" si="0"/>
        <v>18</v>
      </c>
      <c r="V4" s="85">
        <f t="shared" si="0"/>
        <v>19</v>
      </c>
      <c r="W4" s="86">
        <f t="shared" si="0"/>
        <v>20</v>
      </c>
      <c r="X4" s="85">
        <f t="shared" si="0"/>
        <v>21</v>
      </c>
      <c r="Y4" s="85">
        <f t="shared" si="0"/>
        <v>22</v>
      </c>
      <c r="Z4" s="85">
        <f t="shared" si="0"/>
        <v>23</v>
      </c>
      <c r="AA4" s="85">
        <f t="shared" si="0"/>
        <v>24</v>
      </c>
      <c r="AB4" s="85">
        <f t="shared" si="0"/>
        <v>25</v>
      </c>
    </row>
    <row r="5" spans="1:31" ht="12" customHeight="1">
      <c r="A5" s="851" t="s">
        <v>237</v>
      </c>
      <c r="B5" s="530"/>
      <c r="C5" s="852"/>
      <c r="D5" s="531">
        <f>YEAR('Project Assumtions'!G16)</f>
        <v>2000</v>
      </c>
      <c r="E5" s="531">
        <f>D5+1</f>
        <v>2001</v>
      </c>
      <c r="F5" s="531">
        <f t="shared" ref="F5:AB5" si="1">E5+1</f>
        <v>2002</v>
      </c>
      <c r="G5" s="531">
        <f t="shared" si="1"/>
        <v>2003</v>
      </c>
      <c r="H5" s="531">
        <f t="shared" si="1"/>
        <v>2004</v>
      </c>
      <c r="I5" s="531">
        <f t="shared" si="1"/>
        <v>2005</v>
      </c>
      <c r="J5" s="531">
        <f t="shared" si="1"/>
        <v>2006</v>
      </c>
      <c r="K5" s="531">
        <f t="shared" si="1"/>
        <v>2007</v>
      </c>
      <c r="L5" s="531">
        <f t="shared" si="1"/>
        <v>2008</v>
      </c>
      <c r="M5" s="531">
        <f t="shared" si="1"/>
        <v>2009</v>
      </c>
      <c r="N5" s="531">
        <f t="shared" si="1"/>
        <v>2010</v>
      </c>
      <c r="O5" s="531">
        <f t="shared" si="1"/>
        <v>2011</v>
      </c>
      <c r="P5" s="531">
        <f t="shared" si="1"/>
        <v>2012</v>
      </c>
      <c r="Q5" s="531">
        <f t="shared" si="1"/>
        <v>2013</v>
      </c>
      <c r="R5" s="531">
        <f t="shared" si="1"/>
        <v>2014</v>
      </c>
      <c r="S5" s="531">
        <f t="shared" si="1"/>
        <v>2015</v>
      </c>
      <c r="T5" s="531">
        <f t="shared" si="1"/>
        <v>2016</v>
      </c>
      <c r="U5" s="531">
        <f t="shared" si="1"/>
        <v>2017</v>
      </c>
      <c r="V5" s="531">
        <f t="shared" si="1"/>
        <v>2018</v>
      </c>
      <c r="W5" s="531">
        <f t="shared" si="1"/>
        <v>2019</v>
      </c>
      <c r="X5" s="531">
        <f t="shared" si="1"/>
        <v>2020</v>
      </c>
      <c r="Y5" s="531">
        <f t="shared" si="1"/>
        <v>2021</v>
      </c>
      <c r="Z5" s="531">
        <f t="shared" si="1"/>
        <v>2022</v>
      </c>
      <c r="AA5" s="531">
        <f t="shared" si="1"/>
        <v>2023</v>
      </c>
      <c r="AB5" s="532">
        <f t="shared" si="1"/>
        <v>2024</v>
      </c>
      <c r="AC5" s="22"/>
      <c r="AD5" s="22"/>
    </row>
    <row r="6" spans="1:31" ht="12" customHeight="1">
      <c r="A6" s="553"/>
      <c r="B6" s="770" t="s">
        <v>0</v>
      </c>
      <c r="C6" s="79"/>
      <c r="D6" s="853"/>
      <c r="E6" s="854"/>
      <c r="F6" s="854"/>
      <c r="G6" s="854"/>
      <c r="H6" s="854"/>
      <c r="I6" s="854"/>
      <c r="J6" s="854"/>
      <c r="K6" s="854"/>
      <c r="L6" s="854"/>
      <c r="M6" s="854"/>
      <c r="N6" s="854"/>
      <c r="O6" s="854"/>
      <c r="P6" s="854"/>
      <c r="Q6" s="854"/>
      <c r="R6" s="854"/>
      <c r="S6" s="79"/>
      <c r="T6" s="79"/>
      <c r="U6" s="79"/>
      <c r="V6" s="79"/>
      <c r="W6" s="79"/>
      <c r="X6" s="79"/>
      <c r="Y6" s="79"/>
      <c r="Z6" s="79"/>
      <c r="AA6" s="79"/>
      <c r="AB6" s="556"/>
      <c r="AE6" s="23"/>
    </row>
    <row r="7" spans="1:31" ht="12" customHeight="1">
      <c r="A7" s="774" t="s">
        <v>245</v>
      </c>
      <c r="B7" s="855">
        <v>15</v>
      </c>
      <c r="C7" s="162"/>
      <c r="D7" s="856">
        <f t="shared" ref="D7:AB7" si="2">IF(D4&gt;$B$7+1,0,IF($B$7=15,VLOOKUP(D4,$A$70:$B$85,2),VLOOKUP(D4,$A$90:$B$110,2)))</f>
        <v>0.05</v>
      </c>
      <c r="E7" s="856">
        <f t="shared" si="2"/>
        <v>9.5000000000000001E-2</v>
      </c>
      <c r="F7" s="856">
        <f t="shared" si="2"/>
        <v>8.5500000000000007E-2</v>
      </c>
      <c r="G7" s="856">
        <f t="shared" si="2"/>
        <v>7.6999999999999999E-2</v>
      </c>
      <c r="H7" s="856">
        <f t="shared" si="2"/>
        <v>6.93E-2</v>
      </c>
      <c r="I7" s="856">
        <f t="shared" si="2"/>
        <v>6.2300000000000001E-2</v>
      </c>
      <c r="J7" s="856">
        <f t="shared" si="2"/>
        <v>5.8999999999999997E-2</v>
      </c>
      <c r="K7" s="856">
        <f t="shared" si="2"/>
        <v>5.91E-2</v>
      </c>
      <c r="L7" s="856">
        <f t="shared" si="2"/>
        <v>5.8999999999999997E-2</v>
      </c>
      <c r="M7" s="856">
        <f t="shared" si="2"/>
        <v>5.91E-2</v>
      </c>
      <c r="N7" s="856">
        <f t="shared" si="2"/>
        <v>5.8999999999999997E-2</v>
      </c>
      <c r="O7" s="856">
        <f t="shared" si="2"/>
        <v>5.91E-2</v>
      </c>
      <c r="P7" s="856">
        <f t="shared" si="2"/>
        <v>5.8999999999999997E-2</v>
      </c>
      <c r="Q7" s="856">
        <f t="shared" si="2"/>
        <v>5.91E-2</v>
      </c>
      <c r="R7" s="856">
        <f t="shared" si="2"/>
        <v>5.8999999999999997E-2</v>
      </c>
      <c r="S7" s="856">
        <f t="shared" si="2"/>
        <v>2.9499999999999998E-2</v>
      </c>
      <c r="T7" s="856">
        <f t="shared" si="2"/>
        <v>0</v>
      </c>
      <c r="U7" s="856">
        <f t="shared" si="2"/>
        <v>0</v>
      </c>
      <c r="V7" s="856">
        <f t="shared" si="2"/>
        <v>0</v>
      </c>
      <c r="W7" s="856">
        <f t="shared" si="2"/>
        <v>0</v>
      </c>
      <c r="X7" s="856">
        <f t="shared" si="2"/>
        <v>0</v>
      </c>
      <c r="Y7" s="856">
        <f t="shared" si="2"/>
        <v>0</v>
      </c>
      <c r="Z7" s="856">
        <f t="shared" si="2"/>
        <v>0</v>
      </c>
      <c r="AA7" s="856">
        <f t="shared" si="2"/>
        <v>0</v>
      </c>
      <c r="AB7" s="857">
        <f t="shared" si="2"/>
        <v>0</v>
      </c>
      <c r="AC7" s="24"/>
      <c r="AD7" s="24"/>
      <c r="AE7" s="25"/>
    </row>
    <row r="8" spans="1:31" ht="12" customHeight="1">
      <c r="A8" s="774" t="s">
        <v>239</v>
      </c>
      <c r="B8" s="855">
        <v>5</v>
      </c>
      <c r="C8" s="858"/>
      <c r="D8" s="856">
        <f>IF(D4&gt;$B$8,0,1/$B$8)*'Book Income Statement'!D$6/12</f>
        <v>0.11666666666666668</v>
      </c>
      <c r="E8" s="856">
        <f>IF(E$4&lt;=$B8,(1/$B8),IF(E$4=$B8+1,(1/$B8)-$D8,0))</f>
        <v>0.2</v>
      </c>
      <c r="F8" s="856">
        <f t="shared" ref="F8:AB8" si="3">IF(F4&lt;=$B$8,(1/$B$8),IF(F4=$B$8+1,(1/$B$8)-$D$8,0))</f>
        <v>0.2</v>
      </c>
      <c r="G8" s="856">
        <f t="shared" si="3"/>
        <v>0.2</v>
      </c>
      <c r="H8" s="856">
        <f t="shared" si="3"/>
        <v>0.2</v>
      </c>
      <c r="I8" s="856">
        <f t="shared" si="3"/>
        <v>8.3333333333333329E-2</v>
      </c>
      <c r="J8" s="856">
        <f t="shared" si="3"/>
        <v>0</v>
      </c>
      <c r="K8" s="856">
        <f t="shared" si="3"/>
        <v>0</v>
      </c>
      <c r="L8" s="856">
        <f t="shared" si="3"/>
        <v>0</v>
      </c>
      <c r="M8" s="856">
        <f t="shared" si="3"/>
        <v>0</v>
      </c>
      <c r="N8" s="856">
        <f t="shared" si="3"/>
        <v>0</v>
      </c>
      <c r="O8" s="856">
        <f t="shared" si="3"/>
        <v>0</v>
      </c>
      <c r="P8" s="856">
        <f t="shared" si="3"/>
        <v>0</v>
      </c>
      <c r="Q8" s="856">
        <f t="shared" si="3"/>
        <v>0</v>
      </c>
      <c r="R8" s="856">
        <f t="shared" si="3"/>
        <v>0</v>
      </c>
      <c r="S8" s="856">
        <f t="shared" si="3"/>
        <v>0</v>
      </c>
      <c r="T8" s="856">
        <f t="shared" si="3"/>
        <v>0</v>
      </c>
      <c r="U8" s="856">
        <f t="shared" si="3"/>
        <v>0</v>
      </c>
      <c r="V8" s="856">
        <f t="shared" si="3"/>
        <v>0</v>
      </c>
      <c r="W8" s="856">
        <f t="shared" si="3"/>
        <v>0</v>
      </c>
      <c r="X8" s="856">
        <f t="shared" si="3"/>
        <v>0</v>
      </c>
      <c r="Y8" s="856">
        <f t="shared" si="3"/>
        <v>0</v>
      </c>
      <c r="Z8" s="856">
        <f t="shared" si="3"/>
        <v>0</v>
      </c>
      <c r="AA8" s="856">
        <f t="shared" si="3"/>
        <v>0</v>
      </c>
      <c r="AB8" s="857">
        <f t="shared" si="3"/>
        <v>0</v>
      </c>
      <c r="AC8" s="24"/>
      <c r="AD8" s="24"/>
      <c r="AE8" s="25"/>
    </row>
    <row r="9" spans="1:31" ht="12" customHeight="1">
      <c r="A9" s="774" t="s">
        <v>93</v>
      </c>
      <c r="B9" s="858">
        <f>MAX('Project Assumtions'!$F$39, 'Project Assumtions'!$G$39,'Project Assumtions'!$H$39)</f>
        <v>20</v>
      </c>
      <c r="C9" s="859"/>
      <c r="D9" s="856">
        <f>IF(D4&gt;$B$9,0,(1/$B$9))*'Book Income Statement'!D$6/12</f>
        <v>2.9166666666666671E-2</v>
      </c>
      <c r="E9" s="856">
        <f>IF(E$4&lt;=$B$9,(1/$B$9),IF(E$4=$B$9+1,(1/$B$9)-$D$9,0))</f>
        <v>0.05</v>
      </c>
      <c r="F9" s="856">
        <f t="shared" ref="F9:AB9" si="4">IF(F$4&lt;=$B$9,(1/$B$9),IF(F$4=$B$9+1,(1/$B$9)-$D$9,0))</f>
        <v>0.05</v>
      </c>
      <c r="G9" s="856">
        <f t="shared" si="4"/>
        <v>0.05</v>
      </c>
      <c r="H9" s="856">
        <f t="shared" si="4"/>
        <v>0.05</v>
      </c>
      <c r="I9" s="856">
        <f t="shared" si="4"/>
        <v>0.05</v>
      </c>
      <c r="J9" s="856">
        <f t="shared" si="4"/>
        <v>0.05</v>
      </c>
      <c r="K9" s="856">
        <f t="shared" si="4"/>
        <v>0.05</v>
      </c>
      <c r="L9" s="856">
        <f t="shared" si="4"/>
        <v>0.05</v>
      </c>
      <c r="M9" s="856">
        <f t="shared" si="4"/>
        <v>0.05</v>
      </c>
      <c r="N9" s="856">
        <f t="shared" si="4"/>
        <v>0.05</v>
      </c>
      <c r="O9" s="856">
        <f t="shared" si="4"/>
        <v>0.05</v>
      </c>
      <c r="P9" s="856">
        <f t="shared" si="4"/>
        <v>0.05</v>
      </c>
      <c r="Q9" s="856">
        <f t="shared" si="4"/>
        <v>0.05</v>
      </c>
      <c r="R9" s="856">
        <f t="shared" si="4"/>
        <v>0.05</v>
      </c>
      <c r="S9" s="856">
        <f t="shared" si="4"/>
        <v>0.05</v>
      </c>
      <c r="T9" s="856">
        <f t="shared" si="4"/>
        <v>0.05</v>
      </c>
      <c r="U9" s="856">
        <f t="shared" si="4"/>
        <v>0.05</v>
      </c>
      <c r="V9" s="856">
        <f t="shared" si="4"/>
        <v>0.05</v>
      </c>
      <c r="W9" s="856">
        <f t="shared" si="4"/>
        <v>0.05</v>
      </c>
      <c r="X9" s="856">
        <f t="shared" si="4"/>
        <v>2.0833333333333332E-2</v>
      </c>
      <c r="Y9" s="856">
        <f t="shared" si="4"/>
        <v>0</v>
      </c>
      <c r="Z9" s="856">
        <f t="shared" si="4"/>
        <v>0</v>
      </c>
      <c r="AA9" s="856">
        <f t="shared" si="4"/>
        <v>0</v>
      </c>
      <c r="AB9" s="857">
        <f t="shared" si="4"/>
        <v>0</v>
      </c>
      <c r="AC9" s="24"/>
      <c r="AD9" s="24"/>
      <c r="AE9" s="25"/>
    </row>
    <row r="10" spans="1:31" ht="12" customHeight="1">
      <c r="A10" s="553"/>
      <c r="B10" s="858"/>
      <c r="C10" s="79"/>
      <c r="D10" s="854"/>
      <c r="E10" s="79"/>
      <c r="F10" s="79"/>
      <c r="G10" s="79"/>
      <c r="H10" s="79"/>
      <c r="I10" s="79"/>
      <c r="J10" s="79"/>
      <c r="K10" s="79"/>
      <c r="L10" s="79"/>
      <c r="M10" s="79"/>
      <c r="N10" s="79"/>
      <c r="O10" s="79"/>
      <c r="P10" s="79"/>
      <c r="Q10" s="79"/>
      <c r="R10" s="79"/>
      <c r="S10" s="79"/>
      <c r="T10" s="79"/>
      <c r="U10" s="79"/>
      <c r="V10" s="79"/>
      <c r="W10" s="79"/>
      <c r="X10" s="79"/>
      <c r="Y10" s="79"/>
      <c r="Z10" s="79"/>
      <c r="AA10" s="79"/>
      <c r="AB10" s="556"/>
    </row>
    <row r="11" spans="1:31" ht="12" customHeight="1">
      <c r="A11" s="774" t="s">
        <v>246</v>
      </c>
      <c r="B11" s="196">
        <f>'Project Assumtions'!C30-'Project Assumtions'!C25+'Project Assumtions'!C54+'Project Assumtions'!C58+'Project Assumtions'!C33</f>
        <v>157722.60500000001</v>
      </c>
      <c r="C11" s="162"/>
      <c r="D11" s="196">
        <f>$B$11*D7</f>
        <v>7886.1302500000011</v>
      </c>
      <c r="E11" s="196">
        <f t="shared" ref="E11:AB11" si="5">$B$11*E7</f>
        <v>14983.647475000002</v>
      </c>
      <c r="F11" s="196">
        <f t="shared" si="5"/>
        <v>13485.282727500002</v>
      </c>
      <c r="G11" s="196">
        <f t="shared" si="5"/>
        <v>12144.640585000001</v>
      </c>
      <c r="H11" s="196">
        <f t="shared" si="5"/>
        <v>10930.176526500001</v>
      </c>
      <c r="I11" s="196">
        <f t="shared" si="5"/>
        <v>9826.1182915000009</v>
      </c>
      <c r="J11" s="196">
        <f t="shared" si="5"/>
        <v>9305.6336950000004</v>
      </c>
      <c r="K11" s="196">
        <f t="shared" si="5"/>
        <v>9321.4059555000003</v>
      </c>
      <c r="L11" s="196">
        <f t="shared" si="5"/>
        <v>9305.6336950000004</v>
      </c>
      <c r="M11" s="196">
        <f t="shared" si="5"/>
        <v>9321.4059555000003</v>
      </c>
      <c r="N11" s="196">
        <f t="shared" si="5"/>
        <v>9305.6336950000004</v>
      </c>
      <c r="O11" s="196">
        <f t="shared" si="5"/>
        <v>9321.4059555000003</v>
      </c>
      <c r="P11" s="196">
        <f t="shared" si="5"/>
        <v>9305.6336950000004</v>
      </c>
      <c r="Q11" s="196">
        <f t="shared" si="5"/>
        <v>9321.4059555000003</v>
      </c>
      <c r="R11" s="196">
        <f t="shared" si="5"/>
        <v>9305.6336950000004</v>
      </c>
      <c r="S11" s="196">
        <f t="shared" si="5"/>
        <v>4652.8168475000002</v>
      </c>
      <c r="T11" s="196">
        <f t="shared" si="5"/>
        <v>0</v>
      </c>
      <c r="U11" s="196">
        <f t="shared" si="5"/>
        <v>0</v>
      </c>
      <c r="V11" s="196">
        <f t="shared" si="5"/>
        <v>0</v>
      </c>
      <c r="W11" s="196">
        <f t="shared" si="5"/>
        <v>0</v>
      </c>
      <c r="X11" s="196">
        <f t="shared" si="5"/>
        <v>0</v>
      </c>
      <c r="Y11" s="196">
        <f t="shared" si="5"/>
        <v>0</v>
      </c>
      <c r="Z11" s="196">
        <f t="shared" si="5"/>
        <v>0</v>
      </c>
      <c r="AA11" s="196">
        <f t="shared" si="5"/>
        <v>0</v>
      </c>
      <c r="AB11" s="709">
        <f t="shared" si="5"/>
        <v>0</v>
      </c>
      <c r="AC11" s="11"/>
      <c r="AD11" s="11"/>
      <c r="AE11" s="11"/>
    </row>
    <row r="12" spans="1:31" ht="12" customHeight="1">
      <c r="A12" s="774" t="s">
        <v>413</v>
      </c>
      <c r="B12" s="165">
        <f>'Project Assumtions'!C43-'Project Assumtions'!C33-'Project Assumtions'!C40-'Project Assumtions'!C41</f>
        <v>1699.549</v>
      </c>
      <c r="C12" s="162"/>
      <c r="D12" s="165">
        <f>$B$12*D8</f>
        <v>198.28071666666668</v>
      </c>
      <c r="E12" s="165">
        <f t="shared" ref="E12:AB12" si="6">$B$12*E8</f>
        <v>339.90980000000002</v>
      </c>
      <c r="F12" s="165">
        <f t="shared" si="6"/>
        <v>339.90980000000002</v>
      </c>
      <c r="G12" s="165">
        <f t="shared" si="6"/>
        <v>339.90980000000002</v>
      </c>
      <c r="H12" s="165">
        <f t="shared" si="6"/>
        <v>339.90980000000002</v>
      </c>
      <c r="I12" s="165">
        <f t="shared" si="6"/>
        <v>141.62908333333331</v>
      </c>
      <c r="J12" s="165">
        <f t="shared" si="6"/>
        <v>0</v>
      </c>
      <c r="K12" s="165">
        <f t="shared" si="6"/>
        <v>0</v>
      </c>
      <c r="L12" s="165">
        <f t="shared" si="6"/>
        <v>0</v>
      </c>
      <c r="M12" s="165">
        <f t="shared" si="6"/>
        <v>0</v>
      </c>
      <c r="N12" s="165">
        <f t="shared" si="6"/>
        <v>0</v>
      </c>
      <c r="O12" s="165">
        <f t="shared" si="6"/>
        <v>0</v>
      </c>
      <c r="P12" s="165">
        <f t="shared" si="6"/>
        <v>0</v>
      </c>
      <c r="Q12" s="165">
        <f t="shared" si="6"/>
        <v>0</v>
      </c>
      <c r="R12" s="165">
        <f t="shared" si="6"/>
        <v>0</v>
      </c>
      <c r="S12" s="165">
        <f t="shared" si="6"/>
        <v>0</v>
      </c>
      <c r="T12" s="165">
        <f t="shared" si="6"/>
        <v>0</v>
      </c>
      <c r="U12" s="165">
        <f t="shared" si="6"/>
        <v>0</v>
      </c>
      <c r="V12" s="165">
        <f t="shared" si="6"/>
        <v>0</v>
      </c>
      <c r="W12" s="165">
        <f t="shared" si="6"/>
        <v>0</v>
      </c>
      <c r="X12" s="165">
        <f t="shared" si="6"/>
        <v>0</v>
      </c>
      <c r="Y12" s="165">
        <f t="shared" si="6"/>
        <v>0</v>
      </c>
      <c r="Z12" s="165">
        <f t="shared" si="6"/>
        <v>0</v>
      </c>
      <c r="AA12" s="165">
        <f t="shared" si="6"/>
        <v>0</v>
      </c>
      <c r="AB12" s="776">
        <f t="shared" si="6"/>
        <v>0</v>
      </c>
      <c r="AC12" s="11"/>
      <c r="AD12" s="11"/>
      <c r="AE12" s="27"/>
    </row>
    <row r="13" spans="1:31" ht="12" customHeight="1">
      <c r="A13" s="774" t="s">
        <v>241</v>
      </c>
      <c r="B13" s="165">
        <f>'Project Assumtions'!C46+'Project Assumtions'!C47+'Project Assumtions'!C48</f>
        <v>0</v>
      </c>
      <c r="C13" s="162"/>
      <c r="D13" s="165">
        <f>$B$13*D9</f>
        <v>0</v>
      </c>
      <c r="E13" s="165">
        <f>$B$13*E9</f>
        <v>0</v>
      </c>
      <c r="F13" s="165">
        <f t="shared" ref="F13:AB13" si="7">$B$13*F9</f>
        <v>0</v>
      </c>
      <c r="G13" s="165">
        <f t="shared" si="7"/>
        <v>0</v>
      </c>
      <c r="H13" s="165">
        <f t="shared" si="7"/>
        <v>0</v>
      </c>
      <c r="I13" s="165">
        <f t="shared" si="7"/>
        <v>0</v>
      </c>
      <c r="J13" s="165">
        <f t="shared" si="7"/>
        <v>0</v>
      </c>
      <c r="K13" s="165">
        <f t="shared" si="7"/>
        <v>0</v>
      </c>
      <c r="L13" s="165">
        <f t="shared" si="7"/>
        <v>0</v>
      </c>
      <c r="M13" s="165">
        <f t="shared" si="7"/>
        <v>0</v>
      </c>
      <c r="N13" s="165">
        <f t="shared" si="7"/>
        <v>0</v>
      </c>
      <c r="O13" s="165">
        <f t="shared" si="7"/>
        <v>0</v>
      </c>
      <c r="P13" s="165">
        <f t="shared" si="7"/>
        <v>0</v>
      </c>
      <c r="Q13" s="165">
        <f t="shared" si="7"/>
        <v>0</v>
      </c>
      <c r="R13" s="165">
        <f t="shared" si="7"/>
        <v>0</v>
      </c>
      <c r="S13" s="165">
        <f t="shared" si="7"/>
        <v>0</v>
      </c>
      <c r="T13" s="165">
        <f t="shared" si="7"/>
        <v>0</v>
      </c>
      <c r="U13" s="165">
        <f t="shared" si="7"/>
        <v>0</v>
      </c>
      <c r="V13" s="165">
        <f t="shared" si="7"/>
        <v>0</v>
      </c>
      <c r="W13" s="165">
        <f t="shared" si="7"/>
        <v>0</v>
      </c>
      <c r="X13" s="165">
        <f t="shared" si="7"/>
        <v>0</v>
      </c>
      <c r="Y13" s="165">
        <f t="shared" si="7"/>
        <v>0</v>
      </c>
      <c r="Z13" s="165">
        <f t="shared" si="7"/>
        <v>0</v>
      </c>
      <c r="AA13" s="165">
        <f t="shared" si="7"/>
        <v>0</v>
      </c>
      <c r="AB13" s="776">
        <f t="shared" si="7"/>
        <v>0</v>
      </c>
      <c r="AC13" s="11"/>
      <c r="AD13" s="11"/>
      <c r="AE13" s="27"/>
    </row>
    <row r="14" spans="1:31" ht="12" customHeight="1">
      <c r="A14" s="774" t="s">
        <v>433</v>
      </c>
      <c r="B14" s="178">
        <v>0</v>
      </c>
      <c r="C14" s="162"/>
      <c r="D14" s="178">
        <f>B14</f>
        <v>0</v>
      </c>
      <c r="E14" s="860">
        <v>0</v>
      </c>
      <c r="F14" s="860">
        <v>0</v>
      </c>
      <c r="G14" s="860">
        <v>0</v>
      </c>
      <c r="H14" s="860">
        <v>0</v>
      </c>
      <c r="I14" s="860">
        <v>0</v>
      </c>
      <c r="J14" s="860">
        <v>0</v>
      </c>
      <c r="K14" s="860">
        <v>0</v>
      </c>
      <c r="L14" s="860">
        <v>0</v>
      </c>
      <c r="M14" s="860">
        <v>0</v>
      </c>
      <c r="N14" s="860">
        <v>0</v>
      </c>
      <c r="O14" s="860">
        <v>0</v>
      </c>
      <c r="P14" s="860">
        <v>0</v>
      </c>
      <c r="Q14" s="860">
        <v>0</v>
      </c>
      <c r="R14" s="860">
        <v>0</v>
      </c>
      <c r="S14" s="860">
        <v>0</v>
      </c>
      <c r="T14" s="860">
        <v>0</v>
      </c>
      <c r="U14" s="860">
        <v>0</v>
      </c>
      <c r="V14" s="860">
        <v>0</v>
      </c>
      <c r="W14" s="860">
        <v>0</v>
      </c>
      <c r="X14" s="860">
        <v>0</v>
      </c>
      <c r="Y14" s="860">
        <v>0</v>
      </c>
      <c r="Z14" s="860">
        <v>0</v>
      </c>
      <c r="AA14" s="860">
        <v>0</v>
      </c>
      <c r="AB14" s="861">
        <v>0</v>
      </c>
      <c r="AC14" s="11"/>
      <c r="AD14" s="11"/>
      <c r="AE14" s="27"/>
    </row>
    <row r="15" spans="1:31" ht="12" customHeight="1">
      <c r="A15" s="862" t="s">
        <v>242</v>
      </c>
      <c r="B15" s="784">
        <f>SUM(B11:B14)</f>
        <v>159422.15400000001</v>
      </c>
      <c r="C15" s="863"/>
      <c r="D15" s="784">
        <f>SUM(D11:D14)</f>
        <v>8084.4109666666682</v>
      </c>
      <c r="E15" s="784">
        <f>SUM(E11:E14)</f>
        <v>15323.557275000001</v>
      </c>
      <c r="F15" s="784">
        <f t="shared" ref="F15:AB15" si="8">SUM(F11:F14)</f>
        <v>13825.192527500001</v>
      </c>
      <c r="G15" s="784">
        <f t="shared" si="8"/>
        <v>12484.550385</v>
      </c>
      <c r="H15" s="784">
        <f t="shared" si="8"/>
        <v>11270.086326500001</v>
      </c>
      <c r="I15" s="784">
        <f t="shared" si="8"/>
        <v>9967.7473748333341</v>
      </c>
      <c r="J15" s="784">
        <f t="shared" si="8"/>
        <v>9305.6336950000004</v>
      </c>
      <c r="K15" s="784">
        <f t="shared" si="8"/>
        <v>9321.4059555000003</v>
      </c>
      <c r="L15" s="784">
        <f t="shared" si="8"/>
        <v>9305.6336950000004</v>
      </c>
      <c r="M15" s="784">
        <f t="shared" si="8"/>
        <v>9321.4059555000003</v>
      </c>
      <c r="N15" s="784">
        <f t="shared" si="8"/>
        <v>9305.6336950000004</v>
      </c>
      <c r="O15" s="784">
        <f t="shared" si="8"/>
        <v>9321.4059555000003</v>
      </c>
      <c r="P15" s="784">
        <f t="shared" si="8"/>
        <v>9305.6336950000004</v>
      </c>
      <c r="Q15" s="784">
        <f t="shared" si="8"/>
        <v>9321.4059555000003</v>
      </c>
      <c r="R15" s="784">
        <f t="shared" si="8"/>
        <v>9305.6336950000004</v>
      </c>
      <c r="S15" s="784">
        <f t="shared" si="8"/>
        <v>4652.8168475000002</v>
      </c>
      <c r="T15" s="784">
        <f t="shared" si="8"/>
        <v>0</v>
      </c>
      <c r="U15" s="784">
        <f t="shared" si="8"/>
        <v>0</v>
      </c>
      <c r="V15" s="784">
        <f t="shared" si="8"/>
        <v>0</v>
      </c>
      <c r="W15" s="784">
        <f t="shared" si="8"/>
        <v>0</v>
      </c>
      <c r="X15" s="784">
        <f t="shared" si="8"/>
        <v>0</v>
      </c>
      <c r="Y15" s="784">
        <f t="shared" si="8"/>
        <v>0</v>
      </c>
      <c r="Z15" s="784">
        <f t="shared" si="8"/>
        <v>0</v>
      </c>
      <c r="AA15" s="784">
        <f t="shared" si="8"/>
        <v>0</v>
      </c>
      <c r="AB15" s="864">
        <f t="shared" si="8"/>
        <v>0</v>
      </c>
      <c r="AC15" s="11"/>
      <c r="AD15" s="11"/>
      <c r="AE15" s="11"/>
    </row>
    <row r="16" spans="1:31" ht="12" customHeight="1">
      <c r="A16" s="149"/>
      <c r="B16" s="151"/>
      <c r="C16" s="151"/>
      <c r="D16" s="151"/>
      <c r="E16" s="151"/>
      <c r="F16" s="151"/>
      <c r="G16" s="151"/>
      <c r="H16" s="151"/>
      <c r="I16" s="151"/>
      <c r="J16" s="151"/>
      <c r="K16" s="151"/>
      <c r="L16" s="151"/>
      <c r="M16" s="151"/>
      <c r="N16" s="151"/>
      <c r="O16" s="151"/>
      <c r="P16" s="151"/>
      <c r="Q16" s="151"/>
      <c r="R16" s="151"/>
      <c r="S16" s="151"/>
      <c r="T16" s="151"/>
      <c r="U16" s="151"/>
      <c r="V16" s="151"/>
      <c r="W16" s="151"/>
      <c r="X16" s="151"/>
      <c r="Y16" s="151"/>
      <c r="Z16" s="151"/>
      <c r="AA16" s="151"/>
      <c r="AB16" s="151"/>
      <c r="AC16" s="11"/>
      <c r="AD16" s="11"/>
      <c r="AE16" s="27"/>
    </row>
    <row r="17" spans="1:31" ht="12" customHeight="1">
      <c r="A17" s="851" t="s">
        <v>238</v>
      </c>
      <c r="B17" s="530"/>
      <c r="C17" s="530"/>
      <c r="D17" s="530"/>
      <c r="E17" s="530"/>
      <c r="F17" s="530"/>
      <c r="G17" s="530"/>
      <c r="H17" s="530"/>
      <c r="I17" s="530"/>
      <c r="J17" s="530"/>
      <c r="K17" s="530"/>
      <c r="L17" s="530"/>
      <c r="M17" s="530"/>
      <c r="N17" s="530"/>
      <c r="O17" s="530"/>
      <c r="P17" s="530"/>
      <c r="Q17" s="530"/>
      <c r="R17" s="530"/>
      <c r="S17" s="530"/>
      <c r="T17" s="530"/>
      <c r="U17" s="530"/>
      <c r="V17" s="530"/>
      <c r="W17" s="530"/>
      <c r="X17" s="530"/>
      <c r="Y17" s="530"/>
      <c r="Z17" s="530"/>
      <c r="AA17" s="530"/>
      <c r="AB17" s="629"/>
      <c r="AE17" s="23"/>
    </row>
    <row r="18" spans="1:31" ht="12" customHeight="1">
      <c r="A18" s="865"/>
      <c r="B18" s="770" t="s">
        <v>0</v>
      </c>
      <c r="C18" s="79"/>
      <c r="D18" s="79"/>
      <c r="E18" s="79"/>
      <c r="F18" s="79"/>
      <c r="G18" s="79"/>
      <c r="H18" s="79"/>
      <c r="I18" s="79"/>
      <c r="J18" s="79"/>
      <c r="K18" s="79"/>
      <c r="L18" s="79"/>
      <c r="M18" s="79"/>
      <c r="N18" s="79"/>
      <c r="O18" s="79"/>
      <c r="P18" s="79"/>
      <c r="Q18" s="79"/>
      <c r="R18" s="79"/>
      <c r="S18" s="79"/>
      <c r="T18" s="79"/>
      <c r="U18" s="79"/>
      <c r="V18" s="79"/>
      <c r="W18" s="79"/>
      <c r="X18" s="79"/>
      <c r="Y18" s="79"/>
      <c r="Z18" s="79"/>
      <c r="AA18" s="79"/>
      <c r="AB18" s="556"/>
      <c r="AE18" s="23"/>
    </row>
    <row r="19" spans="1:31" ht="12" customHeight="1">
      <c r="A19" s="774" t="s">
        <v>245</v>
      </c>
      <c r="B19" s="855">
        <f>B7</f>
        <v>15</v>
      </c>
      <c r="C19" s="866"/>
      <c r="D19" s="856">
        <f t="shared" ref="D19:AB19" si="9">IF(D4&gt;$B$19+1,0,IF($B$19=15,VLOOKUP(D4,$A$70:$B$85,2),VLOOKUP(D4,$A$90:$B$110,2)))</f>
        <v>0.05</v>
      </c>
      <c r="E19" s="856">
        <f t="shared" si="9"/>
        <v>9.5000000000000001E-2</v>
      </c>
      <c r="F19" s="856">
        <f t="shared" si="9"/>
        <v>8.5500000000000007E-2</v>
      </c>
      <c r="G19" s="856">
        <f t="shared" si="9"/>
        <v>7.6999999999999999E-2</v>
      </c>
      <c r="H19" s="856">
        <f t="shared" si="9"/>
        <v>6.93E-2</v>
      </c>
      <c r="I19" s="856">
        <f t="shared" si="9"/>
        <v>6.2300000000000001E-2</v>
      </c>
      <c r="J19" s="856">
        <f t="shared" si="9"/>
        <v>5.8999999999999997E-2</v>
      </c>
      <c r="K19" s="856">
        <f t="shared" si="9"/>
        <v>5.91E-2</v>
      </c>
      <c r="L19" s="856">
        <f t="shared" si="9"/>
        <v>5.8999999999999997E-2</v>
      </c>
      <c r="M19" s="856">
        <f t="shared" si="9"/>
        <v>5.91E-2</v>
      </c>
      <c r="N19" s="856">
        <f t="shared" si="9"/>
        <v>5.8999999999999997E-2</v>
      </c>
      <c r="O19" s="856">
        <f t="shared" si="9"/>
        <v>5.91E-2</v>
      </c>
      <c r="P19" s="856">
        <f t="shared" si="9"/>
        <v>5.8999999999999997E-2</v>
      </c>
      <c r="Q19" s="856">
        <f t="shared" si="9"/>
        <v>5.91E-2</v>
      </c>
      <c r="R19" s="856">
        <f t="shared" si="9"/>
        <v>5.8999999999999997E-2</v>
      </c>
      <c r="S19" s="856">
        <f t="shared" si="9"/>
        <v>2.9499999999999998E-2</v>
      </c>
      <c r="T19" s="856">
        <f t="shared" si="9"/>
        <v>0</v>
      </c>
      <c r="U19" s="856">
        <f t="shared" si="9"/>
        <v>0</v>
      </c>
      <c r="V19" s="856">
        <f t="shared" si="9"/>
        <v>0</v>
      </c>
      <c r="W19" s="856">
        <f t="shared" si="9"/>
        <v>0</v>
      </c>
      <c r="X19" s="856">
        <f t="shared" si="9"/>
        <v>0</v>
      </c>
      <c r="Y19" s="856">
        <f t="shared" si="9"/>
        <v>0</v>
      </c>
      <c r="Z19" s="856">
        <f t="shared" si="9"/>
        <v>0</v>
      </c>
      <c r="AA19" s="856">
        <f t="shared" si="9"/>
        <v>0</v>
      </c>
      <c r="AB19" s="857">
        <f t="shared" si="9"/>
        <v>0</v>
      </c>
      <c r="AC19" s="24"/>
      <c r="AD19" s="24"/>
      <c r="AE19" s="25"/>
    </row>
    <row r="20" spans="1:31" ht="12" customHeight="1">
      <c r="A20" s="774" t="s">
        <v>239</v>
      </c>
      <c r="B20" s="855">
        <v>5</v>
      </c>
      <c r="C20" s="79"/>
      <c r="D20" s="856">
        <f>IF(D16&gt;$B$20,0,1/$B$20)*'Book Income Statement'!D$6/12</f>
        <v>0.11666666666666668</v>
      </c>
      <c r="E20" s="856">
        <f>IF(E$4&lt;=$B20,(1/$B20),IF(E$4=$B20+1,(1/$B20)-$D20,0))</f>
        <v>0.2</v>
      </c>
      <c r="F20" s="856">
        <f t="shared" ref="F20:AB20" si="10">IF(F$4&lt;=$B20,(1/$B20),IF(F$4=$B20+1,(1/$B20)-$D20,0))</f>
        <v>0.2</v>
      </c>
      <c r="G20" s="856">
        <f t="shared" si="10"/>
        <v>0.2</v>
      </c>
      <c r="H20" s="856">
        <f t="shared" si="10"/>
        <v>0.2</v>
      </c>
      <c r="I20" s="856">
        <f t="shared" si="10"/>
        <v>8.3333333333333329E-2</v>
      </c>
      <c r="J20" s="856">
        <f t="shared" si="10"/>
        <v>0</v>
      </c>
      <c r="K20" s="856">
        <f t="shared" si="10"/>
        <v>0</v>
      </c>
      <c r="L20" s="856">
        <f t="shared" si="10"/>
        <v>0</v>
      </c>
      <c r="M20" s="856">
        <f t="shared" si="10"/>
        <v>0</v>
      </c>
      <c r="N20" s="856">
        <f t="shared" si="10"/>
        <v>0</v>
      </c>
      <c r="O20" s="856">
        <f t="shared" si="10"/>
        <v>0</v>
      </c>
      <c r="P20" s="856">
        <f t="shared" si="10"/>
        <v>0</v>
      </c>
      <c r="Q20" s="856">
        <f t="shared" si="10"/>
        <v>0</v>
      </c>
      <c r="R20" s="856">
        <f t="shared" si="10"/>
        <v>0</v>
      </c>
      <c r="S20" s="856">
        <f t="shared" si="10"/>
        <v>0</v>
      </c>
      <c r="T20" s="856">
        <f t="shared" si="10"/>
        <v>0</v>
      </c>
      <c r="U20" s="856">
        <f t="shared" si="10"/>
        <v>0</v>
      </c>
      <c r="V20" s="856">
        <f t="shared" si="10"/>
        <v>0</v>
      </c>
      <c r="W20" s="856">
        <f t="shared" si="10"/>
        <v>0</v>
      </c>
      <c r="X20" s="856">
        <f t="shared" si="10"/>
        <v>0</v>
      </c>
      <c r="Y20" s="856">
        <f t="shared" si="10"/>
        <v>0</v>
      </c>
      <c r="Z20" s="856">
        <f t="shared" si="10"/>
        <v>0</v>
      </c>
      <c r="AA20" s="856">
        <f t="shared" si="10"/>
        <v>0</v>
      </c>
      <c r="AB20" s="857">
        <f t="shared" si="10"/>
        <v>0</v>
      </c>
      <c r="AC20" s="24"/>
      <c r="AD20" s="24"/>
      <c r="AE20" s="25"/>
    </row>
    <row r="21" spans="1:31" ht="12" customHeight="1">
      <c r="A21" s="774" t="s">
        <v>93</v>
      </c>
      <c r="B21" s="858">
        <f>MAX('Project Assumtions'!$F$39, 'Project Assumtions'!$G$39,'Project Assumtions'!$H$39)</f>
        <v>20</v>
      </c>
      <c r="C21" s="79"/>
      <c r="D21" s="856">
        <f>IF(D16&gt;$B$21,0,(1/$B$21))*'Book Income Statement'!D$6/12</f>
        <v>2.9166666666666671E-2</v>
      </c>
      <c r="E21" s="856">
        <f>IF(E$4&lt;=$B$21,(1/$B$21),IF(E$4=$B$21+1,(1/$B$21)-$D$21,0))</f>
        <v>0.05</v>
      </c>
      <c r="F21" s="856">
        <f t="shared" ref="F21:AB21" si="11">IF(F$4&lt;=$B$21,(1/$B$21),IF(F$4=$B$21+1,(1/$B$21)-$D$21,0))</f>
        <v>0.05</v>
      </c>
      <c r="G21" s="856">
        <f t="shared" si="11"/>
        <v>0.05</v>
      </c>
      <c r="H21" s="856">
        <f t="shared" si="11"/>
        <v>0.05</v>
      </c>
      <c r="I21" s="856">
        <f t="shared" si="11"/>
        <v>0.05</v>
      </c>
      <c r="J21" s="856">
        <f t="shared" si="11"/>
        <v>0.05</v>
      </c>
      <c r="K21" s="856">
        <f t="shared" si="11"/>
        <v>0.05</v>
      </c>
      <c r="L21" s="856">
        <f t="shared" si="11"/>
        <v>0.05</v>
      </c>
      <c r="M21" s="856">
        <f t="shared" si="11"/>
        <v>0.05</v>
      </c>
      <c r="N21" s="856">
        <f t="shared" si="11"/>
        <v>0.05</v>
      </c>
      <c r="O21" s="856">
        <f t="shared" si="11"/>
        <v>0.05</v>
      </c>
      <c r="P21" s="856">
        <f t="shared" si="11"/>
        <v>0.05</v>
      </c>
      <c r="Q21" s="856">
        <f t="shared" si="11"/>
        <v>0.05</v>
      </c>
      <c r="R21" s="856">
        <f t="shared" si="11"/>
        <v>0.05</v>
      </c>
      <c r="S21" s="856">
        <f t="shared" si="11"/>
        <v>0.05</v>
      </c>
      <c r="T21" s="856">
        <f t="shared" si="11"/>
        <v>0.05</v>
      </c>
      <c r="U21" s="856">
        <f t="shared" si="11"/>
        <v>0.05</v>
      </c>
      <c r="V21" s="856">
        <f t="shared" si="11"/>
        <v>0.05</v>
      </c>
      <c r="W21" s="856">
        <f t="shared" si="11"/>
        <v>0.05</v>
      </c>
      <c r="X21" s="856">
        <f t="shared" si="11"/>
        <v>2.0833333333333332E-2</v>
      </c>
      <c r="Y21" s="856">
        <f t="shared" si="11"/>
        <v>0</v>
      </c>
      <c r="Z21" s="856">
        <f t="shared" si="11"/>
        <v>0</v>
      </c>
      <c r="AA21" s="856">
        <f t="shared" si="11"/>
        <v>0</v>
      </c>
      <c r="AB21" s="857">
        <f t="shared" si="11"/>
        <v>0</v>
      </c>
      <c r="AC21" s="24"/>
      <c r="AD21" s="24"/>
      <c r="AE21" s="25"/>
    </row>
    <row r="22" spans="1:31" ht="12" customHeight="1">
      <c r="A22" s="867"/>
      <c r="B22" s="855"/>
      <c r="C22" s="79"/>
      <c r="D22" s="868"/>
      <c r="E22" s="868"/>
      <c r="F22" s="868"/>
      <c r="G22" s="868"/>
      <c r="H22" s="868"/>
      <c r="I22" s="868"/>
      <c r="J22" s="868"/>
      <c r="K22" s="868"/>
      <c r="L22" s="868"/>
      <c r="M22" s="868"/>
      <c r="N22" s="868"/>
      <c r="O22" s="868"/>
      <c r="P22" s="868"/>
      <c r="Q22" s="868"/>
      <c r="R22" s="868"/>
      <c r="S22" s="868"/>
      <c r="T22" s="868"/>
      <c r="U22" s="868"/>
      <c r="V22" s="868"/>
      <c r="W22" s="868"/>
      <c r="X22" s="868"/>
      <c r="Y22" s="868"/>
      <c r="Z22" s="868"/>
      <c r="AA22" s="868"/>
      <c r="AB22" s="869"/>
      <c r="AC22" s="24"/>
      <c r="AD22" s="24"/>
      <c r="AE22" s="25"/>
    </row>
    <row r="23" spans="1:31" ht="12" customHeight="1">
      <c r="A23" s="553"/>
      <c r="B23" s="770"/>
      <c r="C23" s="79"/>
      <c r="D23" s="79"/>
      <c r="E23" s="79"/>
      <c r="F23" s="79"/>
      <c r="G23" s="79"/>
      <c r="H23" s="79"/>
      <c r="I23" s="79"/>
      <c r="J23" s="79"/>
      <c r="K23" s="79"/>
      <c r="L23" s="79"/>
      <c r="M23" s="79"/>
      <c r="N23" s="79"/>
      <c r="O23" s="79"/>
      <c r="P23" s="79"/>
      <c r="Q23" s="79"/>
      <c r="R23" s="79"/>
      <c r="S23" s="79"/>
      <c r="T23" s="79"/>
      <c r="U23" s="79"/>
      <c r="V23" s="79"/>
      <c r="W23" s="79"/>
      <c r="X23" s="79"/>
      <c r="Y23" s="79"/>
      <c r="Z23" s="79"/>
      <c r="AA23" s="79"/>
      <c r="AB23" s="556"/>
    </row>
    <row r="24" spans="1:31" s="17" customFormat="1" ht="12" customHeight="1">
      <c r="A24" s="774" t="s">
        <v>246</v>
      </c>
      <c r="B24" s="196">
        <f>B11</f>
        <v>157722.60500000001</v>
      </c>
      <c r="C24" s="173"/>
      <c r="D24" s="196">
        <f>$B$24*D19</f>
        <v>7886.1302500000011</v>
      </c>
      <c r="E24" s="196">
        <f t="shared" ref="E24:AB24" si="12">$B$24*E19</f>
        <v>14983.647475000002</v>
      </c>
      <c r="F24" s="196">
        <f t="shared" si="12"/>
        <v>13485.282727500002</v>
      </c>
      <c r="G24" s="196">
        <f t="shared" si="12"/>
        <v>12144.640585000001</v>
      </c>
      <c r="H24" s="196">
        <f t="shared" si="12"/>
        <v>10930.176526500001</v>
      </c>
      <c r="I24" s="196">
        <f t="shared" si="12"/>
        <v>9826.1182915000009</v>
      </c>
      <c r="J24" s="196">
        <f t="shared" si="12"/>
        <v>9305.6336950000004</v>
      </c>
      <c r="K24" s="196">
        <f t="shared" si="12"/>
        <v>9321.4059555000003</v>
      </c>
      <c r="L24" s="196">
        <f t="shared" si="12"/>
        <v>9305.6336950000004</v>
      </c>
      <c r="M24" s="196">
        <f t="shared" si="12"/>
        <v>9321.4059555000003</v>
      </c>
      <c r="N24" s="196">
        <f t="shared" si="12"/>
        <v>9305.6336950000004</v>
      </c>
      <c r="O24" s="196">
        <f t="shared" si="12"/>
        <v>9321.4059555000003</v>
      </c>
      <c r="P24" s="196">
        <f t="shared" si="12"/>
        <v>9305.6336950000004</v>
      </c>
      <c r="Q24" s="196">
        <f t="shared" si="12"/>
        <v>9321.4059555000003</v>
      </c>
      <c r="R24" s="196">
        <f t="shared" si="12"/>
        <v>9305.6336950000004</v>
      </c>
      <c r="S24" s="196">
        <f t="shared" si="12"/>
        <v>4652.8168475000002</v>
      </c>
      <c r="T24" s="196">
        <f t="shared" si="12"/>
        <v>0</v>
      </c>
      <c r="U24" s="196">
        <f t="shared" si="12"/>
        <v>0</v>
      </c>
      <c r="V24" s="196">
        <f t="shared" si="12"/>
        <v>0</v>
      </c>
      <c r="W24" s="196">
        <f t="shared" si="12"/>
        <v>0</v>
      </c>
      <c r="X24" s="196">
        <f t="shared" si="12"/>
        <v>0</v>
      </c>
      <c r="Y24" s="196">
        <f t="shared" si="12"/>
        <v>0</v>
      </c>
      <c r="Z24" s="196">
        <f t="shared" si="12"/>
        <v>0</v>
      </c>
      <c r="AA24" s="196">
        <f t="shared" si="12"/>
        <v>0</v>
      </c>
      <c r="AB24" s="709">
        <f t="shared" si="12"/>
        <v>0</v>
      </c>
      <c r="AC24" s="18"/>
      <c r="AD24" s="18"/>
      <c r="AE24" s="18"/>
    </row>
    <row r="25" spans="1:31" ht="12" customHeight="1">
      <c r="A25" s="774" t="s">
        <v>240</v>
      </c>
      <c r="B25" s="165">
        <f>B12</f>
        <v>1699.549</v>
      </c>
      <c r="C25" s="79"/>
      <c r="D25" s="165">
        <f t="shared" ref="D25:AB26" si="13">$B25*D20</f>
        <v>198.28071666666668</v>
      </c>
      <c r="E25" s="165">
        <f t="shared" si="13"/>
        <v>339.90980000000002</v>
      </c>
      <c r="F25" s="165">
        <f t="shared" si="13"/>
        <v>339.90980000000002</v>
      </c>
      <c r="G25" s="165">
        <f t="shared" si="13"/>
        <v>339.90980000000002</v>
      </c>
      <c r="H25" s="165">
        <f t="shared" si="13"/>
        <v>339.90980000000002</v>
      </c>
      <c r="I25" s="165">
        <f t="shared" si="13"/>
        <v>141.62908333333331</v>
      </c>
      <c r="J25" s="165">
        <f t="shared" si="13"/>
        <v>0</v>
      </c>
      <c r="K25" s="165">
        <f t="shared" si="13"/>
        <v>0</v>
      </c>
      <c r="L25" s="165">
        <f t="shared" si="13"/>
        <v>0</v>
      </c>
      <c r="M25" s="165">
        <f t="shared" si="13"/>
        <v>0</v>
      </c>
      <c r="N25" s="165">
        <f t="shared" si="13"/>
        <v>0</v>
      </c>
      <c r="O25" s="165">
        <f t="shared" si="13"/>
        <v>0</v>
      </c>
      <c r="P25" s="165">
        <f t="shared" si="13"/>
        <v>0</v>
      </c>
      <c r="Q25" s="165">
        <f t="shared" si="13"/>
        <v>0</v>
      </c>
      <c r="R25" s="165">
        <f t="shared" si="13"/>
        <v>0</v>
      </c>
      <c r="S25" s="165">
        <f t="shared" si="13"/>
        <v>0</v>
      </c>
      <c r="T25" s="165">
        <f t="shared" si="13"/>
        <v>0</v>
      </c>
      <c r="U25" s="165">
        <f t="shared" si="13"/>
        <v>0</v>
      </c>
      <c r="V25" s="165">
        <f t="shared" si="13"/>
        <v>0</v>
      </c>
      <c r="W25" s="165">
        <f t="shared" si="13"/>
        <v>0</v>
      </c>
      <c r="X25" s="165">
        <f t="shared" si="13"/>
        <v>0</v>
      </c>
      <c r="Y25" s="165">
        <f t="shared" si="13"/>
        <v>0</v>
      </c>
      <c r="Z25" s="165">
        <f t="shared" si="13"/>
        <v>0</v>
      </c>
      <c r="AA25" s="165">
        <f t="shared" si="13"/>
        <v>0</v>
      </c>
      <c r="AB25" s="776">
        <f t="shared" si="13"/>
        <v>0</v>
      </c>
      <c r="AC25" s="11"/>
      <c r="AD25" s="11"/>
      <c r="AE25" s="27"/>
    </row>
    <row r="26" spans="1:31" ht="12" customHeight="1">
      <c r="A26" s="774" t="s">
        <v>241</v>
      </c>
      <c r="B26" s="165">
        <f>B13</f>
        <v>0</v>
      </c>
      <c r="C26" s="79"/>
      <c r="D26" s="165">
        <f t="shared" si="13"/>
        <v>0</v>
      </c>
      <c r="E26" s="165">
        <f t="shared" si="13"/>
        <v>0</v>
      </c>
      <c r="F26" s="165">
        <f t="shared" ref="F26:AB26" si="14">$B26*F21</f>
        <v>0</v>
      </c>
      <c r="G26" s="165">
        <f t="shared" si="14"/>
        <v>0</v>
      </c>
      <c r="H26" s="165">
        <f t="shared" si="14"/>
        <v>0</v>
      </c>
      <c r="I26" s="165">
        <f t="shared" si="14"/>
        <v>0</v>
      </c>
      <c r="J26" s="165">
        <f t="shared" si="14"/>
        <v>0</v>
      </c>
      <c r="K26" s="165">
        <f t="shared" si="14"/>
        <v>0</v>
      </c>
      <c r="L26" s="165">
        <f t="shared" si="14"/>
        <v>0</v>
      </c>
      <c r="M26" s="165">
        <f t="shared" si="14"/>
        <v>0</v>
      </c>
      <c r="N26" s="165">
        <f t="shared" si="14"/>
        <v>0</v>
      </c>
      <c r="O26" s="165">
        <f t="shared" si="14"/>
        <v>0</v>
      </c>
      <c r="P26" s="165">
        <f t="shared" si="14"/>
        <v>0</v>
      </c>
      <c r="Q26" s="165">
        <f t="shared" si="14"/>
        <v>0</v>
      </c>
      <c r="R26" s="165">
        <f t="shared" si="14"/>
        <v>0</v>
      </c>
      <c r="S26" s="165">
        <f t="shared" si="14"/>
        <v>0</v>
      </c>
      <c r="T26" s="165">
        <f t="shared" si="14"/>
        <v>0</v>
      </c>
      <c r="U26" s="165">
        <f t="shared" si="14"/>
        <v>0</v>
      </c>
      <c r="V26" s="165">
        <f t="shared" si="14"/>
        <v>0</v>
      </c>
      <c r="W26" s="165">
        <f t="shared" si="14"/>
        <v>0</v>
      </c>
      <c r="X26" s="165">
        <f t="shared" si="14"/>
        <v>0</v>
      </c>
      <c r="Y26" s="165">
        <f t="shared" si="14"/>
        <v>0</v>
      </c>
      <c r="Z26" s="165">
        <f t="shared" si="14"/>
        <v>0</v>
      </c>
      <c r="AA26" s="165">
        <f t="shared" si="14"/>
        <v>0</v>
      </c>
      <c r="AB26" s="776">
        <f t="shared" si="14"/>
        <v>0</v>
      </c>
      <c r="AC26" s="11"/>
      <c r="AD26" s="11"/>
      <c r="AE26" s="27"/>
    </row>
    <row r="27" spans="1:31" ht="12" customHeight="1">
      <c r="A27" s="774" t="s">
        <v>433</v>
      </c>
      <c r="B27" s="178">
        <f>B14</f>
        <v>0</v>
      </c>
      <c r="C27" s="79"/>
      <c r="D27" s="178">
        <f>B27</f>
        <v>0</v>
      </c>
      <c r="E27" s="860">
        <v>0</v>
      </c>
      <c r="F27" s="860">
        <v>0</v>
      </c>
      <c r="G27" s="860">
        <v>0</v>
      </c>
      <c r="H27" s="860">
        <v>0</v>
      </c>
      <c r="I27" s="860">
        <v>0</v>
      </c>
      <c r="J27" s="860">
        <v>0</v>
      </c>
      <c r="K27" s="860">
        <v>0</v>
      </c>
      <c r="L27" s="860">
        <v>0</v>
      </c>
      <c r="M27" s="860">
        <v>0</v>
      </c>
      <c r="N27" s="860">
        <v>0</v>
      </c>
      <c r="O27" s="860">
        <v>0</v>
      </c>
      <c r="P27" s="860">
        <v>0</v>
      </c>
      <c r="Q27" s="860">
        <v>0</v>
      </c>
      <c r="R27" s="860">
        <v>0</v>
      </c>
      <c r="S27" s="860">
        <v>0</v>
      </c>
      <c r="T27" s="860">
        <v>0</v>
      </c>
      <c r="U27" s="860">
        <v>0</v>
      </c>
      <c r="V27" s="860">
        <v>0</v>
      </c>
      <c r="W27" s="860">
        <v>0</v>
      </c>
      <c r="X27" s="860">
        <v>0</v>
      </c>
      <c r="Y27" s="860">
        <v>0</v>
      </c>
      <c r="Z27" s="860">
        <v>0</v>
      </c>
      <c r="AA27" s="860">
        <v>0</v>
      </c>
      <c r="AB27" s="861">
        <v>0</v>
      </c>
      <c r="AC27" s="11"/>
      <c r="AD27" s="11"/>
      <c r="AE27" s="27"/>
    </row>
    <row r="28" spans="1:31" ht="12" customHeight="1">
      <c r="A28" s="862" t="s">
        <v>242</v>
      </c>
      <c r="B28" s="784">
        <f>SUM(B24:B27)</f>
        <v>159422.15400000001</v>
      </c>
      <c r="C28" s="724"/>
      <c r="D28" s="784">
        <f>SUM(D24:D27)</f>
        <v>8084.4109666666682</v>
      </c>
      <c r="E28" s="784">
        <f>SUM(E24:E27)</f>
        <v>15323.557275000001</v>
      </c>
      <c r="F28" s="784">
        <f t="shared" ref="F28:AB28" si="15">SUM(F24:F27)</f>
        <v>13825.192527500001</v>
      </c>
      <c r="G28" s="784">
        <f t="shared" si="15"/>
        <v>12484.550385</v>
      </c>
      <c r="H28" s="784">
        <f t="shared" si="15"/>
        <v>11270.086326500001</v>
      </c>
      <c r="I28" s="784">
        <f t="shared" si="15"/>
        <v>9967.7473748333341</v>
      </c>
      <c r="J28" s="784">
        <f t="shared" si="15"/>
        <v>9305.6336950000004</v>
      </c>
      <c r="K28" s="784">
        <f t="shared" si="15"/>
        <v>9321.4059555000003</v>
      </c>
      <c r="L28" s="784">
        <f t="shared" si="15"/>
        <v>9305.6336950000004</v>
      </c>
      <c r="M28" s="784">
        <f t="shared" si="15"/>
        <v>9321.4059555000003</v>
      </c>
      <c r="N28" s="784">
        <f t="shared" si="15"/>
        <v>9305.6336950000004</v>
      </c>
      <c r="O28" s="784">
        <f t="shared" si="15"/>
        <v>9321.4059555000003</v>
      </c>
      <c r="P28" s="784">
        <f t="shared" si="15"/>
        <v>9305.6336950000004</v>
      </c>
      <c r="Q28" s="784">
        <f t="shared" si="15"/>
        <v>9321.4059555000003</v>
      </c>
      <c r="R28" s="784">
        <f t="shared" si="15"/>
        <v>9305.6336950000004</v>
      </c>
      <c r="S28" s="784">
        <f t="shared" si="15"/>
        <v>4652.8168475000002</v>
      </c>
      <c r="T28" s="784">
        <f t="shared" si="15"/>
        <v>0</v>
      </c>
      <c r="U28" s="784">
        <f t="shared" si="15"/>
        <v>0</v>
      </c>
      <c r="V28" s="784">
        <f t="shared" si="15"/>
        <v>0</v>
      </c>
      <c r="W28" s="784">
        <f t="shared" si="15"/>
        <v>0</v>
      </c>
      <c r="X28" s="784">
        <f t="shared" si="15"/>
        <v>0</v>
      </c>
      <c r="Y28" s="784">
        <f t="shared" si="15"/>
        <v>0</v>
      </c>
      <c r="Z28" s="784">
        <f t="shared" si="15"/>
        <v>0</v>
      </c>
      <c r="AA28" s="784">
        <f t="shared" si="15"/>
        <v>0</v>
      </c>
      <c r="AB28" s="864">
        <f t="shared" si="15"/>
        <v>0</v>
      </c>
      <c r="AC28" s="11"/>
      <c r="AD28" s="11"/>
      <c r="AE28" s="27"/>
    </row>
    <row r="29" spans="1:31" ht="12" customHeight="1"/>
    <row r="30" spans="1:31" ht="12" customHeight="1">
      <c r="A30" s="851" t="s">
        <v>249</v>
      </c>
      <c r="B30" s="530"/>
      <c r="C30" s="530"/>
      <c r="D30" s="530"/>
      <c r="E30" s="530"/>
      <c r="F30" s="530"/>
      <c r="G30" s="530"/>
      <c r="H30" s="530"/>
      <c r="I30" s="530"/>
      <c r="J30" s="530"/>
      <c r="K30" s="530"/>
      <c r="L30" s="530"/>
      <c r="M30" s="530"/>
      <c r="N30" s="530"/>
      <c r="O30" s="530"/>
      <c r="P30" s="530"/>
      <c r="Q30" s="530"/>
      <c r="R30" s="530"/>
      <c r="S30" s="530"/>
      <c r="T30" s="530"/>
      <c r="U30" s="530"/>
      <c r="V30" s="530"/>
      <c r="W30" s="530"/>
      <c r="X30" s="530"/>
      <c r="Y30" s="530"/>
      <c r="Z30" s="530"/>
      <c r="AA30" s="530"/>
      <c r="AB30" s="629"/>
      <c r="AE30" s="23"/>
    </row>
    <row r="31" spans="1:31" ht="12" customHeight="1">
      <c r="A31" s="865"/>
      <c r="B31" s="770" t="s">
        <v>0</v>
      </c>
      <c r="C31" s="603" t="s">
        <v>33</v>
      </c>
      <c r="D31" s="79">
        <v>1</v>
      </c>
      <c r="E31" s="79">
        <f>D31+1</f>
        <v>2</v>
      </c>
      <c r="F31" s="79">
        <f t="shared" ref="F31:AB31" si="16">E31+1</f>
        <v>3</v>
      </c>
      <c r="G31" s="79">
        <f t="shared" si="16"/>
        <v>4</v>
      </c>
      <c r="H31" s="79">
        <f t="shared" si="16"/>
        <v>5</v>
      </c>
      <c r="I31" s="79">
        <f t="shared" si="16"/>
        <v>6</v>
      </c>
      <c r="J31" s="79">
        <f t="shared" si="16"/>
        <v>7</v>
      </c>
      <c r="K31" s="79">
        <f t="shared" si="16"/>
        <v>8</v>
      </c>
      <c r="L31" s="79">
        <f t="shared" si="16"/>
        <v>9</v>
      </c>
      <c r="M31" s="79">
        <f t="shared" si="16"/>
        <v>10</v>
      </c>
      <c r="N31" s="79">
        <f t="shared" si="16"/>
        <v>11</v>
      </c>
      <c r="O31" s="79">
        <f t="shared" si="16"/>
        <v>12</v>
      </c>
      <c r="P31" s="79">
        <f t="shared" si="16"/>
        <v>13</v>
      </c>
      <c r="Q31" s="79">
        <f t="shared" si="16"/>
        <v>14</v>
      </c>
      <c r="R31" s="79">
        <f t="shared" si="16"/>
        <v>15</v>
      </c>
      <c r="S31" s="79">
        <f t="shared" si="16"/>
        <v>16</v>
      </c>
      <c r="T31" s="79">
        <f t="shared" si="16"/>
        <v>17</v>
      </c>
      <c r="U31" s="79">
        <f t="shared" si="16"/>
        <v>18</v>
      </c>
      <c r="V31" s="79">
        <f t="shared" si="16"/>
        <v>19</v>
      </c>
      <c r="W31" s="79">
        <f t="shared" si="16"/>
        <v>20</v>
      </c>
      <c r="X31" s="79">
        <f t="shared" si="16"/>
        <v>21</v>
      </c>
      <c r="Y31" s="79">
        <f t="shared" si="16"/>
        <v>22</v>
      </c>
      <c r="Z31" s="79">
        <f t="shared" si="16"/>
        <v>23</v>
      </c>
      <c r="AA31" s="79">
        <f t="shared" si="16"/>
        <v>24</v>
      </c>
      <c r="AB31" s="556">
        <f t="shared" si="16"/>
        <v>25</v>
      </c>
      <c r="AE31" s="23"/>
    </row>
    <row r="32" spans="1:31" ht="12" customHeight="1">
      <c r="A32" s="774" t="s">
        <v>247</v>
      </c>
      <c r="B32" s="855">
        <v>30</v>
      </c>
      <c r="C32" s="870">
        <f>'Project Assumtions'!U19</f>
        <v>0.1</v>
      </c>
      <c r="D32" s="856">
        <f>((1-$C$32)/$B$32)*'Book Income Statement'!D$6/12</f>
        <v>1.7500000000000002E-2</v>
      </c>
      <c r="E32" s="856">
        <f>IF(E31&lt;=$B$32,(1-$C$32)/$B$32,IF(E31=$B$32+1,(1/$B32)-$D$32,0))</f>
        <v>3.0000000000000002E-2</v>
      </c>
      <c r="F32" s="856">
        <f t="shared" ref="F32:AB32" si="17">IF(F31&lt;=$B$32,(1-$C$32)/$B$32,IF(F31=$B$32+1,(1/$B32)-$D$32,0))</f>
        <v>3.0000000000000002E-2</v>
      </c>
      <c r="G32" s="856">
        <f t="shared" si="17"/>
        <v>3.0000000000000002E-2</v>
      </c>
      <c r="H32" s="856">
        <f t="shared" si="17"/>
        <v>3.0000000000000002E-2</v>
      </c>
      <c r="I32" s="856">
        <f t="shared" si="17"/>
        <v>3.0000000000000002E-2</v>
      </c>
      <c r="J32" s="856">
        <f t="shared" si="17"/>
        <v>3.0000000000000002E-2</v>
      </c>
      <c r="K32" s="856">
        <f t="shared" si="17"/>
        <v>3.0000000000000002E-2</v>
      </c>
      <c r="L32" s="856">
        <f t="shared" si="17"/>
        <v>3.0000000000000002E-2</v>
      </c>
      <c r="M32" s="856">
        <f t="shared" si="17"/>
        <v>3.0000000000000002E-2</v>
      </c>
      <c r="N32" s="856">
        <f t="shared" si="17"/>
        <v>3.0000000000000002E-2</v>
      </c>
      <c r="O32" s="856">
        <f t="shared" si="17"/>
        <v>3.0000000000000002E-2</v>
      </c>
      <c r="P32" s="856">
        <f t="shared" si="17"/>
        <v>3.0000000000000002E-2</v>
      </c>
      <c r="Q32" s="856">
        <f t="shared" si="17"/>
        <v>3.0000000000000002E-2</v>
      </c>
      <c r="R32" s="856">
        <f t="shared" si="17"/>
        <v>3.0000000000000002E-2</v>
      </c>
      <c r="S32" s="856">
        <f t="shared" si="17"/>
        <v>3.0000000000000002E-2</v>
      </c>
      <c r="T32" s="856">
        <f t="shared" si="17"/>
        <v>3.0000000000000002E-2</v>
      </c>
      <c r="U32" s="856">
        <f t="shared" si="17"/>
        <v>3.0000000000000002E-2</v>
      </c>
      <c r="V32" s="856">
        <f t="shared" si="17"/>
        <v>3.0000000000000002E-2</v>
      </c>
      <c r="W32" s="856">
        <f t="shared" si="17"/>
        <v>3.0000000000000002E-2</v>
      </c>
      <c r="X32" s="856">
        <f t="shared" si="17"/>
        <v>3.0000000000000002E-2</v>
      </c>
      <c r="Y32" s="856">
        <f t="shared" si="17"/>
        <v>3.0000000000000002E-2</v>
      </c>
      <c r="Z32" s="856">
        <f t="shared" si="17"/>
        <v>3.0000000000000002E-2</v>
      </c>
      <c r="AA32" s="856">
        <f t="shared" si="17"/>
        <v>3.0000000000000002E-2</v>
      </c>
      <c r="AB32" s="857">
        <f t="shared" si="17"/>
        <v>3.0000000000000002E-2</v>
      </c>
      <c r="AC32" s="52"/>
      <c r="AD32" s="24"/>
      <c r="AE32" s="25"/>
    </row>
    <row r="33" spans="1:31" ht="12" customHeight="1">
      <c r="A33" s="774" t="s">
        <v>239</v>
      </c>
      <c r="B33" s="855">
        <v>5</v>
      </c>
      <c r="C33" s="79"/>
      <c r="D33" s="856">
        <f>(1/$B33)*'Book Income Statement'!D$6/12</f>
        <v>0.11666666666666668</v>
      </c>
      <c r="E33" s="856">
        <f>IF(E31&lt;=$B$33,(1/$B33),IF(E31=$B$33+1,(1/$B33)-$D$33,0))</f>
        <v>0.2</v>
      </c>
      <c r="F33" s="856">
        <f t="shared" ref="F33:AB33" si="18">IF(F31&lt;=$B$33,(1/$B33),IF(F31=$B$33+1,(1/$B33)-$D$33,0))</f>
        <v>0.2</v>
      </c>
      <c r="G33" s="856">
        <f t="shared" si="18"/>
        <v>0.2</v>
      </c>
      <c r="H33" s="856">
        <f t="shared" si="18"/>
        <v>0.2</v>
      </c>
      <c r="I33" s="856">
        <f t="shared" si="18"/>
        <v>8.3333333333333329E-2</v>
      </c>
      <c r="J33" s="856">
        <f t="shared" si="18"/>
        <v>0</v>
      </c>
      <c r="K33" s="856">
        <f t="shared" si="18"/>
        <v>0</v>
      </c>
      <c r="L33" s="856">
        <f t="shared" si="18"/>
        <v>0</v>
      </c>
      <c r="M33" s="856">
        <f t="shared" si="18"/>
        <v>0</v>
      </c>
      <c r="N33" s="856">
        <f t="shared" si="18"/>
        <v>0</v>
      </c>
      <c r="O33" s="856">
        <f t="shared" si="18"/>
        <v>0</v>
      </c>
      <c r="P33" s="856">
        <f t="shared" si="18"/>
        <v>0</v>
      </c>
      <c r="Q33" s="856">
        <f t="shared" si="18"/>
        <v>0</v>
      </c>
      <c r="R33" s="856">
        <f t="shared" si="18"/>
        <v>0</v>
      </c>
      <c r="S33" s="856">
        <f t="shared" si="18"/>
        <v>0</v>
      </c>
      <c r="T33" s="856">
        <f t="shared" si="18"/>
        <v>0</v>
      </c>
      <c r="U33" s="856">
        <f t="shared" si="18"/>
        <v>0</v>
      </c>
      <c r="V33" s="856">
        <f t="shared" si="18"/>
        <v>0</v>
      </c>
      <c r="W33" s="856">
        <f t="shared" si="18"/>
        <v>0</v>
      </c>
      <c r="X33" s="856">
        <f t="shared" si="18"/>
        <v>0</v>
      </c>
      <c r="Y33" s="856">
        <f t="shared" si="18"/>
        <v>0</v>
      </c>
      <c r="Z33" s="856">
        <f t="shared" si="18"/>
        <v>0</v>
      </c>
      <c r="AA33" s="856">
        <f t="shared" si="18"/>
        <v>0</v>
      </c>
      <c r="AB33" s="857">
        <f t="shared" si="18"/>
        <v>0</v>
      </c>
      <c r="AD33" s="24"/>
      <c r="AE33" s="25"/>
    </row>
    <row r="34" spans="1:31" ht="12" customHeight="1">
      <c r="A34" s="774" t="s">
        <v>93</v>
      </c>
      <c r="B34" s="858">
        <f>+B9</f>
        <v>20</v>
      </c>
      <c r="C34" s="79"/>
      <c r="D34" s="856">
        <f>(1/$B34)*'Book Income Statement'!D$6/12</f>
        <v>2.9166666666666671E-2</v>
      </c>
      <c r="E34" s="856">
        <f>IF(E31&lt;=$B$34,(1/$B34),IF(E31=$B$34+1,(1/$B34)-$D$34,0))</f>
        <v>0.05</v>
      </c>
      <c r="F34" s="856">
        <f t="shared" ref="F34:AB34" si="19">IF(F31&lt;=$B$34,(1/$B34),IF(F31=$B$34+1,(1/$B34)-$D$34,0))</f>
        <v>0.05</v>
      </c>
      <c r="G34" s="856">
        <f t="shared" si="19"/>
        <v>0.05</v>
      </c>
      <c r="H34" s="856">
        <f t="shared" si="19"/>
        <v>0.05</v>
      </c>
      <c r="I34" s="856">
        <f t="shared" si="19"/>
        <v>0.05</v>
      </c>
      <c r="J34" s="856">
        <f t="shared" si="19"/>
        <v>0.05</v>
      </c>
      <c r="K34" s="856">
        <f t="shared" si="19"/>
        <v>0.05</v>
      </c>
      <c r="L34" s="856">
        <f t="shared" si="19"/>
        <v>0.05</v>
      </c>
      <c r="M34" s="856">
        <f t="shared" si="19"/>
        <v>0.05</v>
      </c>
      <c r="N34" s="856">
        <f t="shared" si="19"/>
        <v>0.05</v>
      </c>
      <c r="O34" s="856">
        <f t="shared" si="19"/>
        <v>0.05</v>
      </c>
      <c r="P34" s="856">
        <f t="shared" si="19"/>
        <v>0.05</v>
      </c>
      <c r="Q34" s="856">
        <f t="shared" si="19"/>
        <v>0.05</v>
      </c>
      <c r="R34" s="856">
        <f t="shared" si="19"/>
        <v>0.05</v>
      </c>
      <c r="S34" s="856">
        <f t="shared" si="19"/>
        <v>0.05</v>
      </c>
      <c r="T34" s="856">
        <f t="shared" si="19"/>
        <v>0.05</v>
      </c>
      <c r="U34" s="856">
        <f t="shared" si="19"/>
        <v>0.05</v>
      </c>
      <c r="V34" s="856">
        <f t="shared" si="19"/>
        <v>0.05</v>
      </c>
      <c r="W34" s="856">
        <f t="shared" si="19"/>
        <v>0.05</v>
      </c>
      <c r="X34" s="856">
        <f t="shared" si="19"/>
        <v>2.0833333333333332E-2</v>
      </c>
      <c r="Y34" s="856">
        <f t="shared" si="19"/>
        <v>0</v>
      </c>
      <c r="Z34" s="856">
        <f t="shared" si="19"/>
        <v>0</v>
      </c>
      <c r="AA34" s="856">
        <f t="shared" si="19"/>
        <v>0</v>
      </c>
      <c r="AB34" s="857">
        <f t="shared" si="19"/>
        <v>0</v>
      </c>
      <c r="AD34" s="24"/>
      <c r="AE34" s="25"/>
    </row>
    <row r="35" spans="1:31" ht="12" customHeight="1">
      <c r="A35" s="553"/>
      <c r="B35" s="770"/>
      <c r="C35" s="79"/>
      <c r="D35" s="79"/>
      <c r="E35" s="79"/>
      <c r="F35" s="79"/>
      <c r="G35" s="79"/>
      <c r="H35" s="79"/>
      <c r="I35" s="79"/>
      <c r="J35" s="79"/>
      <c r="K35" s="79"/>
      <c r="L35" s="79"/>
      <c r="M35" s="79"/>
      <c r="N35" s="79"/>
      <c r="O35" s="79"/>
      <c r="P35" s="79"/>
      <c r="Q35" s="79"/>
      <c r="R35" s="79"/>
      <c r="S35" s="79"/>
      <c r="T35" s="79"/>
      <c r="U35" s="79"/>
      <c r="V35" s="79"/>
      <c r="W35" s="79"/>
      <c r="X35" s="79"/>
      <c r="Y35" s="79"/>
      <c r="Z35" s="79"/>
      <c r="AA35" s="79"/>
      <c r="AB35" s="556"/>
    </row>
    <row r="36" spans="1:31" ht="12" customHeight="1">
      <c r="A36" s="774" t="s">
        <v>248</v>
      </c>
      <c r="B36" s="196">
        <f>B11</f>
        <v>157722.60500000001</v>
      </c>
      <c r="C36" s="79"/>
      <c r="D36" s="196">
        <f>D32*$B$36</f>
        <v>2760.1455875000006</v>
      </c>
      <c r="E36" s="196">
        <f t="shared" ref="E36:AB36" si="20">E32*$B$36</f>
        <v>4731.6781500000006</v>
      </c>
      <c r="F36" s="196">
        <f t="shared" si="20"/>
        <v>4731.6781500000006</v>
      </c>
      <c r="G36" s="196">
        <f t="shared" si="20"/>
        <v>4731.6781500000006</v>
      </c>
      <c r="H36" s="196">
        <f t="shared" si="20"/>
        <v>4731.6781500000006</v>
      </c>
      <c r="I36" s="196">
        <f t="shared" si="20"/>
        <v>4731.6781500000006</v>
      </c>
      <c r="J36" s="196">
        <f t="shared" si="20"/>
        <v>4731.6781500000006</v>
      </c>
      <c r="K36" s="196">
        <f t="shared" si="20"/>
        <v>4731.6781500000006</v>
      </c>
      <c r="L36" s="196">
        <f t="shared" si="20"/>
        <v>4731.6781500000006</v>
      </c>
      <c r="M36" s="196">
        <f t="shared" si="20"/>
        <v>4731.6781500000006</v>
      </c>
      <c r="N36" s="196">
        <f t="shared" si="20"/>
        <v>4731.6781500000006</v>
      </c>
      <c r="O36" s="196">
        <f t="shared" si="20"/>
        <v>4731.6781500000006</v>
      </c>
      <c r="P36" s="196">
        <f t="shared" si="20"/>
        <v>4731.6781500000006</v>
      </c>
      <c r="Q36" s="196">
        <f t="shared" si="20"/>
        <v>4731.6781500000006</v>
      </c>
      <c r="R36" s="196">
        <f t="shared" si="20"/>
        <v>4731.6781500000006</v>
      </c>
      <c r="S36" s="196">
        <f t="shared" si="20"/>
        <v>4731.6781500000006</v>
      </c>
      <c r="T36" s="196">
        <f t="shared" si="20"/>
        <v>4731.6781500000006</v>
      </c>
      <c r="U36" s="196">
        <f t="shared" si="20"/>
        <v>4731.6781500000006</v>
      </c>
      <c r="V36" s="196">
        <f t="shared" si="20"/>
        <v>4731.6781500000006</v>
      </c>
      <c r="W36" s="196">
        <f t="shared" si="20"/>
        <v>4731.6781500000006</v>
      </c>
      <c r="X36" s="196">
        <f t="shared" si="20"/>
        <v>4731.6781500000006</v>
      </c>
      <c r="Y36" s="196">
        <f t="shared" si="20"/>
        <v>4731.6781500000006</v>
      </c>
      <c r="Z36" s="196">
        <f t="shared" si="20"/>
        <v>4731.6781500000006</v>
      </c>
      <c r="AA36" s="196">
        <f t="shared" si="20"/>
        <v>4731.6781500000006</v>
      </c>
      <c r="AB36" s="709">
        <f t="shared" si="20"/>
        <v>4731.6781500000006</v>
      </c>
      <c r="AC36" s="11"/>
      <c r="AD36" s="11"/>
      <c r="AE36" s="11"/>
    </row>
    <row r="37" spans="1:31" ht="12" customHeight="1">
      <c r="A37" s="774" t="s">
        <v>240</v>
      </c>
      <c r="B37" s="196">
        <f>B12</f>
        <v>1699.549</v>
      </c>
      <c r="C37" s="79"/>
      <c r="D37" s="165">
        <f>D33*$B$37</f>
        <v>198.28071666666668</v>
      </c>
      <c r="E37" s="165">
        <f t="shared" ref="E37:AB37" si="21">E33*$B$37</f>
        <v>339.90980000000002</v>
      </c>
      <c r="F37" s="165">
        <f t="shared" si="21"/>
        <v>339.90980000000002</v>
      </c>
      <c r="G37" s="165">
        <f t="shared" si="21"/>
        <v>339.90980000000002</v>
      </c>
      <c r="H37" s="165">
        <f t="shared" si="21"/>
        <v>339.90980000000002</v>
      </c>
      <c r="I37" s="165">
        <f t="shared" si="21"/>
        <v>141.62908333333331</v>
      </c>
      <c r="J37" s="165">
        <f t="shared" si="21"/>
        <v>0</v>
      </c>
      <c r="K37" s="165">
        <f t="shared" si="21"/>
        <v>0</v>
      </c>
      <c r="L37" s="165">
        <f t="shared" si="21"/>
        <v>0</v>
      </c>
      <c r="M37" s="165">
        <f t="shared" si="21"/>
        <v>0</v>
      </c>
      <c r="N37" s="165">
        <f t="shared" si="21"/>
        <v>0</v>
      </c>
      <c r="O37" s="165">
        <f t="shared" si="21"/>
        <v>0</v>
      </c>
      <c r="P37" s="165">
        <f t="shared" si="21"/>
        <v>0</v>
      </c>
      <c r="Q37" s="165">
        <f t="shared" si="21"/>
        <v>0</v>
      </c>
      <c r="R37" s="165">
        <f t="shared" si="21"/>
        <v>0</v>
      </c>
      <c r="S37" s="165">
        <f t="shared" si="21"/>
        <v>0</v>
      </c>
      <c r="T37" s="165">
        <f t="shared" si="21"/>
        <v>0</v>
      </c>
      <c r="U37" s="165">
        <f t="shared" si="21"/>
        <v>0</v>
      </c>
      <c r="V37" s="165">
        <f t="shared" si="21"/>
        <v>0</v>
      </c>
      <c r="W37" s="165">
        <f t="shared" si="21"/>
        <v>0</v>
      </c>
      <c r="X37" s="165">
        <f t="shared" si="21"/>
        <v>0</v>
      </c>
      <c r="Y37" s="165">
        <f t="shared" si="21"/>
        <v>0</v>
      </c>
      <c r="Z37" s="165">
        <f t="shared" si="21"/>
        <v>0</v>
      </c>
      <c r="AA37" s="165">
        <f t="shared" si="21"/>
        <v>0</v>
      </c>
      <c r="AB37" s="776">
        <f t="shared" si="21"/>
        <v>0</v>
      </c>
      <c r="AC37" s="11"/>
      <c r="AD37" s="11"/>
      <c r="AE37" s="27"/>
    </row>
    <row r="38" spans="1:31" ht="12" customHeight="1">
      <c r="A38" s="774" t="s">
        <v>241</v>
      </c>
      <c r="B38" s="165">
        <f>B13</f>
        <v>0</v>
      </c>
      <c r="C38" s="79"/>
      <c r="D38" s="165">
        <f>D34*$B$38</f>
        <v>0</v>
      </c>
      <c r="E38" s="165">
        <f>E34*$B$38</f>
        <v>0</v>
      </c>
      <c r="F38" s="165">
        <f t="shared" ref="F38:AB38" si="22">F34*$B$38</f>
        <v>0</v>
      </c>
      <c r="G38" s="165">
        <f t="shared" si="22"/>
        <v>0</v>
      </c>
      <c r="H38" s="165">
        <f t="shared" si="22"/>
        <v>0</v>
      </c>
      <c r="I38" s="165">
        <f t="shared" si="22"/>
        <v>0</v>
      </c>
      <c r="J38" s="165">
        <f t="shared" si="22"/>
        <v>0</v>
      </c>
      <c r="K38" s="165">
        <f t="shared" si="22"/>
        <v>0</v>
      </c>
      <c r="L38" s="165">
        <f t="shared" si="22"/>
        <v>0</v>
      </c>
      <c r="M38" s="165">
        <f t="shared" si="22"/>
        <v>0</v>
      </c>
      <c r="N38" s="165">
        <f t="shared" si="22"/>
        <v>0</v>
      </c>
      <c r="O38" s="165">
        <f t="shared" si="22"/>
        <v>0</v>
      </c>
      <c r="P38" s="165">
        <f t="shared" si="22"/>
        <v>0</v>
      </c>
      <c r="Q38" s="165">
        <f t="shared" si="22"/>
        <v>0</v>
      </c>
      <c r="R38" s="165">
        <f t="shared" si="22"/>
        <v>0</v>
      </c>
      <c r="S38" s="165">
        <f t="shared" si="22"/>
        <v>0</v>
      </c>
      <c r="T38" s="165">
        <f t="shared" si="22"/>
        <v>0</v>
      </c>
      <c r="U38" s="165">
        <f t="shared" si="22"/>
        <v>0</v>
      </c>
      <c r="V38" s="165">
        <f t="shared" si="22"/>
        <v>0</v>
      </c>
      <c r="W38" s="165">
        <f t="shared" si="22"/>
        <v>0</v>
      </c>
      <c r="X38" s="165">
        <f t="shared" si="22"/>
        <v>0</v>
      </c>
      <c r="Y38" s="165">
        <f t="shared" si="22"/>
        <v>0</v>
      </c>
      <c r="Z38" s="165">
        <f t="shared" si="22"/>
        <v>0</v>
      </c>
      <c r="AA38" s="165">
        <f t="shared" si="22"/>
        <v>0</v>
      </c>
      <c r="AB38" s="776">
        <f t="shared" si="22"/>
        <v>0</v>
      </c>
      <c r="AC38" s="11"/>
      <c r="AD38" s="11"/>
      <c r="AE38" s="27"/>
    </row>
    <row r="39" spans="1:31" ht="12" customHeight="1">
      <c r="A39" s="774" t="s">
        <v>433</v>
      </c>
      <c r="B39" s="178">
        <f>B14</f>
        <v>0</v>
      </c>
      <c r="C39" s="79"/>
      <c r="D39" s="178">
        <f>B39</f>
        <v>0</v>
      </c>
      <c r="E39" s="860">
        <v>0</v>
      </c>
      <c r="F39" s="860">
        <v>0</v>
      </c>
      <c r="G39" s="860">
        <v>0</v>
      </c>
      <c r="H39" s="860">
        <v>0</v>
      </c>
      <c r="I39" s="860">
        <v>0</v>
      </c>
      <c r="J39" s="860">
        <v>0</v>
      </c>
      <c r="K39" s="860">
        <v>0</v>
      </c>
      <c r="L39" s="860">
        <v>0</v>
      </c>
      <c r="M39" s="860">
        <v>0</v>
      </c>
      <c r="N39" s="860">
        <v>0</v>
      </c>
      <c r="O39" s="860">
        <v>0</v>
      </c>
      <c r="P39" s="860">
        <v>0</v>
      </c>
      <c r="Q39" s="860">
        <v>0</v>
      </c>
      <c r="R39" s="860">
        <v>0</v>
      </c>
      <c r="S39" s="860">
        <v>0</v>
      </c>
      <c r="T39" s="860">
        <v>0</v>
      </c>
      <c r="U39" s="860">
        <v>0</v>
      </c>
      <c r="V39" s="860">
        <v>0</v>
      </c>
      <c r="W39" s="860">
        <v>0</v>
      </c>
      <c r="X39" s="860">
        <v>0</v>
      </c>
      <c r="Y39" s="860">
        <v>0</v>
      </c>
      <c r="Z39" s="860">
        <v>0</v>
      </c>
      <c r="AA39" s="860">
        <v>0</v>
      </c>
      <c r="AB39" s="861">
        <v>0</v>
      </c>
      <c r="AC39" s="11"/>
      <c r="AD39" s="11"/>
      <c r="AE39" s="27"/>
    </row>
    <row r="40" spans="1:31" ht="12" customHeight="1">
      <c r="A40" s="774" t="s">
        <v>243</v>
      </c>
      <c r="B40" s="196">
        <f>SUM(B36:B39)</f>
        <v>159422.15400000001</v>
      </c>
      <c r="C40" s="79"/>
      <c r="D40" s="196">
        <f>SUM(D36:D39)</f>
        <v>2958.4263041666673</v>
      </c>
      <c r="E40" s="196">
        <f>SUM(E36:E39)</f>
        <v>5071.587950000001</v>
      </c>
      <c r="F40" s="196">
        <f t="shared" ref="F40:AB40" si="23">SUM(F36:F39)</f>
        <v>5071.587950000001</v>
      </c>
      <c r="G40" s="196">
        <f t="shared" si="23"/>
        <v>5071.587950000001</v>
      </c>
      <c r="H40" s="196">
        <f t="shared" si="23"/>
        <v>5071.587950000001</v>
      </c>
      <c r="I40" s="196">
        <f t="shared" si="23"/>
        <v>4873.3072333333339</v>
      </c>
      <c r="J40" s="196">
        <f t="shared" si="23"/>
        <v>4731.6781500000006</v>
      </c>
      <c r="K40" s="196">
        <f t="shared" si="23"/>
        <v>4731.6781500000006</v>
      </c>
      <c r="L40" s="196">
        <f t="shared" si="23"/>
        <v>4731.6781500000006</v>
      </c>
      <c r="M40" s="196">
        <f t="shared" si="23"/>
        <v>4731.6781500000006</v>
      </c>
      <c r="N40" s="196">
        <f t="shared" si="23"/>
        <v>4731.6781500000006</v>
      </c>
      <c r="O40" s="196">
        <f t="shared" si="23"/>
        <v>4731.6781500000006</v>
      </c>
      <c r="P40" s="196">
        <f t="shared" si="23"/>
        <v>4731.6781500000006</v>
      </c>
      <c r="Q40" s="196">
        <f t="shared" si="23"/>
        <v>4731.6781500000006</v>
      </c>
      <c r="R40" s="196">
        <f t="shared" si="23"/>
        <v>4731.6781500000006</v>
      </c>
      <c r="S40" s="196">
        <f t="shared" si="23"/>
        <v>4731.6781500000006</v>
      </c>
      <c r="T40" s="196">
        <f t="shared" si="23"/>
        <v>4731.6781500000006</v>
      </c>
      <c r="U40" s="196">
        <f t="shared" si="23"/>
        <v>4731.6781500000006</v>
      </c>
      <c r="V40" s="196">
        <f t="shared" si="23"/>
        <v>4731.6781500000006</v>
      </c>
      <c r="W40" s="196">
        <f t="shared" si="23"/>
        <v>4731.6781500000006</v>
      </c>
      <c r="X40" s="196">
        <f t="shared" si="23"/>
        <v>4731.6781500000006</v>
      </c>
      <c r="Y40" s="196">
        <f t="shared" si="23"/>
        <v>4731.6781500000006</v>
      </c>
      <c r="Z40" s="196">
        <f t="shared" si="23"/>
        <v>4731.6781500000006</v>
      </c>
      <c r="AA40" s="196">
        <f t="shared" si="23"/>
        <v>4731.6781500000006</v>
      </c>
      <c r="AB40" s="709">
        <f t="shared" si="23"/>
        <v>4731.6781500000006</v>
      </c>
      <c r="AC40" s="11"/>
      <c r="AD40" s="11"/>
      <c r="AE40" s="27"/>
    </row>
    <row r="41" spans="1:31" ht="12" customHeight="1">
      <c r="A41" s="774"/>
      <c r="B41" s="196"/>
      <c r="C41" s="79"/>
      <c r="D41" s="196"/>
      <c r="E41" s="196"/>
      <c r="F41" s="196"/>
      <c r="G41" s="196"/>
      <c r="H41" s="196"/>
      <c r="I41" s="196"/>
      <c r="J41" s="196"/>
      <c r="K41" s="196"/>
      <c r="L41" s="196"/>
      <c r="M41" s="196"/>
      <c r="N41" s="196"/>
      <c r="O41" s="196"/>
      <c r="P41" s="196"/>
      <c r="Q41" s="196"/>
      <c r="R41" s="196"/>
      <c r="S41" s="196"/>
      <c r="T41" s="196"/>
      <c r="U41" s="196"/>
      <c r="V41" s="196"/>
      <c r="W41" s="196"/>
      <c r="X41" s="196"/>
      <c r="Y41" s="196"/>
      <c r="Z41" s="196"/>
      <c r="AA41" s="196"/>
      <c r="AB41" s="709"/>
      <c r="AC41" s="11"/>
      <c r="AD41" s="11"/>
      <c r="AE41" s="27"/>
    </row>
    <row r="42" spans="1:31" ht="12" customHeight="1">
      <c r="A42" s="862" t="s">
        <v>244</v>
      </c>
      <c r="B42" s="784"/>
      <c r="C42" s="724"/>
      <c r="D42" s="784">
        <f>B40-D40</f>
        <v>156463.72769583334</v>
      </c>
      <c r="E42" s="784">
        <f>D42-E40</f>
        <v>151392.13974583335</v>
      </c>
      <c r="F42" s="784">
        <f t="shared" ref="F42:AB42" si="24">E42-F40</f>
        <v>146320.55179583334</v>
      </c>
      <c r="G42" s="784">
        <f t="shared" si="24"/>
        <v>141248.96384583332</v>
      </c>
      <c r="H42" s="784">
        <f t="shared" si="24"/>
        <v>136177.37589583331</v>
      </c>
      <c r="I42" s="784">
        <f t="shared" si="24"/>
        <v>131304.06866249998</v>
      </c>
      <c r="J42" s="784">
        <f t="shared" si="24"/>
        <v>126572.39051249997</v>
      </c>
      <c r="K42" s="784">
        <f t="shared" si="24"/>
        <v>121840.71236249997</v>
      </c>
      <c r="L42" s="784">
        <f t="shared" si="24"/>
        <v>117109.03421249996</v>
      </c>
      <c r="M42" s="784">
        <f t="shared" si="24"/>
        <v>112377.35606249995</v>
      </c>
      <c r="N42" s="784">
        <f t="shared" si="24"/>
        <v>107645.67791249994</v>
      </c>
      <c r="O42" s="784">
        <f t="shared" si="24"/>
        <v>102913.99976249994</v>
      </c>
      <c r="P42" s="784">
        <f t="shared" si="24"/>
        <v>98182.321612499931</v>
      </c>
      <c r="Q42" s="784">
        <f t="shared" si="24"/>
        <v>93450.643462499924</v>
      </c>
      <c r="R42" s="784">
        <f t="shared" si="24"/>
        <v>88718.965312499917</v>
      </c>
      <c r="S42" s="784">
        <f t="shared" si="24"/>
        <v>83987.28716249991</v>
      </c>
      <c r="T42" s="784">
        <f t="shared" si="24"/>
        <v>79255.609012499903</v>
      </c>
      <c r="U42" s="784">
        <f t="shared" si="24"/>
        <v>74523.930862499896</v>
      </c>
      <c r="V42" s="784">
        <f t="shared" si="24"/>
        <v>69792.252712499889</v>
      </c>
      <c r="W42" s="784">
        <f t="shared" si="24"/>
        <v>65060.574562499889</v>
      </c>
      <c r="X42" s="784">
        <f t="shared" si="24"/>
        <v>60328.896412499889</v>
      </c>
      <c r="Y42" s="784">
        <f t="shared" si="24"/>
        <v>55597.21826249989</v>
      </c>
      <c r="Z42" s="784">
        <f t="shared" si="24"/>
        <v>50865.54011249989</v>
      </c>
      <c r="AA42" s="784">
        <f t="shared" si="24"/>
        <v>46133.86196249989</v>
      </c>
      <c r="AB42" s="864">
        <f t="shared" si="24"/>
        <v>41402.18381249989</v>
      </c>
      <c r="AC42" s="11"/>
      <c r="AD42" s="11"/>
      <c r="AE42" s="27"/>
    </row>
    <row r="43" spans="1:31" ht="12" customHeight="1"/>
    <row r="44" spans="1:31" ht="12" customHeight="1">
      <c r="A44" s="851" t="s">
        <v>118</v>
      </c>
      <c r="B44" s="871"/>
      <c r="C44" s="871" t="s">
        <v>0</v>
      </c>
      <c r="D44" s="610">
        <v>1</v>
      </c>
      <c r="E44" s="610">
        <f>D44+1</f>
        <v>2</v>
      </c>
      <c r="F44" s="610">
        <f t="shared" ref="F44:AB44" si="25">E44+1</f>
        <v>3</v>
      </c>
      <c r="G44" s="610">
        <f t="shared" si="25"/>
        <v>4</v>
      </c>
      <c r="H44" s="610">
        <f t="shared" si="25"/>
        <v>5</v>
      </c>
      <c r="I44" s="610">
        <f t="shared" si="25"/>
        <v>6</v>
      </c>
      <c r="J44" s="610">
        <f t="shared" si="25"/>
        <v>7</v>
      </c>
      <c r="K44" s="872">
        <f t="shared" si="25"/>
        <v>8</v>
      </c>
      <c r="L44" s="610">
        <f t="shared" si="25"/>
        <v>9</v>
      </c>
      <c r="M44" s="610">
        <f t="shared" si="25"/>
        <v>10</v>
      </c>
      <c r="N44" s="610">
        <f t="shared" si="25"/>
        <v>11</v>
      </c>
      <c r="O44" s="610">
        <f t="shared" si="25"/>
        <v>12</v>
      </c>
      <c r="P44" s="610">
        <f t="shared" si="25"/>
        <v>13</v>
      </c>
      <c r="Q44" s="872">
        <f t="shared" si="25"/>
        <v>14</v>
      </c>
      <c r="R44" s="610">
        <f t="shared" si="25"/>
        <v>15</v>
      </c>
      <c r="S44" s="610">
        <f t="shared" si="25"/>
        <v>16</v>
      </c>
      <c r="T44" s="610">
        <f t="shared" si="25"/>
        <v>17</v>
      </c>
      <c r="U44" s="610">
        <f t="shared" si="25"/>
        <v>18</v>
      </c>
      <c r="V44" s="610">
        <f t="shared" si="25"/>
        <v>19</v>
      </c>
      <c r="W44" s="872">
        <f t="shared" si="25"/>
        <v>20</v>
      </c>
      <c r="X44" s="610">
        <f t="shared" si="25"/>
        <v>21</v>
      </c>
      <c r="Y44" s="610">
        <f t="shared" si="25"/>
        <v>22</v>
      </c>
      <c r="Z44" s="610">
        <f t="shared" si="25"/>
        <v>23</v>
      </c>
      <c r="AA44" s="610">
        <f t="shared" si="25"/>
        <v>24</v>
      </c>
      <c r="AB44" s="727">
        <f t="shared" si="25"/>
        <v>25</v>
      </c>
      <c r="AC44" s="2"/>
      <c r="AE44" s="23"/>
    </row>
    <row r="45" spans="1:31" ht="12" customHeight="1">
      <c r="A45" s="774" t="s">
        <v>662</v>
      </c>
      <c r="B45" s="1055">
        <v>105790</v>
      </c>
      <c r="C45" s="866"/>
      <c r="D45" s="8"/>
      <c r="E45" s="8"/>
      <c r="F45" s="8"/>
      <c r="G45" s="8"/>
      <c r="H45" s="8"/>
      <c r="I45" s="8"/>
      <c r="J45" s="8"/>
      <c r="K45" s="8"/>
      <c r="L45" s="8"/>
      <c r="M45" s="8"/>
      <c r="N45" s="8"/>
      <c r="O45" s="8"/>
      <c r="P45" s="8"/>
      <c r="Q45" s="8"/>
      <c r="R45" s="8"/>
      <c r="S45" s="8"/>
      <c r="T45" s="8"/>
      <c r="U45" s="8"/>
      <c r="V45" s="8"/>
      <c r="W45" s="8"/>
      <c r="X45" s="8"/>
      <c r="Y45" s="8"/>
      <c r="Z45" s="8"/>
      <c r="AA45" s="8"/>
      <c r="AB45" s="1047"/>
      <c r="AC45" s="40"/>
      <c r="AD45" s="24"/>
      <c r="AE45" s="25"/>
    </row>
    <row r="46" spans="1:31" ht="12" customHeight="1">
      <c r="A46" s="774" t="s">
        <v>663</v>
      </c>
      <c r="B46" s="1055">
        <v>3142</v>
      </c>
      <c r="C46" s="866"/>
      <c r="D46" s="8"/>
      <c r="E46" s="8"/>
      <c r="F46" s="8"/>
      <c r="G46" s="8"/>
      <c r="H46" s="8"/>
      <c r="I46" s="8"/>
      <c r="J46" s="8"/>
      <c r="K46" s="8"/>
      <c r="L46" s="8"/>
      <c r="M46" s="8"/>
      <c r="N46" s="8"/>
      <c r="O46" s="8"/>
      <c r="P46" s="8"/>
      <c r="Q46" s="8"/>
      <c r="R46" s="8"/>
      <c r="S46" s="8"/>
      <c r="T46" s="8"/>
      <c r="U46" s="8"/>
      <c r="V46" s="8"/>
      <c r="W46" s="8"/>
      <c r="X46" s="8"/>
      <c r="Y46" s="8"/>
      <c r="Z46" s="8"/>
      <c r="AA46" s="8"/>
      <c r="AB46" s="1047"/>
      <c r="AC46" s="40"/>
      <c r="AD46" s="24"/>
      <c r="AE46" s="25"/>
    </row>
    <row r="47" spans="1:31" ht="12" customHeight="1">
      <c r="A47" s="774" t="s">
        <v>664</v>
      </c>
      <c r="B47" s="1056">
        <v>193</v>
      </c>
      <c r="C47" s="866"/>
      <c r="D47" s="8"/>
      <c r="E47" s="8"/>
      <c r="F47" s="8"/>
      <c r="G47" s="8"/>
      <c r="H47" s="8"/>
      <c r="I47" s="8"/>
      <c r="J47" s="8"/>
      <c r="K47" s="8"/>
      <c r="L47" s="8"/>
      <c r="M47" s="8"/>
      <c r="N47" s="8"/>
      <c r="O47" s="8"/>
      <c r="P47" s="8"/>
      <c r="Q47" s="8"/>
      <c r="R47" s="8"/>
      <c r="S47" s="8"/>
      <c r="T47" s="8"/>
      <c r="U47" s="8"/>
      <c r="V47" s="8"/>
      <c r="W47" s="8"/>
      <c r="X47" s="8"/>
      <c r="Y47" s="8"/>
      <c r="Z47" s="8"/>
      <c r="AA47" s="8"/>
      <c r="AB47" s="1047"/>
      <c r="AC47" s="40"/>
      <c r="AD47" s="24"/>
      <c r="AE47" s="25"/>
    </row>
    <row r="48" spans="1:31" ht="12" customHeight="1">
      <c r="A48" s="774"/>
      <c r="B48" s="1044">
        <f>SUM(B45:B47)</f>
        <v>109125</v>
      </c>
      <c r="C48" s="866"/>
      <c r="D48" s="8"/>
      <c r="E48" s="8"/>
      <c r="F48" s="8"/>
      <c r="G48" s="8"/>
      <c r="H48" s="8"/>
      <c r="I48" s="8"/>
      <c r="J48" s="8"/>
      <c r="K48" s="8"/>
      <c r="L48" s="8"/>
      <c r="M48" s="8"/>
      <c r="N48" s="8"/>
      <c r="O48" s="8"/>
      <c r="P48" s="8"/>
      <c r="Q48" s="8"/>
      <c r="R48" s="8"/>
      <c r="S48" s="8"/>
      <c r="T48" s="8"/>
      <c r="U48" s="8"/>
      <c r="V48" s="8"/>
      <c r="W48" s="8"/>
      <c r="X48" s="8"/>
      <c r="Y48" s="8"/>
      <c r="Z48" s="8"/>
      <c r="AA48" s="8"/>
      <c r="AB48" s="1047"/>
      <c r="AC48" s="40"/>
      <c r="AD48" s="24"/>
      <c r="AE48" s="25"/>
    </row>
    <row r="49" spans="1:31" ht="12" customHeight="1">
      <c r="A49" s="774" t="s">
        <v>667</v>
      </c>
      <c r="B49" s="196"/>
      <c r="C49" s="866"/>
      <c r="D49" s="868">
        <v>0.1</v>
      </c>
      <c r="E49" s="868">
        <v>0.4</v>
      </c>
      <c r="F49" s="868">
        <f>1-SUM($D$7:F7)</f>
        <v>0.76949999999999996</v>
      </c>
      <c r="G49" s="868">
        <f>1-SUM($D$7:G7)</f>
        <v>0.69249999999999989</v>
      </c>
      <c r="H49" s="868">
        <f>1-SUM($D$7:H7)</f>
        <v>0.62319999999999998</v>
      </c>
      <c r="I49" s="868">
        <f>1-SUM($D$7:I7)</f>
        <v>0.56089999999999995</v>
      </c>
      <c r="J49" s="868">
        <f>1-SUM($D$7:J7)</f>
        <v>0.50190000000000001</v>
      </c>
      <c r="K49" s="868">
        <f>1-SUM($D$7:K7)</f>
        <v>0.44279999999999997</v>
      </c>
      <c r="L49" s="868">
        <f>1-SUM($D$7:L7)</f>
        <v>0.38379999999999992</v>
      </c>
      <c r="M49" s="868">
        <f>1-SUM($D$7:M7)</f>
        <v>0.32469999999999988</v>
      </c>
      <c r="N49" s="868">
        <v>0.3</v>
      </c>
      <c r="O49" s="868">
        <v>0.3</v>
      </c>
      <c r="P49" s="868">
        <v>0.3</v>
      </c>
      <c r="Q49" s="868">
        <v>0.3</v>
      </c>
      <c r="R49" s="868">
        <v>0.3</v>
      </c>
      <c r="S49" s="868">
        <v>0.3</v>
      </c>
      <c r="T49" s="868">
        <v>0.3</v>
      </c>
      <c r="U49" s="868">
        <v>0.3</v>
      </c>
      <c r="V49" s="868">
        <v>0.3</v>
      </c>
      <c r="W49" s="868">
        <v>0.3</v>
      </c>
      <c r="X49" s="868">
        <v>0.3</v>
      </c>
      <c r="Y49" s="868">
        <v>0.3</v>
      </c>
      <c r="Z49" s="868">
        <v>0.3</v>
      </c>
      <c r="AA49" s="868">
        <v>0</v>
      </c>
      <c r="AB49" s="1048">
        <v>0</v>
      </c>
      <c r="AC49" s="40"/>
      <c r="AD49" s="24"/>
      <c r="AE49" s="25"/>
    </row>
    <row r="50" spans="1:31" ht="12" customHeight="1">
      <c r="A50" s="774"/>
      <c r="B50" s="196"/>
      <c r="C50" s="866"/>
      <c r="D50" s="868"/>
      <c r="E50" s="868"/>
      <c r="F50" s="868"/>
      <c r="G50" s="868"/>
      <c r="H50" s="868"/>
      <c r="I50" s="868"/>
      <c r="J50" s="868"/>
      <c r="K50" s="868"/>
      <c r="L50" s="868"/>
      <c r="M50" s="868"/>
      <c r="N50" s="868"/>
      <c r="O50" s="868"/>
      <c r="P50" s="868"/>
      <c r="Q50" s="868"/>
      <c r="R50" s="868"/>
      <c r="S50" s="868"/>
      <c r="T50" s="868"/>
      <c r="U50" s="868"/>
      <c r="V50" s="868"/>
      <c r="W50" s="868"/>
      <c r="X50" s="868"/>
      <c r="Y50" s="868"/>
      <c r="Z50" s="868"/>
      <c r="AA50" s="868"/>
      <c r="AB50" s="1048"/>
      <c r="AC50" s="40"/>
      <c r="AD50" s="24"/>
      <c r="AE50" s="25"/>
    </row>
    <row r="51" spans="1:31" ht="11.25" customHeight="1">
      <c r="A51" s="774" t="s">
        <v>665</v>
      </c>
      <c r="B51" s="770"/>
      <c r="C51" s="79"/>
      <c r="D51" s="161">
        <f>$B$45*D49*Perc_Draw</f>
        <v>6664.77</v>
      </c>
      <c r="E51" s="161">
        <f>$B$45*E49</f>
        <v>42316</v>
      </c>
      <c r="F51" s="161">
        <f t="shared" ref="F51:AB51" si="26">$B$45*F49</f>
        <v>81405.404999999999</v>
      </c>
      <c r="G51" s="161">
        <f t="shared" si="26"/>
        <v>73259.574999999983</v>
      </c>
      <c r="H51" s="161">
        <f t="shared" si="26"/>
        <v>65928.327999999994</v>
      </c>
      <c r="I51" s="161">
        <f t="shared" si="26"/>
        <v>59337.610999999997</v>
      </c>
      <c r="J51" s="161">
        <f t="shared" si="26"/>
        <v>53096.001000000004</v>
      </c>
      <c r="K51" s="161">
        <f t="shared" si="26"/>
        <v>46843.811999999998</v>
      </c>
      <c r="L51" s="161">
        <f t="shared" si="26"/>
        <v>40602.20199999999</v>
      </c>
      <c r="M51" s="161">
        <f t="shared" si="26"/>
        <v>34350.012999999984</v>
      </c>
      <c r="N51" s="161">
        <f t="shared" si="26"/>
        <v>31737</v>
      </c>
      <c r="O51" s="161">
        <f t="shared" si="26"/>
        <v>31737</v>
      </c>
      <c r="P51" s="161">
        <f t="shared" si="26"/>
        <v>31737</v>
      </c>
      <c r="Q51" s="161">
        <f t="shared" si="26"/>
        <v>31737</v>
      </c>
      <c r="R51" s="161">
        <f t="shared" si="26"/>
        <v>31737</v>
      </c>
      <c r="S51" s="161">
        <f t="shared" si="26"/>
        <v>31737</v>
      </c>
      <c r="T51" s="161">
        <f t="shared" si="26"/>
        <v>31737</v>
      </c>
      <c r="U51" s="161">
        <f t="shared" si="26"/>
        <v>31737</v>
      </c>
      <c r="V51" s="161">
        <f t="shared" si="26"/>
        <v>31737</v>
      </c>
      <c r="W51" s="161">
        <f t="shared" si="26"/>
        <v>31737</v>
      </c>
      <c r="X51" s="161">
        <f t="shared" si="26"/>
        <v>31737</v>
      </c>
      <c r="Y51" s="161">
        <f t="shared" si="26"/>
        <v>31737</v>
      </c>
      <c r="Z51" s="161">
        <f t="shared" si="26"/>
        <v>31737</v>
      </c>
      <c r="AA51" s="161">
        <f t="shared" si="26"/>
        <v>0</v>
      </c>
      <c r="AB51" s="1049">
        <f t="shared" si="26"/>
        <v>0</v>
      </c>
      <c r="AC51" s="27"/>
    </row>
    <row r="52" spans="1:31" ht="11.25" customHeight="1">
      <c r="A52" s="774" t="s">
        <v>665</v>
      </c>
      <c r="B52" s="770"/>
      <c r="C52" s="79"/>
      <c r="D52" s="161">
        <f>$B$46*D49*Perc_Draw</f>
        <v>197.94600000000003</v>
      </c>
      <c r="E52" s="161">
        <f>$B$46*E49</f>
        <v>1256.8000000000002</v>
      </c>
      <c r="F52" s="161">
        <f t="shared" ref="F52:AB52" si="27">$B$46*F49</f>
        <v>2417.7689999999998</v>
      </c>
      <c r="G52" s="161">
        <f t="shared" si="27"/>
        <v>2175.8349999999996</v>
      </c>
      <c r="H52" s="161">
        <f t="shared" si="27"/>
        <v>1958.0944</v>
      </c>
      <c r="I52" s="161">
        <f t="shared" si="27"/>
        <v>1762.3477999999998</v>
      </c>
      <c r="J52" s="161">
        <f t="shared" si="27"/>
        <v>1576.9698000000001</v>
      </c>
      <c r="K52" s="161">
        <f t="shared" si="27"/>
        <v>1391.2775999999999</v>
      </c>
      <c r="L52" s="161">
        <f t="shared" si="27"/>
        <v>1205.8995999999997</v>
      </c>
      <c r="M52" s="161">
        <f t="shared" si="27"/>
        <v>1020.2073999999997</v>
      </c>
      <c r="N52" s="161">
        <f t="shared" si="27"/>
        <v>942.59999999999991</v>
      </c>
      <c r="O52" s="161">
        <f t="shared" si="27"/>
        <v>942.59999999999991</v>
      </c>
      <c r="P52" s="161">
        <f t="shared" si="27"/>
        <v>942.59999999999991</v>
      </c>
      <c r="Q52" s="161">
        <f t="shared" si="27"/>
        <v>942.59999999999991</v>
      </c>
      <c r="R52" s="161">
        <f t="shared" si="27"/>
        <v>942.59999999999991</v>
      </c>
      <c r="S52" s="161">
        <f t="shared" si="27"/>
        <v>942.59999999999991</v>
      </c>
      <c r="T52" s="161">
        <f t="shared" si="27"/>
        <v>942.59999999999991</v>
      </c>
      <c r="U52" s="161">
        <f t="shared" si="27"/>
        <v>942.59999999999991</v>
      </c>
      <c r="V52" s="161">
        <f t="shared" si="27"/>
        <v>942.59999999999991</v>
      </c>
      <c r="W52" s="161">
        <f t="shared" si="27"/>
        <v>942.59999999999991</v>
      </c>
      <c r="X52" s="161">
        <f t="shared" si="27"/>
        <v>942.59999999999991</v>
      </c>
      <c r="Y52" s="161">
        <f t="shared" si="27"/>
        <v>942.59999999999991</v>
      </c>
      <c r="Z52" s="161">
        <f t="shared" si="27"/>
        <v>942.59999999999991</v>
      </c>
      <c r="AA52" s="161">
        <f t="shared" si="27"/>
        <v>0</v>
      </c>
      <c r="AB52" s="1049">
        <f t="shared" si="27"/>
        <v>0</v>
      </c>
      <c r="AC52" s="27"/>
    </row>
    <row r="53" spans="1:31" ht="11.25" customHeight="1">
      <c r="A53" s="774" t="s">
        <v>666</v>
      </c>
      <c r="B53" s="770"/>
      <c r="C53" s="79"/>
      <c r="D53" s="161">
        <f>$B$47</f>
        <v>193</v>
      </c>
      <c r="E53" s="161">
        <f>$B$47</f>
        <v>193</v>
      </c>
      <c r="F53" s="161">
        <f t="shared" ref="F53:Z53" si="28">$B$47</f>
        <v>193</v>
      </c>
      <c r="G53" s="161">
        <f t="shared" si="28"/>
        <v>193</v>
      </c>
      <c r="H53" s="161">
        <f t="shared" si="28"/>
        <v>193</v>
      </c>
      <c r="I53" s="161">
        <f t="shared" si="28"/>
        <v>193</v>
      </c>
      <c r="J53" s="161">
        <f t="shared" si="28"/>
        <v>193</v>
      </c>
      <c r="K53" s="161">
        <f t="shared" si="28"/>
        <v>193</v>
      </c>
      <c r="L53" s="161">
        <f t="shared" si="28"/>
        <v>193</v>
      </c>
      <c r="M53" s="161">
        <f t="shared" si="28"/>
        <v>193</v>
      </c>
      <c r="N53" s="161">
        <f t="shared" si="28"/>
        <v>193</v>
      </c>
      <c r="O53" s="161">
        <f t="shared" si="28"/>
        <v>193</v>
      </c>
      <c r="P53" s="161">
        <f t="shared" si="28"/>
        <v>193</v>
      </c>
      <c r="Q53" s="161">
        <f t="shared" si="28"/>
        <v>193</v>
      </c>
      <c r="R53" s="161">
        <f t="shared" si="28"/>
        <v>193</v>
      </c>
      <c r="S53" s="161">
        <f t="shared" si="28"/>
        <v>193</v>
      </c>
      <c r="T53" s="161">
        <f t="shared" si="28"/>
        <v>193</v>
      </c>
      <c r="U53" s="161">
        <f t="shared" si="28"/>
        <v>193</v>
      </c>
      <c r="V53" s="161">
        <f t="shared" si="28"/>
        <v>193</v>
      </c>
      <c r="W53" s="161">
        <f t="shared" si="28"/>
        <v>193</v>
      </c>
      <c r="X53" s="161">
        <f t="shared" si="28"/>
        <v>193</v>
      </c>
      <c r="Y53" s="161">
        <f t="shared" si="28"/>
        <v>193</v>
      </c>
      <c r="Z53" s="161">
        <f t="shared" si="28"/>
        <v>193</v>
      </c>
      <c r="AA53" s="161">
        <v>0</v>
      </c>
      <c r="AB53" s="1049">
        <v>0</v>
      </c>
      <c r="AC53" s="27"/>
    </row>
    <row r="54" spans="1:31" ht="11.25" customHeight="1">
      <c r="A54" s="774"/>
      <c r="B54" s="770"/>
      <c r="C54" s="79"/>
      <c r="D54" s="161"/>
      <c r="E54" s="161"/>
      <c r="F54" s="161"/>
      <c r="G54" s="161"/>
      <c r="H54" s="161"/>
      <c r="I54" s="161"/>
      <c r="J54" s="161"/>
      <c r="K54" s="161"/>
      <c r="L54" s="161"/>
      <c r="M54" s="161"/>
      <c r="N54" s="161"/>
      <c r="O54" s="161"/>
      <c r="P54" s="161"/>
      <c r="Q54" s="161"/>
      <c r="R54" s="161"/>
      <c r="S54" s="161"/>
      <c r="T54" s="161"/>
      <c r="U54" s="161"/>
      <c r="V54" s="161"/>
      <c r="W54" s="161"/>
      <c r="X54" s="161"/>
      <c r="Y54" s="161"/>
      <c r="Z54" s="161"/>
      <c r="AA54" s="161"/>
      <c r="AB54" s="1049"/>
      <c r="AC54" s="27"/>
    </row>
    <row r="55" spans="1:31" ht="11.25" customHeight="1">
      <c r="A55" s="774" t="s">
        <v>653</v>
      </c>
      <c r="B55" s="770"/>
      <c r="C55" s="79"/>
      <c r="D55" s="1036">
        <f>AssessedValueMultiplier</f>
        <v>0.33</v>
      </c>
      <c r="E55" s="1036">
        <f t="shared" ref="E55:Z55" si="29">AssessedValueMultiplier</f>
        <v>0.33</v>
      </c>
      <c r="F55" s="1036">
        <f t="shared" si="29"/>
        <v>0.33</v>
      </c>
      <c r="G55" s="1036">
        <f t="shared" si="29"/>
        <v>0.33</v>
      </c>
      <c r="H55" s="1036">
        <f t="shared" si="29"/>
        <v>0.33</v>
      </c>
      <c r="I55" s="1036">
        <f t="shared" si="29"/>
        <v>0.33</v>
      </c>
      <c r="J55" s="1036">
        <f t="shared" si="29"/>
        <v>0.33</v>
      </c>
      <c r="K55" s="1036">
        <f t="shared" si="29"/>
        <v>0.33</v>
      </c>
      <c r="L55" s="1036">
        <f t="shared" si="29"/>
        <v>0.33</v>
      </c>
      <c r="M55" s="1036">
        <f t="shared" si="29"/>
        <v>0.33</v>
      </c>
      <c r="N55" s="1036">
        <f t="shared" si="29"/>
        <v>0.33</v>
      </c>
      <c r="O55" s="1036">
        <f t="shared" si="29"/>
        <v>0.33</v>
      </c>
      <c r="P55" s="1036">
        <f t="shared" si="29"/>
        <v>0.33</v>
      </c>
      <c r="Q55" s="1036">
        <f t="shared" si="29"/>
        <v>0.33</v>
      </c>
      <c r="R55" s="1036">
        <f t="shared" si="29"/>
        <v>0.33</v>
      </c>
      <c r="S55" s="1036">
        <f t="shared" si="29"/>
        <v>0.33</v>
      </c>
      <c r="T55" s="1036">
        <f t="shared" si="29"/>
        <v>0.33</v>
      </c>
      <c r="U55" s="1036">
        <f t="shared" si="29"/>
        <v>0.33</v>
      </c>
      <c r="V55" s="1036">
        <f t="shared" si="29"/>
        <v>0.33</v>
      </c>
      <c r="W55" s="1036">
        <f t="shared" si="29"/>
        <v>0.33</v>
      </c>
      <c r="X55" s="1036">
        <f t="shared" si="29"/>
        <v>0.33</v>
      </c>
      <c r="Y55" s="1036">
        <f t="shared" si="29"/>
        <v>0.33</v>
      </c>
      <c r="Z55" s="1036">
        <f t="shared" si="29"/>
        <v>0.33</v>
      </c>
      <c r="AA55" s="161"/>
      <c r="AB55" s="1049"/>
      <c r="AC55" s="27"/>
    </row>
    <row r="56" spans="1:31" ht="11.25" customHeight="1">
      <c r="A56" s="774" t="s">
        <v>654</v>
      </c>
      <c r="B56" s="770"/>
      <c r="C56" s="79"/>
      <c r="D56" s="1037">
        <f>SUM(D51:D53)*D55</f>
        <v>2328.3862800000002</v>
      </c>
      <c r="E56" s="1037">
        <f>SUM(E51:E53)*E55</f>
        <v>14442.714000000002</v>
      </c>
      <c r="F56" s="1037">
        <f t="shared" ref="F56:Z56" si="30">SUM(F51:F53)*F55</f>
        <v>27725.33742</v>
      </c>
      <c r="G56" s="1037">
        <f t="shared" si="30"/>
        <v>24957.375299999996</v>
      </c>
      <c r="H56" s="1037">
        <f t="shared" si="30"/>
        <v>22466.209392000001</v>
      </c>
      <c r="I56" s="1037">
        <f t="shared" si="30"/>
        <v>20226.676404000002</v>
      </c>
      <c r="J56" s="1037">
        <f t="shared" si="30"/>
        <v>18105.770364</v>
      </c>
      <c r="K56" s="1037">
        <f t="shared" si="30"/>
        <v>15981.269568</v>
      </c>
      <c r="L56" s="1037">
        <f t="shared" si="30"/>
        <v>13860.363527999996</v>
      </c>
      <c r="M56" s="1037">
        <f t="shared" si="30"/>
        <v>11735.862731999996</v>
      </c>
      <c r="N56" s="1037">
        <f t="shared" si="30"/>
        <v>10847.958000000001</v>
      </c>
      <c r="O56" s="1037">
        <f t="shared" si="30"/>
        <v>10847.958000000001</v>
      </c>
      <c r="P56" s="1037">
        <f t="shared" si="30"/>
        <v>10847.958000000001</v>
      </c>
      <c r="Q56" s="1037">
        <f t="shared" si="30"/>
        <v>10847.958000000001</v>
      </c>
      <c r="R56" s="1037">
        <f t="shared" si="30"/>
        <v>10847.958000000001</v>
      </c>
      <c r="S56" s="1037">
        <f t="shared" si="30"/>
        <v>10847.958000000001</v>
      </c>
      <c r="T56" s="1037">
        <f t="shared" si="30"/>
        <v>10847.958000000001</v>
      </c>
      <c r="U56" s="1037">
        <f t="shared" si="30"/>
        <v>10847.958000000001</v>
      </c>
      <c r="V56" s="1037">
        <f t="shared" si="30"/>
        <v>10847.958000000001</v>
      </c>
      <c r="W56" s="1037">
        <f t="shared" si="30"/>
        <v>10847.958000000001</v>
      </c>
      <c r="X56" s="1037">
        <f t="shared" si="30"/>
        <v>10847.958000000001</v>
      </c>
      <c r="Y56" s="1037">
        <f t="shared" si="30"/>
        <v>10847.958000000001</v>
      </c>
      <c r="Z56" s="1037">
        <f t="shared" si="30"/>
        <v>10847.958000000001</v>
      </c>
      <c r="AA56" s="161"/>
      <c r="AB56" s="1049"/>
      <c r="AC56" s="27"/>
    </row>
    <row r="57" spans="1:31" ht="11.25" customHeight="1">
      <c r="A57" s="774"/>
      <c r="B57" s="770"/>
      <c r="C57" s="79"/>
      <c r="D57" s="1035"/>
      <c r="E57" s="1035"/>
      <c r="F57" s="1035"/>
      <c r="G57" s="1035"/>
      <c r="H57" s="1035"/>
      <c r="I57" s="1035"/>
      <c r="J57" s="1035"/>
      <c r="K57" s="1035"/>
      <c r="L57" s="1035"/>
      <c r="M57" s="1035"/>
      <c r="N57" s="1035"/>
      <c r="O57" s="1035"/>
      <c r="P57" s="1035"/>
      <c r="Q57" s="1035"/>
      <c r="R57" s="1035"/>
      <c r="S57" s="1035"/>
      <c r="T57" s="1035"/>
      <c r="U57" s="1035"/>
      <c r="V57" s="1035"/>
      <c r="W57" s="1035"/>
      <c r="X57" s="1035"/>
      <c r="Y57" s="1035"/>
      <c r="Z57" s="1035"/>
      <c r="AA57" s="161"/>
      <c r="AB57" s="1049"/>
      <c r="AC57" s="27"/>
    </row>
    <row r="58" spans="1:31" ht="11.25" customHeight="1">
      <c r="A58" s="774" t="s">
        <v>656</v>
      </c>
      <c r="B58" s="770"/>
      <c r="C58" s="79"/>
      <c r="D58" s="966">
        <v>0</v>
      </c>
      <c r="E58" s="966">
        <v>1</v>
      </c>
      <c r="F58" s="966">
        <v>0.95</v>
      </c>
      <c r="G58" s="966">
        <v>0.9</v>
      </c>
      <c r="H58" s="966">
        <v>0.85</v>
      </c>
      <c r="I58" s="966">
        <v>0.8</v>
      </c>
      <c r="J58" s="966">
        <v>0.7</v>
      </c>
      <c r="K58" s="966">
        <v>0.55000000000000004</v>
      </c>
      <c r="L58" s="966">
        <v>0.4</v>
      </c>
      <c r="M58" s="966">
        <v>0.3</v>
      </c>
      <c r="N58" s="966">
        <v>0.25</v>
      </c>
      <c r="O58" s="161"/>
      <c r="P58" s="161"/>
      <c r="Q58" s="161"/>
      <c r="R58" s="161"/>
      <c r="S58" s="161"/>
      <c r="T58" s="161"/>
      <c r="U58" s="161"/>
      <c r="V58" s="161"/>
      <c r="W58" s="161"/>
      <c r="X58" s="161"/>
      <c r="Y58" s="161"/>
      <c r="Z58" s="161"/>
      <c r="AA58" s="161"/>
      <c r="AB58" s="1049"/>
      <c r="AC58" s="27"/>
    </row>
    <row r="59" spans="1:31" ht="11.25" customHeight="1">
      <c r="A59" s="774" t="s">
        <v>657</v>
      </c>
      <c r="B59" s="770"/>
      <c r="C59" s="79"/>
      <c r="D59" s="966">
        <v>0</v>
      </c>
      <c r="E59" s="966">
        <v>1</v>
      </c>
      <c r="F59" s="966">
        <v>0.95</v>
      </c>
      <c r="G59" s="966">
        <v>0.8</v>
      </c>
      <c r="H59" s="966">
        <v>0.65</v>
      </c>
      <c r="I59" s="966">
        <v>0.5</v>
      </c>
      <c r="J59" s="966">
        <v>0.4</v>
      </c>
      <c r="K59" s="966">
        <v>0.3</v>
      </c>
      <c r="L59" s="966">
        <v>0.2</v>
      </c>
      <c r="M59" s="966">
        <v>0.1</v>
      </c>
      <c r="N59" s="966">
        <v>0.05</v>
      </c>
      <c r="O59" s="161"/>
      <c r="P59" s="161"/>
      <c r="Q59" s="161"/>
      <c r="R59" s="161"/>
      <c r="S59" s="161"/>
      <c r="T59" s="161"/>
      <c r="U59" s="161"/>
      <c r="V59" s="161"/>
      <c r="W59" s="161"/>
      <c r="X59" s="161"/>
      <c r="Y59" s="161"/>
      <c r="Z59" s="161"/>
      <c r="AA59" s="161"/>
      <c r="AB59" s="1049"/>
      <c r="AC59" s="27"/>
    </row>
    <row r="60" spans="1:31" ht="23.25" customHeight="1">
      <c r="A60" s="774"/>
      <c r="B60" s="1038" t="s">
        <v>651</v>
      </c>
      <c r="C60" s="1039" t="s">
        <v>652</v>
      </c>
      <c r="D60" s="168"/>
      <c r="E60" s="168"/>
      <c r="F60" s="168"/>
      <c r="G60" s="168"/>
      <c r="H60" s="168"/>
      <c r="I60" s="168"/>
      <c r="J60" s="168"/>
      <c r="K60" s="168"/>
      <c r="L60" s="168"/>
      <c r="M60" s="168"/>
      <c r="N60" s="168"/>
      <c r="O60" s="168"/>
      <c r="P60" s="168"/>
      <c r="Q60" s="168"/>
      <c r="R60" s="168"/>
      <c r="S60" s="168"/>
      <c r="T60" s="168"/>
      <c r="U60" s="168"/>
      <c r="V60" s="168"/>
      <c r="W60" s="168"/>
      <c r="X60" s="168"/>
      <c r="Y60" s="168"/>
      <c r="Z60" s="168"/>
      <c r="AA60" s="168"/>
      <c r="AB60" s="1050"/>
      <c r="AC60" s="27"/>
      <c r="AD60" s="11"/>
      <c r="AE60" s="11"/>
    </row>
    <row r="61" spans="1:31" ht="12" customHeight="1">
      <c r="A61" s="774" t="s">
        <v>655</v>
      </c>
      <c r="B61" s="1042">
        <f>SchoolMillageTaxRate</f>
        <v>7.4828000000000006E-2</v>
      </c>
      <c r="C61" s="1043">
        <f>'Project Assumtions'!U8</f>
        <v>0.15754499999999999</v>
      </c>
      <c r="D61" s="196">
        <f>D51*SchoolMillageTaxRate*(1-D58)*(1-'Project Assumtions'!$U$8)*D55</f>
        <v>138.64683377848704</v>
      </c>
      <c r="E61" s="196">
        <f>E51*SchoolMillageTaxRate*(1-E58)*(1-'Project Assumtions'!$U$8)*E55</f>
        <v>0</v>
      </c>
      <c r="F61" s="196">
        <f>F51*SchoolMillageTaxRate*(1-F58)*(1-'Project Assumtions'!$U$8)*F55</f>
        <v>84.67360205757609</v>
      </c>
      <c r="G61" s="196">
        <f>G51*SchoolMillageTaxRate*(1-G58)*(1-'Project Assumtions'!$U$8)*G55</f>
        <v>152.40147998667021</v>
      </c>
      <c r="H61" s="196">
        <f>H51*SchoolMillageTaxRate*(1-H58)*(1-'Project Assumtions'!$U$8)*H55</f>
        <v>205.72549240655508</v>
      </c>
      <c r="I61" s="196">
        <f>I51*SchoolMillageTaxRate*(1-I58)*(1-'Project Assumtions'!$U$8)*I55</f>
        <v>246.87939386143921</v>
      </c>
      <c r="J61" s="196">
        <f>J51*SchoolMillageTaxRate*(1-J58)*(1-'Project Assumtions'!$U$8)*J55</f>
        <v>331.36593273058412</v>
      </c>
      <c r="K61" s="196">
        <f>K51*SchoolMillageTaxRate*(1-K58)*(1-'Project Assumtions'!$U$8)*K55</f>
        <v>438.52012855081466</v>
      </c>
      <c r="L61" s="196">
        <f>L51*SchoolMillageTaxRate*(1-L58)*(1-'Project Assumtions'!$U$8)*L55</f>
        <v>506.7871886112697</v>
      </c>
      <c r="M61" s="196">
        <f>M51*SchoolMillageTaxRate*(1-M58)*(1-'Project Assumtions'!$U$8)*M55</f>
        <v>500.2069658652747</v>
      </c>
      <c r="N61" s="196">
        <f>N51*SchoolMillageTaxRate*(1-N58)*(1-'Project Assumtions'!$U$8)*N55</f>
        <v>495.16726349459657</v>
      </c>
      <c r="O61" s="196">
        <f>O51*SchoolMillageTaxRate*(1-O58)*(1-'Project Assumtions'!$U$8)*O55</f>
        <v>660.22301799279546</v>
      </c>
      <c r="P61" s="196">
        <f>P51*SchoolMillageTaxRate*(1-P58)*(1-'Project Assumtions'!$U$8)*P55</f>
        <v>660.22301799279546</v>
      </c>
      <c r="Q61" s="196">
        <f>Q51*SchoolMillageTaxRate*(1-Q58)*(1-'Project Assumtions'!$U$8)*Q55</f>
        <v>660.22301799279546</v>
      </c>
      <c r="R61" s="196">
        <f>R51*SchoolMillageTaxRate*(1-R58)*(1-'Project Assumtions'!$U$8)*R55</f>
        <v>660.22301799279546</v>
      </c>
      <c r="S61" s="196">
        <f>S51*SchoolMillageTaxRate*(1-S58)*(1-'Project Assumtions'!$U$8)*S55</f>
        <v>660.22301799279546</v>
      </c>
      <c r="T61" s="196">
        <f>T51*SchoolMillageTaxRate*(1-T58)*(1-'Project Assumtions'!$U$8)*T55</f>
        <v>660.22301799279546</v>
      </c>
      <c r="U61" s="196">
        <f>U51*SchoolMillageTaxRate*(1-U58)*(1-'Project Assumtions'!$U$8)*U55</f>
        <v>660.22301799279546</v>
      </c>
      <c r="V61" s="196">
        <f>V51*SchoolMillageTaxRate*(1-V58)*(1-'Project Assumtions'!$U$8)*V55</f>
        <v>660.22301799279546</v>
      </c>
      <c r="W61" s="196">
        <f>W51*SchoolMillageTaxRate*(1-W58)*(1-'Project Assumtions'!$U$8)*W55</f>
        <v>660.22301799279546</v>
      </c>
      <c r="X61" s="196">
        <f>X51*SchoolMillageTaxRate*(1-X58)*(1-'Project Assumtions'!$U$8)*X55</f>
        <v>660.22301799279546</v>
      </c>
      <c r="Y61" s="196">
        <f>Y51*SchoolMillageTaxRate*(1-Y58)*(1-'Project Assumtions'!$U$8)*Y55</f>
        <v>660.22301799279546</v>
      </c>
      <c r="Z61" s="196">
        <f>Z51*SchoolMillageTaxRate*(1-Z58)*(1-'Project Assumtions'!$U$8)*Z55</f>
        <v>660.22301799279546</v>
      </c>
      <c r="AA61" s="196">
        <f>AA51*SchoolMillageTaxRate*(1-AA58)*(1-'Project Assumtions'!$U$8)*AA55</f>
        <v>0</v>
      </c>
      <c r="AB61" s="1051">
        <f>AB51*SchoolMillageTaxRate*(1-AB58)*(1-'Project Assumtions'!$U$8)*AB55</f>
        <v>0</v>
      </c>
      <c r="AC61" s="26"/>
      <c r="AD61" s="24"/>
      <c r="AE61" s="25"/>
    </row>
    <row r="62" spans="1:31" ht="12" customHeight="1">
      <c r="A62" s="774" t="s">
        <v>658</v>
      </c>
      <c r="B62" s="1040">
        <f>SchoolMillageTaxRate</f>
        <v>7.4828000000000006E-2</v>
      </c>
      <c r="C62" s="1041">
        <f>'Project Assumtions'!U8</f>
        <v>0.15754499999999999</v>
      </c>
      <c r="D62" s="1045">
        <f>D52*SchoolMillageTaxRate*(1-D59)*(1-'Project Assumtions'!$U$8)*D55</f>
        <v>4.1178594548823746</v>
      </c>
      <c r="E62" s="1045">
        <f>E52*SchoolMillageTaxRate*(1-E59)*(1-'Project Assumtions'!$U$8)*E55</f>
        <v>0</v>
      </c>
      <c r="F62" s="1045">
        <f>F52*SchoolMillageTaxRate*(1-F59)*(1-'Project Assumtions'!$U$8)*F55</f>
        <v>2.5148355956603088</v>
      </c>
      <c r="G62" s="1045">
        <f>G52*SchoolMillageTaxRate*(1-G59)*(1-'Project Assumtions'!$U$8)*G55</f>
        <v>9.0527545158921985</v>
      </c>
      <c r="H62" s="1045">
        <f>H52*SchoolMillageTaxRate*(1-H59)*(1-'Project Assumtions'!$U$8)*H55</f>
        <v>14.256944512681637</v>
      </c>
      <c r="I62" s="1045">
        <f>I52*SchoolMillageTaxRate*(1-I59)*(1-'Project Assumtions'!$U$8)*I55</f>
        <v>18.331010859075583</v>
      </c>
      <c r="J62" s="1045">
        <f>J52*SchoolMillageTaxRate*(1-J59)*(1-'Project Assumtions'!$U$8)*J55</f>
        <v>19.683368194337746</v>
      </c>
      <c r="K62" s="1045">
        <f>K52*SchoolMillageTaxRate*(1-K59)*(1-'Project Assumtions'!$U$8)*K55</f>
        <v>20.259868518021275</v>
      </c>
      <c r="L62" s="1045">
        <f>L52*SchoolMillageTaxRate*(1-L59)*(1-'Project Assumtions'!$U$8)*L55</f>
        <v>20.069009000429901</v>
      </c>
      <c r="M62" s="1045">
        <f>M52*SchoolMillageTaxRate*(1-M59)*(1-'Project Assumtions'!$U$8)*M55</f>
        <v>19.100985214290091</v>
      </c>
      <c r="N62" s="1045">
        <f>N52*SchoolMillageTaxRate*(1-N59)*(1-'Project Assumtions'!$U$8)*N55</f>
        <v>18.62841181970597</v>
      </c>
      <c r="O62" s="1045">
        <f>O52*SchoolMillageTaxRate*(1-O59)*(1-'Project Assumtions'!$U$8)*O55</f>
        <v>19.608854547058918</v>
      </c>
      <c r="P62" s="1045">
        <f>P52*SchoolMillageTaxRate*(1-P59)*(1-'Project Assumtions'!$U$8)*P55</f>
        <v>19.608854547058918</v>
      </c>
      <c r="Q62" s="1045">
        <f>Q52*SchoolMillageTaxRate*(1-Q59)*(1-'Project Assumtions'!$U$8)*Q55</f>
        <v>19.608854547058918</v>
      </c>
      <c r="R62" s="1045">
        <f>R52*SchoolMillageTaxRate*(1-R59)*(1-'Project Assumtions'!$U$8)*R55</f>
        <v>19.608854547058918</v>
      </c>
      <c r="S62" s="1045">
        <f>S52*SchoolMillageTaxRate*(1-S59)*(1-'Project Assumtions'!$U$8)*S55</f>
        <v>19.608854547058918</v>
      </c>
      <c r="T62" s="1045">
        <f>T52*SchoolMillageTaxRate*(1-T59)*(1-'Project Assumtions'!$U$8)*T55</f>
        <v>19.608854547058918</v>
      </c>
      <c r="U62" s="1045">
        <f>U52*SchoolMillageTaxRate*(1-U59)*(1-'Project Assumtions'!$U$8)*U55</f>
        <v>19.608854547058918</v>
      </c>
      <c r="V62" s="1045">
        <f>V52*SchoolMillageTaxRate*(1-V59)*(1-'Project Assumtions'!$U$8)*V55</f>
        <v>19.608854547058918</v>
      </c>
      <c r="W62" s="1045">
        <f>W52*SchoolMillageTaxRate*(1-W59)*(1-'Project Assumtions'!$U$8)*W55</f>
        <v>19.608854547058918</v>
      </c>
      <c r="X62" s="1045">
        <f>X52*SchoolMillageTaxRate*(1-X59)*(1-'Project Assumtions'!$U$8)*X55</f>
        <v>19.608854547058918</v>
      </c>
      <c r="Y62" s="1045">
        <f>Y52*SchoolMillageTaxRate*(1-Y59)*(1-'Project Assumtions'!$U$8)*Y55</f>
        <v>19.608854547058918</v>
      </c>
      <c r="Z62" s="1045">
        <f>Z52*SchoolMillageTaxRate*(1-Z59)*(1-'Project Assumtions'!$U$8)*Z55</f>
        <v>19.608854547058918</v>
      </c>
      <c r="AA62" s="1045">
        <f>AA52*SchoolMillageTaxRate*(1-AA59)*(1-'Project Assumtions'!$U$8)*AA55</f>
        <v>0</v>
      </c>
      <c r="AB62" s="1051">
        <f>AB52*SchoolMillageTaxRate*(1-AB59)*(1-'Project Assumtions'!$U$8)*AB55</f>
        <v>0</v>
      </c>
      <c r="AC62" s="18"/>
      <c r="AD62" s="24"/>
      <c r="AE62" s="25"/>
    </row>
    <row r="63" spans="1:31" ht="12" customHeight="1">
      <c r="A63" s="774" t="s">
        <v>659</v>
      </c>
      <c r="B63" s="1053" t="s">
        <v>661</v>
      </c>
      <c r="C63" s="79"/>
      <c r="D63" s="1046">
        <f>D53*SchoolMillageTaxRate*(1-D59)*(1-'Project Assumtions'!$U$8)*D55</f>
        <v>4.0149680963106009</v>
      </c>
      <c r="E63" s="1046">
        <f>E53*SchoolMillageTaxRate*(1-E59)*(1-'Project Assumtions'!$U$8)*E55</f>
        <v>0</v>
      </c>
      <c r="F63" s="1046">
        <f>F53*SchoolMillageTaxRate*(1-F59)*(1-'Project Assumtions'!$U$8)*F55</f>
        <v>0.20074840481553019</v>
      </c>
      <c r="G63" s="1046">
        <f>G53*SchoolMillageTaxRate*(1-G59)*(1-'Project Assumtions'!$U$8)*G55</f>
        <v>0.80299361926211987</v>
      </c>
      <c r="H63" s="1046">
        <f>H53*SchoolMillageTaxRate*(1-H59)*(1-'Project Assumtions'!$U$8)*H55</f>
        <v>1.4052388337087101</v>
      </c>
      <c r="I63" s="1046">
        <f>I53*SchoolMillageTaxRate*(1-I59)*(1-'Project Assumtions'!$U$8)*I55</f>
        <v>2.0074840481553005</v>
      </c>
      <c r="J63" s="1046">
        <f>J53*SchoolMillageTaxRate*(1-J59)*(1-'Project Assumtions'!$U$8)*J55</f>
        <v>2.4089808577863603</v>
      </c>
      <c r="K63" s="1046">
        <f>K53*SchoolMillageTaxRate*(1-K59)*(1-'Project Assumtions'!$U$8)*K55</f>
        <v>2.8104776674174201</v>
      </c>
      <c r="L63" s="1046">
        <f>L53*SchoolMillageTaxRate*(1-L59)*(1-'Project Assumtions'!$U$8)*L55</f>
        <v>3.2119744770484808</v>
      </c>
      <c r="M63" s="1046">
        <f>M53*SchoolMillageTaxRate*(1-M59)*(1-'Project Assumtions'!$U$8)*M55</f>
        <v>3.6134712866795402</v>
      </c>
      <c r="N63" s="1046">
        <f>N53*SchoolMillageTaxRate*(1-N59)*(1-'Project Assumtions'!$U$8)*N55</f>
        <v>3.8142196914950701</v>
      </c>
      <c r="O63" s="1046">
        <f>O53*SchoolMillageTaxRate*(1-O59)*(1-'Project Assumtions'!$U$8)*O55</f>
        <v>4.0149680963106009</v>
      </c>
      <c r="P63" s="1046">
        <f>P53*SchoolMillageTaxRate*(1-P59)*(1-'Project Assumtions'!$U$8)*P55</f>
        <v>4.0149680963106009</v>
      </c>
      <c r="Q63" s="1046">
        <f>Q53*SchoolMillageTaxRate*(1-Q59)*(1-'Project Assumtions'!$U$8)*Q55</f>
        <v>4.0149680963106009</v>
      </c>
      <c r="R63" s="1046">
        <f>R53*SchoolMillageTaxRate*(1-R59)*(1-'Project Assumtions'!$U$8)*R55</f>
        <v>4.0149680963106009</v>
      </c>
      <c r="S63" s="1046">
        <f>S53*SchoolMillageTaxRate*(1-S59)*(1-'Project Assumtions'!$U$8)*S55</f>
        <v>4.0149680963106009</v>
      </c>
      <c r="T63" s="1046">
        <f>T53*SchoolMillageTaxRate*(1-T59)*(1-'Project Assumtions'!$U$8)*T55</f>
        <v>4.0149680963106009</v>
      </c>
      <c r="U63" s="1046">
        <f>U53*SchoolMillageTaxRate*(1-U59)*(1-'Project Assumtions'!$U$8)*U55</f>
        <v>4.0149680963106009</v>
      </c>
      <c r="V63" s="1046">
        <f>V53*SchoolMillageTaxRate*(1-V59)*(1-'Project Assumtions'!$U$8)*V55</f>
        <v>4.0149680963106009</v>
      </c>
      <c r="W63" s="1046">
        <f>W53*SchoolMillageTaxRate*(1-W59)*(1-'Project Assumtions'!$U$8)*W55</f>
        <v>4.0149680963106009</v>
      </c>
      <c r="X63" s="1046">
        <f>X53*SchoolMillageTaxRate*(1-X59)*(1-'Project Assumtions'!$U$8)*X55</f>
        <v>4.0149680963106009</v>
      </c>
      <c r="Y63" s="1046">
        <f>Y53*SchoolMillageTaxRate*(1-Y59)*(1-'Project Assumtions'!$U$8)*Y55</f>
        <v>4.0149680963106009</v>
      </c>
      <c r="Z63" s="1046">
        <f>Z53*SchoolMillageTaxRate*(1-Z59)*(1-'Project Assumtions'!$U$8)*Z55</f>
        <v>4.0149680963106009</v>
      </c>
      <c r="AA63" s="1046">
        <f>AA53*SchoolMillageTaxRate*(1-AA59)*(1-'Project Assumtions'!$U$8)*AA55</f>
        <v>0</v>
      </c>
      <c r="AB63" s="1052">
        <f>AB53*SchoolMillageTaxRate*(1-AB59)*(1-'Project Assumtions'!$U$8)*AB55</f>
        <v>0</v>
      </c>
      <c r="AC63" s="42"/>
      <c r="AD63" s="24"/>
      <c r="AE63" s="25"/>
    </row>
    <row r="64" spans="1:31" s="41" customFormat="1">
      <c r="A64" s="589" t="s">
        <v>262</v>
      </c>
      <c r="B64" s="1054">
        <f>AVERAGE(D64:AB64)</f>
        <v>459.07367894579613</v>
      </c>
      <c r="C64" s="1057"/>
      <c r="D64" s="873">
        <f>SUM(D61:D63)</f>
        <v>146.77966132968001</v>
      </c>
      <c r="E64" s="873">
        <f>SUM(E61:E63)</f>
        <v>0</v>
      </c>
      <c r="F64" s="873">
        <f t="shared" ref="F64:AB64" si="31">SUM(F61:F63)</f>
        <v>87.389186058051934</v>
      </c>
      <c r="G64" s="873">
        <f t="shared" si="31"/>
        <v>162.25722812182451</v>
      </c>
      <c r="H64" s="873">
        <f t="shared" si="31"/>
        <v>221.38767575294543</v>
      </c>
      <c r="I64" s="873">
        <f t="shared" si="31"/>
        <v>267.21788876867009</v>
      </c>
      <c r="J64" s="873">
        <f t="shared" si="31"/>
        <v>353.45828178270818</v>
      </c>
      <c r="K64" s="873">
        <f t="shared" si="31"/>
        <v>461.59047473625338</v>
      </c>
      <c r="L64" s="873">
        <f t="shared" si="31"/>
        <v>530.06817208874804</v>
      </c>
      <c r="M64" s="873">
        <f t="shared" si="31"/>
        <v>522.92142236624431</v>
      </c>
      <c r="N64" s="873">
        <f t="shared" si="31"/>
        <v>517.60989500579763</v>
      </c>
      <c r="O64" s="873">
        <f t="shared" si="31"/>
        <v>683.84684063616498</v>
      </c>
      <c r="P64" s="873">
        <f t="shared" si="31"/>
        <v>683.84684063616498</v>
      </c>
      <c r="Q64" s="873">
        <f t="shared" si="31"/>
        <v>683.84684063616498</v>
      </c>
      <c r="R64" s="873">
        <f t="shared" si="31"/>
        <v>683.84684063616498</v>
      </c>
      <c r="S64" s="873">
        <f t="shared" si="31"/>
        <v>683.84684063616498</v>
      </c>
      <c r="T64" s="873">
        <f t="shared" si="31"/>
        <v>683.84684063616498</v>
      </c>
      <c r="U64" s="873">
        <f t="shared" si="31"/>
        <v>683.84684063616498</v>
      </c>
      <c r="V64" s="873">
        <f t="shared" si="31"/>
        <v>683.84684063616498</v>
      </c>
      <c r="W64" s="873">
        <f t="shared" si="31"/>
        <v>683.84684063616498</v>
      </c>
      <c r="X64" s="873">
        <f t="shared" si="31"/>
        <v>683.84684063616498</v>
      </c>
      <c r="Y64" s="873">
        <f t="shared" si="31"/>
        <v>683.84684063616498</v>
      </c>
      <c r="Z64" s="873">
        <f t="shared" si="31"/>
        <v>683.84684063616498</v>
      </c>
      <c r="AA64" s="873">
        <f t="shared" si="31"/>
        <v>0</v>
      </c>
      <c r="AB64" s="874">
        <f t="shared" si="31"/>
        <v>0</v>
      </c>
      <c r="AC64" s="43"/>
    </row>
    <row r="65" spans="1:31" ht="11.25" customHeight="1">
      <c r="A65" s="149"/>
      <c r="B65" s="150"/>
      <c r="C65" s="180">
        <f>NPV(0.1,D64:Z64)</f>
        <v>3235.896434589185</v>
      </c>
      <c r="D65" s="152"/>
      <c r="E65" s="152"/>
      <c r="F65" s="152"/>
      <c r="G65" s="152"/>
      <c r="H65" s="152"/>
      <c r="I65" s="152"/>
      <c r="J65" s="152"/>
      <c r="K65" s="152"/>
      <c r="L65" s="152"/>
      <c r="M65" s="152"/>
      <c r="N65" s="152"/>
      <c r="O65" s="152"/>
      <c r="P65" s="152"/>
      <c r="Q65" s="152"/>
      <c r="R65" s="152"/>
      <c r="S65" s="152"/>
      <c r="T65" s="152"/>
      <c r="U65" s="152"/>
      <c r="V65" s="152"/>
      <c r="W65" s="152"/>
      <c r="X65" s="152"/>
      <c r="Y65" s="152"/>
      <c r="Z65" s="152"/>
      <c r="AA65" s="152"/>
      <c r="AB65" s="152"/>
      <c r="AC65" s="24"/>
      <c r="AD65" s="24"/>
      <c r="AE65" s="25"/>
    </row>
    <row r="66" spans="1:31" ht="13.5" customHeight="1">
      <c r="A66" s="149"/>
      <c r="B66" s="151"/>
      <c r="D66" s="151"/>
      <c r="E66"/>
      <c r="F66"/>
      <c r="G66"/>
      <c r="H66"/>
      <c r="I66"/>
      <c r="J66"/>
      <c r="K66"/>
      <c r="L66"/>
      <c r="M66"/>
      <c r="N66"/>
      <c r="O66"/>
      <c r="P66"/>
      <c r="Q66"/>
      <c r="R66"/>
      <c r="S66"/>
      <c r="T66"/>
      <c r="U66"/>
      <c r="V66"/>
      <c r="W66"/>
      <c r="X66"/>
      <c r="Y66"/>
      <c r="Z66"/>
      <c r="AA66"/>
      <c r="AB66"/>
      <c r="AC66" s="11"/>
      <c r="AD66" s="11"/>
      <c r="AE66" s="27"/>
    </row>
    <row r="67" spans="1:31" ht="13.5" customHeight="1">
      <c r="A67" s="155" t="s">
        <v>73</v>
      </c>
      <c r="B67" s="156"/>
      <c r="D67" s="151">
        <v>2000</v>
      </c>
      <c r="E67" s="151">
        <f>D67+1</f>
        <v>2001</v>
      </c>
      <c r="F67" s="151">
        <f t="shared" ref="F67:Z67" si="32">E67+1</f>
        <v>2002</v>
      </c>
      <c r="G67" s="151">
        <f t="shared" si="32"/>
        <v>2003</v>
      </c>
      <c r="H67" s="151">
        <f t="shared" si="32"/>
        <v>2004</v>
      </c>
      <c r="I67" s="151">
        <f t="shared" si="32"/>
        <v>2005</v>
      </c>
      <c r="J67" s="151">
        <f t="shared" si="32"/>
        <v>2006</v>
      </c>
      <c r="K67" s="151">
        <f t="shared" si="32"/>
        <v>2007</v>
      </c>
      <c r="L67" s="151">
        <f t="shared" si="32"/>
        <v>2008</v>
      </c>
      <c r="M67" s="151">
        <f t="shared" si="32"/>
        <v>2009</v>
      </c>
      <c r="N67" s="151">
        <f t="shared" si="32"/>
        <v>2010</v>
      </c>
      <c r="O67" s="151">
        <f t="shared" si="32"/>
        <v>2011</v>
      </c>
      <c r="P67" s="151">
        <f t="shared" si="32"/>
        <v>2012</v>
      </c>
      <c r="Q67" s="151">
        <f t="shared" si="32"/>
        <v>2013</v>
      </c>
      <c r="R67" s="151">
        <f t="shared" si="32"/>
        <v>2014</v>
      </c>
      <c r="S67" s="151">
        <f t="shared" si="32"/>
        <v>2015</v>
      </c>
      <c r="T67" s="151">
        <f t="shared" si="32"/>
        <v>2016</v>
      </c>
      <c r="U67" s="151">
        <f t="shared" si="32"/>
        <v>2017</v>
      </c>
      <c r="V67" s="151">
        <f t="shared" si="32"/>
        <v>2018</v>
      </c>
      <c r="W67" s="151">
        <f t="shared" si="32"/>
        <v>2019</v>
      </c>
      <c r="X67" s="151">
        <f t="shared" si="32"/>
        <v>2020</v>
      </c>
      <c r="Y67" s="151">
        <f t="shared" si="32"/>
        <v>2021</v>
      </c>
      <c r="Z67" s="151">
        <f t="shared" si="32"/>
        <v>2022</v>
      </c>
      <c r="AA67" s="151"/>
      <c r="AB67" s="151"/>
      <c r="AC67" s="11"/>
      <c r="AD67" s="11"/>
      <c r="AE67" s="27"/>
    </row>
    <row r="68" spans="1:31" ht="13.5" customHeight="1" outlineLevel="1">
      <c r="A68" s="60" t="s">
        <v>74</v>
      </c>
      <c r="B68" s="60"/>
      <c r="C68" s="72" t="s">
        <v>640</v>
      </c>
      <c r="D68" s="1031">
        <v>0.1</v>
      </c>
      <c r="E68" s="1031">
        <v>0.4</v>
      </c>
      <c r="F68" s="1031">
        <v>0.76949999999999996</v>
      </c>
      <c r="G68" s="1031">
        <v>0.6925</v>
      </c>
      <c r="H68" s="1031">
        <v>0.62319999999999998</v>
      </c>
      <c r="I68" s="1031">
        <v>0.56089999999999995</v>
      </c>
      <c r="J68" s="1031">
        <v>0.50190000000000001</v>
      </c>
      <c r="K68" s="1031">
        <v>0.44279999999999997</v>
      </c>
      <c r="L68" s="1031">
        <v>0.38379999999999992</v>
      </c>
      <c r="M68" s="1031">
        <v>0.32469999999999988</v>
      </c>
      <c r="N68" s="1031">
        <v>0.3</v>
      </c>
      <c r="O68" s="1031">
        <v>0.3</v>
      </c>
      <c r="P68" s="1031">
        <v>0.3</v>
      </c>
      <c r="Q68" s="1031">
        <v>0.3</v>
      </c>
      <c r="R68" s="1031">
        <v>0.3</v>
      </c>
      <c r="S68" s="1031">
        <v>0.3</v>
      </c>
      <c r="T68" s="1031">
        <v>0.3</v>
      </c>
      <c r="U68" s="1031">
        <v>0.3</v>
      </c>
      <c r="V68" s="1031">
        <v>0.3</v>
      </c>
      <c r="W68" s="1031">
        <v>0.3</v>
      </c>
      <c r="X68" s="1031">
        <v>0.3</v>
      </c>
      <c r="Y68" s="1031">
        <v>0.3</v>
      </c>
      <c r="Z68" s="1031">
        <v>0.3</v>
      </c>
      <c r="AA68"/>
      <c r="AB68"/>
      <c r="AC68" s="11"/>
      <c r="AD68" s="11"/>
      <c r="AE68" s="27"/>
    </row>
    <row r="69" spans="1:31" ht="13.5" customHeight="1" outlineLevel="1">
      <c r="A69" s="60" t="s">
        <v>6</v>
      </c>
      <c r="B69" s="156" t="s">
        <v>75</v>
      </c>
      <c r="C69" s="72" t="s">
        <v>641</v>
      </c>
      <c r="D69" s="1032">
        <v>0.1</v>
      </c>
      <c r="E69" s="1032">
        <v>0.4</v>
      </c>
      <c r="F69" s="1032">
        <v>0.6</v>
      </c>
      <c r="G69" s="1032">
        <v>0.63</v>
      </c>
      <c r="H69" s="1032">
        <v>0.54</v>
      </c>
      <c r="I69" s="1032">
        <v>0.46</v>
      </c>
      <c r="J69" s="1032">
        <v>0.4</v>
      </c>
      <c r="K69" s="1032">
        <v>0.34</v>
      </c>
      <c r="L69" s="1032">
        <v>0.3</v>
      </c>
      <c r="M69" s="1032">
        <v>0.3</v>
      </c>
      <c r="N69" s="1032">
        <v>0.3</v>
      </c>
      <c r="O69" s="1032">
        <v>0.3</v>
      </c>
      <c r="P69" s="1032">
        <v>0.3</v>
      </c>
      <c r="Q69" s="1032">
        <v>0.3</v>
      </c>
      <c r="R69" s="1032">
        <v>0.3</v>
      </c>
      <c r="S69" s="1032">
        <v>0.3</v>
      </c>
      <c r="T69" s="1032">
        <v>0.3</v>
      </c>
      <c r="U69" s="1032">
        <v>0.3</v>
      </c>
      <c r="V69" s="1032">
        <v>0.3</v>
      </c>
      <c r="W69" s="1032">
        <v>0.3</v>
      </c>
      <c r="X69" s="1032">
        <v>0.3</v>
      </c>
      <c r="Y69" s="1032">
        <v>0.3</v>
      </c>
      <c r="Z69" s="1032">
        <v>0.3</v>
      </c>
    </row>
    <row r="70" spans="1:31" ht="13.5" customHeight="1" outlineLevel="1">
      <c r="A70" s="60">
        <v>1</v>
      </c>
      <c r="B70" s="484">
        <v>0.05</v>
      </c>
    </row>
    <row r="71" spans="1:31" ht="13.5" customHeight="1" outlineLevel="1">
      <c r="A71" s="60">
        <v>2</v>
      </c>
      <c r="B71" s="484">
        <v>9.5000000000000001E-2</v>
      </c>
      <c r="D71" s="72">
        <f>D67</f>
        <v>2000</v>
      </c>
      <c r="E71" s="72">
        <f t="shared" ref="E71:Z71" si="33">E67</f>
        <v>2001</v>
      </c>
      <c r="F71" s="72">
        <f t="shared" si="33"/>
        <v>2002</v>
      </c>
      <c r="G71" s="72">
        <f t="shared" si="33"/>
        <v>2003</v>
      </c>
      <c r="H71" s="72">
        <f t="shared" si="33"/>
        <v>2004</v>
      </c>
      <c r="I71" s="72">
        <f t="shared" si="33"/>
        <v>2005</v>
      </c>
      <c r="J71" s="72">
        <f t="shared" si="33"/>
        <v>2006</v>
      </c>
      <c r="K71" s="72">
        <f t="shared" si="33"/>
        <v>2007</v>
      </c>
      <c r="L71" s="72">
        <f t="shared" si="33"/>
        <v>2008</v>
      </c>
      <c r="M71" s="72">
        <f t="shared" si="33"/>
        <v>2009</v>
      </c>
      <c r="N71" s="72">
        <f t="shared" si="33"/>
        <v>2010</v>
      </c>
      <c r="O71" s="72">
        <f t="shared" si="33"/>
        <v>2011</v>
      </c>
      <c r="P71" s="72">
        <f t="shared" si="33"/>
        <v>2012</v>
      </c>
      <c r="Q71" s="72">
        <f t="shared" si="33"/>
        <v>2013</v>
      </c>
      <c r="R71" s="72">
        <f t="shared" si="33"/>
        <v>2014</v>
      </c>
      <c r="S71" s="72">
        <f t="shared" si="33"/>
        <v>2015</v>
      </c>
      <c r="T71" s="72">
        <f t="shared" si="33"/>
        <v>2016</v>
      </c>
      <c r="U71" s="72">
        <f t="shared" si="33"/>
        <v>2017</v>
      </c>
      <c r="V71" s="72">
        <f t="shared" si="33"/>
        <v>2018</v>
      </c>
      <c r="W71" s="72">
        <f t="shared" si="33"/>
        <v>2019</v>
      </c>
      <c r="X71" s="72">
        <f t="shared" si="33"/>
        <v>2020</v>
      </c>
      <c r="Y71" s="72">
        <f t="shared" si="33"/>
        <v>2021</v>
      </c>
      <c r="Z71" s="72">
        <f t="shared" si="33"/>
        <v>2022</v>
      </c>
    </row>
    <row r="72" spans="1:31" ht="13.5" customHeight="1" outlineLevel="1">
      <c r="A72" s="60">
        <v>3</v>
      </c>
      <c r="B72" s="484">
        <v>8.5500000000000007E-2</v>
      </c>
      <c r="C72" s="72" t="s">
        <v>640</v>
      </c>
      <c r="D72" s="1033">
        <v>0</v>
      </c>
      <c r="E72" s="1033">
        <v>53.098057088425257</v>
      </c>
      <c r="F72" s="1033">
        <v>408.58954929543188</v>
      </c>
      <c r="G72" s="1033">
        <v>643.48207934035293</v>
      </c>
      <c r="H72" s="1033">
        <v>827.2677294376648</v>
      </c>
      <c r="I72" s="1033">
        <v>893.48100662693082</v>
      </c>
      <c r="J72" s="1033">
        <v>932.74701984382148</v>
      </c>
      <c r="K72" s="1033">
        <v>940.47278715018729</v>
      </c>
      <c r="L72" s="1033">
        <v>917.05654397419164</v>
      </c>
      <c r="M72" s="1033">
        <v>818.94460898905379</v>
      </c>
      <c r="N72" s="1033">
        <v>796.47085632637811</v>
      </c>
      <c r="O72" s="1033">
        <v>796.47085632637811</v>
      </c>
      <c r="P72" s="1033">
        <v>796.47085632637811</v>
      </c>
      <c r="Q72" s="1033">
        <v>796.47085632637811</v>
      </c>
      <c r="R72" s="1033">
        <v>796.47085632637811</v>
      </c>
      <c r="S72" s="1033">
        <v>796.47085632637811</v>
      </c>
      <c r="T72" s="1033">
        <v>796.47085632637811</v>
      </c>
      <c r="U72" s="1033">
        <v>796.47085632637811</v>
      </c>
      <c r="V72" s="1033">
        <v>796.47085632637811</v>
      </c>
      <c r="W72" s="1033">
        <v>796.47085632637811</v>
      </c>
      <c r="X72" s="1033">
        <v>796.47085632637811</v>
      </c>
      <c r="Y72" s="1033">
        <v>796.47085632637811</v>
      </c>
      <c r="Z72" s="1033">
        <v>796.47085632637811</v>
      </c>
    </row>
    <row r="73" spans="1:31" ht="13.5" customHeight="1" outlineLevel="1">
      <c r="A73" s="60">
        <v>4</v>
      </c>
      <c r="B73" s="484">
        <v>7.6999999999999999E-2</v>
      </c>
      <c r="C73" s="72" t="s">
        <v>641</v>
      </c>
      <c r="D73" s="1033">
        <v>0</v>
      </c>
      <c r="E73" s="1033">
        <v>53.098057088425257</v>
      </c>
      <c r="F73" s="1033">
        <v>318.58834253055119</v>
      </c>
      <c r="G73" s="1033">
        <v>585.40607939988786</v>
      </c>
      <c r="H73" s="1033">
        <v>716.82377069374036</v>
      </c>
      <c r="I73" s="1033">
        <v>732.75318782026784</v>
      </c>
      <c r="J73" s="1033">
        <v>743.37279923795279</v>
      </c>
      <c r="K73" s="1033">
        <v>722.13357640258278</v>
      </c>
      <c r="L73" s="1033">
        <v>716.82377069374024</v>
      </c>
      <c r="M73" s="1033">
        <v>756.64731351005912</v>
      </c>
      <c r="N73" s="1033">
        <v>796.47085632637811</v>
      </c>
      <c r="O73" s="1033">
        <v>796.47085632637811</v>
      </c>
      <c r="P73" s="1033">
        <v>796.47085632637811</v>
      </c>
      <c r="Q73" s="1033">
        <v>796.47085632637811</v>
      </c>
      <c r="R73" s="1033">
        <v>796.47085632637811</v>
      </c>
      <c r="S73" s="1033">
        <v>796.47085632637811</v>
      </c>
      <c r="T73" s="1033">
        <v>796.47085632637811</v>
      </c>
      <c r="U73" s="1033">
        <v>796.47085632637811</v>
      </c>
      <c r="V73" s="1033">
        <v>796.47085632637811</v>
      </c>
      <c r="W73" s="1033">
        <v>796.47085632637811</v>
      </c>
      <c r="X73" s="1033">
        <v>796.47085632637811</v>
      </c>
      <c r="Y73" s="1033">
        <v>796.47085632637811</v>
      </c>
      <c r="Z73" s="1033">
        <v>796.47085632637811</v>
      </c>
    </row>
    <row r="74" spans="1:31" ht="13.5" customHeight="1" outlineLevel="1">
      <c r="A74" s="60">
        <v>5</v>
      </c>
      <c r="B74" s="484">
        <v>6.93E-2</v>
      </c>
    </row>
    <row r="75" spans="1:31" ht="13.5" customHeight="1" outlineLevel="1">
      <c r="A75" s="60">
        <v>6</v>
      </c>
      <c r="B75" s="484">
        <v>6.2300000000000001E-2</v>
      </c>
    </row>
    <row r="76" spans="1:31" ht="13.5" customHeight="1" outlineLevel="1">
      <c r="A76" s="60">
        <v>7</v>
      </c>
      <c r="B76" s="484">
        <v>5.8999999999999997E-2</v>
      </c>
      <c r="D76" s="91">
        <v>3235.896434589185</v>
      </c>
      <c r="E76" s="91"/>
    </row>
    <row r="77" spans="1:31" ht="13.5" customHeight="1" outlineLevel="1">
      <c r="A77" s="60">
        <v>8</v>
      </c>
      <c r="B77" s="484">
        <v>5.91E-2</v>
      </c>
      <c r="D77" s="91">
        <v>3651.8585014320875</v>
      </c>
      <c r="E77" s="91">
        <f>D77-D76</f>
        <v>415.96206684290246</v>
      </c>
    </row>
    <row r="78" spans="1:31" ht="13.5" customHeight="1" outlineLevel="1">
      <c r="A78" s="60">
        <v>9</v>
      </c>
      <c r="B78" s="484">
        <v>5.8999999999999997E-2</v>
      </c>
      <c r="E78" s="72" t="s">
        <v>675</v>
      </c>
    </row>
    <row r="79" spans="1:31" ht="13.5" customHeight="1" outlineLevel="1">
      <c r="A79" s="60">
        <v>10</v>
      </c>
      <c r="B79" s="484">
        <v>5.91E-2</v>
      </c>
    </row>
    <row r="80" spans="1:31" ht="13.5" customHeight="1" outlineLevel="1">
      <c r="A80" s="60">
        <v>11</v>
      </c>
      <c r="B80" s="484">
        <v>5.8999999999999997E-2</v>
      </c>
    </row>
    <row r="81" spans="1:2" ht="13.2" outlineLevel="1">
      <c r="A81" s="60">
        <v>12</v>
      </c>
      <c r="B81" s="484">
        <v>5.91E-2</v>
      </c>
    </row>
    <row r="82" spans="1:2" ht="13.2" outlineLevel="1">
      <c r="A82" s="60">
        <v>13</v>
      </c>
      <c r="B82" s="484">
        <v>5.8999999999999997E-2</v>
      </c>
    </row>
    <row r="83" spans="1:2" ht="13.2" outlineLevel="1">
      <c r="A83" s="60">
        <v>14</v>
      </c>
      <c r="B83" s="484">
        <v>5.91E-2</v>
      </c>
    </row>
    <row r="84" spans="1:2" ht="13.2" outlineLevel="1">
      <c r="A84" s="60">
        <v>15</v>
      </c>
      <c r="B84" s="484">
        <v>5.8999999999999997E-2</v>
      </c>
    </row>
    <row r="85" spans="1:2" ht="13.2" outlineLevel="1">
      <c r="A85" s="60">
        <v>16</v>
      </c>
      <c r="B85" s="485">
        <v>2.9499999999999998E-2</v>
      </c>
    </row>
    <row r="86" spans="1:2">
      <c r="B86" s="486">
        <f>SUM(B70:B85)</f>
        <v>1.0000000000000004</v>
      </c>
    </row>
    <row r="87" spans="1:2" ht="13.2">
      <c r="A87" s="155" t="s">
        <v>76</v>
      </c>
      <c r="B87" s="60"/>
    </row>
    <row r="88" spans="1:2" ht="13.2" hidden="1" outlineLevel="1">
      <c r="A88" s="60" t="s">
        <v>74</v>
      </c>
      <c r="B88" s="60"/>
    </row>
    <row r="89" spans="1:2" ht="13.2" hidden="1" outlineLevel="1">
      <c r="A89" s="60" t="s">
        <v>6</v>
      </c>
      <c r="B89" s="60" t="s">
        <v>75</v>
      </c>
    </row>
    <row r="90" spans="1:2" ht="13.2" hidden="1" outlineLevel="1">
      <c r="A90" s="60">
        <v>1</v>
      </c>
      <c r="B90" s="157">
        <v>3.7499999999999999E-2</v>
      </c>
    </row>
    <row r="91" spans="1:2" ht="13.2" hidden="1" outlineLevel="1">
      <c r="A91" s="60">
        <v>2</v>
      </c>
      <c r="B91" s="157">
        <v>7.2190000000000004E-2</v>
      </c>
    </row>
    <row r="92" spans="1:2" ht="13.2" hidden="1" outlineLevel="1">
      <c r="A92" s="60">
        <v>3</v>
      </c>
      <c r="B92" s="157">
        <v>6.6769999999999996E-2</v>
      </c>
    </row>
    <row r="93" spans="1:2" ht="13.2" hidden="1" outlineLevel="1">
      <c r="A93" s="60">
        <v>4</v>
      </c>
      <c r="B93" s="157">
        <v>6.1769999999999999E-2</v>
      </c>
    </row>
    <row r="94" spans="1:2" ht="13.2" hidden="1" outlineLevel="1">
      <c r="A94" s="60">
        <v>5</v>
      </c>
      <c r="B94" s="157">
        <v>5.713E-2</v>
      </c>
    </row>
    <row r="95" spans="1:2" ht="13.2" hidden="1" outlineLevel="1">
      <c r="A95" s="60">
        <v>6</v>
      </c>
      <c r="B95" s="157">
        <v>5.2850000000000001E-2</v>
      </c>
    </row>
    <row r="96" spans="1:2" ht="13.2" hidden="1" outlineLevel="1">
      <c r="A96" s="60">
        <v>7</v>
      </c>
      <c r="B96" s="157">
        <v>4.888E-2</v>
      </c>
    </row>
    <row r="97" spans="1:2" ht="13.2" hidden="1" outlineLevel="1">
      <c r="A97" s="60">
        <v>8</v>
      </c>
      <c r="B97" s="157">
        <v>4.5220000000000003E-2</v>
      </c>
    </row>
    <row r="98" spans="1:2" ht="13.2" hidden="1" outlineLevel="1">
      <c r="A98" s="60">
        <v>9</v>
      </c>
      <c r="B98" s="157">
        <v>4.462E-2</v>
      </c>
    </row>
    <row r="99" spans="1:2" ht="13.2" hidden="1" outlineLevel="1">
      <c r="A99" s="60">
        <v>10</v>
      </c>
      <c r="B99" s="157">
        <v>4.4609999999999997E-2</v>
      </c>
    </row>
    <row r="100" spans="1:2" ht="13.2" hidden="1" outlineLevel="1">
      <c r="A100" s="60">
        <v>11</v>
      </c>
      <c r="B100" s="157">
        <v>4.462E-2</v>
      </c>
    </row>
    <row r="101" spans="1:2" ht="13.2" hidden="1" outlineLevel="1">
      <c r="A101" s="60">
        <v>12</v>
      </c>
      <c r="B101" s="157">
        <v>4.4609999999999997E-2</v>
      </c>
    </row>
    <row r="102" spans="1:2" ht="13.2" hidden="1" outlineLevel="1">
      <c r="A102" s="60">
        <v>13</v>
      </c>
      <c r="B102" s="157">
        <v>4.462E-2</v>
      </c>
    </row>
    <row r="103" spans="1:2" ht="13.2" hidden="1" outlineLevel="1">
      <c r="A103" s="60">
        <v>14</v>
      </c>
      <c r="B103" s="157">
        <v>4.4609999999999997E-2</v>
      </c>
    </row>
    <row r="104" spans="1:2" ht="13.2" hidden="1" outlineLevel="1">
      <c r="A104" s="60">
        <v>15</v>
      </c>
      <c r="B104" s="157">
        <v>4.462E-2</v>
      </c>
    </row>
    <row r="105" spans="1:2" ht="13.2" hidden="1" outlineLevel="1">
      <c r="A105" s="60">
        <v>16</v>
      </c>
      <c r="B105" s="157">
        <v>4.4609999999999997E-2</v>
      </c>
    </row>
    <row r="106" spans="1:2" ht="13.2" hidden="1" outlineLevel="1">
      <c r="A106" s="60">
        <v>17</v>
      </c>
      <c r="B106" s="157">
        <v>4.462E-2</v>
      </c>
    </row>
    <row r="107" spans="1:2" ht="13.2" hidden="1" outlineLevel="1">
      <c r="A107" s="60">
        <v>18</v>
      </c>
      <c r="B107" s="157">
        <v>4.4609999999999997E-2</v>
      </c>
    </row>
    <row r="108" spans="1:2" ht="13.2" hidden="1" outlineLevel="1">
      <c r="A108" s="60">
        <v>19</v>
      </c>
      <c r="B108" s="157">
        <v>4.462E-2</v>
      </c>
    </row>
    <row r="109" spans="1:2" ht="13.2" hidden="1" outlineLevel="1">
      <c r="A109" s="60">
        <v>20</v>
      </c>
      <c r="B109" s="157">
        <v>4.4609999999999997E-2</v>
      </c>
    </row>
    <row r="110" spans="1:2" ht="13.2" hidden="1" outlineLevel="1">
      <c r="A110" s="60">
        <v>21</v>
      </c>
      <c r="B110" s="157">
        <v>2.2499999999999999E-2</v>
      </c>
    </row>
    <row r="111" spans="1:2" collapsed="1"/>
  </sheetData>
  <customSheetViews>
    <customSheetView guid="{9D7575BF-255B-11D2-8267-00A0D1027254}" showPageBreaks="1" showRuler="0" topLeftCell="A19">
      <selection activeCell="E47" sqref="E47"/>
      <colBreaks count="2" manualBreakCount="2">
        <brk id="15" max="50" man="1"/>
        <brk id="32" max="1048575" man="1"/>
      </colBreaks>
      <pageMargins left="0.75" right="0.75" top="0.4" bottom="0.48" header="0.41" footer="0.25"/>
      <pageSetup scale="74" orientation="landscape" r:id="rId1"/>
      <headerFooter alignWithMargins="0">
        <oddFooter>&amp;L&amp;D   &amp;T&amp;RO:\Naes\GenSvcs\TVA\TVA Model\&amp;F
&amp;A &amp;P</oddFooter>
      </headerFooter>
    </customSheetView>
    <customSheetView guid="{773475A7-2559-11D2-A5F6-0060080AEB13}" showPageBreaks="1" showRuler="0" topLeftCell="A19">
      <selection activeCell="E47" sqref="E47"/>
      <colBreaks count="1" manualBreakCount="1">
        <brk id="16" max="50" man="1"/>
      </colBreaks>
      <pageMargins left="0.41" right="0.38" top="1" bottom="1" header="0.5" footer="0.5"/>
      <pageSetup scale="73" pageOrder="overThenDown" orientation="landscape" r:id="rId2"/>
      <headerFooter alignWithMargins="0">
        <oddFooter>&amp;L&amp;D   &amp;T&amp;RO:\Naes\GenSvcs\Tva\Tva Models\&amp;F
&amp;A   &amp;P</oddFooter>
      </headerFooter>
    </customSheetView>
  </customSheetViews>
  <pageMargins left="0.25" right="0.25" top="0.25" bottom="0.5" header="0" footer="0"/>
  <pageSetup scale="49" orientation="landscape" r:id="rId3"/>
  <headerFooter alignWithMargins="0">
    <oddFooter>&amp;L&amp;D   &amp;T&amp;R&amp;F
&amp;A &amp;P</oddFooter>
  </headerFooter>
  <colBreaks count="2" manualBreakCount="2">
    <brk id="15" max="94" man="1"/>
    <brk id="32" max="1048575" man="1"/>
  </colBreaks>
  <legacy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AF312"/>
  <sheetViews>
    <sheetView topLeftCell="A13" zoomScaleNormal="75" workbookViewId="0">
      <selection activeCell="B21" sqref="B21:B33"/>
    </sheetView>
  </sheetViews>
  <sheetFormatPr defaultColWidth="9" defaultRowHeight="10.199999999999999"/>
  <cols>
    <col min="1" max="1" width="16.33203125" style="95" customWidth="1"/>
    <col min="2" max="2" width="18.33203125" style="95" bestFit="1" customWidth="1"/>
    <col min="3" max="3" width="9.109375" style="95" bestFit="1" customWidth="1"/>
    <col min="4" max="4" width="17.6640625" style="95" customWidth="1"/>
    <col min="5" max="5" width="14.33203125" style="95" bestFit="1" customWidth="1"/>
    <col min="6" max="6" width="17" style="95" bestFit="1" customWidth="1"/>
    <col min="7" max="7" width="9" style="95"/>
    <col min="8" max="8" width="12.33203125" style="95" bestFit="1" customWidth="1"/>
    <col min="9" max="9" width="7.33203125" style="95" bestFit="1" customWidth="1"/>
    <col min="10" max="16384" width="9" style="34"/>
  </cols>
  <sheetData>
    <row r="1" spans="1:32" ht="20.399999999999999">
      <c r="A1" s="525" t="str">
        <f>'Project Assumtions'!$A$2</f>
        <v>WHEATLAND POWER IN, L.L.C.</v>
      </c>
      <c r="B1" s="607"/>
      <c r="C1" s="875"/>
      <c r="D1" s="876"/>
      <c r="E1" s="93"/>
      <c r="F1" s="94"/>
      <c r="G1" s="94"/>
      <c r="H1" s="94"/>
      <c r="I1" s="93"/>
      <c r="J1" s="33"/>
      <c r="K1" s="33"/>
      <c r="L1" s="33"/>
      <c r="M1" s="33"/>
      <c r="N1" s="33"/>
      <c r="O1" s="33"/>
      <c r="P1" s="33"/>
      <c r="Q1" s="33"/>
      <c r="R1" s="33"/>
    </row>
    <row r="2" spans="1:32" ht="13.2">
      <c r="A2" s="527" t="s">
        <v>47</v>
      </c>
      <c r="B2" s="877"/>
      <c r="C2" s="877"/>
      <c r="D2" s="878"/>
      <c r="E2" s="93"/>
      <c r="F2" s="94"/>
      <c r="G2" s="94"/>
      <c r="H2" s="94"/>
      <c r="I2" s="93"/>
      <c r="J2" s="33"/>
      <c r="K2" s="33"/>
      <c r="L2" s="33"/>
      <c r="M2" s="33"/>
      <c r="N2" s="33"/>
      <c r="O2" s="33"/>
      <c r="P2" s="33"/>
      <c r="Q2" s="33"/>
      <c r="R2" s="33"/>
    </row>
    <row r="3" spans="1:32" ht="13.2">
      <c r="A3" s="69"/>
      <c r="B3" s="96"/>
      <c r="C3" s="93"/>
      <c r="D3" s="93"/>
      <c r="E3" s="93"/>
      <c r="F3" s="94"/>
      <c r="G3" s="94"/>
      <c r="H3" s="94"/>
      <c r="I3" s="93"/>
      <c r="J3" s="33"/>
      <c r="K3" s="33"/>
      <c r="L3" s="33"/>
      <c r="M3" s="33"/>
      <c r="N3" s="33"/>
      <c r="O3" s="33"/>
      <c r="P3" s="33"/>
      <c r="Q3" s="33"/>
      <c r="R3" s="33"/>
    </row>
    <row r="4" spans="1:32" ht="11.4" customHeight="1">
      <c r="A4" s="97" t="s">
        <v>72</v>
      </c>
      <c r="B4" s="93"/>
      <c r="C4" s="93"/>
      <c r="D4" s="93"/>
      <c r="E4" s="93"/>
      <c r="F4" s="94"/>
      <c r="G4" s="94"/>
      <c r="H4" s="94"/>
      <c r="I4" s="93"/>
      <c r="J4" s="33"/>
      <c r="K4" s="33"/>
      <c r="L4" s="33"/>
      <c r="M4" s="33"/>
      <c r="N4" s="33"/>
      <c r="O4" s="33"/>
      <c r="P4" s="33"/>
      <c r="Q4" s="33"/>
      <c r="R4" s="33"/>
    </row>
    <row r="5" spans="1:32" ht="11.4" customHeight="1">
      <c r="C5" s="98"/>
      <c r="D5" s="98"/>
      <c r="E5" s="98"/>
      <c r="F5" s="94"/>
      <c r="G5" s="94"/>
      <c r="H5" s="93"/>
      <c r="I5" s="99"/>
      <c r="J5" s="33"/>
      <c r="K5" s="33"/>
      <c r="L5" s="33"/>
      <c r="M5" s="33"/>
      <c r="N5" s="33"/>
      <c r="O5" s="33"/>
      <c r="P5" s="33"/>
      <c r="Q5" s="33"/>
      <c r="R5" s="33"/>
    </row>
    <row r="6" spans="1:32" ht="11.4" customHeight="1">
      <c r="A6" s="100" t="s">
        <v>56</v>
      </c>
      <c r="B6" s="101"/>
      <c r="C6" s="102">
        <v>136882</v>
      </c>
      <c r="D6" s="519" t="str">
        <f>IF(ABS(C6-C58)&gt;1,"Check Total Drawndown","")</f>
        <v/>
      </c>
      <c r="E6" s="93"/>
      <c r="H6" s="99"/>
      <c r="I6" s="99"/>
      <c r="J6" s="33"/>
      <c r="K6" s="33"/>
      <c r="L6" s="33"/>
      <c r="M6" s="33"/>
      <c r="N6" s="33"/>
      <c r="O6" s="33"/>
      <c r="P6" s="33"/>
      <c r="Q6" s="33"/>
      <c r="R6" s="33"/>
    </row>
    <row r="7" spans="1:32" ht="11.4" customHeight="1">
      <c r="A7" s="104" t="s">
        <v>48</v>
      </c>
      <c r="B7" s="105"/>
      <c r="C7" s="106">
        <f>'Project Assumtions'!B53</f>
        <v>6.4000000000000001E-2</v>
      </c>
      <c r="D7" s="107"/>
      <c r="H7" s="105"/>
      <c r="I7" s="108"/>
      <c r="J7" s="33"/>
      <c r="K7" s="33"/>
      <c r="L7" s="33"/>
      <c r="M7" s="33"/>
      <c r="N7" s="33"/>
      <c r="O7" s="33"/>
      <c r="P7" s="33"/>
      <c r="Q7" s="33"/>
      <c r="R7" s="33"/>
    </row>
    <row r="8" spans="1:32" ht="11.4" customHeight="1">
      <c r="A8" s="104" t="s">
        <v>49</v>
      </c>
      <c r="B8" s="105"/>
      <c r="C8" s="109">
        <v>18</v>
      </c>
      <c r="D8" s="110"/>
      <c r="G8" s="111"/>
      <c r="H8" s="108"/>
      <c r="I8" s="108"/>
      <c r="J8" s="33"/>
      <c r="K8" s="33"/>
      <c r="L8" s="33"/>
      <c r="M8" s="33"/>
      <c r="N8" s="33"/>
      <c r="O8" s="33"/>
      <c r="P8" s="33"/>
      <c r="Q8" s="33"/>
      <c r="R8" s="33"/>
    </row>
    <row r="9" spans="1:32">
      <c r="A9" s="104" t="s">
        <v>50</v>
      </c>
      <c r="B9" s="105"/>
      <c r="C9" s="106">
        <f>C7/12</f>
        <v>5.3333333333333332E-3</v>
      </c>
      <c r="D9" s="107"/>
      <c r="G9" s="111"/>
      <c r="H9" s="108"/>
      <c r="I9" s="108"/>
      <c r="J9" s="33"/>
      <c r="K9" s="33"/>
      <c r="L9" s="33"/>
      <c r="M9" s="33"/>
      <c r="N9" s="33"/>
      <c r="O9" s="33"/>
      <c r="P9" s="33"/>
      <c r="Q9" s="33"/>
      <c r="R9" s="33"/>
    </row>
    <row r="10" spans="1:32" ht="11.4" customHeight="1">
      <c r="A10" s="112"/>
      <c r="B10" s="105"/>
      <c r="C10" s="113"/>
      <c r="D10" s="105"/>
      <c r="H10" s="108"/>
      <c r="I10" s="108"/>
      <c r="J10" s="33"/>
      <c r="K10" s="33"/>
      <c r="L10" s="33"/>
      <c r="M10" s="33"/>
      <c r="N10" s="33"/>
      <c r="O10" s="33"/>
      <c r="P10" s="33"/>
      <c r="Q10" s="33"/>
      <c r="R10" s="33"/>
    </row>
    <row r="11" spans="1:32" ht="11.4" customHeight="1">
      <c r="A11" s="104" t="s">
        <v>51</v>
      </c>
      <c r="B11" s="105"/>
      <c r="C11" s="114">
        <v>3.5000000000000001E-3</v>
      </c>
      <c r="D11" s="107"/>
      <c r="H11" s="115"/>
      <c r="I11" s="115"/>
      <c r="J11" s="33"/>
      <c r="K11" s="33"/>
      <c r="L11" s="33"/>
      <c r="M11" s="33"/>
      <c r="N11" s="33"/>
      <c r="O11" s="33"/>
      <c r="P11" s="33"/>
      <c r="Q11" s="33"/>
      <c r="R11" s="33"/>
    </row>
    <row r="12" spans="1:32" ht="11.4" customHeight="1">
      <c r="A12" s="112"/>
      <c r="B12" s="105"/>
      <c r="C12" s="113"/>
      <c r="D12" s="105"/>
      <c r="J12" s="33"/>
      <c r="K12" s="33"/>
      <c r="L12" s="33"/>
      <c r="M12" s="33"/>
      <c r="N12" s="33"/>
      <c r="O12" s="33"/>
      <c r="P12" s="33"/>
      <c r="Q12" s="33"/>
      <c r="R12" s="33"/>
    </row>
    <row r="13" spans="1:32" ht="11.4" customHeight="1">
      <c r="A13" s="104" t="s">
        <v>52</v>
      </c>
      <c r="B13" s="105"/>
      <c r="C13" s="116">
        <v>1</v>
      </c>
      <c r="D13" s="117"/>
      <c r="F13" s="118"/>
      <c r="J13" s="33"/>
      <c r="K13" s="33"/>
      <c r="L13" s="33"/>
      <c r="M13" s="33"/>
      <c r="N13" s="33"/>
      <c r="O13" s="33"/>
      <c r="P13" s="33"/>
      <c r="Q13" s="33"/>
      <c r="R13" s="33"/>
    </row>
    <row r="14" spans="1:32" ht="11.4" customHeight="1">
      <c r="A14" s="119" t="s">
        <v>53</v>
      </c>
      <c r="B14" s="120"/>
      <c r="C14" s="121"/>
      <c r="D14" s="97"/>
      <c r="G14" s="111"/>
      <c r="H14" s="111"/>
      <c r="I14" s="111"/>
      <c r="J14" s="33"/>
      <c r="K14" s="33"/>
      <c r="L14" s="33"/>
      <c r="M14" s="33"/>
      <c r="N14" s="33"/>
      <c r="O14" s="33"/>
      <c r="P14" s="33"/>
      <c r="Q14" s="33"/>
      <c r="R14" s="33"/>
    </row>
    <row r="15" spans="1:32" ht="11.4" customHeight="1">
      <c r="A15" s="122" t="s">
        <v>54</v>
      </c>
      <c r="B15" s="123"/>
      <c r="C15" s="124">
        <f>VLOOKUP(C8,A21:F57,6)</f>
        <v>9575.0415334821973</v>
      </c>
      <c r="D15" s="103"/>
      <c r="G15" s="111"/>
      <c r="H15" s="111"/>
      <c r="I15" s="111"/>
      <c r="J15" s="33"/>
      <c r="K15" s="33"/>
      <c r="L15" s="33"/>
      <c r="M15" s="33"/>
      <c r="N15" s="33"/>
      <c r="O15" s="33"/>
      <c r="P15" s="33"/>
      <c r="Q15" s="33"/>
      <c r="R15" s="33"/>
    </row>
    <row r="16" spans="1:32" ht="11.4" customHeight="1">
      <c r="A16" s="97"/>
      <c r="B16" s="105"/>
      <c r="C16" s="103"/>
      <c r="D16" s="103"/>
      <c r="F16" s="125"/>
      <c r="G16" s="125"/>
      <c r="H16" s="125"/>
      <c r="I16" s="125"/>
      <c r="J16" s="39"/>
      <c r="K16" s="39"/>
      <c r="L16" s="39"/>
      <c r="M16" s="39"/>
      <c r="N16" s="39"/>
      <c r="O16" s="39"/>
      <c r="P16" s="39"/>
      <c r="Q16" s="39"/>
      <c r="R16" s="39"/>
      <c r="S16" s="39"/>
      <c r="T16" s="39"/>
      <c r="U16" s="39"/>
      <c r="V16" s="39"/>
      <c r="W16" s="39"/>
      <c r="X16" s="39"/>
      <c r="Y16" s="39"/>
      <c r="Z16" s="39"/>
      <c r="AA16" s="39"/>
      <c r="AB16" s="39"/>
      <c r="AC16" s="39"/>
      <c r="AD16" s="39"/>
      <c r="AE16" s="39"/>
      <c r="AF16" s="39"/>
    </row>
    <row r="17" spans="1:18" ht="11.4" customHeight="1">
      <c r="A17" s="97"/>
      <c r="B17" s="105"/>
      <c r="C17" s="103"/>
      <c r="D17" s="103"/>
      <c r="G17" s="111"/>
      <c r="H17" s="111"/>
      <c r="I17" s="111"/>
      <c r="J17" s="33"/>
      <c r="K17" s="33"/>
      <c r="L17" s="33"/>
      <c r="M17" s="33"/>
      <c r="N17" s="33"/>
      <c r="O17" s="33"/>
      <c r="P17" s="33"/>
      <c r="Q17" s="33"/>
      <c r="R17" s="33"/>
    </row>
    <row r="18" spans="1:18" ht="11.4" customHeight="1">
      <c r="A18" s="126" t="s">
        <v>55</v>
      </c>
      <c r="B18" s="126" t="s">
        <v>69</v>
      </c>
      <c r="C18" s="126" t="s">
        <v>7</v>
      </c>
      <c r="D18" s="126" t="s">
        <v>364</v>
      </c>
      <c r="E18" s="126" t="s">
        <v>70</v>
      </c>
      <c r="F18" s="127" t="s">
        <v>71</v>
      </c>
      <c r="G18" s="111"/>
      <c r="H18"/>
      <c r="I18"/>
      <c r="J18" s="33"/>
      <c r="K18" s="33"/>
      <c r="L18" s="33"/>
      <c r="M18" s="33"/>
      <c r="N18" s="33"/>
      <c r="O18" s="33"/>
      <c r="P18" s="33"/>
      <c r="Q18" s="33"/>
      <c r="R18" s="33"/>
    </row>
    <row r="19" spans="1:18" ht="11.4" customHeight="1">
      <c r="A19" s="128"/>
      <c r="B19" s="129"/>
      <c r="C19" s="128"/>
      <c r="D19" s="128"/>
      <c r="E19" s="129"/>
      <c r="F19" s="130"/>
      <c r="G19" s="111"/>
      <c r="H19"/>
      <c r="I19"/>
      <c r="J19" s="33"/>
      <c r="K19" s="33"/>
      <c r="L19" s="33"/>
      <c r="M19" s="33"/>
      <c r="N19" s="33"/>
      <c r="O19" s="33"/>
      <c r="P19" s="33"/>
      <c r="Q19" s="33"/>
      <c r="R19" s="33"/>
    </row>
    <row r="20" spans="1:18" ht="13.2">
      <c r="A20" s="128"/>
      <c r="B20" s="129"/>
      <c r="C20" s="128"/>
      <c r="D20" s="128"/>
      <c r="E20" s="129"/>
      <c r="F20" s="130"/>
      <c r="H20"/>
      <c r="I20"/>
    </row>
    <row r="21" spans="1:18" ht="11.4" customHeight="1">
      <c r="A21" s="131">
        <v>0</v>
      </c>
      <c r="B21" s="132">
        <f>C21/$C$6</f>
        <v>0.12180856504142255</v>
      </c>
      <c r="C21" s="133">
        <v>16673.400000000001</v>
      </c>
      <c r="D21" s="134">
        <f>C21+D20+E20</f>
        <v>16673.400000000001</v>
      </c>
      <c r="E21" s="133">
        <v>413.81799999999998</v>
      </c>
      <c r="F21" s="135">
        <f>E21</f>
        <v>413.81799999999998</v>
      </c>
      <c r="H21"/>
      <c r="I21"/>
    </row>
    <row r="22" spans="1:18" ht="11.4" customHeight="1">
      <c r="A22" s="131">
        <v>1</v>
      </c>
      <c r="B22" s="132">
        <f t="shared" ref="B22:B56" si="0">C22/$C$6</f>
        <v>0.31707346473605003</v>
      </c>
      <c r="C22" s="133">
        <v>43401.65</v>
      </c>
      <c r="D22" s="134">
        <f t="shared" ref="D22:D57" si="1">C22+D21+E21</f>
        <v>60488.868000000002</v>
      </c>
      <c r="E22" s="133">
        <v>239.84100000000001</v>
      </c>
      <c r="F22" s="135">
        <f t="shared" ref="F22:F57" si="2">IF(A22&lt;=$C$8,E22+F21,F21)</f>
        <v>653.65899999999999</v>
      </c>
      <c r="H22"/>
      <c r="I22"/>
    </row>
    <row r="23" spans="1:18" ht="11.4" customHeight="1">
      <c r="A23" s="131">
        <f t="shared" ref="A23:A57" si="3">A22+1</f>
        <v>2</v>
      </c>
      <c r="B23" s="132">
        <f t="shared" si="0"/>
        <v>0</v>
      </c>
      <c r="C23" s="133">
        <v>0</v>
      </c>
      <c r="D23" s="134">
        <f t="shared" si="1"/>
        <v>60728.709000000003</v>
      </c>
      <c r="E23" s="133">
        <v>375.47300000000001</v>
      </c>
      <c r="F23" s="135">
        <f t="shared" si="2"/>
        <v>1029.1320000000001</v>
      </c>
      <c r="H23"/>
      <c r="I23"/>
    </row>
    <row r="24" spans="1:18" ht="11.4" customHeight="1">
      <c r="A24" s="131">
        <f t="shared" si="3"/>
        <v>3</v>
      </c>
      <c r="B24" s="132">
        <f t="shared" si="0"/>
        <v>3.1348716412676614E-2</v>
      </c>
      <c r="C24" s="133">
        <v>4291.0749999999998</v>
      </c>
      <c r="D24" s="134">
        <f t="shared" si="1"/>
        <v>65395.256999999998</v>
      </c>
      <c r="E24" s="136">
        <f>IF(A24&gt;$C$8,0,((D23+(C24/2))*($C$9))+(($C$6-SUM($C$20:C24))*($C$11/12)))</f>
        <v>356.47977820833336</v>
      </c>
      <c r="F24" s="135">
        <f t="shared" si="2"/>
        <v>1385.6117782083334</v>
      </c>
      <c r="H24"/>
      <c r="I24"/>
    </row>
    <row r="25" spans="1:18" ht="11.4" customHeight="1">
      <c r="A25" s="131">
        <f t="shared" si="3"/>
        <v>4</v>
      </c>
      <c r="B25" s="132">
        <f t="shared" si="0"/>
        <v>3.1795561140252185E-2</v>
      </c>
      <c r="C25" s="133">
        <v>4352.24</v>
      </c>
      <c r="D25" s="134">
        <f t="shared" si="1"/>
        <v>70103.976778208336</v>
      </c>
      <c r="E25" s="136">
        <f>IF(A25&gt;$C$8,0,((D24+(C25/2))*($C$9))+(($C$6-SUM($C$20:C25))*($C$11/12)))</f>
        <v>380.26173754166661</v>
      </c>
      <c r="F25" s="135">
        <f t="shared" si="2"/>
        <v>1765.87351575</v>
      </c>
      <c r="H25"/>
      <c r="I25"/>
    </row>
    <row r="26" spans="1:18" ht="11.4" customHeight="1">
      <c r="A26" s="131">
        <f t="shared" si="3"/>
        <v>5</v>
      </c>
      <c r="B26" s="132">
        <f t="shared" si="0"/>
        <v>3.2730190967402581E-2</v>
      </c>
      <c r="C26" s="133">
        <v>4480.174</v>
      </c>
      <c r="D26" s="134">
        <f t="shared" si="1"/>
        <v>74964.412515749995</v>
      </c>
      <c r="E26" s="136">
        <f>IF(A26&gt;$C$8,0,((D25+(C26/2))*($C$9))+(($C$6-SUM($C$20:C26))*($C$11/12)))</f>
        <v>404.40934960877775</v>
      </c>
      <c r="F26" s="135">
        <f t="shared" si="2"/>
        <v>2170.2828653587776</v>
      </c>
      <c r="H26"/>
      <c r="I26"/>
    </row>
    <row r="27" spans="1:18" ht="11.4" customHeight="1">
      <c r="A27" s="131">
        <f t="shared" si="3"/>
        <v>6</v>
      </c>
      <c r="B27" s="132">
        <f t="shared" si="0"/>
        <v>3.2514852208471536E-2</v>
      </c>
      <c r="C27" s="133">
        <v>4450.6980000000003</v>
      </c>
      <c r="D27" s="134">
        <f t="shared" si="1"/>
        <v>79819.519865358772</v>
      </c>
      <c r="E27" s="136">
        <f>IF(A27&gt;$C$8,0,((D26+(C27/2))*($C$9))+(($C$6-SUM($C$20:C27))*($C$11/12)))</f>
        <v>428.95495062566658</v>
      </c>
      <c r="F27" s="135">
        <f t="shared" si="2"/>
        <v>2599.2378159844443</v>
      </c>
      <c r="H27"/>
      <c r="I27"/>
    </row>
    <row r="28" spans="1:18" ht="11.4" customHeight="1">
      <c r="A28" s="131">
        <f t="shared" si="3"/>
        <v>7</v>
      </c>
      <c r="B28" s="132">
        <f t="shared" si="0"/>
        <v>1.0979310647126722E-3</v>
      </c>
      <c r="C28" s="133">
        <v>150.28700000000001</v>
      </c>
      <c r="D28" s="134">
        <f t="shared" si="1"/>
        <v>80398.761815984442</v>
      </c>
      <c r="E28" s="136">
        <f>IF(A28&gt;$C$8,0,((D27+(C28/2))*($C$9))+(($C$6-SUM($C$20:C28))*($C$11/12)))</f>
        <v>443.33726011524681</v>
      </c>
      <c r="F28" s="135">
        <f t="shared" si="2"/>
        <v>3042.5750760996912</v>
      </c>
      <c r="H28"/>
      <c r="I28"/>
    </row>
    <row r="29" spans="1:18" ht="11.4" customHeight="1">
      <c r="A29" s="131">
        <f t="shared" si="3"/>
        <v>8</v>
      </c>
      <c r="B29" s="132">
        <f t="shared" si="0"/>
        <v>4.9911558860916701E-2</v>
      </c>
      <c r="C29" s="133">
        <v>6831.9939999999997</v>
      </c>
      <c r="D29" s="134">
        <f t="shared" si="1"/>
        <v>87674.0930760997</v>
      </c>
      <c r="E29" s="136">
        <f>IF(A29&gt;$C$8,0,((D28+(C29/2))*($C$9))+(($C$6-SUM($C$20:C29))*($C$11/12)))</f>
        <v>462.25177093525036</v>
      </c>
      <c r="F29" s="135">
        <f t="shared" si="2"/>
        <v>3504.8268470349417</v>
      </c>
      <c r="H29"/>
      <c r="I29"/>
    </row>
    <row r="30" spans="1:18" ht="11.4" customHeight="1">
      <c r="A30" s="131">
        <f t="shared" si="3"/>
        <v>9</v>
      </c>
      <c r="B30" s="132">
        <f t="shared" si="0"/>
        <v>2.8343266463084993E-2</v>
      </c>
      <c r="C30" s="133">
        <v>3879.683</v>
      </c>
      <c r="D30" s="134">
        <f t="shared" si="1"/>
        <v>92016.027847034959</v>
      </c>
      <c r="E30" s="136">
        <f>IF(A30&gt;$C$8,0,((D29+(C30/2))*($C$9))+(($C$6-SUM($C$20:C30))*($C$11/12)))</f>
        <v>492.04913411419835</v>
      </c>
      <c r="F30" s="135">
        <f t="shared" si="2"/>
        <v>3996.87598114914</v>
      </c>
      <c r="H30"/>
      <c r="I30"/>
    </row>
    <row r="31" spans="1:18" ht="11.4" customHeight="1">
      <c r="A31" s="131">
        <f t="shared" si="3"/>
        <v>10</v>
      </c>
      <c r="B31" s="132">
        <f t="shared" si="0"/>
        <v>2.1861544980348039E-2</v>
      </c>
      <c r="C31" s="133">
        <v>2992.4520000000002</v>
      </c>
      <c r="D31" s="134">
        <f t="shared" si="1"/>
        <v>95500.528981149168</v>
      </c>
      <c r="E31" s="136">
        <f>IF(A31&gt;$C$8,0,((D30+(C31/2))*($C$9))+(($C$6-SUM($C$20:C31))*($C$11/12)))</f>
        <v>511.96737172585307</v>
      </c>
      <c r="F31" s="135">
        <f t="shared" si="2"/>
        <v>4508.8433528749929</v>
      </c>
      <c r="H31"/>
      <c r="I31"/>
    </row>
    <row r="32" spans="1:18" ht="11.4" customHeight="1">
      <c r="A32" s="131">
        <f t="shared" si="3"/>
        <v>11</v>
      </c>
      <c r="B32" s="132">
        <f t="shared" si="0"/>
        <v>2.1934600604900573E-2</v>
      </c>
      <c r="C32" s="133">
        <v>3002.4520000000002</v>
      </c>
      <c r="D32" s="134">
        <f t="shared" si="1"/>
        <v>99014.948352875028</v>
      </c>
      <c r="E32" s="136">
        <f>IF(A32&gt;$C$8,0,((D31+(C32/2))*($C$9))+(($C$6-SUM($C$20:C32))*($C$11/12)))</f>
        <v>529.70232927446227</v>
      </c>
      <c r="F32" s="135">
        <f t="shared" si="2"/>
        <v>5038.5456821494554</v>
      </c>
      <c r="H32"/>
      <c r="I32"/>
    </row>
    <row r="33" spans="1:18" ht="11.4" customHeight="1">
      <c r="A33" s="131">
        <f t="shared" si="3"/>
        <v>12</v>
      </c>
      <c r="B33" s="132">
        <f t="shared" si="0"/>
        <v>3.0993498049414828E-2</v>
      </c>
      <c r="C33" s="133">
        <v>4242.4520000000002</v>
      </c>
      <c r="D33" s="134">
        <f t="shared" si="1"/>
        <v>103787.10268214949</v>
      </c>
      <c r="E33" s="136">
        <f>IF(A33&gt;$C$8,0,((D32+(C33/2))*($C$9))+(($C$6-SUM($C$20:C33))*($C$11/12)))</f>
        <v>550.51518409033338</v>
      </c>
      <c r="F33" s="135">
        <f t="shared" si="2"/>
        <v>5589.060866239789</v>
      </c>
      <c r="H33"/>
      <c r="I33"/>
    </row>
    <row r="34" spans="1:18" ht="11.4" customHeight="1">
      <c r="A34" s="131">
        <f t="shared" si="3"/>
        <v>13</v>
      </c>
      <c r="B34" s="132">
        <f t="shared" si="0"/>
        <v>5.1972633363042621E-2</v>
      </c>
      <c r="C34" s="133">
        <v>7114.1180000000004</v>
      </c>
      <c r="D34" s="134">
        <f t="shared" si="1"/>
        <v>111451.73586623982</v>
      </c>
      <c r="E34" s="136">
        <f>IF(A34&gt;$C$8,0,((D33+(C34/2))*($C$9))+(($C$6-SUM($C$20:C34))*($C$11/12)))</f>
        <v>581.54949876313049</v>
      </c>
      <c r="F34" s="135">
        <f t="shared" si="2"/>
        <v>6170.6103650029199</v>
      </c>
      <c r="H34"/>
      <c r="I34"/>
    </row>
    <row r="35" spans="1:18" ht="11.4" customHeight="1">
      <c r="A35" s="131">
        <f t="shared" si="3"/>
        <v>14</v>
      </c>
      <c r="B35" s="132">
        <f t="shared" si="0"/>
        <v>4.4135452433482852E-2</v>
      </c>
      <c r="C35" s="133">
        <v>6041.3490000000002</v>
      </c>
      <c r="D35" s="134">
        <f t="shared" si="1"/>
        <v>118074.63436500294</v>
      </c>
      <c r="E35" s="136">
        <f>IF(A35&gt;$C$8,0,((D34+(C35/2))*($C$9))+(($C$6-SUM($C$20:C35))*($C$11/12)))</f>
        <v>617.804764953279</v>
      </c>
      <c r="F35" s="135">
        <f t="shared" si="2"/>
        <v>6788.4151299561991</v>
      </c>
      <c r="H35"/>
      <c r="I35"/>
    </row>
    <row r="36" spans="1:18" ht="11.4" customHeight="1">
      <c r="A36" s="131">
        <f t="shared" si="3"/>
        <v>15</v>
      </c>
      <c r="B36" s="132">
        <f t="shared" si="0"/>
        <v>3.8277085372802853E-2</v>
      </c>
      <c r="C36" s="133">
        <v>5239.4440000000004</v>
      </c>
      <c r="D36" s="134">
        <f t="shared" si="1"/>
        <v>123931.88312995623</v>
      </c>
      <c r="E36" s="136">
        <f>IF(A36&gt;$C$8,0,((D35+(C36/2))*($C$9))+(($C$6-SUM($C$20:C36))*($C$11/12)))</f>
        <v>649.46030578001557</v>
      </c>
      <c r="F36" s="135">
        <f t="shared" si="2"/>
        <v>7437.875435736215</v>
      </c>
      <c r="H36"/>
      <c r="I36"/>
    </row>
    <row r="37" spans="1:18" ht="11.4" customHeight="1">
      <c r="A37" s="131">
        <f t="shared" si="3"/>
        <v>16</v>
      </c>
      <c r="B37" s="132">
        <f t="shared" si="0"/>
        <v>4.192986660042957E-2</v>
      </c>
      <c r="C37" s="133">
        <v>5739.4440000000004</v>
      </c>
      <c r="D37" s="134">
        <f t="shared" si="1"/>
        <v>130320.78743573625</v>
      </c>
      <c r="E37" s="136">
        <f>IF(A37&gt;$C$8,0,((D36+(C37/2))*($C$9))+(($C$6-SUM($C$20:C37))*($C$11/12)))</f>
        <v>680.35829469309988</v>
      </c>
      <c r="F37" s="135">
        <f t="shared" si="2"/>
        <v>8118.2337304293151</v>
      </c>
      <c r="H37"/>
      <c r="I37"/>
    </row>
    <row r="38" spans="1:18" ht="11.4" customHeight="1">
      <c r="A38" s="131">
        <f t="shared" si="3"/>
        <v>17</v>
      </c>
      <c r="B38" s="132">
        <f t="shared" si="0"/>
        <v>3.1409856664864629E-2</v>
      </c>
      <c r="C38" s="133">
        <v>4299.4440000000004</v>
      </c>
      <c r="D38" s="134">
        <f t="shared" si="1"/>
        <v>135300.58973042935</v>
      </c>
      <c r="E38" s="136">
        <f>IF(A38&gt;$C$8,0,((D37+(C38/2))*($C$9))+(($C$6-SUM($C$20:C38))*($C$11/12)))</f>
        <v>709.33844649059324</v>
      </c>
      <c r="F38" s="135">
        <f t="shared" si="2"/>
        <v>8827.5721769199081</v>
      </c>
      <c r="H38"/>
      <c r="I38"/>
    </row>
    <row r="39" spans="1:18" ht="11.4" customHeight="1">
      <c r="A39" s="131">
        <f t="shared" si="3"/>
        <v>18</v>
      </c>
      <c r="B39" s="132">
        <f t="shared" si="0"/>
        <v>7.0862874592714897E-2</v>
      </c>
      <c r="C39" s="133">
        <v>9699.8520000000008</v>
      </c>
      <c r="D39" s="134">
        <f t="shared" si="1"/>
        <v>145709.78017691994</v>
      </c>
      <c r="E39" s="136">
        <f>IF(A39&gt;$C$8,0,((D38+(C39/2))*($C$9))+(($C$6-SUM($C$20:C39))*($C$11/12)))</f>
        <v>747.46935656228993</v>
      </c>
      <c r="F39" s="135">
        <f t="shared" si="2"/>
        <v>9575.0415334821973</v>
      </c>
      <c r="H39"/>
      <c r="I39"/>
    </row>
    <row r="40" spans="1:18" ht="11.4" customHeight="1">
      <c r="A40" s="131">
        <f t="shared" si="3"/>
        <v>19</v>
      </c>
      <c r="B40" s="132">
        <f t="shared" si="0"/>
        <v>0</v>
      </c>
      <c r="C40" s="133">
        <v>0</v>
      </c>
      <c r="D40" s="134">
        <f t="shared" si="1"/>
        <v>146457.24953348225</v>
      </c>
      <c r="E40" s="136">
        <f>IF(A40&gt;$C$8,0,((D39+(C40/2))*($C$9))+(($C$6-SUM($C$20:C40))*($C$11/12)))</f>
        <v>0</v>
      </c>
      <c r="F40" s="135">
        <f t="shared" si="2"/>
        <v>9575.0415334821973</v>
      </c>
      <c r="H40"/>
      <c r="I40"/>
    </row>
    <row r="41" spans="1:18" ht="11.4" customHeight="1">
      <c r="A41" s="131">
        <f t="shared" si="3"/>
        <v>20</v>
      </c>
      <c r="B41" s="132">
        <f t="shared" si="0"/>
        <v>0</v>
      </c>
      <c r="C41" s="133">
        <v>0</v>
      </c>
      <c r="D41" s="134">
        <f t="shared" si="1"/>
        <v>146457.24953348225</v>
      </c>
      <c r="E41" s="136">
        <f>IF(A41&gt;$C$8,0,((D40+(C41/2))*($C$9))+(($C$6-SUM($C$20:C41))*($C$11/12)))</f>
        <v>0</v>
      </c>
      <c r="F41" s="135">
        <f t="shared" si="2"/>
        <v>9575.0415334821973</v>
      </c>
      <c r="H41"/>
      <c r="I41"/>
    </row>
    <row r="42" spans="1:18" ht="11.4" customHeight="1">
      <c r="A42" s="131">
        <f t="shared" si="3"/>
        <v>21</v>
      </c>
      <c r="B42" s="132">
        <f t="shared" si="0"/>
        <v>0</v>
      </c>
      <c r="C42" s="133">
        <v>0</v>
      </c>
      <c r="D42" s="134">
        <f t="shared" si="1"/>
        <v>146457.24953348225</v>
      </c>
      <c r="E42" s="136">
        <f>IF(A42&gt;$C$8,0,((D41+(C42/2))*($C$9))+(($C$6-SUM($C$20:C42))*($C$11/12)))</f>
        <v>0</v>
      </c>
      <c r="F42" s="135">
        <f t="shared" si="2"/>
        <v>9575.0415334821973</v>
      </c>
      <c r="H42"/>
      <c r="I42"/>
    </row>
    <row r="43" spans="1:18" ht="11.4" customHeight="1">
      <c r="A43" s="131">
        <f t="shared" si="3"/>
        <v>22</v>
      </c>
      <c r="B43" s="132">
        <f t="shared" si="0"/>
        <v>0</v>
      </c>
      <c r="C43" s="133">
        <v>0</v>
      </c>
      <c r="D43" s="134">
        <f t="shared" si="1"/>
        <v>146457.24953348225</v>
      </c>
      <c r="E43" s="136">
        <f>IF(A43&gt;$C$8,0,((D42+(C43/2))*($C$9))+(($C$6-SUM($C$20:C43))*($C$11/12)))</f>
        <v>0</v>
      </c>
      <c r="F43" s="135">
        <f t="shared" si="2"/>
        <v>9575.0415334821973</v>
      </c>
      <c r="G43" s="60"/>
      <c r="H43"/>
      <c r="I43"/>
      <c r="J43" s="33"/>
      <c r="K43" s="33"/>
      <c r="L43" s="33"/>
      <c r="M43" s="33"/>
      <c r="N43" s="33"/>
      <c r="O43" s="33"/>
      <c r="P43" s="33"/>
      <c r="Q43" s="33"/>
      <c r="R43" s="33"/>
    </row>
    <row r="44" spans="1:18" ht="11.4" customHeight="1">
      <c r="A44" s="131">
        <f t="shared" si="3"/>
        <v>23</v>
      </c>
      <c r="B44" s="132">
        <f t="shared" si="0"/>
        <v>0</v>
      </c>
      <c r="C44" s="133">
        <v>0</v>
      </c>
      <c r="D44" s="134">
        <f t="shared" si="1"/>
        <v>146457.24953348225</v>
      </c>
      <c r="E44" s="136">
        <f>IF(A44&gt;$C$8,0,((D43+(C44/2))*($C$9))+(($C$6-SUM($C$20:C44))*($C$11/12)))</f>
        <v>0</v>
      </c>
      <c r="F44" s="135">
        <f t="shared" si="2"/>
        <v>9575.0415334821973</v>
      </c>
      <c r="G44" s="60"/>
      <c r="H44"/>
      <c r="I44"/>
      <c r="J44" s="33"/>
      <c r="K44" s="33"/>
      <c r="L44" s="33"/>
      <c r="M44" s="33"/>
      <c r="N44" s="33"/>
      <c r="O44" s="33"/>
      <c r="P44" s="33"/>
      <c r="Q44" s="33"/>
      <c r="R44" s="33"/>
    </row>
    <row r="45" spans="1:18" ht="11.4" customHeight="1">
      <c r="A45" s="131">
        <f t="shared" si="3"/>
        <v>24</v>
      </c>
      <c r="B45" s="132">
        <f t="shared" si="0"/>
        <v>0</v>
      </c>
      <c r="C45" s="133">
        <v>0</v>
      </c>
      <c r="D45" s="134">
        <f t="shared" si="1"/>
        <v>146457.24953348225</v>
      </c>
      <c r="E45" s="136">
        <f>IF(A45&gt;$C$8,0,((D44+(C45/2))*($C$9))+(($C$6-SUM($C$20:C45))*($C$11/12)))</f>
        <v>0</v>
      </c>
      <c r="F45" s="135">
        <f t="shared" si="2"/>
        <v>9575.0415334821973</v>
      </c>
      <c r="G45" s="60"/>
      <c r="H45"/>
      <c r="I45"/>
      <c r="J45" s="33"/>
      <c r="K45" s="33"/>
      <c r="L45" s="33"/>
      <c r="M45" s="33"/>
      <c r="N45" s="33"/>
      <c r="O45" s="33"/>
      <c r="P45" s="33"/>
      <c r="Q45" s="33"/>
      <c r="R45" s="33"/>
    </row>
    <row r="46" spans="1:18" ht="11.4" customHeight="1">
      <c r="A46" s="131">
        <f t="shared" si="3"/>
        <v>25</v>
      </c>
      <c r="B46" s="132">
        <f t="shared" si="0"/>
        <v>0</v>
      </c>
      <c r="C46" s="133">
        <v>0</v>
      </c>
      <c r="D46" s="134">
        <f t="shared" si="1"/>
        <v>146457.24953348225</v>
      </c>
      <c r="E46" s="136">
        <f>IF(A46&gt;$C$8,0,((D45+(C46/2))*($C$9))+(($C$6-SUM($C$20:C46))*($C$11/12)))</f>
        <v>0</v>
      </c>
      <c r="F46" s="135">
        <f t="shared" si="2"/>
        <v>9575.0415334821973</v>
      </c>
      <c r="G46" s="60"/>
      <c r="H46"/>
      <c r="I46"/>
      <c r="J46" s="33"/>
      <c r="K46" s="33"/>
      <c r="L46" s="33"/>
      <c r="M46" s="33"/>
      <c r="N46" s="33"/>
      <c r="O46" s="33"/>
      <c r="P46" s="33"/>
      <c r="Q46" s="33"/>
      <c r="R46" s="33"/>
    </row>
    <row r="47" spans="1:18" ht="11.4" customHeight="1">
      <c r="A47" s="131">
        <f t="shared" si="3"/>
        <v>26</v>
      </c>
      <c r="B47" s="132">
        <f t="shared" si="0"/>
        <v>0</v>
      </c>
      <c r="C47" s="133">
        <v>0</v>
      </c>
      <c r="D47" s="134">
        <f t="shared" si="1"/>
        <v>146457.24953348225</v>
      </c>
      <c r="E47" s="136">
        <f>IF(A47&gt;$C$8,0,((D46+(C47/2))*($C$9))+(($C$6-SUM($C$20:C47))*($C$11/12)))</f>
        <v>0</v>
      </c>
      <c r="F47" s="135">
        <f t="shared" si="2"/>
        <v>9575.0415334821973</v>
      </c>
      <c r="G47" s="60"/>
      <c r="H47"/>
      <c r="I47"/>
      <c r="J47" s="33"/>
      <c r="K47" s="33"/>
      <c r="L47" s="33"/>
      <c r="M47" s="33"/>
      <c r="N47" s="33"/>
      <c r="O47" s="33"/>
      <c r="P47" s="33"/>
      <c r="Q47" s="33"/>
      <c r="R47" s="33"/>
    </row>
    <row r="48" spans="1:18" ht="11.4" customHeight="1">
      <c r="A48" s="131">
        <f t="shared" si="3"/>
        <v>27</v>
      </c>
      <c r="B48" s="132">
        <f t="shared" si="0"/>
        <v>0</v>
      </c>
      <c r="C48" s="133">
        <v>0</v>
      </c>
      <c r="D48" s="134">
        <f t="shared" si="1"/>
        <v>146457.24953348225</v>
      </c>
      <c r="E48" s="136">
        <f>IF(A48&gt;$C$8,0,((D47+(C48/2))*($C$9))+(($C$6-SUM($C$20:C48))*($C$11/12)))</f>
        <v>0</v>
      </c>
      <c r="F48" s="135">
        <f t="shared" si="2"/>
        <v>9575.0415334821973</v>
      </c>
      <c r="G48" s="60"/>
      <c r="H48"/>
      <c r="I48"/>
      <c r="J48" s="33"/>
      <c r="K48" s="33"/>
      <c r="L48" s="33"/>
      <c r="M48" s="33"/>
      <c r="N48" s="33"/>
      <c r="O48" s="33"/>
      <c r="P48" s="33"/>
      <c r="Q48" s="33"/>
      <c r="R48" s="33"/>
    </row>
    <row r="49" spans="1:18" ht="11.4" customHeight="1">
      <c r="A49" s="131">
        <f t="shared" si="3"/>
        <v>28</v>
      </c>
      <c r="B49" s="132">
        <f t="shared" si="0"/>
        <v>0</v>
      </c>
      <c r="C49" s="133">
        <v>0</v>
      </c>
      <c r="D49" s="134">
        <f t="shared" si="1"/>
        <v>146457.24953348225</v>
      </c>
      <c r="E49" s="136">
        <f>IF(A49&gt;$C$8,0,((D48+(C49/2))*($C$9))+(($C$6-SUM($C$20:C49))*($C$11/12)))</f>
        <v>0</v>
      </c>
      <c r="F49" s="135">
        <f t="shared" si="2"/>
        <v>9575.0415334821973</v>
      </c>
      <c r="G49" s="60"/>
      <c r="H49"/>
      <c r="I49"/>
      <c r="J49" s="33"/>
      <c r="K49" s="33"/>
      <c r="L49" s="33"/>
      <c r="M49" s="33"/>
      <c r="N49" s="33"/>
      <c r="O49" s="33"/>
      <c r="P49" s="33"/>
      <c r="Q49" s="33"/>
      <c r="R49" s="33"/>
    </row>
    <row r="50" spans="1:18" ht="11.4" customHeight="1">
      <c r="A50" s="131">
        <f t="shared" si="3"/>
        <v>29</v>
      </c>
      <c r="B50" s="132">
        <f t="shared" si="0"/>
        <v>0</v>
      </c>
      <c r="C50" s="133">
        <v>0</v>
      </c>
      <c r="D50" s="134">
        <f t="shared" si="1"/>
        <v>146457.24953348225</v>
      </c>
      <c r="E50" s="136">
        <f>IF(A50&gt;$C$8,0,((D49+(C50/2))*($C$9))+(($C$6-SUM($C$20:C50))*($C$11/12)))</f>
        <v>0</v>
      </c>
      <c r="F50" s="135">
        <f t="shared" si="2"/>
        <v>9575.0415334821973</v>
      </c>
      <c r="G50" s="60"/>
      <c r="H50"/>
      <c r="I50"/>
      <c r="J50" s="33"/>
      <c r="K50" s="33"/>
      <c r="L50" s="33"/>
      <c r="M50" s="33"/>
      <c r="N50" s="33"/>
      <c r="O50" s="33"/>
      <c r="P50" s="33"/>
      <c r="Q50" s="33"/>
      <c r="R50" s="33"/>
    </row>
    <row r="51" spans="1:18" ht="11.4" customHeight="1">
      <c r="A51" s="131">
        <f t="shared" si="3"/>
        <v>30</v>
      </c>
      <c r="B51" s="132">
        <f t="shared" si="0"/>
        <v>0</v>
      </c>
      <c r="C51" s="133">
        <v>0</v>
      </c>
      <c r="D51" s="134">
        <f t="shared" si="1"/>
        <v>146457.24953348225</v>
      </c>
      <c r="E51" s="136">
        <f>IF(A51&gt;$C$8,0,((D50+(C51/2))*($C$9))+(($C$6-SUM($C$20:C51))*($C$11/12)))</f>
        <v>0</v>
      </c>
      <c r="F51" s="135">
        <f t="shared" si="2"/>
        <v>9575.0415334821973</v>
      </c>
      <c r="G51" s="60"/>
      <c r="H51"/>
      <c r="I51"/>
      <c r="J51" s="33"/>
      <c r="K51" s="33"/>
      <c r="L51" s="33"/>
      <c r="M51" s="33"/>
      <c r="N51" s="33"/>
      <c r="O51" s="33"/>
      <c r="P51" s="33"/>
      <c r="Q51" s="33"/>
      <c r="R51" s="33"/>
    </row>
    <row r="52" spans="1:18" ht="11.4" customHeight="1">
      <c r="A52" s="131">
        <f t="shared" si="3"/>
        <v>31</v>
      </c>
      <c r="B52" s="132">
        <f t="shared" si="0"/>
        <v>0</v>
      </c>
      <c r="C52" s="133">
        <v>0</v>
      </c>
      <c r="D52" s="134">
        <f t="shared" si="1"/>
        <v>146457.24953348225</v>
      </c>
      <c r="E52" s="136">
        <f>IF(A52&gt;$C$8,0,((D51+(C52/2))*($C$9))+(($C$6-SUM($C$20:C52))*($C$11/12)))</f>
        <v>0</v>
      </c>
      <c r="F52" s="135">
        <f t="shared" si="2"/>
        <v>9575.0415334821973</v>
      </c>
      <c r="G52" s="60"/>
      <c r="H52"/>
      <c r="I52"/>
      <c r="J52" s="33"/>
      <c r="K52" s="33"/>
      <c r="L52" s="33"/>
      <c r="M52" s="33"/>
      <c r="N52" s="33"/>
      <c r="O52" s="33"/>
      <c r="P52" s="33"/>
      <c r="Q52" s="33"/>
      <c r="R52" s="33"/>
    </row>
    <row r="53" spans="1:18" ht="11.4" customHeight="1">
      <c r="A53" s="131">
        <f t="shared" si="3"/>
        <v>32</v>
      </c>
      <c r="B53" s="132">
        <f t="shared" si="0"/>
        <v>0</v>
      </c>
      <c r="C53" s="133">
        <v>0</v>
      </c>
      <c r="D53" s="134">
        <f t="shared" si="1"/>
        <v>146457.24953348225</v>
      </c>
      <c r="E53" s="136">
        <f>IF(A53&gt;$C$8,0,((D52+(C53/2))*($C$9))+(($C$6-SUM($C$20:C53))*($C$11/12)))</f>
        <v>0</v>
      </c>
      <c r="F53" s="135">
        <f t="shared" si="2"/>
        <v>9575.0415334821973</v>
      </c>
      <c r="G53" s="60"/>
      <c r="H53"/>
      <c r="I53"/>
      <c r="J53" s="33"/>
      <c r="K53" s="33"/>
      <c r="L53" s="33"/>
      <c r="M53" s="33"/>
      <c r="N53" s="33"/>
      <c r="O53" s="33"/>
      <c r="P53" s="33"/>
      <c r="Q53" s="33"/>
      <c r="R53" s="33"/>
    </row>
    <row r="54" spans="1:18" ht="11.4" customHeight="1">
      <c r="A54" s="131">
        <f t="shared" si="3"/>
        <v>33</v>
      </c>
      <c r="B54" s="132">
        <f t="shared" si="0"/>
        <v>0</v>
      </c>
      <c r="C54" s="133">
        <v>0</v>
      </c>
      <c r="D54" s="134">
        <f t="shared" si="1"/>
        <v>146457.24953348225</v>
      </c>
      <c r="E54" s="136">
        <f>IF(A54&gt;$C$8,0,((D53+(C54/2))*($C$9))+(($C$6-SUM($C$20:C54))*($C$11/12)))</f>
        <v>0</v>
      </c>
      <c r="F54" s="135">
        <f t="shared" si="2"/>
        <v>9575.0415334821973</v>
      </c>
      <c r="G54" s="60"/>
      <c r="H54"/>
      <c r="I54"/>
      <c r="J54" s="33"/>
      <c r="K54" s="33"/>
      <c r="L54" s="33"/>
      <c r="M54" s="33"/>
      <c r="N54" s="33"/>
      <c r="O54" s="33"/>
      <c r="P54" s="33"/>
      <c r="Q54" s="33"/>
      <c r="R54" s="33"/>
    </row>
    <row r="55" spans="1:18" ht="11.4" customHeight="1">
      <c r="A55" s="131">
        <f t="shared" si="3"/>
        <v>34</v>
      </c>
      <c r="B55" s="132">
        <f t="shared" si="0"/>
        <v>0</v>
      </c>
      <c r="C55" s="133">
        <v>0</v>
      </c>
      <c r="D55" s="134">
        <f t="shared" si="1"/>
        <v>146457.24953348225</v>
      </c>
      <c r="E55" s="136">
        <f>IF(A55&gt;$C$8,0,((D54+(C55/2))*($C$9))+(($C$6-SUM($C$20:C55))*($C$11/12)))</f>
        <v>0</v>
      </c>
      <c r="F55" s="135">
        <f t="shared" si="2"/>
        <v>9575.0415334821973</v>
      </c>
      <c r="G55" s="60"/>
      <c r="H55"/>
      <c r="I55"/>
      <c r="J55" s="33"/>
      <c r="K55" s="33"/>
      <c r="L55" s="33"/>
      <c r="M55" s="33"/>
      <c r="N55" s="33"/>
      <c r="O55" s="33"/>
      <c r="P55" s="33"/>
      <c r="Q55" s="33"/>
      <c r="R55" s="33"/>
    </row>
    <row r="56" spans="1:18" ht="11.4" customHeight="1">
      <c r="A56" s="131">
        <f t="shared" si="3"/>
        <v>35</v>
      </c>
      <c r="B56" s="132">
        <f t="shared" si="0"/>
        <v>0</v>
      </c>
      <c r="C56" s="133">
        <v>0</v>
      </c>
      <c r="D56" s="134">
        <f t="shared" si="1"/>
        <v>146457.24953348225</v>
      </c>
      <c r="E56" s="136">
        <f>IF(A56&gt;$C$8,0,((D55+(C56/2))*($C$9))+(($C$6-SUM($C$20:C56))*($C$11/12)))</f>
        <v>0</v>
      </c>
      <c r="F56" s="135">
        <f t="shared" si="2"/>
        <v>9575.0415334821973</v>
      </c>
      <c r="G56" s="60"/>
      <c r="H56"/>
      <c r="I56"/>
      <c r="J56" s="33"/>
      <c r="K56" s="33"/>
      <c r="L56" s="33"/>
      <c r="M56" s="33"/>
      <c r="N56" s="33"/>
      <c r="O56" s="33"/>
      <c r="P56" s="33"/>
      <c r="Q56" s="33"/>
      <c r="R56" s="33"/>
    </row>
    <row r="57" spans="1:18" ht="11.4" customHeight="1">
      <c r="A57" s="137">
        <f t="shared" si="3"/>
        <v>36</v>
      </c>
      <c r="B57" s="138">
        <f>IF($C$13=1,I57,H57)</f>
        <v>0</v>
      </c>
      <c r="C57" s="520">
        <v>0</v>
      </c>
      <c r="D57" s="140">
        <f t="shared" si="1"/>
        <v>146457.24953348225</v>
      </c>
      <c r="E57" s="139">
        <f>IF(A57&gt;$C$8,0,((D56+(C57))*($C$9))+(($C$6-SUM($C$21:C57))*($C$11/12)))</f>
        <v>0</v>
      </c>
      <c r="F57" s="141">
        <f t="shared" si="2"/>
        <v>9575.0415334821973</v>
      </c>
      <c r="G57" s="60"/>
      <c r="H57"/>
      <c r="I57"/>
      <c r="J57" s="33"/>
      <c r="K57" s="33"/>
      <c r="L57" s="33"/>
      <c r="M57" s="33"/>
      <c r="N57" s="33"/>
      <c r="O57" s="33"/>
      <c r="P57" s="33"/>
      <c r="Q57" s="33"/>
      <c r="R57" s="33"/>
    </row>
    <row r="58" spans="1:18" ht="13.2">
      <c r="A58" s="60"/>
      <c r="B58" s="60"/>
      <c r="C58" s="75">
        <f>SUM(C21:C57)</f>
        <v>136882.20800000004</v>
      </c>
      <c r="D58" s="60"/>
      <c r="E58" s="60"/>
      <c r="F58" s="60"/>
      <c r="G58" s="60"/>
      <c r="H58"/>
      <c r="I58"/>
      <c r="J58" s="33"/>
      <c r="K58" s="33"/>
      <c r="L58" s="33"/>
      <c r="M58" s="33"/>
      <c r="N58" s="33"/>
      <c r="O58" s="33"/>
      <c r="P58" s="33"/>
      <c r="Q58" s="33"/>
      <c r="R58" s="33"/>
    </row>
    <row r="59" spans="1:18" ht="13.2">
      <c r="A59" s="60"/>
      <c r="B59" s="60"/>
      <c r="C59" s="60"/>
      <c r="D59" s="60"/>
      <c r="E59" s="60"/>
      <c r="F59" s="60"/>
      <c r="G59" s="60"/>
      <c r="H59"/>
      <c r="I59"/>
      <c r="J59" s="33"/>
      <c r="K59" s="33"/>
      <c r="L59" s="33"/>
      <c r="M59" s="33"/>
      <c r="N59" s="33"/>
      <c r="O59" s="33"/>
      <c r="P59" s="33"/>
      <c r="Q59" s="33"/>
      <c r="R59" s="33"/>
    </row>
    <row r="60" spans="1:18" ht="13.2">
      <c r="A60" s="60"/>
      <c r="B60" s="60"/>
      <c r="C60" s="60"/>
      <c r="D60" s="60"/>
      <c r="E60" s="60"/>
      <c r="F60" s="60"/>
      <c r="G60" s="60"/>
      <c r="H60"/>
      <c r="I60"/>
      <c r="J60" s="33"/>
      <c r="K60" s="33"/>
      <c r="L60" s="33"/>
      <c r="M60" s="33"/>
      <c r="N60" s="33"/>
      <c r="O60" s="33"/>
      <c r="P60" s="33"/>
      <c r="Q60" s="33"/>
      <c r="R60" s="33"/>
    </row>
    <row r="61" spans="1:18" ht="13.2">
      <c r="A61" s="60"/>
      <c r="B61" s="60"/>
      <c r="C61" s="60"/>
      <c r="D61" s="60"/>
      <c r="E61" s="60"/>
      <c r="F61" s="60"/>
      <c r="G61" s="60"/>
      <c r="H61"/>
      <c r="I61"/>
      <c r="J61" s="33"/>
      <c r="K61" s="33"/>
      <c r="L61" s="33"/>
      <c r="M61" s="33"/>
      <c r="N61" s="33"/>
      <c r="O61" s="33"/>
      <c r="P61" s="33"/>
      <c r="Q61" s="33"/>
      <c r="R61" s="33"/>
    </row>
    <row r="62" spans="1:18" ht="13.2">
      <c r="A62" s="60"/>
      <c r="B62" s="60"/>
      <c r="C62" s="60"/>
      <c r="D62" s="60"/>
      <c r="E62" s="60"/>
      <c r="F62" s="60"/>
      <c r="G62" s="60"/>
      <c r="H62"/>
      <c r="I62"/>
      <c r="J62" s="33"/>
      <c r="K62" s="33"/>
      <c r="L62" s="33"/>
      <c r="M62" s="33"/>
      <c r="N62" s="33"/>
      <c r="O62" s="33"/>
      <c r="P62" s="33"/>
      <c r="Q62" s="33"/>
      <c r="R62" s="33"/>
    </row>
    <row r="63" spans="1:18" ht="13.2">
      <c r="A63" s="60"/>
      <c r="B63" s="60"/>
      <c r="C63" s="60"/>
      <c r="D63" s="60"/>
      <c r="E63" s="60"/>
      <c r="F63" s="60"/>
      <c r="G63" s="60"/>
      <c r="H63"/>
      <c r="I63"/>
      <c r="J63" s="33"/>
      <c r="K63" s="33"/>
      <c r="L63" s="33"/>
      <c r="M63" s="33"/>
      <c r="N63" s="33"/>
      <c r="O63" s="33"/>
      <c r="P63" s="33"/>
      <c r="Q63" s="33"/>
      <c r="R63" s="33"/>
    </row>
    <row r="64" spans="1:18" ht="13.2">
      <c r="H64"/>
      <c r="I64"/>
      <c r="J64" s="33"/>
      <c r="K64" s="33"/>
      <c r="L64" s="33"/>
      <c r="M64" s="33"/>
      <c r="N64" s="33"/>
      <c r="O64" s="33"/>
      <c r="P64" s="33"/>
      <c r="Q64" s="33"/>
      <c r="R64" s="33"/>
    </row>
    <row r="65" spans="1:31" ht="13.2">
      <c r="H65"/>
      <c r="I65"/>
      <c r="J65" s="33"/>
      <c r="K65" s="33"/>
      <c r="L65" s="33"/>
      <c r="M65" s="33"/>
      <c r="N65" s="33"/>
      <c r="O65" s="33"/>
      <c r="P65" s="33"/>
      <c r="Q65" s="33"/>
      <c r="R65" s="33"/>
    </row>
    <row r="66" spans="1:31" ht="13.2">
      <c r="H66"/>
      <c r="I66"/>
      <c r="J66" s="33"/>
      <c r="K66" s="33"/>
      <c r="L66" s="33"/>
      <c r="M66" s="33"/>
      <c r="N66" s="33"/>
      <c r="O66" s="33"/>
      <c r="P66" s="33"/>
      <c r="Q66" s="33"/>
      <c r="R66" s="33"/>
    </row>
    <row r="67" spans="1:31" ht="13.2">
      <c r="A67" s="97"/>
      <c r="B67" s="97"/>
      <c r="C67" s="142"/>
      <c r="D67" s="142"/>
      <c r="E67" s="142"/>
      <c r="F67" s="142"/>
      <c r="G67" s="142"/>
      <c r="H67"/>
      <c r="I67"/>
      <c r="J67" s="36"/>
      <c r="K67" s="36"/>
      <c r="L67" s="36"/>
      <c r="M67" s="36"/>
      <c r="N67" s="36"/>
      <c r="O67" s="36"/>
      <c r="P67" s="36"/>
      <c r="Q67" s="36"/>
      <c r="R67" s="36"/>
      <c r="S67" s="36"/>
      <c r="T67" s="36"/>
      <c r="U67" s="36"/>
      <c r="V67" s="36"/>
      <c r="W67" s="36"/>
      <c r="X67" s="36"/>
      <c r="Y67" s="36"/>
      <c r="Z67" s="36"/>
      <c r="AA67" s="36"/>
      <c r="AB67" s="36"/>
      <c r="AC67" s="36"/>
      <c r="AD67" s="36"/>
      <c r="AE67" s="36"/>
    </row>
    <row r="68" spans="1:31" ht="13.2">
      <c r="A68" s="97"/>
      <c r="B68" s="97"/>
      <c r="C68" s="143"/>
      <c r="D68" s="143"/>
      <c r="E68" s="143"/>
      <c r="F68" s="143"/>
      <c r="G68" s="143"/>
      <c r="H68"/>
      <c r="I68"/>
      <c r="J68" s="37"/>
      <c r="K68" s="37"/>
      <c r="L68" s="37"/>
      <c r="M68" s="37"/>
      <c r="N68" s="37"/>
      <c r="O68" s="37"/>
      <c r="P68" s="37"/>
      <c r="Q68" s="37"/>
      <c r="R68" s="37"/>
      <c r="S68" s="37"/>
      <c r="T68" s="37"/>
      <c r="U68" s="37"/>
      <c r="V68" s="37"/>
      <c r="W68" s="37"/>
      <c r="X68" s="37"/>
      <c r="Y68" s="37"/>
      <c r="Z68" s="37"/>
      <c r="AA68" s="37"/>
      <c r="AB68" s="37"/>
      <c r="AC68" s="37"/>
      <c r="AD68" s="37"/>
      <c r="AE68" s="37"/>
    </row>
    <row r="69" spans="1:31" ht="13.2">
      <c r="H69"/>
      <c r="I69"/>
      <c r="J69" s="33"/>
      <c r="K69" s="33"/>
      <c r="L69" s="33"/>
      <c r="M69" s="33"/>
      <c r="N69" s="33"/>
      <c r="O69" s="33"/>
      <c r="P69" s="33"/>
      <c r="Q69" s="33"/>
      <c r="R69" s="33"/>
    </row>
    <row r="70" spans="1:31" ht="13.2">
      <c r="H70"/>
      <c r="I70"/>
      <c r="J70" s="33"/>
      <c r="K70" s="33"/>
      <c r="L70" s="33"/>
      <c r="M70" s="33"/>
      <c r="N70" s="33"/>
      <c r="O70" s="33"/>
      <c r="P70" s="33"/>
      <c r="Q70" s="33"/>
      <c r="R70" s="33"/>
    </row>
    <row r="71" spans="1:31" ht="13.2">
      <c r="H71"/>
      <c r="I71"/>
      <c r="J71" s="33"/>
      <c r="K71" s="33"/>
      <c r="L71" s="33"/>
      <c r="M71" s="33"/>
      <c r="N71" s="33"/>
      <c r="O71" s="33"/>
      <c r="P71" s="33"/>
      <c r="Q71" s="33"/>
      <c r="R71" s="33"/>
    </row>
    <row r="72" spans="1:31" ht="13.2">
      <c r="H72"/>
      <c r="I72"/>
      <c r="J72" s="33"/>
      <c r="K72" s="33"/>
      <c r="L72" s="33"/>
      <c r="M72" s="33"/>
      <c r="N72" s="33"/>
      <c r="O72" s="33"/>
      <c r="P72" s="33"/>
      <c r="Q72" s="33"/>
      <c r="R72" s="33"/>
    </row>
    <row r="73" spans="1:31" ht="13.2">
      <c r="G73" s="111"/>
      <c r="H73"/>
      <c r="I73"/>
      <c r="J73" s="33"/>
      <c r="K73" s="33"/>
      <c r="L73" s="33"/>
      <c r="M73" s="33"/>
      <c r="N73" s="33"/>
      <c r="O73" s="33"/>
      <c r="P73" s="33"/>
      <c r="Q73" s="33"/>
      <c r="R73" s="33"/>
    </row>
    <row r="74" spans="1:31" ht="13.2">
      <c r="G74" s="111"/>
      <c r="H74"/>
      <c r="I74"/>
      <c r="J74" s="33"/>
      <c r="K74" s="33"/>
      <c r="L74" s="33"/>
      <c r="M74" s="33"/>
      <c r="N74" s="33"/>
      <c r="O74" s="33"/>
      <c r="P74" s="33"/>
      <c r="Q74" s="33"/>
      <c r="R74" s="33"/>
    </row>
    <row r="75" spans="1:31" ht="13.2">
      <c r="H75"/>
      <c r="I75"/>
      <c r="J75" s="33"/>
      <c r="K75" s="33"/>
      <c r="L75" s="33"/>
      <c r="M75" s="33"/>
      <c r="N75" s="33"/>
      <c r="O75" s="33"/>
      <c r="P75" s="33"/>
      <c r="Q75" s="33"/>
      <c r="R75" s="33"/>
    </row>
    <row r="76" spans="1:31" ht="13.2">
      <c r="H76"/>
      <c r="I76"/>
      <c r="J76" s="33"/>
      <c r="K76" s="33"/>
      <c r="L76" s="33"/>
      <c r="M76" s="33"/>
      <c r="N76" s="33"/>
      <c r="O76" s="33"/>
      <c r="P76" s="33"/>
      <c r="Q76" s="33"/>
      <c r="R76" s="33"/>
    </row>
    <row r="77" spans="1:31" ht="13.2">
      <c r="H77"/>
      <c r="I77"/>
      <c r="J77" s="33"/>
      <c r="K77" s="33"/>
      <c r="L77" s="33"/>
      <c r="M77" s="33"/>
      <c r="N77" s="33"/>
      <c r="O77" s="33"/>
      <c r="P77" s="33"/>
      <c r="Q77" s="33"/>
      <c r="R77" s="33"/>
    </row>
    <row r="78" spans="1:31" ht="13.2">
      <c r="H78"/>
      <c r="I78"/>
      <c r="J78" s="33"/>
      <c r="K78" s="33"/>
      <c r="L78" s="33"/>
      <c r="M78" s="33"/>
      <c r="N78" s="33"/>
      <c r="O78" s="33"/>
      <c r="P78" s="33"/>
      <c r="Q78" s="33"/>
      <c r="R78" s="33"/>
    </row>
    <row r="79" spans="1:31" ht="13.2">
      <c r="G79" s="111"/>
      <c r="H79"/>
      <c r="I79"/>
      <c r="J79" s="33"/>
      <c r="K79" s="33"/>
      <c r="L79" s="33"/>
      <c r="M79" s="33"/>
      <c r="N79" s="33"/>
      <c r="O79" s="33"/>
      <c r="P79" s="33"/>
      <c r="Q79" s="33"/>
      <c r="R79" s="33"/>
    </row>
    <row r="80" spans="1:31" ht="13.2">
      <c r="G80" s="111"/>
      <c r="H80"/>
      <c r="I80"/>
      <c r="J80" s="33"/>
      <c r="K80" s="33"/>
      <c r="L80" s="33"/>
      <c r="M80" s="33"/>
      <c r="N80" s="33"/>
      <c r="O80" s="33"/>
      <c r="P80" s="33"/>
      <c r="Q80" s="33"/>
      <c r="R80" s="33"/>
    </row>
    <row r="81" spans="1:32" ht="13.2">
      <c r="A81" s="97"/>
      <c r="B81" s="105"/>
      <c r="C81" s="103"/>
      <c r="D81" s="103"/>
      <c r="G81" s="111"/>
      <c r="H81"/>
      <c r="I81"/>
      <c r="J81" s="33"/>
      <c r="K81" s="33"/>
      <c r="L81" s="33"/>
      <c r="M81" s="33"/>
      <c r="N81" s="33"/>
      <c r="O81" s="33"/>
      <c r="P81" s="33"/>
      <c r="Q81" s="33"/>
      <c r="R81" s="33"/>
    </row>
    <row r="82" spans="1:32" ht="13.2">
      <c r="A82" s="60"/>
      <c r="B82" s="60"/>
      <c r="C82" s="60"/>
      <c r="D82" s="60"/>
      <c r="E82" s="60"/>
      <c r="F82" s="60"/>
      <c r="G82" s="60"/>
      <c r="H82"/>
      <c r="I82"/>
      <c r="J82" s="33"/>
      <c r="K82" s="33"/>
      <c r="L82" s="33"/>
      <c r="M82" s="33"/>
      <c r="N82" s="33"/>
      <c r="O82" s="33"/>
      <c r="P82" s="33"/>
      <c r="Q82" s="33"/>
      <c r="R82" s="33"/>
    </row>
    <row r="83" spans="1:32" ht="13.2">
      <c r="A83" s="60"/>
      <c r="B83" s="60"/>
      <c r="C83" s="60"/>
      <c r="D83" s="60"/>
      <c r="E83" s="60"/>
      <c r="F83" s="60"/>
      <c r="G83" s="60"/>
      <c r="H83"/>
      <c r="I83"/>
      <c r="J83" s="33"/>
      <c r="K83" s="33"/>
      <c r="L83" s="33"/>
      <c r="M83" s="33"/>
      <c r="N83" s="33"/>
      <c r="O83" s="33"/>
      <c r="P83" s="33"/>
      <c r="Q83" s="33"/>
      <c r="R83" s="33"/>
    </row>
    <row r="84" spans="1:32" ht="13.2">
      <c r="A84" s="60"/>
      <c r="B84" s="60"/>
      <c r="C84" s="60"/>
      <c r="D84" s="60"/>
      <c r="E84" s="60"/>
      <c r="F84" s="60"/>
      <c r="G84" s="60"/>
      <c r="H84"/>
      <c r="I84"/>
      <c r="J84" s="33"/>
      <c r="K84" s="33"/>
      <c r="L84" s="33"/>
      <c r="M84" s="33"/>
      <c r="N84" s="33"/>
      <c r="O84" s="33"/>
      <c r="P84" s="33"/>
      <c r="Q84" s="33"/>
      <c r="R84" s="33"/>
    </row>
    <row r="85" spans="1:32" ht="13.2">
      <c r="A85" s="60"/>
      <c r="B85" s="60"/>
      <c r="C85" s="60"/>
      <c r="D85" s="60"/>
      <c r="E85" s="60"/>
      <c r="F85" s="60"/>
      <c r="G85" s="60"/>
      <c r="H85"/>
      <c r="I85"/>
      <c r="J85" s="33"/>
      <c r="K85" s="33"/>
      <c r="L85" s="33"/>
      <c r="M85" s="33"/>
      <c r="N85" s="33"/>
      <c r="O85" s="33"/>
      <c r="P85" s="33"/>
      <c r="Q85" s="33"/>
      <c r="R85" s="33"/>
    </row>
    <row r="86" spans="1:32" ht="13.2">
      <c r="A86" s="60"/>
      <c r="B86" s="60"/>
      <c r="C86" s="60"/>
      <c r="D86" s="60"/>
      <c r="E86" s="60"/>
      <c r="F86" s="60"/>
      <c r="G86" s="60"/>
      <c r="H86"/>
      <c r="I86"/>
      <c r="J86" s="33"/>
      <c r="K86" s="33"/>
      <c r="L86" s="33"/>
      <c r="M86" s="33"/>
      <c r="N86" s="33"/>
      <c r="O86" s="33"/>
      <c r="P86" s="33"/>
      <c r="Q86" s="33"/>
      <c r="R86" s="33"/>
    </row>
    <row r="87" spans="1:32" ht="13.2">
      <c r="A87" s="60"/>
      <c r="B87" s="60"/>
      <c r="C87" s="60"/>
      <c r="D87" s="60"/>
      <c r="E87" s="60"/>
      <c r="F87" s="60"/>
      <c r="G87" s="60"/>
      <c r="H87"/>
      <c r="I87"/>
      <c r="J87" s="33"/>
      <c r="K87" s="33"/>
      <c r="L87" s="33"/>
      <c r="M87" s="33"/>
      <c r="N87" s="33"/>
      <c r="O87" s="33"/>
      <c r="P87" s="33"/>
      <c r="Q87" s="33"/>
      <c r="R87" s="33"/>
    </row>
    <row r="88" spans="1:32" ht="13.2">
      <c r="A88" s="60"/>
      <c r="B88" s="60"/>
      <c r="C88" s="60"/>
      <c r="D88" s="60"/>
      <c r="E88" s="60"/>
      <c r="F88" s="60"/>
      <c r="G88" s="60"/>
      <c r="H88"/>
      <c r="I88"/>
      <c r="J88" s="33"/>
      <c r="K88" s="33"/>
      <c r="L88" s="33"/>
      <c r="M88" s="33"/>
      <c r="N88" s="33"/>
      <c r="O88" s="33"/>
      <c r="P88" s="33"/>
      <c r="Q88" s="33"/>
      <c r="R88" s="33"/>
    </row>
    <row r="89" spans="1:32" ht="11.4" customHeight="1">
      <c r="A89" s="97"/>
      <c r="B89" s="105"/>
      <c r="C89" s="103"/>
      <c r="D89" s="103"/>
      <c r="G89" s="111"/>
      <c r="H89"/>
      <c r="I89"/>
      <c r="J89" s="33"/>
      <c r="K89" s="33"/>
      <c r="L89" s="33"/>
      <c r="M89" s="33"/>
      <c r="N89" s="33"/>
      <c r="O89" s="33"/>
      <c r="P89" s="33"/>
      <c r="Q89" s="33"/>
      <c r="R89" s="33"/>
    </row>
    <row r="90" spans="1:32" ht="11.4" customHeight="1">
      <c r="A90" s="97"/>
      <c r="B90" s="105"/>
      <c r="C90" s="105"/>
      <c r="D90" s="105"/>
      <c r="E90" s="103"/>
      <c r="H90" s="111"/>
      <c r="I90" s="111"/>
      <c r="K90" s="33"/>
      <c r="L90" s="33"/>
      <c r="M90" s="33"/>
      <c r="N90" s="33"/>
      <c r="O90" s="33"/>
      <c r="P90" s="33"/>
      <c r="Q90" s="33"/>
      <c r="R90" s="33"/>
      <c r="S90" s="33"/>
    </row>
    <row r="91" spans="1:32" ht="11.4" customHeight="1">
      <c r="A91" s="105"/>
      <c r="B91" s="97"/>
      <c r="C91" s="97"/>
      <c r="D91" s="97"/>
      <c r="E91" s="142"/>
      <c r="F91" s="142"/>
      <c r="G91" s="142"/>
      <c r="H91" s="142"/>
      <c r="I91" s="142"/>
      <c r="J91" s="36"/>
      <c r="K91" s="36"/>
      <c r="L91" s="36"/>
      <c r="M91" s="36"/>
      <c r="N91" s="36"/>
      <c r="O91" s="36"/>
      <c r="P91" s="36"/>
      <c r="Q91" s="36"/>
      <c r="R91" s="36"/>
      <c r="S91" s="36"/>
      <c r="T91" s="36"/>
      <c r="U91" s="36"/>
      <c r="V91" s="36"/>
      <c r="W91" s="36"/>
      <c r="X91" s="36"/>
      <c r="Y91" s="36"/>
      <c r="Z91" s="36"/>
      <c r="AA91" s="36"/>
      <c r="AB91" s="36"/>
      <c r="AC91" s="36"/>
      <c r="AD91" s="36"/>
      <c r="AE91" s="36"/>
      <c r="AF91" s="36"/>
    </row>
    <row r="92" spans="1:32" ht="11.4" customHeight="1">
      <c r="A92" s="105"/>
      <c r="B92" s="97"/>
      <c r="C92" s="97"/>
      <c r="D92" s="97"/>
      <c r="E92" s="143"/>
      <c r="F92" s="143"/>
      <c r="G92" s="143"/>
      <c r="H92" s="143"/>
      <c r="I92" s="143"/>
      <c r="J92" s="37"/>
      <c r="K92" s="37"/>
      <c r="L92" s="37"/>
      <c r="M92" s="37"/>
      <c r="N92" s="37"/>
      <c r="O92" s="37"/>
      <c r="P92" s="37"/>
      <c r="Q92" s="37"/>
      <c r="R92" s="37"/>
      <c r="S92" s="37"/>
      <c r="T92" s="37"/>
      <c r="U92" s="37"/>
      <c r="V92" s="37"/>
      <c r="W92" s="37"/>
      <c r="X92" s="37"/>
      <c r="Y92" s="37"/>
      <c r="Z92" s="37"/>
      <c r="AA92" s="37"/>
      <c r="AB92" s="37"/>
      <c r="AC92" s="37"/>
      <c r="AD92" s="37"/>
      <c r="AE92" s="37"/>
      <c r="AF92" s="37"/>
    </row>
    <row r="93" spans="1:32" ht="11.4" customHeight="1">
      <c r="A93" s="97"/>
      <c r="B93" s="105"/>
      <c r="C93" s="105"/>
      <c r="D93" s="105"/>
      <c r="E93" s="103"/>
      <c r="H93" s="111"/>
      <c r="I93" s="111"/>
      <c r="K93" s="33"/>
      <c r="L93" s="33"/>
      <c r="M93" s="33"/>
      <c r="N93" s="33"/>
      <c r="O93" s="33"/>
      <c r="P93" s="33"/>
      <c r="Q93" s="33"/>
      <c r="R93" s="33"/>
      <c r="S93" s="33"/>
    </row>
    <row r="94" spans="1:32" ht="11.4" customHeight="1">
      <c r="A94" s="97"/>
      <c r="B94" s="105"/>
      <c r="C94" s="105"/>
      <c r="D94" s="105"/>
      <c r="E94" s="105"/>
      <c r="F94" s="105"/>
      <c r="G94" s="105"/>
      <c r="H94" s="105"/>
      <c r="I94" s="105"/>
      <c r="J94" s="35"/>
      <c r="K94" s="35"/>
      <c r="L94" s="35"/>
      <c r="M94" s="35"/>
      <c r="N94" s="35"/>
      <c r="O94" s="35"/>
      <c r="P94" s="35"/>
      <c r="Q94" s="35"/>
      <c r="R94" s="35"/>
      <c r="S94" s="35"/>
      <c r="T94" s="35"/>
      <c r="U94" s="35"/>
      <c r="V94" s="35"/>
      <c r="W94" s="35"/>
      <c r="X94" s="35"/>
      <c r="Y94" s="35"/>
      <c r="Z94" s="35"/>
      <c r="AA94" s="35"/>
      <c r="AB94" s="35"/>
      <c r="AC94" s="35"/>
      <c r="AD94" s="35"/>
      <c r="AE94" s="35"/>
      <c r="AF94" s="35"/>
    </row>
    <row r="95" spans="1:32" ht="11.4" customHeight="1">
      <c r="A95" s="97"/>
      <c r="B95" s="97"/>
      <c r="C95" s="97"/>
      <c r="D95" s="97"/>
      <c r="E95" s="142"/>
      <c r="F95" s="142"/>
      <c r="G95" s="142"/>
      <c r="H95" s="142"/>
      <c r="I95" s="142"/>
      <c r="J95" s="36"/>
      <c r="K95" s="36"/>
      <c r="L95" s="36"/>
      <c r="M95" s="36"/>
      <c r="N95" s="36"/>
      <c r="O95" s="36"/>
      <c r="P95" s="36"/>
      <c r="Q95" s="36"/>
      <c r="R95" s="36"/>
      <c r="S95" s="36"/>
      <c r="T95" s="36"/>
      <c r="U95" s="36"/>
      <c r="V95" s="36"/>
      <c r="W95" s="36"/>
      <c r="X95" s="36"/>
      <c r="Y95" s="36"/>
      <c r="Z95" s="36"/>
      <c r="AA95" s="36"/>
      <c r="AB95" s="36"/>
      <c r="AC95" s="36"/>
      <c r="AD95" s="36"/>
      <c r="AE95" s="36"/>
      <c r="AF95" s="36"/>
    </row>
    <row r="96" spans="1:32" ht="11.4" customHeight="1">
      <c r="A96" s="97"/>
      <c r="B96" s="105"/>
      <c r="C96" s="105"/>
      <c r="D96" s="105"/>
      <c r="E96" s="105"/>
      <c r="F96" s="145"/>
      <c r="G96" s="145"/>
      <c r="H96" s="145"/>
      <c r="I96" s="145"/>
      <c r="J96" s="38"/>
      <c r="K96" s="38"/>
      <c r="L96" s="38"/>
      <c r="M96" s="38"/>
      <c r="N96" s="38"/>
      <c r="O96" s="38"/>
      <c r="P96" s="38"/>
      <c r="Q96" s="38"/>
      <c r="R96" s="38"/>
      <c r="S96" s="38"/>
      <c r="T96" s="38"/>
      <c r="U96" s="38"/>
      <c r="V96" s="38"/>
      <c r="W96" s="38"/>
      <c r="X96" s="38"/>
      <c r="Y96" s="38"/>
      <c r="Z96" s="38"/>
      <c r="AA96" s="38"/>
      <c r="AB96" s="38"/>
      <c r="AC96" s="38"/>
      <c r="AD96" s="38"/>
      <c r="AE96" s="38"/>
      <c r="AF96" s="38"/>
    </row>
    <row r="97" spans="1:32" ht="11.4" customHeight="1">
      <c r="A97" s="97"/>
      <c r="B97" s="97"/>
      <c r="C97" s="97"/>
      <c r="D97" s="97"/>
      <c r="E97" s="105"/>
      <c r="F97" s="145"/>
      <c r="G97" s="145"/>
      <c r="H97" s="145"/>
      <c r="I97" s="145"/>
      <c r="J97" s="38"/>
      <c r="K97" s="38"/>
      <c r="L97" s="38"/>
      <c r="M97" s="38"/>
      <c r="N97" s="38"/>
      <c r="O97" s="38"/>
      <c r="P97" s="38"/>
      <c r="Q97" s="38"/>
      <c r="R97" s="38"/>
      <c r="S97" s="38"/>
      <c r="T97" s="38"/>
      <c r="U97" s="38"/>
      <c r="V97" s="38"/>
      <c r="W97" s="38"/>
      <c r="X97" s="38"/>
      <c r="Y97" s="38"/>
      <c r="Z97" s="38"/>
      <c r="AA97" s="38"/>
      <c r="AB97" s="38"/>
      <c r="AC97" s="38"/>
      <c r="AD97" s="38"/>
      <c r="AE97" s="38"/>
      <c r="AF97" s="38"/>
    </row>
    <row r="98" spans="1:32" ht="11.4" customHeight="1">
      <c r="A98" s="97"/>
      <c r="B98" s="97"/>
      <c r="C98" s="97"/>
      <c r="D98" s="97"/>
      <c r="E98" s="105"/>
      <c r="F98" s="145"/>
      <c r="G98" s="145"/>
      <c r="H98" s="145"/>
      <c r="I98" s="145"/>
      <c r="J98" s="38"/>
      <c r="K98" s="38"/>
      <c r="L98" s="38"/>
      <c r="M98" s="38"/>
      <c r="N98" s="38"/>
      <c r="O98" s="38"/>
      <c r="P98" s="38"/>
      <c r="Q98" s="38"/>
      <c r="R98" s="38"/>
      <c r="S98" s="38"/>
      <c r="T98" s="38"/>
      <c r="U98" s="38"/>
      <c r="V98" s="38"/>
      <c r="W98" s="38"/>
      <c r="X98" s="38"/>
      <c r="Y98" s="38"/>
      <c r="Z98" s="38"/>
      <c r="AA98" s="38"/>
      <c r="AB98" s="38"/>
      <c r="AC98" s="38"/>
      <c r="AD98" s="38"/>
      <c r="AE98" s="38"/>
      <c r="AF98" s="38"/>
    </row>
    <row r="99" spans="1:32" ht="13.2">
      <c r="A99" s="60"/>
      <c r="B99" s="60"/>
      <c r="C99" s="60"/>
      <c r="D99" s="60"/>
      <c r="E99" s="60"/>
      <c r="F99" s="60"/>
      <c r="G99" s="60"/>
      <c r="H99" s="60"/>
      <c r="J99" s="33"/>
      <c r="K99" s="33"/>
      <c r="L99" s="33"/>
      <c r="M99" s="33"/>
      <c r="N99" s="33"/>
      <c r="O99" s="33"/>
      <c r="P99" s="33"/>
      <c r="Q99" s="33"/>
      <c r="R99" s="33"/>
    </row>
    <row r="100" spans="1:32" ht="13.2">
      <c r="A100" s="60"/>
      <c r="B100" s="60"/>
      <c r="C100" s="60"/>
      <c r="D100" s="60"/>
      <c r="E100" s="60"/>
      <c r="F100" s="60"/>
      <c r="G100" s="60"/>
      <c r="H100" s="60"/>
      <c r="J100" s="33"/>
      <c r="K100" s="33"/>
      <c r="L100" s="33"/>
      <c r="M100" s="33"/>
      <c r="N100" s="33"/>
      <c r="O100" s="33"/>
      <c r="P100" s="33"/>
      <c r="Q100" s="33"/>
      <c r="R100" s="33"/>
    </row>
    <row r="101" spans="1:32" ht="13.2">
      <c r="A101" s="60"/>
      <c r="B101" s="60"/>
      <c r="C101" s="60"/>
      <c r="D101" s="60"/>
      <c r="E101" s="60"/>
      <c r="F101" s="60"/>
      <c r="G101" s="60"/>
      <c r="H101" s="60"/>
      <c r="J101" s="33"/>
      <c r="K101" s="33"/>
      <c r="L101" s="33"/>
      <c r="M101" s="33"/>
      <c r="N101" s="33"/>
      <c r="O101" s="33"/>
      <c r="P101" s="33"/>
      <c r="Q101" s="33"/>
      <c r="R101" s="33"/>
    </row>
    <row r="102" spans="1:32" ht="13.2">
      <c r="A102" s="60"/>
      <c r="B102" s="60"/>
      <c r="C102" s="60"/>
      <c r="D102" s="60"/>
      <c r="E102" s="60"/>
      <c r="F102" s="60"/>
      <c r="G102" s="60"/>
      <c r="H102" s="60"/>
      <c r="J102" s="33"/>
      <c r="K102" s="33"/>
      <c r="L102" s="33"/>
      <c r="M102" s="33"/>
      <c r="N102" s="33"/>
      <c r="O102" s="33"/>
      <c r="P102" s="33"/>
      <c r="Q102" s="33"/>
      <c r="R102" s="33"/>
    </row>
    <row r="103" spans="1:32" ht="13.2">
      <c r="A103" s="60"/>
      <c r="B103" s="60"/>
      <c r="C103" s="60"/>
      <c r="D103" s="60"/>
      <c r="E103" s="60"/>
      <c r="F103" s="60"/>
      <c r="G103" s="60"/>
      <c r="H103" s="60"/>
      <c r="J103" s="33"/>
      <c r="K103" s="33"/>
      <c r="L103" s="33"/>
      <c r="M103" s="33"/>
      <c r="N103" s="33"/>
      <c r="O103" s="33"/>
      <c r="P103" s="33"/>
      <c r="Q103" s="33"/>
      <c r="R103" s="33"/>
    </row>
    <row r="104" spans="1:32" ht="13.2">
      <c r="A104" s="60"/>
      <c r="B104" s="60"/>
      <c r="C104" s="60"/>
      <c r="D104" s="60"/>
      <c r="E104" s="60"/>
      <c r="F104" s="60"/>
      <c r="G104" s="60"/>
      <c r="H104" s="60"/>
      <c r="J104" s="33"/>
      <c r="K104" s="33"/>
      <c r="L104" s="33"/>
      <c r="M104" s="33"/>
      <c r="N104" s="33"/>
      <c r="O104" s="33"/>
      <c r="P104" s="33"/>
      <c r="Q104" s="33"/>
      <c r="R104" s="33"/>
    </row>
    <row r="105" spans="1:32" ht="13.2">
      <c r="A105" s="60"/>
      <c r="B105" s="60"/>
      <c r="C105" s="60"/>
      <c r="D105" s="60"/>
      <c r="E105" s="60"/>
      <c r="F105" s="60"/>
      <c r="G105" s="60"/>
      <c r="H105" s="60"/>
      <c r="J105" s="33"/>
      <c r="K105" s="33"/>
      <c r="L105" s="33"/>
      <c r="M105" s="33"/>
      <c r="N105" s="33"/>
      <c r="O105" s="33"/>
      <c r="P105" s="33"/>
      <c r="Q105" s="33"/>
      <c r="R105" s="33"/>
    </row>
    <row r="106" spans="1:32" ht="13.2">
      <c r="A106" s="60"/>
      <c r="B106" s="60"/>
      <c r="C106" s="60"/>
      <c r="D106" s="60"/>
      <c r="E106" s="60"/>
      <c r="F106" s="60"/>
      <c r="G106" s="60"/>
      <c r="H106" s="60"/>
      <c r="J106" s="33"/>
      <c r="K106" s="33"/>
      <c r="L106" s="33"/>
      <c r="M106" s="33"/>
      <c r="N106" s="33"/>
      <c r="O106" s="33"/>
      <c r="P106" s="33"/>
      <c r="Q106" s="33"/>
      <c r="R106" s="33"/>
    </row>
    <row r="107" spans="1:32" ht="13.2">
      <c r="A107" s="60"/>
      <c r="B107" s="60"/>
      <c r="C107" s="60"/>
      <c r="D107" s="60"/>
      <c r="E107" s="60"/>
      <c r="F107" s="60"/>
      <c r="G107" s="60"/>
      <c r="H107" s="60"/>
      <c r="J107" s="33"/>
      <c r="K107" s="33"/>
      <c r="L107" s="33"/>
      <c r="M107" s="33"/>
      <c r="N107" s="33"/>
      <c r="O107" s="33"/>
      <c r="P107" s="33"/>
      <c r="Q107" s="33"/>
      <c r="R107" s="33"/>
    </row>
    <row r="108" spans="1:32" ht="13.2">
      <c r="A108" s="60"/>
      <c r="B108" s="60"/>
      <c r="C108" s="60"/>
      <c r="D108" s="60"/>
      <c r="E108" s="60"/>
      <c r="F108" s="60"/>
      <c r="G108" s="60"/>
      <c r="H108" s="60"/>
      <c r="J108" s="33"/>
      <c r="K108" s="33"/>
      <c r="L108" s="33"/>
      <c r="M108" s="33"/>
      <c r="N108" s="33"/>
      <c r="O108" s="33"/>
      <c r="P108" s="33"/>
      <c r="Q108" s="33"/>
      <c r="R108" s="33"/>
    </row>
    <row r="109" spans="1:32" ht="13.2">
      <c r="A109" s="60"/>
      <c r="B109" s="60"/>
      <c r="C109" s="60"/>
      <c r="D109" s="60"/>
      <c r="E109" s="60"/>
      <c r="F109" s="60"/>
      <c r="G109" s="60"/>
      <c r="H109" s="60"/>
      <c r="J109" s="33"/>
      <c r="K109" s="33"/>
      <c r="L109" s="33"/>
      <c r="M109" s="33"/>
      <c r="N109" s="33"/>
      <c r="O109" s="33"/>
      <c r="P109" s="33"/>
      <c r="Q109" s="33"/>
      <c r="R109" s="33"/>
    </row>
    <row r="110" spans="1:32" ht="13.2">
      <c r="A110" s="60"/>
      <c r="B110" s="60"/>
      <c r="C110" s="60"/>
      <c r="D110" s="60"/>
      <c r="E110" s="60"/>
      <c r="F110" s="60"/>
      <c r="G110" s="60"/>
      <c r="H110" s="60"/>
      <c r="J110" s="33"/>
      <c r="K110" s="33"/>
      <c r="L110" s="33"/>
      <c r="M110" s="33"/>
      <c r="N110" s="33"/>
      <c r="O110" s="33"/>
      <c r="P110" s="33"/>
      <c r="Q110" s="33"/>
      <c r="R110" s="33"/>
    </row>
    <row r="111" spans="1:32" ht="13.2">
      <c r="A111" s="60"/>
      <c r="B111" s="60"/>
      <c r="C111" s="60"/>
      <c r="D111" s="60"/>
      <c r="E111" s="60"/>
      <c r="F111" s="60"/>
      <c r="G111" s="60"/>
      <c r="H111" s="60"/>
      <c r="J111" s="33"/>
      <c r="K111" s="33"/>
      <c r="L111" s="33"/>
      <c r="M111" s="33"/>
      <c r="N111" s="33"/>
      <c r="O111" s="33"/>
      <c r="P111" s="33"/>
      <c r="Q111" s="33"/>
      <c r="R111" s="33"/>
    </row>
    <row r="112" spans="1:32" ht="13.2">
      <c r="A112" s="60"/>
      <c r="B112" s="60"/>
      <c r="C112" s="60"/>
      <c r="D112" s="60"/>
      <c r="E112" s="60"/>
      <c r="F112" s="60"/>
      <c r="G112" s="60"/>
      <c r="H112" s="60"/>
      <c r="J112" s="33"/>
      <c r="K112" s="33"/>
      <c r="L112" s="33"/>
      <c r="M112" s="33"/>
      <c r="N112" s="33"/>
      <c r="O112" s="33"/>
      <c r="P112" s="33"/>
      <c r="Q112" s="33"/>
      <c r="R112" s="33"/>
    </row>
    <row r="113" spans="1:18" ht="13.2">
      <c r="A113" s="60"/>
      <c r="B113" s="60"/>
      <c r="C113" s="60"/>
      <c r="D113" s="60"/>
      <c r="E113" s="60"/>
      <c r="F113" s="60"/>
      <c r="G113" s="60"/>
      <c r="H113" s="60"/>
      <c r="J113" s="33"/>
      <c r="K113" s="33"/>
      <c r="L113" s="33"/>
      <c r="M113" s="33"/>
      <c r="N113" s="33"/>
      <c r="O113" s="33"/>
      <c r="P113" s="33"/>
      <c r="Q113" s="33"/>
      <c r="R113" s="33"/>
    </row>
    <row r="114" spans="1:18" ht="13.2">
      <c r="A114" s="60"/>
      <c r="B114" s="60"/>
      <c r="C114" s="60"/>
      <c r="D114" s="60"/>
      <c r="E114" s="60"/>
      <c r="F114" s="60"/>
      <c r="G114" s="60"/>
      <c r="H114" s="60"/>
      <c r="J114" s="33"/>
      <c r="K114" s="33"/>
      <c r="L114" s="33"/>
      <c r="M114" s="33"/>
      <c r="N114" s="33"/>
      <c r="O114" s="33"/>
      <c r="P114" s="33"/>
      <c r="Q114" s="33"/>
      <c r="R114" s="33"/>
    </row>
    <row r="115" spans="1:18" ht="13.2">
      <c r="A115" s="60"/>
      <c r="B115" s="60"/>
      <c r="C115" s="60"/>
      <c r="D115" s="60"/>
      <c r="E115" s="60"/>
      <c r="F115" s="60"/>
      <c r="G115" s="60"/>
      <c r="H115" s="60"/>
      <c r="J115" s="33"/>
      <c r="K115" s="33"/>
      <c r="L115" s="33"/>
      <c r="M115" s="33"/>
      <c r="N115" s="33"/>
      <c r="O115" s="33"/>
      <c r="P115" s="33"/>
      <c r="Q115" s="33"/>
      <c r="R115" s="33"/>
    </row>
    <row r="116" spans="1:18" ht="13.2">
      <c r="A116" s="60"/>
      <c r="B116" s="60"/>
      <c r="C116" s="60"/>
      <c r="D116" s="60"/>
      <c r="E116" s="60"/>
      <c r="F116" s="60"/>
      <c r="G116" s="60"/>
      <c r="H116" s="60"/>
      <c r="J116" s="33"/>
      <c r="K116" s="33"/>
      <c r="L116" s="33"/>
      <c r="M116" s="33"/>
      <c r="N116" s="33"/>
      <c r="O116" s="33"/>
      <c r="P116" s="33"/>
      <c r="Q116" s="33"/>
      <c r="R116" s="33"/>
    </row>
    <row r="117" spans="1:18" ht="13.2">
      <c r="A117" s="60"/>
      <c r="B117" s="60"/>
      <c r="C117" s="60"/>
      <c r="D117" s="60"/>
      <c r="E117" s="60"/>
      <c r="F117" s="60"/>
      <c r="G117" s="60"/>
      <c r="H117" s="60"/>
      <c r="J117" s="33"/>
      <c r="K117" s="33"/>
      <c r="L117" s="33"/>
      <c r="M117" s="33"/>
      <c r="N117" s="33"/>
      <c r="O117" s="33"/>
      <c r="P117" s="33"/>
      <c r="Q117" s="33"/>
      <c r="R117" s="33"/>
    </row>
    <row r="118" spans="1:18" ht="13.2">
      <c r="A118" s="60"/>
      <c r="B118" s="60"/>
      <c r="C118" s="60"/>
      <c r="D118" s="60"/>
      <c r="E118" s="60"/>
      <c r="F118" s="60"/>
      <c r="G118" s="60"/>
      <c r="H118" s="60"/>
      <c r="J118" s="33"/>
      <c r="K118" s="33"/>
      <c r="L118" s="33"/>
      <c r="M118" s="33"/>
      <c r="N118" s="33"/>
      <c r="O118" s="33"/>
      <c r="P118" s="33"/>
      <c r="Q118" s="33"/>
      <c r="R118" s="33"/>
    </row>
    <row r="119" spans="1:18" ht="13.2">
      <c r="A119" s="60"/>
      <c r="B119" s="60"/>
      <c r="C119" s="60"/>
      <c r="D119" s="60"/>
      <c r="E119" s="60"/>
      <c r="F119" s="60"/>
      <c r="G119" s="60"/>
      <c r="H119" s="60"/>
      <c r="J119" s="33"/>
      <c r="K119" s="33"/>
      <c r="L119" s="33"/>
      <c r="M119" s="33"/>
      <c r="N119" s="33"/>
      <c r="O119" s="33"/>
      <c r="P119" s="33"/>
      <c r="Q119" s="33"/>
      <c r="R119" s="33"/>
    </row>
    <row r="120" spans="1:18" ht="13.2">
      <c r="A120" s="60"/>
      <c r="B120" s="60"/>
      <c r="C120" s="60"/>
      <c r="D120" s="60"/>
      <c r="E120" s="60"/>
      <c r="F120" s="60"/>
      <c r="G120" s="60"/>
      <c r="H120" s="60"/>
      <c r="J120" s="33"/>
      <c r="K120" s="33"/>
      <c r="L120" s="33"/>
      <c r="M120" s="33"/>
      <c r="N120" s="33"/>
      <c r="O120" s="33"/>
      <c r="P120" s="33"/>
      <c r="Q120" s="33"/>
      <c r="R120" s="33"/>
    </row>
    <row r="121" spans="1:18" ht="13.2">
      <c r="A121" s="60"/>
      <c r="B121" s="60"/>
      <c r="C121" s="60"/>
      <c r="D121" s="60"/>
      <c r="E121" s="60"/>
      <c r="F121" s="60"/>
      <c r="G121" s="60"/>
      <c r="H121" s="60"/>
      <c r="J121" s="33"/>
      <c r="K121" s="33"/>
      <c r="L121" s="33"/>
      <c r="M121" s="33"/>
      <c r="N121" s="33"/>
      <c r="O121" s="33"/>
      <c r="P121" s="33"/>
      <c r="Q121" s="33"/>
      <c r="R121" s="33"/>
    </row>
    <row r="122" spans="1:18" ht="13.2">
      <c r="A122" s="60"/>
      <c r="B122" s="60"/>
      <c r="C122" s="60"/>
      <c r="D122" s="60"/>
      <c r="E122" s="60"/>
      <c r="F122" s="60"/>
      <c r="G122" s="60"/>
      <c r="H122" s="60"/>
      <c r="J122" s="33"/>
      <c r="K122" s="33"/>
      <c r="L122" s="33"/>
      <c r="M122" s="33"/>
      <c r="N122" s="33"/>
      <c r="O122" s="33"/>
      <c r="P122" s="33"/>
      <c r="Q122" s="33"/>
      <c r="R122" s="33"/>
    </row>
    <row r="123" spans="1:18" ht="13.2">
      <c r="A123" s="60"/>
      <c r="B123" s="60"/>
      <c r="C123" s="60"/>
      <c r="D123" s="60"/>
      <c r="E123" s="60"/>
      <c r="F123" s="60"/>
      <c r="G123" s="60"/>
      <c r="H123" s="60"/>
      <c r="J123" s="33"/>
      <c r="K123" s="33"/>
      <c r="L123" s="33"/>
      <c r="M123" s="33"/>
      <c r="N123" s="33"/>
      <c r="O123" s="33"/>
      <c r="P123" s="33"/>
      <c r="Q123" s="33"/>
      <c r="R123" s="33"/>
    </row>
    <row r="124" spans="1:18" ht="13.2">
      <c r="A124" s="60"/>
      <c r="B124" s="60"/>
      <c r="C124" s="60"/>
      <c r="D124" s="60"/>
      <c r="E124" s="60"/>
      <c r="F124" s="60"/>
      <c r="G124" s="60"/>
      <c r="H124" s="60"/>
      <c r="J124" s="33"/>
      <c r="K124" s="33"/>
      <c r="L124" s="33"/>
      <c r="M124" s="33"/>
      <c r="N124" s="33"/>
      <c r="O124" s="33"/>
      <c r="P124" s="33"/>
      <c r="Q124" s="33"/>
      <c r="R124" s="33"/>
    </row>
    <row r="125" spans="1:18" ht="13.2">
      <c r="A125" s="60"/>
      <c r="B125" s="60"/>
      <c r="C125" s="60"/>
      <c r="D125" s="60"/>
      <c r="E125" s="60"/>
      <c r="F125" s="60"/>
      <c r="G125" s="60"/>
      <c r="H125" s="60"/>
      <c r="J125" s="33"/>
      <c r="K125" s="33"/>
      <c r="L125" s="33"/>
      <c r="M125" s="33"/>
      <c r="N125" s="33"/>
      <c r="O125" s="33"/>
      <c r="P125" s="33"/>
      <c r="Q125" s="33"/>
      <c r="R125" s="33"/>
    </row>
    <row r="126" spans="1:18" ht="13.2">
      <c r="A126" s="60"/>
      <c r="B126" s="60"/>
      <c r="C126" s="60"/>
      <c r="D126" s="60"/>
      <c r="E126" s="60"/>
      <c r="F126" s="60"/>
      <c r="G126" s="60"/>
      <c r="H126" s="60"/>
      <c r="J126" s="33"/>
      <c r="K126" s="33"/>
      <c r="L126" s="33"/>
      <c r="M126" s="33"/>
      <c r="N126" s="33"/>
      <c r="O126" s="33"/>
      <c r="P126" s="33"/>
      <c r="Q126" s="33"/>
      <c r="R126" s="33"/>
    </row>
    <row r="127" spans="1:18" ht="13.2">
      <c r="A127" s="60"/>
      <c r="B127" s="60"/>
      <c r="C127" s="60"/>
      <c r="D127" s="60"/>
      <c r="E127" s="60"/>
      <c r="F127" s="60"/>
      <c r="G127" s="60"/>
      <c r="H127" s="60"/>
      <c r="J127" s="33"/>
      <c r="K127" s="33"/>
      <c r="L127" s="33"/>
      <c r="M127" s="33"/>
      <c r="N127" s="33"/>
      <c r="O127" s="33"/>
      <c r="P127" s="33"/>
      <c r="Q127" s="33"/>
      <c r="R127" s="33"/>
    </row>
    <row r="128" spans="1:18" ht="13.2">
      <c r="A128" s="60"/>
      <c r="B128" s="60"/>
      <c r="C128" s="60"/>
      <c r="D128" s="60"/>
      <c r="E128" s="60"/>
      <c r="F128" s="60"/>
      <c r="G128" s="60"/>
      <c r="H128" s="60"/>
      <c r="J128" s="33"/>
      <c r="K128" s="33"/>
      <c r="L128" s="33"/>
      <c r="M128" s="33"/>
      <c r="N128" s="33"/>
      <c r="O128" s="33"/>
      <c r="P128" s="33"/>
      <c r="Q128" s="33"/>
      <c r="R128" s="33"/>
    </row>
    <row r="129" spans="1:18" ht="13.2">
      <c r="A129" s="60"/>
      <c r="B129" s="60"/>
      <c r="C129" s="60"/>
      <c r="D129" s="60"/>
      <c r="E129" s="60"/>
      <c r="F129" s="60"/>
      <c r="G129" s="60"/>
      <c r="H129" s="60"/>
      <c r="J129" s="33"/>
      <c r="K129" s="33"/>
      <c r="L129" s="33"/>
      <c r="M129" s="33"/>
      <c r="N129" s="33"/>
      <c r="O129" s="33"/>
      <c r="P129" s="33"/>
      <c r="Q129" s="33"/>
      <c r="R129" s="33"/>
    </row>
    <row r="130" spans="1:18" ht="13.2">
      <c r="A130" s="60"/>
      <c r="B130" s="60"/>
      <c r="C130" s="60"/>
      <c r="D130" s="60"/>
      <c r="E130" s="60"/>
      <c r="F130" s="60"/>
      <c r="G130" s="60"/>
      <c r="H130" s="60"/>
      <c r="J130" s="33"/>
      <c r="K130" s="33"/>
      <c r="L130" s="33"/>
      <c r="M130" s="33"/>
      <c r="N130" s="33"/>
      <c r="O130" s="33"/>
      <c r="P130" s="33"/>
      <c r="Q130" s="33"/>
      <c r="R130" s="33"/>
    </row>
    <row r="131" spans="1:18" ht="13.2">
      <c r="A131" s="60"/>
      <c r="B131" s="60"/>
      <c r="C131" s="60"/>
      <c r="D131" s="60"/>
      <c r="E131" s="60"/>
      <c r="F131" s="60"/>
      <c r="G131" s="60"/>
      <c r="H131" s="60"/>
      <c r="J131" s="33"/>
      <c r="K131" s="33"/>
      <c r="L131" s="33"/>
      <c r="M131" s="33"/>
      <c r="N131" s="33"/>
      <c r="O131" s="33"/>
      <c r="P131" s="33"/>
      <c r="Q131" s="33"/>
      <c r="R131" s="33"/>
    </row>
    <row r="132" spans="1:18" ht="13.2">
      <c r="A132" s="60"/>
      <c r="B132" s="60"/>
      <c r="C132" s="60"/>
      <c r="D132" s="60"/>
      <c r="E132" s="60"/>
      <c r="F132" s="60"/>
      <c r="G132" s="60"/>
      <c r="H132" s="60"/>
      <c r="J132" s="33"/>
      <c r="K132" s="33"/>
      <c r="L132" s="33"/>
      <c r="M132" s="33"/>
      <c r="N132" s="33"/>
      <c r="O132" s="33"/>
      <c r="P132" s="33"/>
      <c r="Q132" s="33"/>
      <c r="R132" s="33"/>
    </row>
    <row r="133" spans="1:18">
      <c r="J133" s="33"/>
      <c r="K133" s="33"/>
      <c r="L133" s="33"/>
      <c r="M133" s="33"/>
      <c r="N133" s="33"/>
      <c r="O133" s="33"/>
      <c r="P133" s="33"/>
      <c r="Q133" s="33"/>
      <c r="R133" s="33"/>
    </row>
    <row r="134" spans="1:18">
      <c r="J134" s="33"/>
      <c r="K134" s="33"/>
      <c r="L134" s="33"/>
      <c r="M134" s="33"/>
      <c r="N134" s="33"/>
      <c r="O134" s="33"/>
      <c r="P134" s="33"/>
      <c r="Q134" s="33"/>
      <c r="R134" s="33"/>
    </row>
    <row r="135" spans="1:18">
      <c r="J135" s="33"/>
      <c r="K135" s="33"/>
      <c r="L135" s="33"/>
      <c r="M135" s="33"/>
      <c r="N135" s="33"/>
      <c r="O135" s="33"/>
      <c r="P135" s="33"/>
      <c r="Q135" s="33"/>
      <c r="R135" s="33"/>
    </row>
    <row r="136" spans="1:18">
      <c r="J136" s="33"/>
      <c r="K136" s="33"/>
      <c r="L136" s="33"/>
      <c r="M136" s="33"/>
      <c r="N136" s="33"/>
      <c r="O136" s="33"/>
      <c r="P136" s="33"/>
      <c r="Q136" s="33"/>
      <c r="R136" s="33"/>
    </row>
    <row r="137" spans="1:18">
      <c r="J137" s="33"/>
      <c r="K137" s="33"/>
      <c r="L137" s="33"/>
      <c r="M137" s="33"/>
      <c r="N137" s="33"/>
      <c r="O137" s="33"/>
      <c r="P137" s="33"/>
      <c r="Q137" s="33"/>
      <c r="R137" s="33"/>
    </row>
    <row r="138" spans="1:18">
      <c r="J138" s="33"/>
      <c r="K138" s="33"/>
      <c r="L138" s="33"/>
      <c r="M138" s="33"/>
      <c r="N138" s="33"/>
      <c r="O138" s="33"/>
      <c r="P138" s="33"/>
      <c r="Q138" s="33"/>
      <c r="R138" s="33"/>
    </row>
    <row r="139" spans="1:18">
      <c r="J139" s="33"/>
      <c r="K139" s="33"/>
      <c r="L139" s="33"/>
      <c r="M139" s="33"/>
      <c r="N139" s="33"/>
      <c r="O139" s="33"/>
      <c r="P139" s="33"/>
      <c r="Q139" s="33"/>
      <c r="R139" s="33"/>
    </row>
    <row r="140" spans="1:18">
      <c r="J140" s="33"/>
      <c r="K140" s="33"/>
      <c r="L140" s="33"/>
      <c r="M140" s="33"/>
      <c r="N140" s="33"/>
      <c r="O140" s="33"/>
      <c r="P140" s="33"/>
      <c r="Q140" s="33"/>
      <c r="R140" s="33"/>
    </row>
    <row r="141" spans="1:18">
      <c r="J141" s="33"/>
      <c r="K141" s="33"/>
      <c r="L141" s="33"/>
      <c r="M141" s="33"/>
      <c r="N141" s="33"/>
      <c r="O141" s="33"/>
      <c r="P141" s="33"/>
      <c r="Q141" s="33"/>
      <c r="R141" s="33"/>
    </row>
    <row r="142" spans="1:18">
      <c r="J142" s="33"/>
      <c r="K142" s="33"/>
      <c r="L142" s="33"/>
      <c r="M142" s="33"/>
      <c r="N142" s="33"/>
      <c r="O142" s="33"/>
      <c r="P142" s="33"/>
      <c r="Q142" s="33"/>
      <c r="R142" s="33"/>
    </row>
    <row r="143" spans="1:18">
      <c r="J143" s="33"/>
      <c r="K143" s="33"/>
      <c r="L143" s="33"/>
      <c r="M143" s="33"/>
      <c r="N143" s="33"/>
      <c r="O143" s="33"/>
      <c r="P143" s="33"/>
      <c r="Q143" s="33"/>
      <c r="R143" s="33"/>
    </row>
    <row r="144" spans="1:18">
      <c r="J144" s="33"/>
      <c r="K144" s="33"/>
      <c r="L144" s="33"/>
      <c r="M144" s="33"/>
      <c r="N144" s="33"/>
      <c r="O144" s="33"/>
      <c r="P144" s="33"/>
      <c r="Q144" s="33"/>
      <c r="R144" s="33"/>
    </row>
    <row r="145" spans="10:18">
      <c r="J145" s="33"/>
      <c r="K145" s="33"/>
      <c r="L145" s="33"/>
      <c r="M145" s="33"/>
      <c r="N145" s="33"/>
      <c r="O145" s="33"/>
      <c r="P145" s="33"/>
      <c r="Q145" s="33"/>
      <c r="R145" s="33"/>
    </row>
    <row r="146" spans="10:18">
      <c r="J146" s="33"/>
      <c r="K146" s="33"/>
      <c r="L146" s="33"/>
      <c r="M146" s="33"/>
      <c r="N146" s="33"/>
      <c r="O146" s="33"/>
      <c r="P146" s="33"/>
      <c r="Q146" s="33"/>
      <c r="R146" s="33"/>
    </row>
    <row r="147" spans="10:18">
      <c r="J147" s="33"/>
      <c r="K147" s="33"/>
      <c r="L147" s="33"/>
      <c r="M147" s="33"/>
      <c r="N147" s="33"/>
      <c r="O147" s="33"/>
      <c r="P147" s="33"/>
      <c r="Q147" s="33"/>
      <c r="R147" s="33"/>
    </row>
    <row r="148" spans="10:18">
      <c r="J148" s="33"/>
      <c r="K148" s="33"/>
      <c r="L148" s="33"/>
      <c r="M148" s="33"/>
      <c r="N148" s="33"/>
      <c r="O148" s="33"/>
      <c r="P148" s="33"/>
      <c r="Q148" s="33"/>
      <c r="R148" s="33"/>
    </row>
    <row r="149" spans="10:18">
      <c r="J149" s="33"/>
      <c r="K149" s="33"/>
      <c r="L149" s="33"/>
      <c r="M149" s="33"/>
      <c r="N149" s="33"/>
      <c r="O149" s="33"/>
      <c r="P149" s="33"/>
      <c r="Q149" s="33"/>
      <c r="R149" s="33"/>
    </row>
    <row r="150" spans="10:18">
      <c r="J150" s="33"/>
      <c r="K150" s="33"/>
      <c r="L150" s="33"/>
      <c r="M150" s="33"/>
      <c r="N150" s="33"/>
      <c r="O150" s="33"/>
      <c r="P150" s="33"/>
      <c r="Q150" s="33"/>
      <c r="R150" s="33"/>
    </row>
    <row r="151" spans="10:18">
      <c r="J151" s="33"/>
      <c r="K151" s="33"/>
      <c r="L151" s="33"/>
      <c r="M151" s="33"/>
      <c r="N151" s="33"/>
      <c r="O151" s="33"/>
      <c r="P151" s="33"/>
      <c r="Q151" s="33"/>
      <c r="R151" s="33"/>
    </row>
    <row r="152" spans="10:18">
      <c r="J152" s="33"/>
      <c r="K152" s="33"/>
      <c r="L152" s="33"/>
      <c r="M152" s="33"/>
      <c r="N152" s="33"/>
      <c r="O152" s="33"/>
      <c r="P152" s="33"/>
      <c r="Q152" s="33"/>
      <c r="R152" s="33"/>
    </row>
    <row r="153" spans="10:18">
      <c r="J153" s="33"/>
      <c r="K153" s="33"/>
      <c r="L153" s="33"/>
      <c r="M153" s="33"/>
      <c r="N153" s="33"/>
      <c r="O153" s="33"/>
      <c r="P153" s="33"/>
      <c r="Q153" s="33"/>
      <c r="R153" s="33"/>
    </row>
    <row r="154" spans="10:18">
      <c r="J154" s="33"/>
      <c r="K154" s="33"/>
      <c r="L154" s="33"/>
      <c r="M154" s="33"/>
      <c r="N154" s="33"/>
      <c r="O154" s="33"/>
      <c r="P154" s="33"/>
      <c r="Q154" s="33"/>
      <c r="R154" s="33"/>
    </row>
    <row r="155" spans="10:18">
      <c r="J155" s="33"/>
      <c r="K155" s="33"/>
      <c r="L155" s="33"/>
      <c r="M155" s="33"/>
      <c r="N155" s="33"/>
      <c r="O155" s="33"/>
      <c r="P155" s="33"/>
      <c r="Q155" s="33"/>
      <c r="R155" s="33"/>
    </row>
    <row r="156" spans="10:18">
      <c r="J156" s="33"/>
      <c r="K156" s="33"/>
      <c r="L156" s="33"/>
      <c r="M156" s="33"/>
      <c r="N156" s="33"/>
      <c r="O156" s="33"/>
      <c r="P156" s="33"/>
      <c r="Q156" s="33"/>
      <c r="R156" s="33"/>
    </row>
    <row r="157" spans="10:18">
      <c r="J157" s="33"/>
      <c r="K157" s="33"/>
      <c r="L157" s="33"/>
      <c r="M157" s="33"/>
      <c r="N157" s="33"/>
      <c r="O157" s="33"/>
      <c r="P157" s="33"/>
      <c r="Q157" s="33"/>
      <c r="R157" s="33"/>
    </row>
    <row r="158" spans="10:18">
      <c r="J158" s="33"/>
      <c r="K158" s="33"/>
      <c r="L158" s="33"/>
      <c r="M158" s="33"/>
      <c r="N158" s="33"/>
      <c r="O158" s="33"/>
      <c r="P158" s="33"/>
      <c r="Q158" s="33"/>
      <c r="R158" s="33"/>
    </row>
    <row r="159" spans="10:18">
      <c r="J159" s="33"/>
      <c r="K159" s="33"/>
      <c r="L159" s="33"/>
      <c r="M159" s="33"/>
      <c r="N159" s="33"/>
      <c r="O159" s="33"/>
      <c r="P159" s="33"/>
      <c r="Q159" s="33"/>
      <c r="R159" s="33"/>
    </row>
    <row r="160" spans="10:18">
      <c r="J160" s="33"/>
      <c r="K160" s="33"/>
      <c r="L160" s="33"/>
      <c r="M160" s="33"/>
      <c r="N160" s="33"/>
      <c r="O160" s="33"/>
      <c r="P160" s="33"/>
      <c r="Q160" s="33"/>
      <c r="R160" s="33"/>
    </row>
    <row r="161" spans="5:18">
      <c r="J161" s="33"/>
      <c r="K161" s="33"/>
      <c r="L161" s="33"/>
      <c r="M161" s="33"/>
      <c r="N161" s="33"/>
      <c r="O161" s="33"/>
      <c r="P161" s="33"/>
      <c r="Q161" s="33"/>
      <c r="R161" s="33"/>
    </row>
    <row r="162" spans="5:18">
      <c r="J162" s="33"/>
      <c r="K162" s="33"/>
      <c r="L162" s="33"/>
      <c r="M162" s="33"/>
      <c r="N162" s="33"/>
      <c r="O162" s="33"/>
      <c r="P162" s="33"/>
      <c r="Q162" s="33"/>
      <c r="R162" s="33"/>
    </row>
    <row r="163" spans="5:18">
      <c r="J163" s="33"/>
      <c r="K163" s="33"/>
      <c r="L163" s="33"/>
      <c r="M163" s="33"/>
      <c r="N163" s="33"/>
      <c r="O163" s="33"/>
      <c r="P163" s="33"/>
      <c r="Q163" s="33"/>
      <c r="R163" s="33"/>
    </row>
    <row r="164" spans="5:18">
      <c r="J164" s="33"/>
      <c r="K164" s="33"/>
      <c r="L164" s="33"/>
      <c r="M164" s="33"/>
      <c r="N164" s="33"/>
      <c r="O164" s="33"/>
      <c r="P164" s="33"/>
      <c r="Q164" s="33"/>
      <c r="R164" s="33"/>
    </row>
    <row r="165" spans="5:18">
      <c r="E165" s="144"/>
      <c r="J165" s="33"/>
      <c r="K165" s="33"/>
      <c r="L165" s="33"/>
      <c r="M165" s="33"/>
      <c r="N165" s="33"/>
      <c r="O165" s="33"/>
      <c r="P165" s="33"/>
      <c r="Q165" s="33"/>
      <c r="R165" s="33"/>
    </row>
    <row r="166" spans="5:18">
      <c r="J166" s="33"/>
      <c r="K166" s="33"/>
      <c r="L166" s="33"/>
      <c r="M166" s="33"/>
      <c r="N166" s="33"/>
      <c r="O166" s="33"/>
      <c r="P166" s="33"/>
      <c r="Q166" s="33"/>
      <c r="R166" s="33"/>
    </row>
    <row r="167" spans="5:18">
      <c r="J167" s="33"/>
      <c r="K167" s="33"/>
      <c r="L167" s="33"/>
      <c r="M167" s="33"/>
      <c r="N167" s="33"/>
      <c r="O167" s="33"/>
      <c r="P167" s="33"/>
      <c r="Q167" s="33"/>
      <c r="R167" s="33"/>
    </row>
    <row r="168" spans="5:18">
      <c r="J168" s="33"/>
      <c r="K168" s="33"/>
      <c r="L168" s="33"/>
      <c r="M168" s="33"/>
      <c r="N168" s="33"/>
      <c r="O168" s="33"/>
      <c r="P168" s="33"/>
      <c r="Q168" s="33"/>
      <c r="R168" s="33"/>
    </row>
    <row r="169" spans="5:18">
      <c r="J169" s="33"/>
      <c r="K169" s="33"/>
      <c r="L169" s="33"/>
      <c r="M169" s="33"/>
      <c r="N169" s="33"/>
      <c r="O169" s="33"/>
      <c r="P169" s="33"/>
      <c r="Q169" s="33"/>
      <c r="R169" s="33"/>
    </row>
    <row r="170" spans="5:18">
      <c r="J170" s="33"/>
      <c r="K170" s="33"/>
      <c r="L170" s="33"/>
      <c r="M170" s="33"/>
      <c r="N170" s="33"/>
      <c r="O170" s="33"/>
      <c r="P170" s="33"/>
      <c r="Q170" s="33"/>
      <c r="R170" s="33"/>
    </row>
    <row r="171" spans="5:18">
      <c r="J171" s="33"/>
      <c r="K171" s="33"/>
      <c r="L171" s="33"/>
      <c r="M171" s="33"/>
      <c r="N171" s="33"/>
      <c r="O171" s="33"/>
      <c r="P171" s="33"/>
      <c r="Q171" s="33"/>
      <c r="R171" s="33"/>
    </row>
    <row r="172" spans="5:18">
      <c r="J172" s="33"/>
      <c r="K172" s="33"/>
      <c r="L172" s="33"/>
      <c r="M172" s="33"/>
      <c r="N172" s="33"/>
      <c r="O172" s="33"/>
      <c r="P172" s="33"/>
      <c r="Q172" s="33"/>
      <c r="R172" s="33"/>
    </row>
    <row r="173" spans="5:18">
      <c r="J173" s="33"/>
      <c r="K173" s="33"/>
      <c r="L173" s="33"/>
      <c r="M173" s="33"/>
      <c r="N173" s="33"/>
      <c r="O173" s="33"/>
      <c r="P173" s="33"/>
      <c r="Q173" s="33"/>
      <c r="R173" s="33"/>
    </row>
    <row r="174" spans="5:18">
      <c r="J174" s="33"/>
      <c r="K174" s="33"/>
      <c r="L174" s="33"/>
      <c r="M174" s="33"/>
      <c r="N174" s="33"/>
      <c r="O174" s="33"/>
      <c r="P174" s="33"/>
      <c r="Q174" s="33"/>
      <c r="R174" s="33"/>
    </row>
    <row r="175" spans="5:18">
      <c r="J175" s="33"/>
      <c r="K175" s="33"/>
      <c r="L175" s="33"/>
      <c r="M175" s="33"/>
      <c r="N175" s="33"/>
      <c r="O175" s="33"/>
      <c r="P175" s="33"/>
      <c r="Q175" s="33"/>
      <c r="R175" s="33"/>
    </row>
    <row r="176" spans="5:18">
      <c r="J176" s="33"/>
      <c r="K176" s="33"/>
      <c r="L176" s="33"/>
      <c r="M176" s="33"/>
      <c r="N176" s="33"/>
      <c r="O176" s="33"/>
      <c r="P176" s="33"/>
      <c r="Q176" s="33"/>
      <c r="R176" s="33"/>
    </row>
    <row r="177" spans="10:18">
      <c r="J177" s="33"/>
      <c r="K177" s="33"/>
      <c r="L177" s="33"/>
      <c r="M177" s="33"/>
      <c r="N177" s="33"/>
      <c r="O177" s="33"/>
      <c r="P177" s="33"/>
      <c r="Q177" s="33"/>
      <c r="R177" s="33"/>
    </row>
    <row r="178" spans="10:18">
      <c r="J178" s="33"/>
      <c r="K178" s="33"/>
      <c r="L178" s="33"/>
      <c r="M178" s="33"/>
      <c r="N178" s="33"/>
      <c r="O178" s="33"/>
      <c r="P178" s="33"/>
      <c r="Q178" s="33"/>
      <c r="R178" s="33"/>
    </row>
    <row r="179" spans="10:18">
      <c r="J179" s="33"/>
      <c r="K179" s="33"/>
      <c r="L179" s="33"/>
      <c r="M179" s="33"/>
      <c r="N179" s="33"/>
      <c r="O179" s="33"/>
      <c r="P179" s="33"/>
      <c r="Q179" s="33"/>
      <c r="R179" s="33"/>
    </row>
    <row r="180" spans="10:18">
      <c r="J180" s="33"/>
      <c r="K180" s="33"/>
      <c r="L180" s="33"/>
      <c r="M180" s="33"/>
      <c r="N180" s="33"/>
      <c r="O180" s="33"/>
      <c r="P180" s="33"/>
      <c r="Q180" s="33"/>
      <c r="R180" s="33"/>
    </row>
    <row r="181" spans="10:18">
      <c r="J181" s="33"/>
      <c r="K181" s="33"/>
      <c r="L181" s="33"/>
      <c r="M181" s="33"/>
      <c r="N181" s="33"/>
      <c r="O181" s="33"/>
      <c r="P181" s="33"/>
      <c r="Q181" s="33"/>
      <c r="R181" s="33"/>
    </row>
    <row r="182" spans="10:18">
      <c r="J182" s="33"/>
      <c r="K182" s="33"/>
      <c r="L182" s="33"/>
      <c r="M182" s="33"/>
      <c r="N182" s="33"/>
      <c r="O182" s="33"/>
      <c r="P182" s="33"/>
      <c r="Q182" s="33"/>
      <c r="R182" s="33"/>
    </row>
    <row r="183" spans="10:18">
      <c r="J183" s="33"/>
      <c r="K183" s="33"/>
      <c r="L183" s="33"/>
      <c r="M183" s="33"/>
      <c r="N183" s="33"/>
      <c r="O183" s="33"/>
      <c r="P183" s="33"/>
      <c r="Q183" s="33"/>
      <c r="R183" s="33"/>
    </row>
    <row r="184" spans="10:18">
      <c r="J184" s="33"/>
      <c r="K184" s="33"/>
      <c r="L184" s="33"/>
      <c r="M184" s="33"/>
      <c r="N184" s="33"/>
      <c r="O184" s="33"/>
      <c r="P184" s="33"/>
      <c r="Q184" s="33"/>
      <c r="R184" s="33"/>
    </row>
    <row r="185" spans="10:18">
      <c r="J185" s="33"/>
      <c r="K185" s="33"/>
      <c r="L185" s="33"/>
      <c r="M185" s="33"/>
      <c r="N185" s="33"/>
      <c r="O185" s="33"/>
      <c r="P185" s="33"/>
      <c r="Q185" s="33"/>
      <c r="R185" s="33"/>
    </row>
    <row r="186" spans="10:18">
      <c r="J186" s="33"/>
      <c r="K186" s="33"/>
      <c r="L186" s="33"/>
      <c r="M186" s="33"/>
      <c r="N186" s="33"/>
      <c r="O186" s="33"/>
      <c r="P186" s="33"/>
      <c r="Q186" s="33"/>
      <c r="R186" s="33"/>
    </row>
    <row r="187" spans="10:18">
      <c r="J187" s="33"/>
      <c r="K187" s="33"/>
      <c r="L187" s="33"/>
      <c r="M187" s="33"/>
      <c r="N187" s="33"/>
      <c r="O187" s="33"/>
      <c r="P187" s="33"/>
      <c r="Q187" s="33"/>
      <c r="R187" s="33"/>
    </row>
    <row r="188" spans="10:18">
      <c r="J188" s="33"/>
      <c r="K188" s="33"/>
      <c r="L188" s="33"/>
      <c r="M188" s="33"/>
      <c r="N188" s="33"/>
      <c r="O188" s="33"/>
      <c r="P188" s="33"/>
      <c r="Q188" s="33"/>
      <c r="R188" s="33"/>
    </row>
    <row r="189" spans="10:18">
      <c r="J189" s="33"/>
      <c r="K189" s="33"/>
      <c r="L189" s="33"/>
      <c r="M189" s="33"/>
      <c r="N189" s="33"/>
      <c r="O189" s="33"/>
      <c r="P189" s="33"/>
      <c r="Q189" s="33"/>
      <c r="R189" s="33"/>
    </row>
    <row r="190" spans="10:18">
      <c r="J190" s="33"/>
      <c r="K190" s="33"/>
      <c r="L190" s="33"/>
      <c r="M190" s="33"/>
      <c r="N190" s="33"/>
      <c r="O190" s="33"/>
      <c r="P190" s="33"/>
      <c r="Q190" s="33"/>
      <c r="R190" s="33"/>
    </row>
    <row r="191" spans="10:18">
      <c r="J191" s="33"/>
      <c r="K191" s="33"/>
      <c r="L191" s="33"/>
      <c r="M191" s="33"/>
      <c r="N191" s="33"/>
      <c r="O191" s="33"/>
      <c r="P191" s="33"/>
      <c r="Q191" s="33"/>
      <c r="R191" s="33"/>
    </row>
    <row r="192" spans="10:18">
      <c r="J192" s="33"/>
      <c r="K192" s="33"/>
      <c r="L192" s="33"/>
      <c r="M192" s="33"/>
      <c r="N192" s="33"/>
      <c r="O192" s="33"/>
      <c r="P192" s="33"/>
      <c r="Q192" s="33"/>
      <c r="R192" s="33"/>
    </row>
    <row r="193" spans="10:18">
      <c r="J193" s="33"/>
      <c r="K193" s="33"/>
      <c r="L193" s="33"/>
      <c r="M193" s="33"/>
      <c r="N193" s="33"/>
      <c r="O193" s="33"/>
      <c r="P193" s="33"/>
      <c r="Q193" s="33"/>
      <c r="R193" s="33"/>
    </row>
    <row r="194" spans="10:18">
      <c r="J194" s="33"/>
      <c r="K194" s="33"/>
      <c r="L194" s="33"/>
      <c r="M194" s="33"/>
      <c r="N194" s="33"/>
      <c r="O194" s="33"/>
      <c r="P194" s="33"/>
      <c r="Q194" s="33"/>
      <c r="R194" s="33"/>
    </row>
    <row r="195" spans="10:18">
      <c r="J195" s="33"/>
      <c r="K195" s="33"/>
      <c r="L195" s="33"/>
      <c r="M195" s="33"/>
      <c r="N195" s="33"/>
      <c r="O195" s="33"/>
      <c r="P195" s="33"/>
      <c r="Q195" s="33"/>
      <c r="R195" s="33"/>
    </row>
    <row r="196" spans="10:18">
      <c r="J196" s="33"/>
      <c r="K196" s="33"/>
      <c r="L196" s="33"/>
      <c r="M196" s="33"/>
      <c r="N196" s="33"/>
      <c r="O196" s="33"/>
      <c r="P196" s="33"/>
      <c r="Q196" s="33"/>
      <c r="R196" s="33"/>
    </row>
    <row r="197" spans="10:18">
      <c r="J197" s="33"/>
      <c r="K197" s="33"/>
      <c r="L197" s="33"/>
      <c r="M197" s="33"/>
      <c r="N197" s="33"/>
      <c r="O197" s="33"/>
      <c r="P197" s="33"/>
      <c r="Q197" s="33"/>
      <c r="R197" s="33"/>
    </row>
    <row r="198" spans="10:18">
      <c r="J198" s="33"/>
      <c r="K198" s="33"/>
      <c r="L198" s="33"/>
      <c r="M198" s="33"/>
      <c r="N198" s="33"/>
      <c r="O198" s="33"/>
      <c r="P198" s="33"/>
      <c r="Q198" s="33"/>
      <c r="R198" s="33"/>
    </row>
    <row r="199" spans="10:18">
      <c r="J199" s="33"/>
      <c r="K199" s="33"/>
      <c r="L199" s="33"/>
      <c r="M199" s="33"/>
      <c r="N199" s="33"/>
      <c r="O199" s="33"/>
      <c r="P199" s="33"/>
      <c r="Q199" s="33"/>
      <c r="R199" s="33"/>
    </row>
    <row r="200" spans="10:18">
      <c r="J200" s="33"/>
      <c r="K200" s="33"/>
      <c r="L200" s="33"/>
      <c r="M200" s="33"/>
      <c r="N200" s="33"/>
      <c r="O200" s="33"/>
      <c r="P200" s="33"/>
      <c r="Q200" s="33"/>
      <c r="R200" s="33"/>
    </row>
    <row r="201" spans="10:18">
      <c r="J201" s="33"/>
      <c r="K201" s="33"/>
      <c r="L201" s="33"/>
      <c r="M201" s="33"/>
      <c r="N201" s="33"/>
      <c r="O201" s="33"/>
      <c r="P201" s="33"/>
      <c r="Q201" s="33"/>
      <c r="R201" s="33"/>
    </row>
    <row r="202" spans="10:18">
      <c r="J202" s="33"/>
      <c r="K202" s="33"/>
      <c r="L202" s="33"/>
      <c r="M202" s="33"/>
      <c r="N202" s="33"/>
      <c r="O202" s="33"/>
      <c r="P202" s="33"/>
      <c r="Q202" s="33"/>
      <c r="R202" s="33"/>
    </row>
    <row r="203" spans="10:18">
      <c r="J203" s="33"/>
      <c r="K203" s="33"/>
      <c r="L203" s="33"/>
      <c r="M203" s="33"/>
      <c r="N203" s="33"/>
      <c r="O203" s="33"/>
      <c r="P203" s="33"/>
      <c r="Q203" s="33"/>
      <c r="R203" s="33"/>
    </row>
    <row r="204" spans="10:18">
      <c r="J204" s="33"/>
      <c r="K204" s="33"/>
      <c r="L204" s="33"/>
      <c r="M204" s="33"/>
      <c r="N204" s="33"/>
      <c r="O204" s="33"/>
      <c r="P204" s="33"/>
      <c r="Q204" s="33"/>
      <c r="R204" s="33"/>
    </row>
    <row r="205" spans="10:18">
      <c r="J205" s="33"/>
      <c r="K205" s="33"/>
      <c r="L205" s="33"/>
      <c r="M205" s="33"/>
      <c r="N205" s="33"/>
      <c r="O205" s="33"/>
      <c r="P205" s="33"/>
      <c r="Q205" s="33"/>
      <c r="R205" s="33"/>
    </row>
    <row r="206" spans="10:18">
      <c r="J206" s="33"/>
      <c r="K206" s="33"/>
      <c r="L206" s="33"/>
      <c r="M206" s="33"/>
      <c r="N206" s="33"/>
      <c r="O206" s="33"/>
      <c r="P206" s="33"/>
      <c r="Q206" s="33"/>
      <c r="R206" s="33"/>
    </row>
    <row r="207" spans="10:18">
      <c r="J207" s="33"/>
      <c r="K207" s="33"/>
      <c r="L207" s="33"/>
      <c r="M207" s="33"/>
      <c r="N207" s="33"/>
      <c r="O207" s="33"/>
      <c r="P207" s="33"/>
      <c r="Q207" s="33"/>
      <c r="R207" s="33"/>
    </row>
    <row r="208" spans="10:18">
      <c r="J208" s="33"/>
      <c r="K208" s="33"/>
      <c r="L208" s="33"/>
      <c r="M208" s="33"/>
      <c r="N208" s="33"/>
      <c r="O208" s="33"/>
      <c r="P208" s="33"/>
      <c r="Q208" s="33"/>
      <c r="R208" s="33"/>
    </row>
    <row r="209" spans="10:18">
      <c r="J209" s="33"/>
      <c r="K209" s="33"/>
      <c r="L209" s="33"/>
      <c r="M209" s="33"/>
      <c r="N209" s="33"/>
      <c r="O209" s="33"/>
      <c r="P209" s="33"/>
      <c r="Q209" s="33"/>
      <c r="R209" s="33"/>
    </row>
    <row r="210" spans="10:18">
      <c r="J210" s="33"/>
      <c r="K210" s="33"/>
      <c r="L210" s="33"/>
      <c r="M210" s="33"/>
      <c r="N210" s="33"/>
      <c r="O210" s="33"/>
      <c r="P210" s="33"/>
      <c r="Q210" s="33"/>
      <c r="R210" s="33"/>
    </row>
    <row r="211" spans="10:18">
      <c r="J211" s="33"/>
      <c r="K211" s="33"/>
      <c r="L211" s="33"/>
      <c r="M211" s="33"/>
      <c r="N211" s="33"/>
      <c r="O211" s="33"/>
      <c r="P211" s="33"/>
      <c r="Q211" s="33"/>
      <c r="R211" s="33"/>
    </row>
    <row r="212" spans="10:18">
      <c r="J212" s="33"/>
      <c r="K212" s="33"/>
      <c r="L212" s="33"/>
      <c r="M212" s="33"/>
      <c r="N212" s="33"/>
      <c r="O212" s="33"/>
      <c r="P212" s="33"/>
      <c r="Q212" s="33"/>
      <c r="R212" s="33"/>
    </row>
    <row r="213" spans="10:18">
      <c r="J213" s="33"/>
      <c r="K213" s="33"/>
      <c r="L213" s="33"/>
      <c r="M213" s="33"/>
      <c r="N213" s="33"/>
      <c r="O213" s="33"/>
      <c r="P213" s="33"/>
      <c r="Q213" s="33"/>
      <c r="R213" s="33"/>
    </row>
    <row r="214" spans="10:18">
      <c r="J214" s="33"/>
      <c r="K214" s="33"/>
      <c r="L214" s="33"/>
      <c r="M214" s="33"/>
      <c r="N214" s="33"/>
      <c r="O214" s="33"/>
      <c r="P214" s="33"/>
      <c r="Q214" s="33"/>
      <c r="R214" s="33"/>
    </row>
    <row r="215" spans="10:18">
      <c r="J215" s="33"/>
      <c r="K215" s="33"/>
      <c r="L215" s="33"/>
      <c r="M215" s="33"/>
      <c r="N215" s="33"/>
      <c r="O215" s="33"/>
      <c r="P215" s="33"/>
      <c r="Q215" s="33"/>
      <c r="R215" s="33"/>
    </row>
    <row r="216" spans="10:18">
      <c r="J216" s="33"/>
      <c r="K216" s="33"/>
      <c r="L216" s="33"/>
      <c r="M216" s="33"/>
      <c r="N216" s="33"/>
      <c r="O216" s="33"/>
      <c r="P216" s="33"/>
      <c r="Q216" s="33"/>
      <c r="R216" s="33"/>
    </row>
    <row r="217" spans="10:18">
      <c r="J217" s="33"/>
      <c r="K217" s="33"/>
      <c r="L217" s="33"/>
      <c r="M217" s="33"/>
      <c r="N217" s="33"/>
      <c r="O217" s="33"/>
      <c r="P217" s="33"/>
      <c r="Q217" s="33"/>
      <c r="R217" s="33"/>
    </row>
    <row r="218" spans="10:18">
      <c r="J218" s="33"/>
      <c r="K218" s="33"/>
      <c r="L218" s="33"/>
      <c r="M218" s="33"/>
      <c r="N218" s="33"/>
      <c r="O218" s="33"/>
      <c r="P218" s="33"/>
      <c r="Q218" s="33"/>
      <c r="R218" s="33"/>
    </row>
    <row r="219" spans="10:18">
      <c r="J219" s="33"/>
      <c r="K219" s="33"/>
      <c r="L219" s="33"/>
      <c r="M219" s="33"/>
      <c r="N219" s="33"/>
      <c r="O219" s="33"/>
      <c r="P219" s="33"/>
      <c r="Q219" s="33"/>
      <c r="R219" s="33"/>
    </row>
    <row r="220" spans="10:18">
      <c r="J220" s="33"/>
      <c r="K220" s="33"/>
      <c r="L220" s="33"/>
      <c r="M220" s="33"/>
      <c r="N220" s="33"/>
      <c r="O220" s="33"/>
      <c r="P220" s="33"/>
      <c r="Q220" s="33"/>
      <c r="R220" s="33"/>
    </row>
    <row r="221" spans="10:18">
      <c r="J221" s="33"/>
      <c r="K221" s="33"/>
      <c r="L221" s="33"/>
      <c r="M221" s="33"/>
      <c r="N221" s="33"/>
      <c r="O221" s="33"/>
      <c r="P221" s="33"/>
      <c r="Q221" s="33"/>
      <c r="R221" s="33"/>
    </row>
    <row r="222" spans="10:18">
      <c r="J222" s="33"/>
      <c r="K222" s="33"/>
      <c r="L222" s="33"/>
      <c r="M222" s="33"/>
      <c r="N222" s="33"/>
      <c r="O222" s="33"/>
      <c r="P222" s="33"/>
      <c r="Q222" s="33"/>
      <c r="R222" s="33"/>
    </row>
    <row r="223" spans="10:18">
      <c r="J223" s="33"/>
      <c r="K223" s="33"/>
      <c r="L223" s="33"/>
      <c r="M223" s="33"/>
      <c r="N223" s="33"/>
      <c r="O223" s="33"/>
      <c r="P223" s="33"/>
      <c r="Q223" s="33"/>
      <c r="R223" s="33"/>
    </row>
    <row r="224" spans="10:18">
      <c r="J224" s="33"/>
      <c r="K224" s="33"/>
      <c r="L224" s="33"/>
      <c r="M224" s="33"/>
      <c r="N224" s="33"/>
      <c r="O224" s="33"/>
      <c r="P224" s="33"/>
      <c r="Q224" s="33"/>
      <c r="R224" s="33"/>
    </row>
    <row r="225" spans="10:18">
      <c r="J225" s="33"/>
      <c r="K225" s="33"/>
      <c r="L225" s="33"/>
      <c r="M225" s="33"/>
      <c r="N225" s="33"/>
      <c r="O225" s="33"/>
      <c r="P225" s="33"/>
      <c r="Q225" s="33"/>
      <c r="R225" s="33"/>
    </row>
    <row r="226" spans="10:18">
      <c r="J226" s="33"/>
      <c r="K226" s="33"/>
      <c r="L226" s="33"/>
      <c r="M226" s="33"/>
      <c r="N226" s="33"/>
      <c r="O226" s="33"/>
      <c r="P226" s="33"/>
      <c r="Q226" s="33"/>
      <c r="R226" s="33"/>
    </row>
    <row r="227" spans="10:18">
      <c r="J227" s="33"/>
      <c r="K227" s="33"/>
      <c r="L227" s="33"/>
      <c r="M227" s="33"/>
      <c r="N227" s="33"/>
      <c r="O227" s="33"/>
      <c r="P227" s="33"/>
      <c r="Q227" s="33"/>
      <c r="R227" s="33"/>
    </row>
    <row r="228" spans="10:18">
      <c r="J228" s="33"/>
      <c r="K228" s="33"/>
      <c r="L228" s="33"/>
      <c r="M228" s="33"/>
      <c r="N228" s="33"/>
      <c r="O228" s="33"/>
      <c r="P228" s="33"/>
      <c r="Q228" s="33"/>
      <c r="R228" s="33"/>
    </row>
    <row r="229" spans="10:18">
      <c r="J229" s="33"/>
      <c r="K229" s="33"/>
      <c r="L229" s="33"/>
      <c r="M229" s="33"/>
      <c r="N229" s="33"/>
      <c r="O229" s="33"/>
      <c r="P229" s="33"/>
      <c r="Q229" s="33"/>
      <c r="R229" s="33"/>
    </row>
    <row r="230" spans="10:18">
      <c r="J230" s="33"/>
      <c r="K230" s="33"/>
      <c r="L230" s="33"/>
      <c r="M230" s="33"/>
      <c r="N230" s="33"/>
      <c r="O230" s="33"/>
      <c r="P230" s="33"/>
      <c r="Q230" s="33"/>
      <c r="R230" s="33"/>
    </row>
    <row r="231" spans="10:18">
      <c r="J231" s="33"/>
      <c r="K231" s="33"/>
      <c r="L231" s="33"/>
      <c r="M231" s="33"/>
      <c r="N231" s="33"/>
      <c r="O231" s="33"/>
      <c r="P231" s="33"/>
      <c r="Q231" s="33"/>
      <c r="R231" s="33"/>
    </row>
    <row r="232" spans="10:18">
      <c r="J232" s="33"/>
      <c r="K232" s="33"/>
      <c r="L232" s="33"/>
      <c r="M232" s="33"/>
      <c r="N232" s="33"/>
      <c r="O232" s="33"/>
      <c r="P232" s="33"/>
      <c r="Q232" s="33"/>
      <c r="R232" s="33"/>
    </row>
    <row r="233" spans="10:18">
      <c r="J233" s="33"/>
      <c r="K233" s="33"/>
      <c r="L233" s="33"/>
      <c r="M233" s="33"/>
      <c r="N233" s="33"/>
      <c r="O233" s="33"/>
      <c r="P233" s="33"/>
      <c r="Q233" s="33"/>
      <c r="R233" s="33"/>
    </row>
    <row r="234" spans="10:18">
      <c r="J234" s="33"/>
      <c r="K234" s="33"/>
      <c r="L234" s="33"/>
      <c r="M234" s="33"/>
      <c r="N234" s="33"/>
      <c r="O234" s="33"/>
      <c r="P234" s="33"/>
      <c r="Q234" s="33"/>
      <c r="R234" s="33"/>
    </row>
    <row r="235" spans="10:18">
      <c r="J235" s="33"/>
      <c r="K235" s="33"/>
      <c r="L235" s="33"/>
      <c r="M235" s="33"/>
      <c r="N235" s="33"/>
      <c r="O235" s="33"/>
      <c r="P235" s="33"/>
      <c r="Q235" s="33"/>
      <c r="R235" s="33"/>
    </row>
    <row r="236" spans="10:18">
      <c r="J236" s="33"/>
      <c r="K236" s="33"/>
      <c r="L236" s="33"/>
      <c r="M236" s="33"/>
      <c r="N236" s="33"/>
      <c r="O236" s="33"/>
      <c r="P236" s="33"/>
      <c r="Q236" s="33"/>
      <c r="R236" s="33"/>
    </row>
    <row r="237" spans="10:18">
      <c r="J237" s="33"/>
      <c r="K237" s="33"/>
      <c r="L237" s="33"/>
      <c r="M237" s="33"/>
      <c r="N237" s="33"/>
      <c r="O237" s="33"/>
      <c r="P237" s="33"/>
      <c r="Q237" s="33"/>
      <c r="R237" s="33"/>
    </row>
    <row r="238" spans="10:18">
      <c r="J238" s="33"/>
      <c r="K238" s="33"/>
      <c r="L238" s="33"/>
      <c r="M238" s="33"/>
      <c r="N238" s="33"/>
      <c r="O238" s="33"/>
      <c r="P238" s="33"/>
      <c r="Q238" s="33"/>
      <c r="R238" s="33"/>
    </row>
    <row r="239" spans="10:18">
      <c r="J239" s="33"/>
      <c r="K239" s="33"/>
      <c r="L239" s="33"/>
      <c r="M239" s="33"/>
      <c r="N239" s="33"/>
      <c r="O239" s="33"/>
      <c r="P239" s="33"/>
      <c r="Q239" s="33"/>
      <c r="R239" s="33"/>
    </row>
    <row r="240" spans="10:18">
      <c r="J240" s="33"/>
      <c r="K240" s="33"/>
      <c r="L240" s="33"/>
      <c r="M240" s="33"/>
      <c r="N240" s="33"/>
      <c r="O240" s="33"/>
      <c r="P240" s="33"/>
      <c r="Q240" s="33"/>
      <c r="R240" s="33"/>
    </row>
    <row r="241" spans="10:18">
      <c r="J241" s="33"/>
      <c r="K241" s="33"/>
      <c r="L241" s="33"/>
      <c r="M241" s="33"/>
      <c r="N241" s="33"/>
      <c r="O241" s="33"/>
      <c r="P241" s="33"/>
      <c r="Q241" s="33"/>
      <c r="R241" s="33"/>
    </row>
    <row r="242" spans="10:18">
      <c r="J242" s="33"/>
      <c r="K242" s="33"/>
      <c r="L242" s="33"/>
      <c r="M242" s="33"/>
      <c r="N242" s="33"/>
      <c r="O242" s="33"/>
      <c r="P242" s="33"/>
      <c r="Q242" s="33"/>
      <c r="R242" s="33"/>
    </row>
    <row r="243" spans="10:18">
      <c r="J243" s="33"/>
      <c r="K243" s="33"/>
      <c r="L243" s="33"/>
      <c r="M243" s="33"/>
      <c r="N243" s="33"/>
      <c r="O243" s="33"/>
      <c r="P243" s="33"/>
      <c r="Q243" s="33"/>
      <c r="R243" s="33"/>
    </row>
    <row r="244" spans="10:18">
      <c r="J244" s="33"/>
      <c r="K244" s="33"/>
      <c r="L244" s="33"/>
      <c r="M244" s="33"/>
      <c r="N244" s="33"/>
      <c r="O244" s="33"/>
      <c r="P244" s="33"/>
      <c r="Q244" s="33"/>
      <c r="R244" s="33"/>
    </row>
    <row r="245" spans="10:18">
      <c r="J245" s="33"/>
      <c r="K245" s="33"/>
      <c r="L245" s="33"/>
      <c r="M245" s="33"/>
      <c r="N245" s="33"/>
      <c r="O245" s="33"/>
      <c r="P245" s="33"/>
      <c r="Q245" s="33"/>
      <c r="R245" s="33"/>
    </row>
    <row r="246" spans="10:18">
      <c r="J246" s="33"/>
      <c r="K246" s="33"/>
      <c r="L246" s="33"/>
      <c r="M246" s="33"/>
      <c r="N246" s="33"/>
      <c r="O246" s="33"/>
      <c r="P246" s="33"/>
      <c r="Q246" s="33"/>
      <c r="R246" s="33"/>
    </row>
    <row r="247" spans="10:18">
      <c r="J247" s="33"/>
      <c r="K247" s="33"/>
      <c r="L247" s="33"/>
      <c r="M247" s="33"/>
      <c r="N247" s="33"/>
      <c r="O247" s="33"/>
      <c r="P247" s="33"/>
      <c r="Q247" s="33"/>
      <c r="R247" s="33"/>
    </row>
    <row r="248" spans="10:18">
      <c r="J248" s="33"/>
      <c r="K248" s="33"/>
      <c r="L248" s="33"/>
      <c r="M248" s="33"/>
      <c r="N248" s="33"/>
      <c r="O248" s="33"/>
      <c r="P248" s="33"/>
      <c r="Q248" s="33"/>
      <c r="R248" s="33"/>
    </row>
    <row r="249" spans="10:18">
      <c r="J249" s="33"/>
      <c r="K249" s="33"/>
      <c r="L249" s="33"/>
      <c r="M249" s="33"/>
      <c r="N249" s="33"/>
      <c r="O249" s="33"/>
      <c r="P249" s="33"/>
      <c r="Q249" s="33"/>
      <c r="R249" s="33"/>
    </row>
    <row r="250" spans="10:18">
      <c r="J250" s="33"/>
      <c r="K250" s="33"/>
      <c r="L250" s="33"/>
      <c r="M250" s="33"/>
      <c r="N250" s="33"/>
      <c r="O250" s="33"/>
      <c r="P250" s="33"/>
      <c r="Q250" s="33"/>
      <c r="R250" s="33"/>
    </row>
    <row r="251" spans="10:18">
      <c r="J251" s="33"/>
      <c r="K251" s="33"/>
      <c r="L251" s="33"/>
      <c r="M251" s="33"/>
      <c r="N251" s="33"/>
      <c r="O251" s="33"/>
      <c r="P251" s="33"/>
      <c r="Q251" s="33"/>
      <c r="R251" s="33"/>
    </row>
    <row r="252" spans="10:18">
      <c r="J252" s="33"/>
      <c r="K252" s="33"/>
      <c r="L252" s="33"/>
      <c r="M252" s="33"/>
      <c r="N252" s="33"/>
      <c r="O252" s="33"/>
      <c r="P252" s="33"/>
      <c r="Q252" s="33"/>
      <c r="R252" s="33"/>
    </row>
    <row r="253" spans="10:18">
      <c r="J253" s="33"/>
      <c r="K253" s="33"/>
      <c r="L253" s="33"/>
      <c r="M253" s="33"/>
      <c r="N253" s="33"/>
      <c r="O253" s="33"/>
      <c r="P253" s="33"/>
      <c r="Q253" s="33"/>
      <c r="R253" s="33"/>
    </row>
    <row r="254" spans="10:18">
      <c r="J254" s="33"/>
      <c r="K254" s="33"/>
      <c r="L254" s="33"/>
      <c r="M254" s="33"/>
      <c r="N254" s="33"/>
      <c r="O254" s="33"/>
      <c r="P254" s="33"/>
      <c r="Q254" s="33"/>
      <c r="R254" s="33"/>
    </row>
    <row r="255" spans="10:18">
      <c r="J255" s="33"/>
      <c r="K255" s="33"/>
      <c r="L255" s="33"/>
      <c r="M255" s="33"/>
      <c r="N255" s="33"/>
      <c r="O255" s="33"/>
      <c r="P255" s="33"/>
      <c r="Q255" s="33"/>
      <c r="R255" s="33"/>
    </row>
    <row r="256" spans="10:18">
      <c r="J256" s="33"/>
      <c r="K256" s="33"/>
      <c r="L256" s="33"/>
      <c r="M256" s="33"/>
      <c r="N256" s="33"/>
      <c r="O256" s="33"/>
      <c r="P256" s="33"/>
      <c r="Q256" s="33"/>
      <c r="R256" s="33"/>
    </row>
    <row r="257" spans="10:18">
      <c r="J257" s="33"/>
      <c r="K257" s="33"/>
      <c r="L257" s="33"/>
      <c r="M257" s="33"/>
      <c r="N257" s="33"/>
      <c r="O257" s="33"/>
      <c r="P257" s="33"/>
      <c r="Q257" s="33"/>
      <c r="R257" s="33"/>
    </row>
    <row r="258" spans="10:18">
      <c r="J258" s="33"/>
      <c r="K258" s="33"/>
      <c r="L258" s="33"/>
      <c r="M258" s="33"/>
      <c r="N258" s="33"/>
      <c r="O258" s="33"/>
      <c r="P258" s="33"/>
      <c r="Q258" s="33"/>
      <c r="R258" s="33"/>
    </row>
    <row r="259" spans="10:18">
      <c r="J259" s="33"/>
      <c r="K259" s="33"/>
      <c r="L259" s="33"/>
      <c r="M259" s="33"/>
      <c r="N259" s="33"/>
      <c r="O259" s="33"/>
      <c r="P259" s="33"/>
      <c r="Q259" s="33"/>
      <c r="R259" s="33"/>
    </row>
    <row r="260" spans="10:18">
      <c r="J260" s="33"/>
      <c r="K260" s="33"/>
      <c r="L260" s="33"/>
      <c r="M260" s="33"/>
      <c r="N260" s="33"/>
      <c r="O260" s="33"/>
      <c r="P260" s="33"/>
      <c r="Q260" s="33"/>
      <c r="R260" s="33"/>
    </row>
    <row r="261" spans="10:18">
      <c r="J261" s="33"/>
      <c r="K261" s="33"/>
      <c r="L261" s="33"/>
      <c r="M261" s="33"/>
      <c r="N261" s="33"/>
      <c r="O261" s="33"/>
      <c r="P261" s="33"/>
      <c r="Q261" s="33"/>
      <c r="R261" s="33"/>
    </row>
    <row r="262" spans="10:18">
      <c r="J262" s="33"/>
      <c r="K262" s="33"/>
      <c r="L262" s="33"/>
      <c r="M262" s="33"/>
      <c r="N262" s="33"/>
      <c r="O262" s="33"/>
      <c r="P262" s="33"/>
      <c r="Q262" s="33"/>
      <c r="R262" s="33"/>
    </row>
    <row r="263" spans="10:18">
      <c r="J263" s="33"/>
      <c r="K263" s="33"/>
      <c r="L263" s="33"/>
      <c r="M263" s="33"/>
      <c r="N263" s="33"/>
      <c r="O263" s="33"/>
      <c r="P263" s="33"/>
      <c r="Q263" s="33"/>
      <c r="R263" s="33"/>
    </row>
    <row r="264" spans="10:18">
      <c r="J264" s="33"/>
      <c r="K264" s="33"/>
      <c r="L264" s="33"/>
      <c r="M264" s="33"/>
      <c r="N264" s="33"/>
      <c r="O264" s="33"/>
      <c r="P264" s="33"/>
      <c r="Q264" s="33"/>
      <c r="R264" s="33"/>
    </row>
    <row r="265" spans="10:18">
      <c r="J265" s="33"/>
      <c r="K265" s="33"/>
      <c r="L265" s="33"/>
      <c r="M265" s="33"/>
      <c r="N265" s="33"/>
      <c r="O265" s="33"/>
      <c r="P265" s="33"/>
      <c r="Q265" s="33"/>
      <c r="R265" s="33"/>
    </row>
    <row r="266" spans="10:18">
      <c r="J266" s="33"/>
      <c r="K266" s="33"/>
      <c r="L266" s="33"/>
      <c r="M266" s="33"/>
      <c r="N266" s="33"/>
      <c r="O266" s="33"/>
      <c r="P266" s="33"/>
      <c r="Q266" s="33"/>
      <c r="R266" s="33"/>
    </row>
    <row r="267" spans="10:18">
      <c r="J267" s="33"/>
      <c r="K267" s="33"/>
      <c r="L267" s="33"/>
      <c r="M267" s="33"/>
      <c r="N267" s="33"/>
      <c r="O267" s="33"/>
      <c r="P267" s="33"/>
      <c r="Q267" s="33"/>
      <c r="R267" s="33"/>
    </row>
    <row r="268" spans="10:18">
      <c r="J268" s="33"/>
      <c r="K268" s="33"/>
      <c r="L268" s="33"/>
      <c r="M268" s="33"/>
      <c r="N268" s="33"/>
      <c r="O268" s="33"/>
      <c r="P268" s="33"/>
      <c r="Q268" s="33"/>
      <c r="R268" s="33"/>
    </row>
    <row r="269" spans="10:18">
      <c r="J269" s="33"/>
      <c r="K269" s="33"/>
      <c r="L269" s="33"/>
      <c r="M269" s="33"/>
      <c r="N269" s="33"/>
      <c r="O269" s="33"/>
      <c r="P269" s="33"/>
      <c r="Q269" s="33"/>
      <c r="R269" s="33"/>
    </row>
    <row r="270" spans="10:18">
      <c r="J270" s="33"/>
      <c r="K270" s="33"/>
      <c r="L270" s="33"/>
      <c r="M270" s="33"/>
      <c r="N270" s="33"/>
      <c r="O270" s="33"/>
      <c r="P270" s="33"/>
      <c r="Q270" s="33"/>
      <c r="R270" s="33"/>
    </row>
    <row r="271" spans="10:18">
      <c r="J271" s="33"/>
      <c r="K271" s="33"/>
      <c r="L271" s="33"/>
      <c r="M271" s="33"/>
      <c r="N271" s="33"/>
      <c r="O271" s="33"/>
      <c r="P271" s="33"/>
      <c r="Q271" s="33"/>
      <c r="R271" s="33"/>
    </row>
    <row r="272" spans="10:18">
      <c r="J272" s="33"/>
      <c r="K272" s="33"/>
      <c r="L272" s="33"/>
      <c r="M272" s="33"/>
      <c r="N272" s="33"/>
      <c r="O272" s="33"/>
      <c r="P272" s="33"/>
      <c r="Q272" s="33"/>
      <c r="R272" s="33"/>
    </row>
    <row r="290" spans="1:19" ht="11.4" customHeight="1">
      <c r="G290" s="111"/>
      <c r="H290" s="111"/>
      <c r="I290" s="111"/>
      <c r="J290" s="33"/>
      <c r="K290" s="33"/>
      <c r="L290" s="33"/>
      <c r="M290" s="33"/>
      <c r="N290" s="33"/>
      <c r="O290" s="33"/>
      <c r="P290" s="33"/>
      <c r="Q290" s="33"/>
      <c r="R290" s="33"/>
    </row>
    <row r="291" spans="1:19" ht="11.4" customHeight="1">
      <c r="G291" s="111"/>
      <c r="H291" s="111"/>
      <c r="I291" s="111"/>
      <c r="J291" s="33"/>
      <c r="K291" s="33"/>
      <c r="L291" s="33"/>
      <c r="M291" s="33"/>
      <c r="N291" s="33"/>
      <c r="O291" s="33"/>
      <c r="P291" s="33"/>
      <c r="Q291" s="33"/>
      <c r="R291" s="33"/>
    </row>
    <row r="292" spans="1:19" ht="11.4" customHeight="1">
      <c r="E292" s="93"/>
      <c r="G292" s="111"/>
      <c r="H292" s="111"/>
      <c r="I292" s="111"/>
      <c r="J292" s="33"/>
      <c r="K292" s="33"/>
      <c r="L292" s="33"/>
      <c r="M292" s="33"/>
      <c r="N292" s="33"/>
      <c r="O292" s="33"/>
      <c r="P292" s="33"/>
      <c r="Q292" s="33"/>
      <c r="R292" s="33"/>
    </row>
    <row r="293" spans="1:19" ht="11.4" customHeight="1">
      <c r="G293" s="111"/>
      <c r="H293" s="111"/>
      <c r="I293" s="111"/>
      <c r="J293" s="33"/>
      <c r="K293" s="33"/>
      <c r="L293" s="33"/>
      <c r="M293" s="33"/>
      <c r="N293" s="33"/>
      <c r="O293" s="33"/>
      <c r="P293" s="33"/>
      <c r="Q293" s="33"/>
      <c r="R293" s="33"/>
    </row>
    <row r="294" spans="1:19">
      <c r="F294" s="111"/>
      <c r="G294" s="111"/>
      <c r="H294" s="111"/>
      <c r="I294" s="111"/>
      <c r="J294" s="33"/>
      <c r="K294" s="33"/>
      <c r="L294" s="33"/>
      <c r="M294" s="33"/>
      <c r="N294" s="33"/>
      <c r="O294" s="33"/>
      <c r="P294" s="33"/>
      <c r="Q294" s="33"/>
      <c r="R294" s="33"/>
    </row>
    <row r="295" spans="1:19" ht="13.2">
      <c r="F295" s="60"/>
      <c r="G295" s="60"/>
      <c r="H295" s="60"/>
      <c r="J295" s="33"/>
      <c r="K295" s="33"/>
      <c r="L295" s="33"/>
      <c r="M295" s="33"/>
      <c r="N295" s="33"/>
      <c r="O295" s="33"/>
      <c r="P295" s="33"/>
      <c r="Q295" s="33"/>
      <c r="R295" s="33"/>
    </row>
    <row r="296" spans="1:19" ht="13.2">
      <c r="F296" s="60"/>
      <c r="G296" s="60"/>
      <c r="H296" s="60"/>
      <c r="J296" s="33"/>
      <c r="K296" s="33"/>
      <c r="L296" s="33"/>
      <c r="M296" s="33"/>
      <c r="N296" s="33"/>
      <c r="O296" s="33"/>
      <c r="P296" s="33"/>
      <c r="Q296" s="33"/>
      <c r="R296" s="33"/>
    </row>
    <row r="297" spans="1:19" ht="13.2">
      <c r="F297" s="60"/>
      <c r="G297" s="60"/>
      <c r="H297" s="60"/>
      <c r="J297" s="33"/>
      <c r="K297" s="33"/>
      <c r="L297" s="33"/>
      <c r="M297" s="33"/>
      <c r="N297" s="33"/>
      <c r="O297" s="33"/>
      <c r="P297" s="33"/>
      <c r="Q297" s="33"/>
      <c r="R297" s="33"/>
    </row>
    <row r="298" spans="1:19" ht="13.2">
      <c r="F298" s="60"/>
      <c r="G298" s="60"/>
      <c r="H298" s="60"/>
      <c r="J298" s="33"/>
      <c r="K298" s="33"/>
      <c r="L298" s="33"/>
      <c r="M298" s="33"/>
      <c r="N298" s="33"/>
      <c r="O298" s="33"/>
      <c r="P298" s="33"/>
      <c r="Q298" s="33"/>
      <c r="R298" s="33"/>
    </row>
    <row r="299" spans="1:19" ht="13.2">
      <c r="F299" s="60"/>
      <c r="G299" s="60"/>
      <c r="H299" s="60"/>
      <c r="J299" s="33"/>
      <c r="K299" s="33"/>
      <c r="L299" s="33"/>
      <c r="M299" s="33"/>
      <c r="N299" s="33"/>
      <c r="O299" s="33"/>
      <c r="P299" s="33"/>
      <c r="Q299" s="33"/>
      <c r="R299" s="33"/>
    </row>
    <row r="300" spans="1:19" ht="13.2">
      <c r="F300" s="60"/>
      <c r="G300" s="60"/>
      <c r="H300" s="60"/>
      <c r="J300" s="33"/>
      <c r="K300" s="33"/>
      <c r="L300" s="33"/>
      <c r="M300" s="33"/>
      <c r="N300" s="33"/>
      <c r="O300" s="33"/>
      <c r="P300" s="33"/>
      <c r="Q300" s="33"/>
      <c r="R300" s="33"/>
    </row>
    <row r="301" spans="1:19" ht="13.2">
      <c r="F301" s="60"/>
      <c r="G301" s="60"/>
      <c r="H301" s="60"/>
      <c r="J301" s="33"/>
      <c r="K301" s="33"/>
      <c r="L301" s="33"/>
      <c r="M301" s="33"/>
      <c r="N301" s="33"/>
      <c r="O301" s="33"/>
      <c r="P301" s="33"/>
      <c r="Q301" s="33"/>
      <c r="R301" s="33"/>
    </row>
    <row r="302" spans="1:19" ht="13.2">
      <c r="A302" s="60"/>
      <c r="B302" s="60"/>
      <c r="C302" s="60"/>
      <c r="D302" s="60"/>
      <c r="E302" s="60"/>
      <c r="F302" s="60"/>
      <c r="G302" s="60"/>
      <c r="H302" s="60"/>
      <c r="J302" s="33"/>
      <c r="K302" s="33"/>
      <c r="L302" s="33"/>
      <c r="M302" s="33"/>
      <c r="N302" s="33"/>
      <c r="O302" s="33"/>
      <c r="P302" s="33"/>
      <c r="Q302" s="33"/>
      <c r="R302" s="33"/>
    </row>
    <row r="303" spans="1:19" ht="13.2">
      <c r="A303" s="60"/>
      <c r="B303" s="60"/>
      <c r="C303" s="60"/>
      <c r="D303" s="60"/>
      <c r="E303" s="60"/>
      <c r="F303" s="60"/>
      <c r="G303" s="60"/>
      <c r="H303" s="60"/>
      <c r="J303" s="33"/>
      <c r="K303" s="33"/>
      <c r="L303" s="33"/>
      <c r="M303" s="33"/>
      <c r="N303" s="33"/>
      <c r="O303" s="33"/>
      <c r="P303" s="33"/>
      <c r="Q303" s="33"/>
      <c r="R303" s="33"/>
    </row>
    <row r="304" spans="1:19" ht="11.4" customHeight="1">
      <c r="A304" s="97"/>
      <c r="B304" s="105"/>
      <c r="C304" s="105"/>
      <c r="D304" s="105"/>
      <c r="E304" s="103"/>
      <c r="H304" s="111"/>
      <c r="I304" s="111"/>
      <c r="K304" s="33"/>
      <c r="L304" s="33"/>
      <c r="M304" s="33"/>
      <c r="N304" s="33"/>
      <c r="O304" s="33"/>
      <c r="P304" s="33"/>
      <c r="Q304" s="33"/>
      <c r="R304" s="33"/>
      <c r="S304" s="33"/>
    </row>
    <row r="305" spans="1:32" ht="11.4" customHeight="1">
      <c r="A305" s="105"/>
      <c r="B305" s="97"/>
      <c r="C305" s="97"/>
      <c r="D305" s="97"/>
      <c r="E305" s="142"/>
      <c r="F305" s="142"/>
      <c r="G305" s="142"/>
      <c r="H305" s="142"/>
      <c r="I305" s="142"/>
      <c r="J305" s="36"/>
      <c r="K305" s="36"/>
      <c r="L305" s="36"/>
      <c r="M305" s="36"/>
      <c r="N305" s="36"/>
      <c r="O305" s="36"/>
      <c r="P305" s="36"/>
      <c r="Q305" s="36"/>
      <c r="R305" s="36"/>
      <c r="S305" s="36"/>
      <c r="T305" s="36"/>
      <c r="U305" s="36"/>
      <c r="V305" s="36"/>
      <c r="W305" s="36"/>
      <c r="X305" s="36"/>
      <c r="Y305" s="36"/>
      <c r="Z305" s="36"/>
      <c r="AA305" s="36"/>
      <c r="AB305" s="36"/>
      <c r="AC305" s="36"/>
      <c r="AD305" s="36"/>
      <c r="AE305" s="36"/>
      <c r="AF305" s="36"/>
    </row>
    <row r="306" spans="1:32" ht="11.4" customHeight="1">
      <c r="A306" s="105"/>
      <c r="B306" s="97"/>
      <c r="C306" s="97"/>
      <c r="D306" s="97"/>
      <c r="E306" s="143"/>
      <c r="F306" s="143"/>
      <c r="G306" s="143"/>
      <c r="H306" s="143"/>
      <c r="I306" s="143"/>
      <c r="J306" s="37"/>
      <c r="K306" s="37"/>
      <c r="L306" s="37"/>
      <c r="M306" s="37"/>
      <c r="N306" s="37"/>
      <c r="O306" s="37"/>
      <c r="P306" s="37"/>
      <c r="Q306" s="37"/>
      <c r="R306" s="37"/>
      <c r="S306" s="37"/>
      <c r="T306" s="37"/>
      <c r="U306" s="37"/>
      <c r="V306" s="37"/>
      <c r="W306" s="37"/>
      <c r="X306" s="37"/>
      <c r="Y306" s="37"/>
      <c r="Z306" s="37"/>
      <c r="AA306" s="37"/>
      <c r="AB306" s="37"/>
      <c r="AC306" s="37"/>
      <c r="AD306" s="37"/>
      <c r="AE306" s="37"/>
      <c r="AF306" s="37"/>
    </row>
    <row r="307" spans="1:32" ht="11.4" customHeight="1">
      <c r="A307" s="97"/>
      <c r="B307" s="105"/>
      <c r="C307" s="105"/>
      <c r="D307" s="105"/>
      <c r="E307" s="103"/>
      <c r="H307" s="111"/>
      <c r="I307" s="111"/>
      <c r="K307" s="33"/>
      <c r="L307" s="33"/>
      <c r="M307" s="33"/>
      <c r="N307" s="33"/>
      <c r="O307" s="33"/>
      <c r="P307" s="33"/>
      <c r="Q307" s="33"/>
      <c r="R307" s="33"/>
      <c r="S307" s="33"/>
    </row>
    <row r="308" spans="1:32" ht="11.4" customHeight="1">
      <c r="A308" s="97"/>
      <c r="B308" s="105"/>
      <c r="C308" s="105"/>
      <c r="D308" s="105"/>
      <c r="E308" s="105"/>
      <c r="F308" s="105"/>
      <c r="G308" s="105"/>
      <c r="H308" s="105"/>
      <c r="I308" s="105"/>
      <c r="J308" s="35"/>
      <c r="K308" s="35"/>
      <c r="L308" s="35"/>
      <c r="M308" s="35"/>
      <c r="N308" s="35"/>
      <c r="O308" s="35"/>
      <c r="P308" s="35"/>
      <c r="Q308" s="35"/>
      <c r="R308" s="35"/>
      <c r="S308" s="35"/>
      <c r="T308" s="35"/>
      <c r="U308" s="35"/>
      <c r="V308" s="35"/>
      <c r="W308" s="35"/>
      <c r="X308" s="35"/>
      <c r="Y308" s="35"/>
      <c r="Z308" s="35"/>
      <c r="AA308" s="35"/>
      <c r="AB308" s="35"/>
      <c r="AC308" s="35"/>
      <c r="AD308" s="35"/>
      <c r="AE308" s="35"/>
      <c r="AF308" s="35"/>
    </row>
    <row r="309" spans="1:32" ht="11.4" customHeight="1">
      <c r="A309" s="97"/>
      <c r="B309" s="97"/>
      <c r="C309" s="97"/>
      <c r="D309" s="97"/>
      <c r="E309" s="142"/>
      <c r="F309" s="142"/>
      <c r="G309" s="142"/>
      <c r="H309" s="142"/>
      <c r="I309" s="142"/>
      <c r="J309" s="36"/>
      <c r="K309" s="36"/>
      <c r="L309" s="36"/>
      <c r="M309" s="36"/>
      <c r="N309" s="36"/>
      <c r="O309" s="36"/>
      <c r="P309" s="36"/>
      <c r="Q309" s="36"/>
      <c r="R309" s="36"/>
      <c r="S309" s="36"/>
      <c r="T309" s="36"/>
      <c r="U309" s="36"/>
      <c r="V309" s="36"/>
      <c r="W309" s="36"/>
      <c r="X309" s="36"/>
      <c r="Y309" s="36"/>
      <c r="Z309" s="36"/>
      <c r="AA309" s="36"/>
      <c r="AB309" s="36"/>
      <c r="AC309" s="36"/>
      <c r="AD309" s="36"/>
      <c r="AE309" s="36"/>
      <c r="AF309" s="36"/>
    </row>
    <row r="310" spans="1:32" ht="11.4" customHeight="1">
      <c r="A310" s="97"/>
      <c r="B310" s="105"/>
      <c r="C310" s="105"/>
      <c r="D310" s="105"/>
      <c r="E310" s="105"/>
      <c r="F310" s="145"/>
      <c r="G310" s="145"/>
      <c r="H310" s="145"/>
      <c r="I310" s="145"/>
      <c r="J310" s="38"/>
      <c r="K310" s="38"/>
      <c r="L310" s="38"/>
      <c r="M310" s="38"/>
      <c r="N310" s="38"/>
      <c r="O310" s="38"/>
      <c r="P310" s="38"/>
      <c r="Q310" s="38"/>
      <c r="R310" s="38"/>
      <c r="S310" s="38"/>
      <c r="T310" s="38"/>
      <c r="U310" s="38"/>
      <c r="V310" s="38"/>
      <c r="W310" s="38"/>
      <c r="X310" s="38"/>
      <c r="Y310" s="38"/>
      <c r="Z310" s="38"/>
      <c r="AA310" s="38"/>
      <c r="AB310" s="38"/>
      <c r="AC310" s="38"/>
      <c r="AD310" s="38"/>
      <c r="AE310" s="38"/>
      <c r="AF310" s="38"/>
    </row>
    <row r="311" spans="1:32" ht="11.4" customHeight="1">
      <c r="A311" s="97"/>
      <c r="B311" s="97"/>
      <c r="C311" s="97"/>
      <c r="D311" s="97"/>
      <c r="E311" s="105"/>
      <c r="F311" s="145"/>
      <c r="G311" s="145"/>
      <c r="H311" s="145"/>
      <c r="I311" s="145"/>
      <c r="J311" s="38"/>
      <c r="K311" s="38"/>
      <c r="L311" s="38"/>
      <c r="M311" s="38"/>
      <c r="N311" s="38"/>
      <c r="O311" s="38"/>
      <c r="P311" s="38"/>
      <c r="Q311" s="38"/>
      <c r="R311" s="38"/>
      <c r="S311" s="38"/>
      <c r="T311" s="38"/>
      <c r="U311" s="38"/>
      <c r="V311" s="38"/>
      <c r="W311" s="38"/>
      <c r="X311" s="38"/>
      <c r="Y311" s="38"/>
      <c r="Z311" s="38"/>
      <c r="AA311" s="38"/>
      <c r="AB311" s="38"/>
      <c r="AC311" s="38"/>
      <c r="AD311" s="38"/>
      <c r="AE311" s="38"/>
      <c r="AF311" s="38"/>
    </row>
    <row r="312" spans="1:32" ht="11.4" customHeight="1">
      <c r="A312" s="97"/>
      <c r="B312" s="97"/>
      <c r="C312" s="97"/>
      <c r="D312" s="97"/>
      <c r="E312" s="105"/>
      <c r="F312" s="145"/>
      <c r="G312" s="145"/>
      <c r="H312" s="145"/>
      <c r="I312" s="145"/>
      <c r="J312" s="38"/>
      <c r="K312" s="38"/>
      <c r="L312" s="38"/>
      <c r="M312" s="38"/>
      <c r="N312" s="38"/>
      <c r="O312" s="38"/>
      <c r="P312" s="38"/>
      <c r="Q312" s="38"/>
      <c r="R312" s="38"/>
      <c r="S312" s="38"/>
      <c r="T312" s="38"/>
      <c r="U312" s="38"/>
      <c r="V312" s="38"/>
      <c r="W312" s="38"/>
      <c r="X312" s="38"/>
      <c r="Y312" s="38"/>
      <c r="Z312" s="38"/>
      <c r="AA312" s="38"/>
      <c r="AB312" s="38"/>
      <c r="AC312" s="38"/>
      <c r="AD312" s="38"/>
      <c r="AE312" s="38"/>
      <c r="AF312" s="38"/>
    </row>
  </sheetData>
  <customSheetViews>
    <customSheetView guid="{9D7575BF-255B-11D2-8267-00A0D1027254}" showPageBreaks="1" showRuler="0">
      <pageMargins left="0.39" right="0.24" top="1" bottom="1" header="0.5" footer="0.5"/>
      <pageSetup scale="68" orientation="landscape" r:id="rId1"/>
      <headerFooter alignWithMargins="0">
        <oddFooter>&amp;L&amp;D   &amp;T&amp;RO:\Naes\GenSvcs\TVA\TVA Model\&amp;F
&amp;A &amp;P</oddFooter>
      </headerFooter>
    </customSheetView>
    <customSheetView guid="{773475A7-2559-11D2-A5F6-0060080AEB13}" showPageBreaks="1" showRuler="0">
      <rowBreaks count="1" manualBreakCount="1">
        <brk id="57" max="16" man="1"/>
      </rowBreaks>
      <pageMargins left="0.41" right="0.38" top="1" bottom="1" header="0.5" footer="0.5"/>
      <pageSetup scale="68" fitToWidth="2" pageOrder="overThenDown" orientation="landscape" r:id="rId2"/>
      <headerFooter alignWithMargins="0">
        <oddFooter>&amp;L&amp;D   &amp;T&amp;RO:\Naes\GenSvcs\Tva\Tva Models\&amp;F
&amp;A   &amp;P</oddFooter>
      </headerFooter>
    </customSheetView>
  </customSheetViews>
  <pageMargins left="0.25" right="0.25" top="0.25" bottom="0.5" header="0" footer="0"/>
  <pageSetup scale="85" orientation="landscape" r:id="rId3"/>
  <headerFooter alignWithMargins="0">
    <oddFooter>&amp;L&amp;D   &amp;T&amp;R&amp;F
&amp;A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1">
    <pageSetUpPr fitToPage="1"/>
  </sheetPr>
  <dimension ref="A1:AB44"/>
  <sheetViews>
    <sheetView zoomScaleNormal="75" zoomScaleSheetLayoutView="85" workbookViewId="0">
      <selection activeCell="E11" sqref="E11"/>
    </sheetView>
  </sheetViews>
  <sheetFormatPr defaultColWidth="8.6640625" defaultRowHeight="13.2"/>
  <cols>
    <col min="1" max="1" width="27" style="60" customWidth="1"/>
    <col min="2" max="2" width="8.6640625" style="60" customWidth="1"/>
    <col min="3" max="4" width="6.5546875" style="60" bestFit="1" customWidth="1"/>
    <col min="5" max="5" width="9.44140625" style="60" customWidth="1"/>
    <col min="6" max="6" width="8.109375" style="60" customWidth="1"/>
    <col min="7" max="7" width="7.109375" style="60" bestFit="1" customWidth="1"/>
    <col min="8" max="8" width="10.6640625" style="60" customWidth="1"/>
    <col min="9" max="9" width="7" style="60" bestFit="1" customWidth="1"/>
    <col min="10" max="10" width="8.6640625" style="60" customWidth="1"/>
    <col min="11" max="11" width="7" style="60" bestFit="1" customWidth="1"/>
    <col min="12" max="12" width="6.6640625" style="60" bestFit="1" customWidth="1"/>
    <col min="13" max="13" width="7.109375" style="60" bestFit="1" customWidth="1"/>
    <col min="14" max="14" width="7" style="60" bestFit="1" customWidth="1"/>
    <col min="15" max="15" width="6.5546875" style="60" bestFit="1" customWidth="1"/>
    <col min="16" max="16" width="7.33203125" style="60" bestFit="1" customWidth="1"/>
    <col min="17" max="17" width="8.109375" style="60" bestFit="1" customWidth="1"/>
    <col min="18" max="22" width="7.33203125" style="60" bestFit="1" customWidth="1"/>
    <col min="23" max="23" width="8.109375" style="60" bestFit="1" customWidth="1"/>
    <col min="24" max="24" width="6.5546875" style="60" bestFit="1" customWidth="1"/>
    <col min="25" max="25" width="7" style="60" bestFit="1" customWidth="1"/>
    <col min="26" max="26" width="6.5546875" style="60" hidden="1" customWidth="1"/>
    <col min="27" max="27" width="7" style="60" hidden="1" customWidth="1"/>
    <col min="28" max="28" width="7" style="60" bestFit="1" customWidth="1"/>
    <col min="29" max="16384" width="8.6640625" style="53"/>
  </cols>
  <sheetData>
    <row r="1" spans="1:28" ht="20.399999999999999">
      <c r="A1" s="525" t="str">
        <f>'Project Assumtions'!$A$2</f>
        <v>WHEATLAND POWER IN, L.L.C.</v>
      </c>
      <c r="B1" s="607"/>
      <c r="C1" s="607"/>
      <c r="D1" s="526"/>
    </row>
    <row r="2" spans="1:28">
      <c r="A2" s="527" t="s">
        <v>339</v>
      </c>
      <c r="B2" s="608"/>
      <c r="C2" s="608"/>
      <c r="D2" s="528"/>
    </row>
    <row r="3" spans="1:28" s="45" customFormat="1" ht="11.25" customHeight="1">
      <c r="A3" s="83"/>
      <c r="B3" s="83"/>
      <c r="C3" s="84"/>
      <c r="D3" s="84"/>
      <c r="E3" s="84"/>
      <c r="F3" s="84"/>
      <c r="G3" s="84"/>
      <c r="H3" s="84"/>
      <c r="I3" s="84"/>
      <c r="J3" s="84"/>
      <c r="K3" s="84"/>
      <c r="L3" s="84"/>
      <c r="M3" s="84"/>
      <c r="N3" s="84"/>
      <c r="O3" s="84"/>
      <c r="P3" s="84"/>
      <c r="Q3" s="84"/>
      <c r="R3" s="83"/>
      <c r="S3" s="83"/>
      <c r="T3" s="83"/>
      <c r="U3" s="83"/>
      <c r="V3" s="83"/>
      <c r="W3" s="83"/>
      <c r="X3" s="83"/>
      <c r="Y3" s="83"/>
      <c r="Z3" s="83"/>
      <c r="AA3" s="83"/>
      <c r="AB3" s="83"/>
    </row>
    <row r="4" spans="1:28" s="41" customFormat="1" ht="11.25" customHeight="1">
      <c r="A4" s="72"/>
      <c r="B4" s="72"/>
      <c r="C4" s="85">
        <v>0</v>
      </c>
      <c r="D4" s="85">
        <v>1</v>
      </c>
      <c r="E4" s="85">
        <v>2</v>
      </c>
      <c r="F4" s="85">
        <v>3</v>
      </c>
      <c r="G4" s="85">
        <v>4</v>
      </c>
      <c r="H4" s="85">
        <v>5</v>
      </c>
      <c r="I4" s="85">
        <v>6</v>
      </c>
      <c r="J4" s="86">
        <v>7</v>
      </c>
      <c r="K4" s="85">
        <v>8</v>
      </c>
      <c r="L4" s="85">
        <v>9</v>
      </c>
      <c r="M4" s="85">
        <v>10</v>
      </c>
      <c r="N4" s="85">
        <v>11</v>
      </c>
      <c r="O4" s="85">
        <v>12</v>
      </c>
      <c r="P4" s="86">
        <v>13</v>
      </c>
      <c r="Q4" s="85">
        <v>14</v>
      </c>
      <c r="R4" s="85">
        <v>15</v>
      </c>
      <c r="S4" s="85">
        <v>16</v>
      </c>
      <c r="T4" s="85">
        <v>17</v>
      </c>
      <c r="U4" s="85">
        <v>18</v>
      </c>
      <c r="V4" s="86">
        <v>19</v>
      </c>
      <c r="W4" s="85">
        <v>20</v>
      </c>
      <c r="X4" s="85">
        <v>21</v>
      </c>
      <c r="Y4" s="85">
        <v>22</v>
      </c>
      <c r="Z4" s="85">
        <v>23</v>
      </c>
      <c r="AA4" s="85">
        <v>24</v>
      </c>
      <c r="AB4" s="86">
        <v>25</v>
      </c>
    </row>
    <row r="5" spans="1:28" s="41" customFormat="1" ht="11.25" customHeight="1">
      <c r="A5" s="879"/>
      <c r="B5" s="530"/>
      <c r="C5" s="531">
        <f>D5-1</f>
        <v>1999</v>
      </c>
      <c r="D5" s="531">
        <f>+YEAR('Project Assumtions'!$G$16)</f>
        <v>2000</v>
      </c>
      <c r="E5" s="531">
        <f t="shared" ref="E5:AB5" si="0">D5+1</f>
        <v>2001</v>
      </c>
      <c r="F5" s="531">
        <f t="shared" si="0"/>
        <v>2002</v>
      </c>
      <c r="G5" s="531">
        <f t="shared" si="0"/>
        <v>2003</v>
      </c>
      <c r="H5" s="531">
        <f t="shared" si="0"/>
        <v>2004</v>
      </c>
      <c r="I5" s="531">
        <f t="shared" si="0"/>
        <v>2005</v>
      </c>
      <c r="J5" s="531">
        <f t="shared" si="0"/>
        <v>2006</v>
      </c>
      <c r="K5" s="531">
        <f t="shared" si="0"/>
        <v>2007</v>
      </c>
      <c r="L5" s="531">
        <f t="shared" si="0"/>
        <v>2008</v>
      </c>
      <c r="M5" s="531">
        <f t="shared" si="0"/>
        <v>2009</v>
      </c>
      <c r="N5" s="531">
        <f t="shared" si="0"/>
        <v>2010</v>
      </c>
      <c r="O5" s="531">
        <f t="shared" si="0"/>
        <v>2011</v>
      </c>
      <c r="P5" s="531">
        <f t="shared" si="0"/>
        <v>2012</v>
      </c>
      <c r="Q5" s="531">
        <f t="shared" si="0"/>
        <v>2013</v>
      </c>
      <c r="R5" s="531">
        <f t="shared" si="0"/>
        <v>2014</v>
      </c>
      <c r="S5" s="531">
        <f t="shared" si="0"/>
        <v>2015</v>
      </c>
      <c r="T5" s="531">
        <f t="shared" si="0"/>
        <v>2016</v>
      </c>
      <c r="U5" s="531">
        <f t="shared" si="0"/>
        <v>2017</v>
      </c>
      <c r="V5" s="531">
        <f t="shared" si="0"/>
        <v>2018</v>
      </c>
      <c r="W5" s="531">
        <f t="shared" si="0"/>
        <v>2019</v>
      </c>
      <c r="X5" s="531">
        <f t="shared" si="0"/>
        <v>2020</v>
      </c>
      <c r="Y5" s="531">
        <f t="shared" si="0"/>
        <v>2021</v>
      </c>
      <c r="Z5" s="531">
        <f t="shared" si="0"/>
        <v>2022</v>
      </c>
      <c r="AA5" s="531">
        <f t="shared" si="0"/>
        <v>2023</v>
      </c>
      <c r="AB5" s="532">
        <f t="shared" si="0"/>
        <v>2024</v>
      </c>
    </row>
    <row r="6" spans="1:28" s="41" customFormat="1" ht="11.25" customHeight="1">
      <c r="A6" s="553" t="s">
        <v>250</v>
      </c>
      <c r="B6"/>
      <c r="C6" s="880"/>
      <c r="D6" s="222"/>
      <c r="E6" s="222"/>
      <c r="F6" s="222"/>
      <c r="G6" s="222"/>
      <c r="H6" s="222"/>
      <c r="I6" s="222"/>
      <c r="J6" s="222"/>
      <c r="K6" s="222"/>
      <c r="L6" s="222"/>
      <c r="M6" s="222"/>
      <c r="N6" s="222"/>
      <c r="O6" s="222"/>
      <c r="P6" s="222"/>
      <c r="Q6" s="222"/>
      <c r="R6" s="222"/>
      <c r="S6" s="222"/>
      <c r="T6" s="222"/>
      <c r="U6" s="222"/>
      <c r="V6" s="222"/>
      <c r="W6" s="222"/>
      <c r="X6" s="222"/>
      <c r="Y6" s="222"/>
      <c r="Z6" s="79"/>
      <c r="AA6" s="79"/>
      <c r="AB6" s="556"/>
    </row>
    <row r="7" spans="1:28" s="41" customFormat="1" ht="11.25" customHeight="1">
      <c r="A7" s="553" t="s">
        <v>124</v>
      </c>
      <c r="B7" s="79"/>
      <c r="C7" s="176"/>
      <c r="D7" s="170">
        <f>IF(D4&lt;=ProjectLife+1,'Project Assumtions'!$L$15,0)</f>
        <v>120</v>
      </c>
      <c r="E7" s="170">
        <f>IF(E4&lt;=ProjectLife+1,'Project Assumtions'!$L$15,0)</f>
        <v>120</v>
      </c>
      <c r="F7" s="170">
        <f>IF(F4&lt;=ProjectLife+1,'Project Assumtions'!$L$15,0)</f>
        <v>120</v>
      </c>
      <c r="G7" s="170">
        <f>IF(G4&lt;=ProjectLife+1,'Project Assumtions'!$L$15,0)</f>
        <v>120</v>
      </c>
      <c r="H7" s="170">
        <f>IF(H4&lt;=ProjectLife+1,'Project Assumtions'!$L$15,0)</f>
        <v>120</v>
      </c>
      <c r="I7" s="170">
        <f>IF(I4&lt;=ProjectLife+1,'Project Assumtions'!$L$15,0)</f>
        <v>120</v>
      </c>
      <c r="J7" s="170">
        <f>IF(J4&lt;=ProjectLife+1,'Project Assumtions'!$L$15,0)</f>
        <v>120</v>
      </c>
      <c r="K7" s="170">
        <f>IF(K4&lt;=ProjectLife+1,'Project Assumtions'!$L$15,0)</f>
        <v>120</v>
      </c>
      <c r="L7" s="170">
        <f>IF(L4&lt;=ProjectLife+1,'Project Assumtions'!$L$15,0)</f>
        <v>120</v>
      </c>
      <c r="M7" s="170">
        <f>IF(M4&lt;=ProjectLife+1,'Project Assumtions'!$L$15,0)</f>
        <v>120</v>
      </c>
      <c r="N7" s="170">
        <f>IF(N4&lt;=ProjectLife+1,'Project Assumtions'!$L$15,0)</f>
        <v>120</v>
      </c>
      <c r="O7" s="170">
        <f>IF(O4&lt;=ProjectLife+1,'Project Assumtions'!$L$15,0)</f>
        <v>120</v>
      </c>
      <c r="P7" s="170">
        <f>IF(P4&lt;=ProjectLife+1,'Project Assumtions'!$L$15,0)</f>
        <v>120</v>
      </c>
      <c r="Q7" s="170">
        <f>IF(Q4&lt;=ProjectLife+1,'Project Assumtions'!$L$15,0)</f>
        <v>120</v>
      </c>
      <c r="R7" s="170">
        <f>IF(R4&lt;=ProjectLife+1,'Project Assumtions'!$L$15,0)</f>
        <v>120</v>
      </c>
      <c r="S7" s="170">
        <f>IF(S4&lt;=ProjectLife+1,'Project Assumtions'!$L$15,0)</f>
        <v>120</v>
      </c>
      <c r="T7" s="170">
        <f>IF(T4&lt;=ProjectLife+1,'Project Assumtions'!$L$15,0)</f>
        <v>120</v>
      </c>
      <c r="U7" s="170">
        <f>IF(U4&lt;=ProjectLife+1,'Project Assumtions'!$L$15,0)</f>
        <v>120</v>
      </c>
      <c r="V7" s="170">
        <f>IF(V4&lt;=ProjectLife+1,'Project Assumtions'!$L$15,0)</f>
        <v>120</v>
      </c>
      <c r="W7" s="170">
        <f>IF(W4&lt;=ProjectLife+1,'Project Assumtions'!$L$15,0)</f>
        <v>120</v>
      </c>
      <c r="X7" s="170">
        <f>IF(X4&lt;=ProjectLife+1,'Project Assumtions'!$L$15,0)</f>
        <v>120</v>
      </c>
      <c r="Y7" s="170">
        <f>IF(Y4&lt;=ProjectLife+1,'Project Assumtions'!$L$15,0)</f>
        <v>0</v>
      </c>
      <c r="Z7" s="170">
        <f>IF(Z4&lt;=ProjectLife+1,'Project Assumtions'!$L$15,0)</f>
        <v>0</v>
      </c>
      <c r="AA7" s="170">
        <f>IF(AA4&lt;=ProjectLife+1,'Project Assumtions'!$L$15,0)</f>
        <v>0</v>
      </c>
      <c r="AB7" s="826">
        <f>IF(AB4&lt;=ProjectLife+1,'Project Assumtions'!$L$15,0)</f>
        <v>0</v>
      </c>
    </row>
    <row r="8" spans="1:28" s="41" customFormat="1" ht="11.25" customHeight="1">
      <c r="A8" s="553" t="s">
        <v>125</v>
      </c>
      <c r="B8" s="714"/>
      <c r="C8" s="176"/>
      <c r="D8" s="170">
        <f>D7</f>
        <v>120</v>
      </c>
      <c r="E8" s="170">
        <f>D8+E7</f>
        <v>240</v>
      </c>
      <c r="F8" s="170">
        <f t="shared" ref="F8:AB8" si="1">E8+F7</f>
        <v>360</v>
      </c>
      <c r="G8" s="170">
        <f t="shared" si="1"/>
        <v>480</v>
      </c>
      <c r="H8" s="170">
        <f t="shared" si="1"/>
        <v>600</v>
      </c>
      <c r="I8" s="170">
        <f t="shared" si="1"/>
        <v>720</v>
      </c>
      <c r="J8" s="170">
        <f t="shared" si="1"/>
        <v>840</v>
      </c>
      <c r="K8" s="170">
        <f t="shared" si="1"/>
        <v>960</v>
      </c>
      <c r="L8" s="170">
        <f t="shared" si="1"/>
        <v>1080</v>
      </c>
      <c r="M8" s="170">
        <f t="shared" si="1"/>
        <v>1200</v>
      </c>
      <c r="N8" s="170">
        <f t="shared" si="1"/>
        <v>1320</v>
      </c>
      <c r="O8" s="170">
        <f t="shared" si="1"/>
        <v>1440</v>
      </c>
      <c r="P8" s="170">
        <f t="shared" si="1"/>
        <v>1560</v>
      </c>
      <c r="Q8" s="170">
        <f t="shared" si="1"/>
        <v>1680</v>
      </c>
      <c r="R8" s="170">
        <f t="shared" si="1"/>
        <v>1800</v>
      </c>
      <c r="S8" s="170">
        <f t="shared" si="1"/>
        <v>1920</v>
      </c>
      <c r="T8" s="170">
        <f t="shared" si="1"/>
        <v>2040</v>
      </c>
      <c r="U8" s="170">
        <f t="shared" si="1"/>
        <v>2160</v>
      </c>
      <c r="V8" s="170">
        <f t="shared" si="1"/>
        <v>2280</v>
      </c>
      <c r="W8" s="170">
        <f t="shared" si="1"/>
        <v>2400</v>
      </c>
      <c r="X8" s="170">
        <f t="shared" si="1"/>
        <v>2520</v>
      </c>
      <c r="Y8" s="170">
        <f t="shared" si="1"/>
        <v>2520</v>
      </c>
      <c r="Z8" s="170">
        <f t="shared" si="1"/>
        <v>2520</v>
      </c>
      <c r="AA8" s="170">
        <f t="shared" si="1"/>
        <v>2520</v>
      </c>
      <c r="AB8" s="826">
        <f t="shared" si="1"/>
        <v>2520</v>
      </c>
    </row>
    <row r="9" spans="1:28" s="41" customFormat="1" ht="11.25" customHeight="1">
      <c r="A9" s="553"/>
      <c r="B9" s="714"/>
      <c r="C9" s="176"/>
      <c r="D9" s="170"/>
      <c r="E9" s="170"/>
      <c r="F9" s="170"/>
      <c r="G9" s="170"/>
      <c r="H9" s="170"/>
      <c r="I9" s="170"/>
      <c r="J9" s="170"/>
      <c r="K9" s="170"/>
      <c r="L9" s="170"/>
      <c r="M9" s="170"/>
      <c r="N9" s="170"/>
      <c r="O9" s="170"/>
      <c r="P9" s="170"/>
      <c r="Q9" s="170"/>
      <c r="R9" s="170"/>
      <c r="S9" s="170"/>
      <c r="T9" s="170"/>
      <c r="U9" s="170"/>
      <c r="V9" s="170"/>
      <c r="W9" s="170"/>
      <c r="X9" s="170"/>
      <c r="Y9" s="170"/>
      <c r="Z9" s="170"/>
      <c r="AA9" s="170"/>
      <c r="AB9" s="826"/>
    </row>
    <row r="10" spans="1:28" s="41" customFormat="1" ht="11.25" customHeight="1">
      <c r="A10" s="553"/>
      <c r="B10" s="79"/>
      <c r="C10" s="79"/>
      <c r="D10" s="79"/>
      <c r="E10" s="79"/>
      <c r="F10" s="79"/>
      <c r="G10" s="79"/>
      <c r="H10" s="79"/>
      <c r="I10" s="79"/>
      <c r="J10" s="79"/>
      <c r="K10" s="79"/>
      <c r="L10" s="79"/>
      <c r="M10" s="79"/>
      <c r="N10" s="79"/>
      <c r="O10" s="79"/>
      <c r="P10" s="79"/>
      <c r="Q10" s="79"/>
      <c r="R10" s="79"/>
      <c r="S10" s="79"/>
      <c r="T10" s="79"/>
      <c r="U10" s="79"/>
      <c r="V10" s="79"/>
      <c r="W10" s="79"/>
      <c r="X10" s="79"/>
      <c r="Y10" s="79"/>
      <c r="Z10" s="79"/>
      <c r="AA10" s="79"/>
      <c r="AB10" s="556"/>
    </row>
    <row r="11" spans="1:28" s="41" customFormat="1" ht="11.25" customHeight="1">
      <c r="A11" s="553" t="s">
        <v>120</v>
      </c>
      <c r="B11" s="79"/>
      <c r="C11" s="880"/>
      <c r="D11" s="170">
        <f>'Book Income Statement'!D31</f>
        <v>2140.752</v>
      </c>
      <c r="E11" s="170">
        <f>'Book Income Statement'!E31</f>
        <v>2204.9745600000001</v>
      </c>
      <c r="F11" s="170">
        <f>'Book Income Statement'!F31</f>
        <v>2271.1237968</v>
      </c>
      <c r="G11" s="170">
        <f>'Book Income Statement'!G31</f>
        <v>2339.2575107040002</v>
      </c>
      <c r="H11" s="170">
        <f>'Book Income Statement'!H31</f>
        <v>2409.4352360251196</v>
      </c>
      <c r="I11" s="170">
        <f>'Book Income Statement'!I31</f>
        <v>2481.7182931058733</v>
      </c>
      <c r="J11" s="170">
        <f>'Book Income Statement'!J31</f>
        <v>2556.16984189905</v>
      </c>
      <c r="K11" s="170">
        <f>'Book Income Statement'!K31</f>
        <v>2632.8549371560212</v>
      </c>
      <c r="L11" s="170">
        <f>'Book Income Statement'!L31</f>
        <v>2711.8405852707015</v>
      </c>
      <c r="M11" s="170">
        <f>'Book Income Statement'!M31</f>
        <v>2793.1958028288227</v>
      </c>
      <c r="N11" s="170">
        <f>'Book Income Statement'!N31</f>
        <v>2876.9916769136876</v>
      </c>
      <c r="O11" s="170">
        <f>'Book Income Statement'!O31</f>
        <v>2963.3014272210976</v>
      </c>
      <c r="P11" s="170">
        <f>'Book Income Statement'!P31</f>
        <v>3052.2004700377306</v>
      </c>
      <c r="Q11" s="170">
        <f>'Book Income Statement'!Q31</f>
        <v>3143.7664841388628</v>
      </c>
      <c r="R11" s="170">
        <f>'Book Income Statement'!R31</f>
        <v>3238.0794786630286</v>
      </c>
      <c r="S11" s="170">
        <f>'Book Income Statement'!S31</f>
        <v>3335.2218630229195</v>
      </c>
      <c r="T11" s="170">
        <f>'Book Income Statement'!T31</f>
        <v>3435.2785189136066</v>
      </c>
      <c r="U11" s="170">
        <f>'Book Income Statement'!U31</f>
        <v>3538.336874481015</v>
      </c>
      <c r="V11" s="170">
        <f>'Book Income Statement'!V31</f>
        <v>3644.486980715445</v>
      </c>
      <c r="W11" s="170">
        <f>'Book Income Statement'!W31</f>
        <v>3753.8215901369085</v>
      </c>
      <c r="X11" s="170">
        <f>'Book Income Statement'!X31</f>
        <v>3866.4362378410151</v>
      </c>
      <c r="Y11" s="170">
        <f>'Book Income Statement'!Y31</f>
        <v>0</v>
      </c>
      <c r="Z11" s="170">
        <f>'Book Income Statement'!Z31</f>
        <v>0</v>
      </c>
      <c r="AA11" s="170">
        <f>'Book Income Statement'!AA31</f>
        <v>0</v>
      </c>
      <c r="AB11" s="826">
        <f>'Book Income Statement'!AB31</f>
        <v>0</v>
      </c>
    </row>
    <row r="12" spans="1:28" s="41" customFormat="1" ht="11.25" customHeight="1">
      <c r="A12" s="1072" t="s">
        <v>697</v>
      </c>
      <c r="B12" s="79"/>
      <c r="C12" s="880"/>
      <c r="D12" s="170">
        <v>0</v>
      </c>
      <c r="E12" s="170">
        <v>0</v>
      </c>
      <c r="F12" s="170">
        <v>0</v>
      </c>
      <c r="G12" s="170">
        <f>628.7317314422*4</f>
        <v>2514.9269257688002</v>
      </c>
      <c r="H12" s="170">
        <v>0</v>
      </c>
      <c r="I12" s="170">
        <v>0</v>
      </c>
      <c r="J12" s="170">
        <f>1805.57782183025*4</f>
        <v>7222.3112873210002</v>
      </c>
      <c r="K12" s="170">
        <v>0</v>
      </c>
      <c r="L12" s="170">
        <v>0</v>
      </c>
      <c r="M12" s="170">
        <f>750.738567829213*4</f>
        <v>3002.9542713168521</v>
      </c>
      <c r="N12" s="170">
        <v>0</v>
      </c>
      <c r="O12" s="170">
        <v>0</v>
      </c>
      <c r="P12" s="170">
        <v>0</v>
      </c>
      <c r="Q12" s="170">
        <f>7582.46103172619*4</f>
        <v>30329.844126904762</v>
      </c>
      <c r="R12" s="170">
        <v>0</v>
      </c>
      <c r="S12" s="170">
        <v>0</v>
      </c>
      <c r="T12" s="170">
        <f>2013.06924524906*4</f>
        <v>8052.2769809962401</v>
      </c>
      <c r="U12" s="170">
        <v>0</v>
      </c>
      <c r="V12" s="170">
        <v>0</v>
      </c>
      <c r="W12" s="170">
        <f>4499.02308556151*4</f>
        <v>17996.09234224604</v>
      </c>
      <c r="X12" s="170"/>
      <c r="Y12" s="170"/>
      <c r="Z12" s="170"/>
      <c r="AA12" s="170"/>
      <c r="AB12" s="826"/>
    </row>
    <row r="13" spans="1:28" s="41" customFormat="1" ht="11.25" customHeight="1">
      <c r="A13" s="553" t="s">
        <v>123</v>
      </c>
      <c r="B13" s="79"/>
      <c r="C13" s="880"/>
      <c r="D13" s="170">
        <f>D11</f>
        <v>2140.752</v>
      </c>
      <c r="E13" s="170">
        <f>D13+E11-E12</f>
        <v>4345.7265600000001</v>
      </c>
      <c r="F13" s="170">
        <f t="shared" ref="F13:AB13" si="2">E13+F11-F12</f>
        <v>6616.8503567999996</v>
      </c>
      <c r="G13" s="170">
        <f t="shared" si="2"/>
        <v>6441.1809417352006</v>
      </c>
      <c r="H13" s="170">
        <f t="shared" si="2"/>
        <v>8850.6161777603193</v>
      </c>
      <c r="I13" s="170">
        <f t="shared" si="2"/>
        <v>11332.334470866193</v>
      </c>
      <c r="J13" s="170">
        <f t="shared" si="2"/>
        <v>6666.1930254442423</v>
      </c>
      <c r="K13" s="170">
        <f t="shared" si="2"/>
        <v>9299.0479626002634</v>
      </c>
      <c r="L13" s="170">
        <f t="shared" si="2"/>
        <v>12010.888547870965</v>
      </c>
      <c r="M13" s="170">
        <f t="shared" si="2"/>
        <v>11801.130079382936</v>
      </c>
      <c r="N13" s="170">
        <f t="shared" si="2"/>
        <v>14678.121756296623</v>
      </c>
      <c r="O13" s="170">
        <f t="shared" si="2"/>
        <v>17641.42318351772</v>
      </c>
      <c r="P13" s="170">
        <f t="shared" si="2"/>
        <v>20693.623653555449</v>
      </c>
      <c r="Q13" s="170">
        <f t="shared" si="2"/>
        <v>-6492.4539892104513</v>
      </c>
      <c r="R13" s="170">
        <f t="shared" si="2"/>
        <v>-3254.3745105474227</v>
      </c>
      <c r="S13" s="170">
        <f t="shared" si="2"/>
        <v>80.847352475496791</v>
      </c>
      <c r="T13" s="170">
        <f t="shared" si="2"/>
        <v>-4536.1511096071372</v>
      </c>
      <c r="U13" s="170">
        <f t="shared" si="2"/>
        <v>-997.81423512612218</v>
      </c>
      <c r="V13" s="170">
        <f t="shared" si="2"/>
        <v>2646.6727455893229</v>
      </c>
      <c r="W13" s="170">
        <f t="shared" si="2"/>
        <v>-11595.598006519809</v>
      </c>
      <c r="X13" s="170">
        <f t="shared" si="2"/>
        <v>-7729.161768678794</v>
      </c>
      <c r="Y13" s="170">
        <f t="shared" si="2"/>
        <v>-7729.161768678794</v>
      </c>
      <c r="Z13" s="170">
        <f t="shared" si="2"/>
        <v>-7729.161768678794</v>
      </c>
      <c r="AA13" s="170">
        <f t="shared" si="2"/>
        <v>-7729.161768678794</v>
      </c>
      <c r="AB13" s="826">
        <f t="shared" si="2"/>
        <v>-7729.161768678794</v>
      </c>
    </row>
    <row r="14" spans="1:28" s="41" customFormat="1" ht="10.199999999999999">
      <c r="A14" s="589" t="s">
        <v>122</v>
      </c>
      <c r="B14" s="724"/>
      <c r="C14" s="724"/>
      <c r="D14" s="798">
        <f>D13*'Project Assumtions'!$U$20</f>
        <v>28.8807866267985</v>
      </c>
      <c r="E14" s="798">
        <f>E13*'Project Assumtions'!$U$20</f>
        <v>58.627996852400955</v>
      </c>
      <c r="F14" s="798">
        <f>F13*'Project Assumtions'!$U$20</f>
        <v>89.267623384771483</v>
      </c>
      <c r="G14" s="798">
        <f>G13*'Project Assumtions'!$U$20</f>
        <v>86.897675397643141</v>
      </c>
      <c r="H14" s="798">
        <f>H13*'Project Assumtions'!$U$20</f>
        <v>119.40325518583502</v>
      </c>
      <c r="I14" s="798">
        <f>I13*'Project Assumtions'!$U$20</f>
        <v>152.88400236767268</v>
      </c>
      <c r="J14" s="798">
        <f>J13*'Project Assumtions'!$U$20</f>
        <v>89.933303054677751</v>
      </c>
      <c r="K14" s="798">
        <f>K13*'Project Assumtions'!$U$20</f>
        <v>125.45302773988931</v>
      </c>
      <c r="L14" s="798">
        <f>L13*'Project Assumtions'!$U$20</f>
        <v>162.03834416565724</v>
      </c>
      <c r="M14" s="798">
        <f>M13*'Project Assumtions'!$U$20</f>
        <v>159.20850232897234</v>
      </c>
      <c r="N14" s="798">
        <f>N13*'Project Assumtions'!$U$20</f>
        <v>198.02186452506953</v>
      </c>
      <c r="O14" s="798">
        <f>O13*'Project Assumtions'!$U$20</f>
        <v>237.99962758704959</v>
      </c>
      <c r="P14" s="798">
        <f>P13*'Project Assumtions'!$U$20</f>
        <v>279.17672354088904</v>
      </c>
      <c r="Q14" s="798">
        <f>Q13*'Project Assumtions'!$U$20</f>
        <v>-87.58939771944334</v>
      </c>
      <c r="R14" s="798">
        <f>R13*'Project Assumtions'!$U$20</f>
        <v>-43.904616622015027</v>
      </c>
      <c r="S14" s="798">
        <f>S13*'Project Assumtions'!$U$20</f>
        <v>1.0907079083361326</v>
      </c>
      <c r="T14" s="798">
        <f>T13*'Project Assumtions'!$U$20</f>
        <v>-61.197005680003564</v>
      </c>
      <c r="U14" s="798">
        <f>U13*'Project Assumtions'!$U$20</f>
        <v>-13.461465885754018</v>
      </c>
      <c r="V14" s="798">
        <f>V13*'Project Assumtions'!$U$20</f>
        <v>35.706140102323012</v>
      </c>
      <c r="W14" s="798">
        <f>W13*'Project Assumtions'!$U$20</f>
        <v>-156.435678600991</v>
      </c>
      <c r="X14" s="798">
        <f>X13*'Project Assumtions'!$U$20</f>
        <v>-104.27376540824008</v>
      </c>
      <c r="Y14" s="798">
        <f>Y13*'Project Assumtions'!$U$20</f>
        <v>-104.27376540824008</v>
      </c>
      <c r="Z14" s="798">
        <f>Z13*'Project Assumtions'!$U$20</f>
        <v>-104.27376540824008</v>
      </c>
      <c r="AA14" s="798">
        <f>AA13*'Project Assumtions'!$U$20</f>
        <v>-104.27376540824008</v>
      </c>
      <c r="AB14" s="799">
        <f>AB13*'Project Assumtions'!$U$20</f>
        <v>-104.27376540824008</v>
      </c>
    </row>
    <row r="15" spans="1:28" s="41" customFormat="1" ht="10.199999999999999" hidden="1">
      <c r="A15" s="72" t="s">
        <v>121</v>
      </c>
      <c r="B15" s="72"/>
      <c r="C15" s="72"/>
      <c r="D15" s="90">
        <f>D14</f>
        <v>28.8807866267985</v>
      </c>
      <c r="E15" s="90">
        <f t="shared" ref="E15:AB15" si="3">D15+E14</f>
        <v>87.508783479199451</v>
      </c>
      <c r="F15" s="90">
        <f t="shared" si="3"/>
        <v>176.77640686397092</v>
      </c>
      <c r="G15" s="90">
        <f t="shared" si="3"/>
        <v>263.67408226161405</v>
      </c>
      <c r="H15" s="90">
        <f t="shared" si="3"/>
        <v>383.07733744744905</v>
      </c>
      <c r="I15" s="90">
        <f t="shared" si="3"/>
        <v>535.96133981512173</v>
      </c>
      <c r="J15" s="90">
        <f t="shared" si="3"/>
        <v>625.89464286979944</v>
      </c>
      <c r="K15" s="90">
        <f t="shared" si="3"/>
        <v>751.34767060968875</v>
      </c>
      <c r="L15" s="90">
        <f t="shared" si="3"/>
        <v>913.38601477534598</v>
      </c>
      <c r="M15" s="90">
        <f t="shared" si="3"/>
        <v>1072.5945171043184</v>
      </c>
      <c r="N15" s="90">
        <f t="shared" si="3"/>
        <v>1270.6163816293879</v>
      </c>
      <c r="O15" s="90">
        <f t="shared" si="3"/>
        <v>1508.6160092164375</v>
      </c>
      <c r="P15" s="90">
        <f t="shared" si="3"/>
        <v>1787.7927327573266</v>
      </c>
      <c r="Q15" s="90">
        <f t="shared" si="3"/>
        <v>1700.2033350378833</v>
      </c>
      <c r="R15" s="90">
        <f t="shared" si="3"/>
        <v>1656.2987184158683</v>
      </c>
      <c r="S15" s="90">
        <f t="shared" si="3"/>
        <v>1657.3894263242044</v>
      </c>
      <c r="T15" s="90">
        <f t="shared" si="3"/>
        <v>1596.1924206442009</v>
      </c>
      <c r="U15" s="90">
        <f t="shared" si="3"/>
        <v>1582.7309547584468</v>
      </c>
      <c r="V15" s="90">
        <f t="shared" si="3"/>
        <v>1618.4370948607698</v>
      </c>
      <c r="W15" s="90">
        <f t="shared" si="3"/>
        <v>1462.0014162597788</v>
      </c>
      <c r="X15" s="90">
        <f t="shared" si="3"/>
        <v>1357.7276508515388</v>
      </c>
      <c r="Y15" s="90">
        <f t="shared" si="3"/>
        <v>1253.4538854432988</v>
      </c>
      <c r="Z15" s="90">
        <f t="shared" si="3"/>
        <v>1149.1801200350587</v>
      </c>
      <c r="AA15" s="90">
        <f t="shared" si="3"/>
        <v>1044.9063546268187</v>
      </c>
      <c r="AB15" s="90">
        <f t="shared" si="3"/>
        <v>940.63258921857869</v>
      </c>
    </row>
    <row r="16" spans="1:28" s="41" customFormat="1" ht="10.199999999999999">
      <c r="A16" s="72"/>
      <c r="B16" s="72"/>
      <c r="C16" s="72"/>
      <c r="D16" s="72"/>
      <c r="E16" s="72"/>
      <c r="F16" s="72"/>
      <c r="G16" s="72"/>
      <c r="H16" s="72"/>
      <c r="I16" s="72"/>
      <c r="J16" s="72"/>
      <c r="K16" s="72"/>
      <c r="L16" s="72"/>
      <c r="M16" s="72"/>
      <c r="N16" s="72"/>
      <c r="O16" s="72"/>
      <c r="P16" s="72"/>
      <c r="Q16" s="72"/>
      <c r="R16" s="72"/>
      <c r="S16" s="72"/>
      <c r="T16" s="72"/>
      <c r="U16" s="72"/>
      <c r="V16" s="72"/>
      <c r="W16" s="72"/>
      <c r="X16" s="72"/>
      <c r="Y16" s="72"/>
      <c r="Z16" s="72"/>
      <c r="AA16" s="72"/>
      <c r="AB16" s="72"/>
    </row>
    <row r="17" spans="1:28" s="41" customFormat="1" ht="10.199999999999999">
      <c r="A17" s="72"/>
      <c r="B17" s="72"/>
      <c r="C17" s="72"/>
      <c r="D17" s="91"/>
      <c r="E17" s="92"/>
      <c r="F17" s="92"/>
      <c r="G17" s="92"/>
      <c r="H17" s="92"/>
      <c r="I17" s="92"/>
      <c r="J17" s="92"/>
      <c r="K17" s="92"/>
      <c r="L17" s="72"/>
      <c r="M17" s="72"/>
      <c r="N17" s="72"/>
      <c r="O17" s="72"/>
      <c r="P17" s="72"/>
      <c r="Q17" s="72"/>
      <c r="R17" s="72"/>
      <c r="S17" s="72"/>
      <c r="T17" s="72"/>
      <c r="U17" s="72"/>
      <c r="V17" s="72"/>
      <c r="W17" s="72"/>
      <c r="X17" s="72"/>
      <c r="Y17" s="72"/>
      <c r="Z17" s="72"/>
      <c r="AA17" s="72"/>
      <c r="AB17" s="72"/>
    </row>
    <row r="18" spans="1:28" s="41" customFormat="1">
      <c r="A18" t="s">
        <v>506</v>
      </c>
      <c r="B18"/>
      <c r="C18" s="901">
        <v>6.5000000000000002E-2</v>
      </c>
      <c r="D18"/>
      <c r="E18"/>
      <c r="F18" s="72"/>
      <c r="G18" s="92"/>
      <c r="H18" s="72"/>
      <c r="I18" s="72"/>
      <c r="J18" s="72"/>
      <c r="K18" s="72"/>
      <c r="L18" s="72"/>
      <c r="M18" s="72"/>
      <c r="N18" s="72"/>
      <c r="O18" s="72"/>
      <c r="P18" s="72"/>
      <c r="Q18" s="72"/>
      <c r="R18" s="72"/>
      <c r="S18" s="72"/>
      <c r="T18" s="72"/>
      <c r="U18" s="72"/>
      <c r="V18" s="72"/>
      <c r="W18" s="72"/>
      <c r="X18" s="72"/>
      <c r="Y18" s="72"/>
      <c r="Z18" s="72"/>
      <c r="AA18" s="72"/>
      <c r="AB18" s="72"/>
    </row>
    <row r="19" spans="1:28" s="41" customFormat="1" ht="39.6">
      <c r="A19" s="902" t="s">
        <v>507</v>
      </c>
      <c r="B19" s="903">
        <v>0</v>
      </c>
      <c r="C19"/>
      <c r="D19"/>
      <c r="E19" s="902" t="s">
        <v>515</v>
      </c>
      <c r="F19" s="910" t="s">
        <v>511</v>
      </c>
      <c r="G19" s="911" t="s">
        <v>436</v>
      </c>
      <c r="H19" s="912" t="s">
        <v>512</v>
      </c>
      <c r="I19" s="911" t="s">
        <v>513</v>
      </c>
      <c r="J19" s="913" t="s">
        <v>514</v>
      </c>
      <c r="K19" s="72"/>
      <c r="L19" s="72"/>
      <c r="M19" s="72"/>
      <c r="N19" s="72"/>
      <c r="O19" s="72"/>
      <c r="P19" s="72"/>
      <c r="Q19" s="72"/>
      <c r="R19" s="72"/>
      <c r="S19" s="72"/>
      <c r="T19" s="72"/>
      <c r="U19" s="72"/>
      <c r="V19" s="72"/>
      <c r="W19" s="72"/>
      <c r="X19" s="72"/>
      <c r="Y19" s="72"/>
      <c r="Z19" s="72"/>
      <c r="AA19" s="72"/>
      <c r="AB19" s="72"/>
    </row>
    <row r="20" spans="1:28" s="41" customFormat="1">
      <c r="A20" s="904" t="s">
        <v>508</v>
      </c>
      <c r="B20" s="905">
        <v>2.5</v>
      </c>
      <c r="C20"/>
      <c r="D20"/>
      <c r="E20" s="914"/>
      <c r="F20" s="915"/>
      <c r="G20" s="915"/>
      <c r="H20" s="915"/>
      <c r="I20" s="915"/>
      <c r="J20" s="907"/>
      <c r="K20" s="72"/>
      <c r="L20" s="72"/>
      <c r="M20" s="72"/>
      <c r="N20" s="72"/>
      <c r="O20" s="72"/>
      <c r="P20" s="72"/>
      <c r="Q20" s="72"/>
      <c r="R20" s="72"/>
      <c r="S20" s="72"/>
      <c r="T20" s="72"/>
      <c r="U20" s="72"/>
      <c r="V20" s="72"/>
      <c r="W20" s="72"/>
      <c r="X20" s="72"/>
      <c r="Y20" s="72"/>
      <c r="Z20" s="72"/>
      <c r="AA20" s="72"/>
      <c r="AB20" s="72"/>
    </row>
    <row r="21" spans="1:28" s="41" customFormat="1">
      <c r="A21" s="904" t="s">
        <v>509</v>
      </c>
      <c r="B21" s="905">
        <f>'Project Assumtions'!N61</f>
        <v>0</v>
      </c>
      <c r="C21"/>
      <c r="D21"/>
      <c r="E21" s="914">
        <v>20</v>
      </c>
      <c r="F21" s="916">
        <f>4*1164</f>
        <v>4656</v>
      </c>
      <c r="G21" s="916">
        <f>$B$21*$B$23*($B$20*(1+$B$19))</f>
        <v>0</v>
      </c>
      <c r="H21" s="916">
        <f>G21+F21</f>
        <v>4656</v>
      </c>
      <c r="I21" s="917">
        <f>G21/H21</f>
        <v>0</v>
      </c>
      <c r="J21" s="918">
        <f>1-I21</f>
        <v>1</v>
      </c>
      <c r="K21" s="72"/>
      <c r="L21" s="72"/>
      <c r="M21" s="72"/>
      <c r="N21" s="72"/>
      <c r="O21" s="72"/>
      <c r="P21" s="72"/>
      <c r="Q21" s="72"/>
      <c r="R21" s="72"/>
      <c r="S21" s="72"/>
      <c r="T21" s="72"/>
      <c r="U21" s="72"/>
      <c r="V21" s="72"/>
      <c r="W21" s="72"/>
      <c r="X21" s="72"/>
      <c r="Y21" s="72"/>
      <c r="Z21" s="72"/>
      <c r="AA21" s="72"/>
      <c r="AB21" s="72"/>
    </row>
    <row r="22" spans="1:28" s="41" customFormat="1">
      <c r="A22" s="906"/>
      <c r="B22" s="907"/>
      <c r="C22"/>
      <c r="D22"/>
      <c r="E22" s="914">
        <v>30</v>
      </c>
      <c r="F22" s="916">
        <f>4*1164</f>
        <v>4656</v>
      </c>
      <c r="G22" s="916">
        <f t="shared" ref="G22:G44" si="4">$B$21*$B$23*($B$20*(1+$B$19))</f>
        <v>0</v>
      </c>
      <c r="H22" s="916">
        <f t="shared" ref="H22:H44" si="5">G22+F22</f>
        <v>4656</v>
      </c>
      <c r="I22" s="917">
        <f t="shared" ref="I22:I44" si="6">G22/H22</f>
        <v>0</v>
      </c>
      <c r="J22" s="918">
        <f t="shared" ref="J22:J44" si="7">1-I22</f>
        <v>1</v>
      </c>
      <c r="K22" s="72"/>
      <c r="L22" s="72"/>
      <c r="M22" s="72"/>
      <c r="N22" s="72"/>
      <c r="O22" s="72"/>
      <c r="P22" s="72"/>
      <c r="Q22" s="72"/>
      <c r="R22" s="72"/>
      <c r="S22" s="72"/>
      <c r="T22" s="72"/>
      <c r="U22" s="72"/>
      <c r="V22" s="72"/>
      <c r="W22" s="72"/>
      <c r="X22" s="72"/>
      <c r="Y22" s="72"/>
      <c r="Z22" s="72"/>
      <c r="AA22" s="72"/>
      <c r="AB22" s="72"/>
    </row>
    <row r="23" spans="1:28" s="41" customFormat="1">
      <c r="A23" s="908" t="s">
        <v>510</v>
      </c>
      <c r="B23" s="909">
        <v>4</v>
      </c>
      <c r="C23"/>
      <c r="D23"/>
      <c r="E23" s="914">
        <v>40</v>
      </c>
      <c r="F23" s="916">
        <f>4*2140</f>
        <v>8560</v>
      </c>
      <c r="G23" s="916">
        <f t="shared" si="4"/>
        <v>0</v>
      </c>
      <c r="H23" s="916">
        <f t="shared" si="5"/>
        <v>8560</v>
      </c>
      <c r="I23" s="917">
        <f t="shared" si="6"/>
        <v>0</v>
      </c>
      <c r="J23" s="918">
        <f t="shared" si="7"/>
        <v>1</v>
      </c>
      <c r="K23" s="72"/>
      <c r="L23" s="72"/>
      <c r="M23" s="72"/>
      <c r="N23" s="72"/>
      <c r="O23" s="72"/>
      <c r="P23" s="72"/>
      <c r="Q23" s="72"/>
      <c r="R23" s="72"/>
      <c r="S23" s="72"/>
      <c r="T23" s="72"/>
      <c r="U23" s="72"/>
      <c r="V23" s="72"/>
      <c r="W23" s="72"/>
      <c r="X23" s="72"/>
      <c r="Y23" s="72"/>
      <c r="Z23" s="72"/>
      <c r="AA23" s="72"/>
      <c r="AB23" s="72"/>
    </row>
    <row r="24" spans="1:28" s="41" customFormat="1">
      <c r="A24"/>
      <c r="B24"/>
      <c r="C24"/>
      <c r="D24"/>
      <c r="E24" s="914">
        <v>50</v>
      </c>
      <c r="F24" s="916">
        <f>4*2140</f>
        <v>8560</v>
      </c>
      <c r="G24" s="916">
        <f t="shared" si="4"/>
        <v>0</v>
      </c>
      <c r="H24" s="916">
        <f t="shared" si="5"/>
        <v>8560</v>
      </c>
      <c r="I24" s="917">
        <f t="shared" si="6"/>
        <v>0</v>
      </c>
      <c r="J24" s="918">
        <f t="shared" si="7"/>
        <v>1</v>
      </c>
      <c r="K24" s="72"/>
      <c r="L24" s="72"/>
      <c r="M24" s="72"/>
      <c r="N24" s="72"/>
      <c r="O24" s="72"/>
      <c r="P24" s="72"/>
      <c r="Q24" s="72"/>
      <c r="R24" s="72"/>
      <c r="S24" s="72"/>
      <c r="T24" s="72"/>
      <c r="U24" s="72"/>
      <c r="V24" s="72"/>
      <c r="W24" s="72"/>
      <c r="X24" s="72"/>
      <c r="Y24" s="72"/>
      <c r="Z24" s="72"/>
      <c r="AA24" s="72"/>
      <c r="AB24" s="72"/>
    </row>
    <row r="25" spans="1:28" s="41" customFormat="1">
      <c r="A25"/>
      <c r="B25"/>
      <c r="C25"/>
      <c r="D25"/>
      <c r="E25" s="914">
        <v>60</v>
      </c>
      <c r="F25" s="916">
        <f>4*2140</f>
        <v>8560</v>
      </c>
      <c r="G25" s="916">
        <f t="shared" si="4"/>
        <v>0</v>
      </c>
      <c r="H25" s="916">
        <f t="shared" si="5"/>
        <v>8560</v>
      </c>
      <c r="I25" s="917">
        <f t="shared" si="6"/>
        <v>0</v>
      </c>
      <c r="J25" s="918">
        <f t="shared" si="7"/>
        <v>1</v>
      </c>
      <c r="K25" s="72"/>
      <c r="L25" s="72"/>
      <c r="M25" s="72"/>
      <c r="N25" s="72"/>
      <c r="O25" s="72"/>
      <c r="P25" s="72"/>
      <c r="Q25" s="72"/>
      <c r="R25" s="72"/>
      <c r="S25" s="72"/>
      <c r="T25" s="72"/>
      <c r="U25" s="72"/>
      <c r="V25" s="72"/>
      <c r="W25" s="72"/>
      <c r="X25" s="72"/>
      <c r="Y25" s="72"/>
      <c r="Z25" s="72"/>
      <c r="AA25" s="72"/>
      <c r="AB25" s="72"/>
    </row>
    <row r="26" spans="1:28" s="41" customFormat="1">
      <c r="E26" s="914">
        <v>70</v>
      </c>
      <c r="F26" s="916">
        <f>4*2140</f>
        <v>8560</v>
      </c>
      <c r="G26" s="916">
        <f t="shared" si="4"/>
        <v>0</v>
      </c>
      <c r="H26" s="916">
        <f t="shared" si="5"/>
        <v>8560</v>
      </c>
      <c r="I26" s="917">
        <f t="shared" si="6"/>
        <v>0</v>
      </c>
      <c r="J26" s="918">
        <f t="shared" si="7"/>
        <v>1</v>
      </c>
      <c r="K26" s="72"/>
      <c r="L26" s="72"/>
      <c r="M26" s="72"/>
      <c r="N26" s="72"/>
      <c r="O26" s="72"/>
      <c r="P26" s="72"/>
      <c r="Q26" s="72"/>
      <c r="R26" s="72"/>
      <c r="S26" s="72"/>
      <c r="T26" s="72"/>
      <c r="U26" s="72"/>
      <c r="V26" s="72"/>
      <c r="W26" s="72"/>
      <c r="X26" s="72"/>
      <c r="Y26" s="72"/>
      <c r="Z26" s="72"/>
      <c r="AA26" s="72"/>
      <c r="AB26" s="72"/>
    </row>
    <row r="27" spans="1:28" s="41" customFormat="1">
      <c r="E27" s="914">
        <v>80</v>
      </c>
      <c r="F27" s="916">
        <f t="shared" ref="F27:F34" si="8">4*4330</f>
        <v>17320</v>
      </c>
      <c r="G27" s="916">
        <f t="shared" si="4"/>
        <v>0</v>
      </c>
      <c r="H27" s="916">
        <f t="shared" si="5"/>
        <v>17320</v>
      </c>
      <c r="I27" s="917">
        <f t="shared" si="6"/>
        <v>0</v>
      </c>
      <c r="J27" s="918">
        <f t="shared" si="7"/>
        <v>1</v>
      </c>
      <c r="K27" s="72"/>
      <c r="L27" s="72"/>
      <c r="M27" s="72"/>
      <c r="N27" s="72"/>
      <c r="O27" s="72"/>
      <c r="P27" s="72"/>
      <c r="Q27" s="72"/>
      <c r="R27" s="72"/>
      <c r="S27" s="72"/>
      <c r="T27" s="72"/>
      <c r="U27" s="72"/>
      <c r="V27" s="72"/>
      <c r="W27" s="72"/>
      <c r="X27" s="72"/>
      <c r="Y27" s="72"/>
      <c r="Z27" s="72"/>
      <c r="AA27" s="72"/>
      <c r="AB27" s="72"/>
    </row>
    <row r="28" spans="1:28" s="41" customFormat="1">
      <c r="E28" s="914">
        <v>90</v>
      </c>
      <c r="F28" s="916">
        <f t="shared" si="8"/>
        <v>17320</v>
      </c>
      <c r="G28" s="916">
        <f t="shared" si="4"/>
        <v>0</v>
      </c>
      <c r="H28" s="916">
        <f t="shared" si="5"/>
        <v>17320</v>
      </c>
      <c r="I28" s="917">
        <f t="shared" si="6"/>
        <v>0</v>
      </c>
      <c r="J28" s="918">
        <f t="shared" si="7"/>
        <v>1</v>
      </c>
      <c r="K28" s="72"/>
      <c r="L28" s="72"/>
      <c r="M28" s="72"/>
      <c r="N28" s="72"/>
      <c r="O28" s="72"/>
      <c r="P28" s="72"/>
      <c r="Q28" s="72"/>
      <c r="R28" s="72"/>
      <c r="S28" s="72"/>
      <c r="T28" s="72"/>
      <c r="U28" s="72"/>
      <c r="V28" s="72"/>
      <c r="W28" s="72"/>
      <c r="X28" s="72"/>
      <c r="Y28" s="72"/>
      <c r="Z28" s="72"/>
      <c r="AA28" s="72"/>
      <c r="AB28" s="72"/>
    </row>
    <row r="29" spans="1:28" s="41" customFormat="1">
      <c r="E29" s="914">
        <v>100</v>
      </c>
      <c r="F29" s="916">
        <f t="shared" si="8"/>
        <v>17320</v>
      </c>
      <c r="G29" s="916">
        <f t="shared" si="4"/>
        <v>0</v>
      </c>
      <c r="H29" s="916">
        <f t="shared" si="5"/>
        <v>17320</v>
      </c>
      <c r="I29" s="917">
        <f t="shared" si="6"/>
        <v>0</v>
      </c>
      <c r="J29" s="918">
        <f t="shared" si="7"/>
        <v>1</v>
      </c>
      <c r="K29" s="72"/>
      <c r="L29" s="72"/>
      <c r="M29" s="72"/>
      <c r="N29" s="72"/>
      <c r="O29" s="72"/>
      <c r="P29" s="72"/>
      <c r="Q29" s="72"/>
      <c r="R29" s="72"/>
      <c r="S29" s="72"/>
      <c r="T29" s="72"/>
      <c r="U29" s="72"/>
      <c r="V29" s="72"/>
      <c r="W29" s="72"/>
      <c r="X29" s="72"/>
      <c r="Y29" s="72"/>
      <c r="Z29" s="72"/>
      <c r="AA29" s="72"/>
      <c r="AB29" s="72"/>
    </row>
    <row r="30" spans="1:28" s="41" customFormat="1">
      <c r="E30" s="914">
        <v>110</v>
      </c>
      <c r="F30" s="916">
        <f t="shared" si="8"/>
        <v>17320</v>
      </c>
      <c r="G30" s="916">
        <f t="shared" si="4"/>
        <v>0</v>
      </c>
      <c r="H30" s="916">
        <f t="shared" si="5"/>
        <v>17320</v>
      </c>
      <c r="I30" s="917">
        <f t="shared" si="6"/>
        <v>0</v>
      </c>
      <c r="J30" s="918">
        <f t="shared" si="7"/>
        <v>1</v>
      </c>
      <c r="K30" s="72"/>
      <c r="L30" s="72"/>
      <c r="M30" s="72"/>
      <c r="N30" s="72"/>
      <c r="O30" s="72"/>
      <c r="P30" s="72"/>
      <c r="Q30" s="72"/>
      <c r="R30" s="72"/>
      <c r="S30" s="72"/>
      <c r="T30" s="72"/>
      <c r="U30" s="72"/>
      <c r="V30" s="72"/>
      <c r="W30" s="72"/>
      <c r="X30" s="72"/>
      <c r="Y30" s="72"/>
      <c r="Z30" s="72"/>
      <c r="AA30" s="72"/>
      <c r="AB30" s="72"/>
    </row>
    <row r="31" spans="1:28" s="41" customFormat="1">
      <c r="E31" s="914">
        <v>120</v>
      </c>
      <c r="F31" s="916">
        <f t="shared" si="8"/>
        <v>17320</v>
      </c>
      <c r="G31" s="916">
        <f t="shared" si="4"/>
        <v>0</v>
      </c>
      <c r="H31" s="916">
        <f t="shared" si="5"/>
        <v>17320</v>
      </c>
      <c r="I31" s="917">
        <f t="shared" si="6"/>
        <v>0</v>
      </c>
      <c r="J31" s="918">
        <f t="shared" si="7"/>
        <v>1</v>
      </c>
      <c r="K31" s="72"/>
      <c r="L31" s="72"/>
      <c r="M31" s="72"/>
      <c r="N31" s="72"/>
      <c r="O31" s="72"/>
      <c r="P31" s="72"/>
      <c r="Q31" s="72"/>
      <c r="R31" s="72"/>
      <c r="S31" s="72"/>
      <c r="T31" s="72"/>
      <c r="U31" s="72"/>
      <c r="V31" s="72"/>
      <c r="W31" s="72"/>
      <c r="X31" s="72"/>
      <c r="Y31" s="72"/>
      <c r="Z31" s="72"/>
      <c r="AA31" s="72"/>
      <c r="AB31" s="72"/>
    </row>
    <row r="32" spans="1:28" s="41" customFormat="1">
      <c r="E32" s="914">
        <v>130</v>
      </c>
      <c r="F32" s="916">
        <f t="shared" si="8"/>
        <v>17320</v>
      </c>
      <c r="G32" s="916">
        <f t="shared" si="4"/>
        <v>0</v>
      </c>
      <c r="H32" s="916">
        <f t="shared" si="5"/>
        <v>17320</v>
      </c>
      <c r="I32" s="917">
        <f t="shared" si="6"/>
        <v>0</v>
      </c>
      <c r="J32" s="918">
        <f t="shared" si="7"/>
        <v>1</v>
      </c>
      <c r="K32" s="72"/>
      <c r="L32" s="72"/>
      <c r="M32" s="72"/>
      <c r="N32" s="72"/>
      <c r="O32" s="72"/>
      <c r="P32" s="72"/>
      <c r="Q32" s="72"/>
      <c r="R32" s="72"/>
      <c r="S32" s="72"/>
      <c r="T32" s="72"/>
      <c r="U32" s="72"/>
      <c r="V32" s="72"/>
      <c r="W32" s="72"/>
      <c r="X32" s="72"/>
      <c r="Y32" s="72"/>
      <c r="Z32" s="72"/>
      <c r="AA32" s="72"/>
      <c r="AB32" s="72"/>
    </row>
    <row r="33" spans="5:28" s="41" customFormat="1">
      <c r="E33" s="914">
        <v>140</v>
      </c>
      <c r="F33" s="916">
        <f t="shared" si="8"/>
        <v>17320</v>
      </c>
      <c r="G33" s="916">
        <f t="shared" si="4"/>
        <v>0</v>
      </c>
      <c r="H33" s="916">
        <f t="shared" si="5"/>
        <v>17320</v>
      </c>
      <c r="I33" s="917">
        <f t="shared" si="6"/>
        <v>0</v>
      </c>
      <c r="J33" s="918">
        <f t="shared" si="7"/>
        <v>1</v>
      </c>
      <c r="K33" s="72"/>
      <c r="L33" s="72"/>
      <c r="M33" s="72"/>
      <c r="N33" s="72"/>
      <c r="O33" s="72"/>
      <c r="P33" s="72"/>
      <c r="Q33" s="72"/>
      <c r="R33" s="72"/>
      <c r="S33" s="72"/>
      <c r="T33" s="72"/>
      <c r="U33" s="72"/>
      <c r="V33" s="72"/>
      <c r="W33" s="72"/>
      <c r="X33" s="72"/>
      <c r="Y33" s="72"/>
      <c r="Z33" s="72"/>
      <c r="AA33" s="72"/>
      <c r="AB33" s="72"/>
    </row>
    <row r="34" spans="5:28" s="41" customFormat="1">
      <c r="E34" s="914">
        <v>150</v>
      </c>
      <c r="F34" s="916">
        <f t="shared" si="8"/>
        <v>17320</v>
      </c>
      <c r="G34" s="916">
        <f t="shared" si="4"/>
        <v>0</v>
      </c>
      <c r="H34" s="916">
        <f t="shared" si="5"/>
        <v>17320</v>
      </c>
      <c r="I34" s="917">
        <f t="shared" si="6"/>
        <v>0</v>
      </c>
      <c r="J34" s="918">
        <f t="shared" si="7"/>
        <v>1</v>
      </c>
      <c r="K34" s="72"/>
      <c r="L34" s="72"/>
      <c r="M34" s="72"/>
      <c r="N34" s="72"/>
      <c r="O34" s="72"/>
      <c r="P34" s="72"/>
      <c r="Q34" s="72"/>
      <c r="R34" s="72"/>
      <c r="S34" s="72"/>
      <c r="T34" s="72"/>
      <c r="U34" s="72"/>
      <c r="V34" s="72"/>
      <c r="W34" s="72"/>
      <c r="X34" s="72"/>
      <c r="Y34" s="72"/>
      <c r="Z34" s="72"/>
      <c r="AA34" s="72"/>
      <c r="AB34" s="72"/>
    </row>
    <row r="35" spans="5:28">
      <c r="E35" s="914">
        <v>160</v>
      </c>
      <c r="F35" s="916">
        <f>4*6112</f>
        <v>24448</v>
      </c>
      <c r="G35" s="916">
        <f t="shared" si="4"/>
        <v>0</v>
      </c>
      <c r="H35" s="916">
        <f t="shared" si="5"/>
        <v>24448</v>
      </c>
      <c r="I35" s="917">
        <f t="shared" si="6"/>
        <v>0</v>
      </c>
      <c r="J35" s="918">
        <f t="shared" si="7"/>
        <v>1</v>
      </c>
    </row>
    <row r="36" spans="5:28">
      <c r="E36" s="914">
        <v>170</v>
      </c>
      <c r="F36" s="916">
        <f t="shared" ref="F36:F42" si="9">4*6112</f>
        <v>24448</v>
      </c>
      <c r="G36" s="916">
        <f t="shared" si="4"/>
        <v>0</v>
      </c>
      <c r="H36" s="916">
        <f t="shared" si="5"/>
        <v>24448</v>
      </c>
      <c r="I36" s="917">
        <f t="shared" si="6"/>
        <v>0</v>
      </c>
      <c r="J36" s="918">
        <f t="shared" si="7"/>
        <v>1</v>
      </c>
    </row>
    <row r="37" spans="5:28">
      <c r="E37" s="914">
        <v>180</v>
      </c>
      <c r="F37" s="916">
        <f t="shared" si="9"/>
        <v>24448</v>
      </c>
      <c r="G37" s="916">
        <f t="shared" si="4"/>
        <v>0</v>
      </c>
      <c r="H37" s="916">
        <f t="shared" si="5"/>
        <v>24448</v>
      </c>
      <c r="I37" s="917">
        <f t="shared" si="6"/>
        <v>0</v>
      </c>
      <c r="J37" s="918">
        <f t="shared" si="7"/>
        <v>1</v>
      </c>
    </row>
    <row r="38" spans="5:28">
      <c r="E38" s="914">
        <v>190</v>
      </c>
      <c r="F38" s="916">
        <f t="shared" si="9"/>
        <v>24448</v>
      </c>
      <c r="G38" s="916">
        <f t="shared" si="4"/>
        <v>0</v>
      </c>
      <c r="H38" s="916">
        <f t="shared" si="5"/>
        <v>24448</v>
      </c>
      <c r="I38" s="917">
        <f t="shared" si="6"/>
        <v>0</v>
      </c>
      <c r="J38" s="918">
        <f t="shared" si="7"/>
        <v>1</v>
      </c>
    </row>
    <row r="39" spans="5:28">
      <c r="E39" s="914">
        <v>200</v>
      </c>
      <c r="F39" s="916">
        <f t="shared" si="9"/>
        <v>24448</v>
      </c>
      <c r="G39" s="916">
        <f t="shared" si="4"/>
        <v>0</v>
      </c>
      <c r="H39" s="916">
        <f t="shared" si="5"/>
        <v>24448</v>
      </c>
      <c r="I39" s="917">
        <f t="shared" si="6"/>
        <v>0</v>
      </c>
      <c r="J39" s="918">
        <f t="shared" si="7"/>
        <v>1</v>
      </c>
    </row>
    <row r="40" spans="5:28">
      <c r="E40" s="914">
        <v>210</v>
      </c>
      <c r="F40" s="916">
        <f t="shared" si="9"/>
        <v>24448</v>
      </c>
      <c r="G40" s="916">
        <f t="shared" si="4"/>
        <v>0</v>
      </c>
      <c r="H40" s="916">
        <f t="shared" si="5"/>
        <v>24448</v>
      </c>
      <c r="I40" s="917">
        <f t="shared" si="6"/>
        <v>0</v>
      </c>
      <c r="J40" s="918">
        <f t="shared" si="7"/>
        <v>1</v>
      </c>
    </row>
    <row r="41" spans="5:28">
      <c r="E41" s="914">
        <v>220</v>
      </c>
      <c r="F41" s="916">
        <f t="shared" si="9"/>
        <v>24448</v>
      </c>
      <c r="G41" s="916">
        <f t="shared" si="4"/>
        <v>0</v>
      </c>
      <c r="H41" s="916">
        <f t="shared" si="5"/>
        <v>24448</v>
      </c>
      <c r="I41" s="917">
        <f t="shared" si="6"/>
        <v>0</v>
      </c>
      <c r="J41" s="918">
        <f t="shared" si="7"/>
        <v>1</v>
      </c>
    </row>
    <row r="42" spans="5:28">
      <c r="E42" s="914">
        <v>230</v>
      </c>
      <c r="F42" s="916">
        <f t="shared" si="9"/>
        <v>24448</v>
      </c>
      <c r="G42" s="916">
        <f t="shared" si="4"/>
        <v>0</v>
      </c>
      <c r="H42" s="916">
        <f t="shared" si="5"/>
        <v>24448</v>
      </c>
      <c r="I42" s="917">
        <f t="shared" si="6"/>
        <v>0</v>
      </c>
      <c r="J42" s="918">
        <f t="shared" si="7"/>
        <v>1</v>
      </c>
    </row>
    <row r="43" spans="5:28">
      <c r="E43" s="914">
        <v>240</v>
      </c>
      <c r="F43" s="916">
        <f>4*6393</f>
        <v>25572</v>
      </c>
      <c r="G43" s="916">
        <f t="shared" si="4"/>
        <v>0</v>
      </c>
      <c r="H43" s="916">
        <f t="shared" si="5"/>
        <v>25572</v>
      </c>
      <c r="I43" s="917">
        <f t="shared" si="6"/>
        <v>0</v>
      </c>
      <c r="J43" s="918">
        <f t="shared" si="7"/>
        <v>1</v>
      </c>
    </row>
    <row r="44" spans="5:28">
      <c r="E44" s="919">
        <v>250</v>
      </c>
      <c r="F44" s="920">
        <f>4*6393</f>
        <v>25572</v>
      </c>
      <c r="G44" s="920">
        <f t="shared" si="4"/>
        <v>0</v>
      </c>
      <c r="H44" s="920">
        <f t="shared" si="5"/>
        <v>25572</v>
      </c>
      <c r="I44" s="921">
        <f t="shared" si="6"/>
        <v>0</v>
      </c>
      <c r="J44" s="922">
        <f t="shared" si="7"/>
        <v>1</v>
      </c>
    </row>
  </sheetData>
  <pageMargins left="0.25" right="0.25" top="0.25" bottom="0.5" header="0" footer="0"/>
  <pageSetup scale="57" orientation="landscape" r:id="rId1"/>
  <headerFooter alignWithMargins="0">
    <oddFooter>&amp;L&amp;D   &amp;T&amp;R&amp;F
&amp;A &amp;P</oddFooter>
  </headerFooter>
  <colBreaks count="1" manualBreakCount="1">
    <brk id="15" max="15"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Y42"/>
  <sheetViews>
    <sheetView workbookViewId="0">
      <selection activeCell="D22" sqref="D22"/>
    </sheetView>
  </sheetViews>
  <sheetFormatPr defaultRowHeight="13.2"/>
  <sheetData>
    <row r="1" spans="1:3">
      <c r="A1" s="974" t="str">
        <f>'PPA Assumptions &amp;Summary'!A1</f>
        <v>WHEATLAND POWER IN, L.L.C.</v>
      </c>
    </row>
    <row r="2" spans="1:3">
      <c r="A2" s="975" t="s">
        <v>563</v>
      </c>
    </row>
    <row r="5" spans="1:3">
      <c r="A5" s="976" t="s">
        <v>564</v>
      </c>
    </row>
    <row r="7" spans="1:3">
      <c r="A7" t="s">
        <v>565</v>
      </c>
      <c r="C7">
        <f>NetMW</f>
        <v>470</v>
      </c>
    </row>
    <row r="8" spans="1:3">
      <c r="A8" t="s">
        <v>566</v>
      </c>
      <c r="C8" s="977">
        <f>HeatRate</f>
        <v>11735</v>
      </c>
    </row>
    <row r="9" spans="1:3">
      <c r="A9" t="s">
        <v>567</v>
      </c>
      <c r="C9">
        <f>'Project Assumtions'!I8</f>
        <v>4</v>
      </c>
    </row>
    <row r="10" spans="1:3">
      <c r="A10" t="s">
        <v>568</v>
      </c>
      <c r="C10">
        <f>AnnualHours</f>
        <v>1200</v>
      </c>
    </row>
    <row r="11" spans="1:3">
      <c r="A11" t="s">
        <v>583</v>
      </c>
      <c r="C11">
        <f>'Project Assumtions'!N61</f>
        <v>0</v>
      </c>
    </row>
    <row r="13" spans="1:3">
      <c r="A13" s="976" t="s">
        <v>569</v>
      </c>
    </row>
    <row r="14" spans="1:3">
      <c r="C14" s="978">
        <v>1999</v>
      </c>
    </row>
    <row r="15" spans="1:3">
      <c r="A15" t="s">
        <v>570</v>
      </c>
      <c r="C15" s="977">
        <f>Labor+Fixed</f>
        <v>1165</v>
      </c>
    </row>
    <row r="16" spans="1:3">
      <c r="A16" t="s">
        <v>571</v>
      </c>
      <c r="C16" s="977">
        <f>'Project Assumtions'!L11</f>
        <v>656.2</v>
      </c>
    </row>
    <row r="17" spans="1:24">
      <c r="A17" t="s">
        <v>572</v>
      </c>
      <c r="C17" s="977">
        <f>'Project Assumtions'!O16</f>
        <v>0</v>
      </c>
    </row>
    <row r="18" spans="1:24">
      <c r="A18" t="s">
        <v>573</v>
      </c>
      <c r="C18" s="977">
        <f>'Project Assumtions'!O15</f>
        <v>2078.4</v>
      </c>
    </row>
    <row r="19" spans="1:24">
      <c r="A19" t="s">
        <v>574</v>
      </c>
      <c r="C19" s="977">
        <f>'Project Assumtions'!N34</f>
        <v>265</v>
      </c>
    </row>
    <row r="20" spans="1:24">
      <c r="A20" t="s">
        <v>575</v>
      </c>
      <c r="C20" s="977">
        <f>'Project Assumtions'!N36+'Project Assumtions'!N37+'Project Assumtions'!N38+'Project Assumtions'!N39</f>
        <v>327</v>
      </c>
    </row>
    <row r="21" spans="1:24">
      <c r="A21" t="s">
        <v>586</v>
      </c>
      <c r="C21" s="977">
        <f>'Project Assumtions'!N35</f>
        <v>95</v>
      </c>
    </row>
    <row r="22" spans="1:24">
      <c r="A22" t="s">
        <v>576</v>
      </c>
      <c r="C22" s="977">
        <v>0</v>
      </c>
      <c r="D22" s="977">
        <f>'Book Income Statement'!D53+'Book Income Statement'!D75</f>
        <v>335.11988732968001</v>
      </c>
      <c r="E22" s="977">
        <f>'Book Income Statement'!E53+'Book Income Statement'!E75</f>
        <v>305.53364568000001</v>
      </c>
      <c r="F22" s="977">
        <f>'Book Income Statement'!F53+'Book Income Statement'!F75</f>
        <v>393.96724110845196</v>
      </c>
      <c r="G22" s="977">
        <f>'Book Income Statement'!G53+'Book Income Statement'!G75</f>
        <v>647.48387755454689</v>
      </c>
      <c r="H22" s="977">
        <f>'Book Income Statement'!H53+'Book Income Statement'!H75</f>
        <v>940.98427649455766</v>
      </c>
      <c r="I22" s="977">
        <f>'Book Income Statement'!I53+'Book Income Statement'!I75</f>
        <v>1039.6958395981128</v>
      </c>
      <c r="J22" s="977">
        <f>'Book Income Statement'!J53+'Book Income Statement'!J75</f>
        <v>1154.9915375463675</v>
      </c>
      <c r="K22" s="977">
        <f>'Book Income Statement'!K53+'Book Income Statement'!K75</f>
        <v>1288.2027542564597</v>
      </c>
      <c r="L22" s="977">
        <f>'Book Income Statement'!L53+'Book Income Statement'!L75</f>
        <v>1382.8803368035574</v>
      </c>
      <c r="M22" s="977">
        <f>'Book Income Statement'!M53+'Book Income Statement'!M75</f>
        <v>1413.5762871268312</v>
      </c>
      <c r="N22" s="977">
        <f>'Book Income Statement'!N53+'Book Income Statement'!N75</f>
        <v>1452.2105349968988</v>
      </c>
      <c r="O22" s="977">
        <f>'Book Income Statement'!O53+'Book Income Statement'!O75</f>
        <v>1632.8797345322262</v>
      </c>
      <c r="P22" s="977">
        <f>'Book Income Statement'!P53+'Book Income Statement'!P75</f>
        <v>1654.4835009805588</v>
      </c>
      <c r="Q22" s="977">
        <f>'Book Income Statement'!Q53+'Book Income Statement'!Q75</f>
        <v>1649.1850744718809</v>
      </c>
      <c r="R22" s="977">
        <f>'Book Income Statement'!R53+'Book Income Statement'!R75</f>
        <v>1669.1674559771925</v>
      </c>
      <c r="S22" s="977">
        <f>'Book Income Statement'!S53+'Book Income Statement'!S75</f>
        <v>1688.6585998450239</v>
      </c>
      <c r="T22" s="977">
        <f>'Book Income Statement'!T53+'Book Income Statement'!T75</f>
        <v>1707.6191973151294</v>
      </c>
      <c r="U22" s="977">
        <f>'Book Income Statement'!U53+'Book Income Statement'!U75</f>
        <v>1735.0631802793018</v>
      </c>
      <c r="V22" s="977">
        <f>'Book Income Statement'!V53+'Book Income Statement'!V75</f>
        <v>1765.5142333087242</v>
      </c>
      <c r="W22" s="977">
        <f>'Book Income Statement'!W53+'Book Income Statement'!W75</f>
        <v>1769.0878047011038</v>
      </c>
      <c r="X22" s="977"/>
    </row>
    <row r="23" spans="1:24">
      <c r="A23" t="s">
        <v>437</v>
      </c>
    </row>
    <row r="24" spans="1:24">
      <c r="A24" t="s">
        <v>577</v>
      </c>
      <c r="C24" s="977">
        <f>'Project Assumtions'!N23</f>
        <v>162.62975778546712</v>
      </c>
    </row>
    <row r="25" spans="1:24">
      <c r="A25" t="s">
        <v>578</v>
      </c>
      <c r="C25" s="977">
        <f>'Project Assumtions'!N25</f>
        <v>250</v>
      </c>
    </row>
    <row r="27" spans="1:24">
      <c r="A27" s="975" t="s">
        <v>579</v>
      </c>
    </row>
    <row r="29" spans="1:24">
      <c r="A29" t="s">
        <v>558</v>
      </c>
      <c r="C29" s="979">
        <f>VEP</f>
        <v>1.1634751773049645</v>
      </c>
    </row>
    <row r="30" spans="1:24">
      <c r="A30" t="s">
        <v>580</v>
      </c>
      <c r="C30" s="977">
        <f>'Project Assumtions'!F22</f>
        <v>4330</v>
      </c>
    </row>
    <row r="33" spans="1:25">
      <c r="A33" s="1019" t="s">
        <v>633</v>
      </c>
      <c r="B33" s="1020"/>
      <c r="C33" s="1020"/>
      <c r="D33" s="1020"/>
      <c r="E33" s="1020"/>
      <c r="F33" s="1020"/>
      <c r="G33" s="1020"/>
      <c r="H33" s="1020"/>
      <c r="I33" s="1020"/>
      <c r="J33" s="1020"/>
      <c r="K33" s="1020"/>
      <c r="L33" s="1020"/>
      <c r="M33" s="1020"/>
      <c r="N33" s="1020"/>
      <c r="O33" s="1020"/>
      <c r="P33" s="1020"/>
      <c r="Q33" s="1020"/>
      <c r="R33" s="1020"/>
      <c r="S33" s="1020"/>
      <c r="T33" s="1020"/>
      <c r="U33" s="1020"/>
      <c r="V33" s="1020"/>
      <c r="W33" s="1020"/>
      <c r="X33" s="1020"/>
      <c r="Y33" s="1021"/>
    </row>
    <row r="34" spans="1:25">
      <c r="A34" s="914"/>
      <c r="B34" s="915"/>
      <c r="C34" s="1022">
        <v>2000</v>
      </c>
      <c r="D34" s="1022">
        <f>C34+1</f>
        <v>2001</v>
      </c>
      <c r="E34" s="1022">
        <f t="shared" ref="E34:Y34" si="0">D34+1</f>
        <v>2002</v>
      </c>
      <c r="F34" s="1022">
        <f t="shared" si="0"/>
        <v>2003</v>
      </c>
      <c r="G34" s="1022">
        <f t="shared" si="0"/>
        <v>2004</v>
      </c>
      <c r="H34" s="1022">
        <f t="shared" si="0"/>
        <v>2005</v>
      </c>
      <c r="I34" s="1022">
        <f t="shared" si="0"/>
        <v>2006</v>
      </c>
      <c r="J34" s="1022">
        <f t="shared" si="0"/>
        <v>2007</v>
      </c>
      <c r="K34" s="1022">
        <f t="shared" si="0"/>
        <v>2008</v>
      </c>
      <c r="L34" s="1022">
        <f t="shared" si="0"/>
        <v>2009</v>
      </c>
      <c r="M34" s="1022">
        <f t="shared" si="0"/>
        <v>2010</v>
      </c>
      <c r="N34" s="1022">
        <f t="shared" si="0"/>
        <v>2011</v>
      </c>
      <c r="O34" s="1022">
        <f t="shared" si="0"/>
        <v>2012</v>
      </c>
      <c r="P34" s="1022">
        <f t="shared" si="0"/>
        <v>2013</v>
      </c>
      <c r="Q34" s="1022">
        <f t="shared" si="0"/>
        <v>2014</v>
      </c>
      <c r="R34" s="1022">
        <f t="shared" si="0"/>
        <v>2015</v>
      </c>
      <c r="S34" s="1022">
        <f t="shared" si="0"/>
        <v>2016</v>
      </c>
      <c r="T34" s="1022">
        <f t="shared" si="0"/>
        <v>2017</v>
      </c>
      <c r="U34" s="1022">
        <f t="shared" si="0"/>
        <v>2018</v>
      </c>
      <c r="V34" s="1022">
        <f t="shared" si="0"/>
        <v>2019</v>
      </c>
      <c r="W34" s="1022">
        <f t="shared" si="0"/>
        <v>2020</v>
      </c>
      <c r="X34" s="1022">
        <f t="shared" si="0"/>
        <v>2021</v>
      </c>
      <c r="Y34" s="1023">
        <f t="shared" si="0"/>
        <v>2022</v>
      </c>
    </row>
    <row r="35" spans="1:25">
      <c r="A35" s="914" t="s">
        <v>629</v>
      </c>
      <c r="B35" s="915"/>
      <c r="C35" s="916">
        <f>[4]Wheatland!F39</f>
        <v>11439.731813222674</v>
      </c>
      <c r="D35" s="916">
        <f>[4]Wheatland!G39</f>
        <v>19883.203127379154</v>
      </c>
      <c r="E35" s="916">
        <f>[4]Wheatland!H39</f>
        <v>19720.686786065547</v>
      </c>
      <c r="F35" s="916">
        <f>[4]Wheatland!I39</f>
        <v>26917.746933449325</v>
      </c>
      <c r="G35" s="916">
        <f>[4]Wheatland!J39</f>
        <v>33018.809060409003</v>
      </c>
      <c r="H35" s="916">
        <f>[4]Wheatland!K39</f>
        <v>33944.614430365968</v>
      </c>
      <c r="I35" s="916">
        <f>[4]Wheatland!L39</f>
        <v>34250.53212987486</v>
      </c>
      <c r="J35" s="916">
        <f>[4]Wheatland!M39</f>
        <v>34532.133681307314</v>
      </c>
      <c r="K35" s="916">
        <f>[4]Wheatland!N39</f>
        <v>34845.643872691428</v>
      </c>
      <c r="L35" s="916">
        <f>[4]Wheatland!O39</f>
        <v>35216.206509510739</v>
      </c>
      <c r="M35" s="916">
        <f>[4]Wheatland!P39</f>
        <v>35590.899977160137</v>
      </c>
      <c r="N35" s="916">
        <f>[4]Wheatland!Q39</f>
        <v>35799.63698618031</v>
      </c>
      <c r="O35" s="916">
        <f>[4]Wheatland!R39</f>
        <v>36158.754336233498</v>
      </c>
      <c r="P35" s="916">
        <f>[4]Wheatland!S39</f>
        <v>35753.946161337153</v>
      </c>
      <c r="Q35" s="916">
        <f>[4]Wheatland!T39</f>
        <v>36062.031344124669</v>
      </c>
      <c r="R35" s="916">
        <f>[4]Wheatland!U39</f>
        <v>36356.773561705973</v>
      </c>
      <c r="S35" s="916">
        <f>[4]Wheatland!V39</f>
        <v>36642.027764048791</v>
      </c>
      <c r="T35" s="916">
        <f>[4]Wheatland!W39</f>
        <v>36922.708006201923</v>
      </c>
      <c r="U35" s="916">
        <f>[4]Wheatland!X39</f>
        <v>37160.581753228762</v>
      </c>
      <c r="V35" s="916">
        <f>[4]Wheatland!Y39</f>
        <v>36488.499529965047</v>
      </c>
      <c r="W35" s="916">
        <f>[4]Wheatland!Z39</f>
        <v>37523.72426308845</v>
      </c>
      <c r="X35" s="916">
        <f>[4]Wheatland!AA39</f>
        <v>0</v>
      </c>
      <c r="Y35" s="907"/>
    </row>
    <row r="36" spans="1:25">
      <c r="A36" s="914" t="s">
        <v>630</v>
      </c>
      <c r="B36" s="915"/>
      <c r="C36" s="1024">
        <f>'Book Income Statement'!D63</f>
        <v>11611.784459200886</v>
      </c>
      <c r="D36" s="1024">
        <f>'Book Income Statement'!E63</f>
        <v>20157.454289965397</v>
      </c>
      <c r="E36" s="1024">
        <f>'Book Income Statement'!F63</f>
        <v>19997.988732606311</v>
      </c>
      <c r="F36" s="1024">
        <f>'Book Income Statement'!G63</f>
        <v>27255.055919231749</v>
      </c>
      <c r="G36" s="1024">
        <f>'Book Income Statement'!H63</f>
        <v>33472.1040708492</v>
      </c>
      <c r="H36" s="1024">
        <f>'Book Income Statement'!I63</f>
        <v>34436.715508471534</v>
      </c>
      <c r="I36" s="1024">
        <f>'Book Income Statement'!J63</f>
        <v>34765.164575134375</v>
      </c>
      <c r="J36" s="1024">
        <f>'Book Income Statement'!K63</f>
        <v>35065.380562433609</v>
      </c>
      <c r="K36" s="1024">
        <f>'Book Income Statement'!L63</f>
        <v>35398.156068630618</v>
      </c>
      <c r="L36" s="1024">
        <f>'Book Income Statement'!M63</f>
        <v>35798.66783323494</v>
      </c>
      <c r="M36" s="1024">
        <f>'Book Income Statement'!N63</f>
        <v>36188.621767606266</v>
      </c>
      <c r="N36" s="1024">
        <f>'Book Income Statement'!O63</f>
        <v>36397.427236130192</v>
      </c>
      <c r="O36" s="1024">
        <f>'Book Income Statement'!P63</f>
        <v>36761.947479690192</v>
      </c>
      <c r="P36" s="1024">
        <f>'Book Income Statement'!Q63</f>
        <v>36344.995160955033</v>
      </c>
      <c r="Q36" s="1024">
        <f>'Book Income Statement'!R63</f>
        <v>36662.416350251529</v>
      </c>
      <c r="R36" s="1024">
        <f>'Book Income Statement'!S63</f>
        <v>36965.567746157169</v>
      </c>
      <c r="S36" s="1024">
        <f>'Book Income Statement'!T63</f>
        <v>37253.307481998141</v>
      </c>
      <c r="T36" s="1024">
        <f>'Book Income Statement'!U63</f>
        <v>37524.438021914277</v>
      </c>
      <c r="U36" s="1024">
        <f>'Book Income Statement'!V63</f>
        <v>37777.703848387799</v>
      </c>
      <c r="V36" s="1024">
        <f>'Book Income Statement'!W63</f>
        <v>37092.390854953963</v>
      </c>
      <c r="W36" s="1024">
        <f>'Book Income Statement'!X63</f>
        <v>13524.081601163027</v>
      </c>
      <c r="X36" s="915"/>
      <c r="Y36" s="907"/>
    </row>
    <row r="37" spans="1:25">
      <c r="A37" s="914"/>
      <c r="B37" s="915"/>
      <c r="C37" s="916">
        <f>C35-C36</f>
        <v>-172.05264597821224</v>
      </c>
      <c r="D37" s="916">
        <f t="shared" ref="D37:Y37" si="1">D35-D36</f>
        <v>-274.25116258624257</v>
      </c>
      <c r="E37" s="916">
        <f t="shared" si="1"/>
        <v>-277.30194654076331</v>
      </c>
      <c r="F37" s="916">
        <f t="shared" si="1"/>
        <v>-337.30898578242341</v>
      </c>
      <c r="G37" s="916">
        <f t="shared" si="1"/>
        <v>-453.29501044019707</v>
      </c>
      <c r="H37" s="916">
        <f t="shared" si="1"/>
        <v>-492.10107810556656</v>
      </c>
      <c r="I37" s="916">
        <f t="shared" si="1"/>
        <v>-514.6324452595145</v>
      </c>
      <c r="J37" s="916">
        <f t="shared" si="1"/>
        <v>-533.24688112629519</v>
      </c>
      <c r="K37" s="916">
        <f t="shared" si="1"/>
        <v>-552.51219593919086</v>
      </c>
      <c r="L37" s="916">
        <f t="shared" si="1"/>
        <v>-582.46132372420107</v>
      </c>
      <c r="M37" s="916">
        <f t="shared" si="1"/>
        <v>-597.72179044612858</v>
      </c>
      <c r="N37" s="916">
        <f t="shared" si="1"/>
        <v>-597.7902499498814</v>
      </c>
      <c r="O37" s="916">
        <f t="shared" si="1"/>
        <v>-603.19314345669409</v>
      </c>
      <c r="P37" s="916">
        <f t="shared" si="1"/>
        <v>-591.04899961788033</v>
      </c>
      <c r="Q37" s="916">
        <f t="shared" si="1"/>
        <v>-600.38500612686039</v>
      </c>
      <c r="R37" s="916">
        <f t="shared" si="1"/>
        <v>-608.79418445119518</v>
      </c>
      <c r="S37" s="916">
        <f t="shared" si="1"/>
        <v>-611.27971794935002</v>
      </c>
      <c r="T37" s="916">
        <f t="shared" si="1"/>
        <v>-601.73001571235363</v>
      </c>
      <c r="U37" s="916">
        <f t="shared" si="1"/>
        <v>-617.12209515903669</v>
      </c>
      <c r="V37" s="916">
        <f t="shared" si="1"/>
        <v>-603.89132498891558</v>
      </c>
      <c r="W37" s="916">
        <f t="shared" si="1"/>
        <v>23999.642661925423</v>
      </c>
      <c r="X37" s="916">
        <f t="shared" si="1"/>
        <v>0</v>
      </c>
      <c r="Y37" s="1025">
        <f t="shared" si="1"/>
        <v>0</v>
      </c>
    </row>
    <row r="38" spans="1:25">
      <c r="A38" s="914"/>
      <c r="B38" s="915"/>
      <c r="C38" s="915"/>
      <c r="D38" s="915"/>
      <c r="E38" s="915"/>
      <c r="F38" s="915"/>
      <c r="G38" s="915"/>
      <c r="H38" s="915"/>
      <c r="I38" s="915"/>
      <c r="J38" s="915"/>
      <c r="K38" s="915"/>
      <c r="L38" s="915"/>
      <c r="M38" s="915"/>
      <c r="N38" s="915"/>
      <c r="O38" s="915"/>
      <c r="P38" s="915"/>
      <c r="Q38" s="915"/>
      <c r="R38" s="915"/>
      <c r="S38" s="915"/>
      <c r="T38" s="915"/>
      <c r="U38" s="915"/>
      <c r="V38" s="915"/>
      <c r="W38" s="915"/>
      <c r="X38" s="915"/>
      <c r="Y38" s="907"/>
    </row>
    <row r="39" spans="1:25">
      <c r="A39" s="914" t="s">
        <v>631</v>
      </c>
      <c r="B39" s="915"/>
      <c r="C39" s="916">
        <f>[4]Wheatland!F32</f>
        <v>124.94367693157854</v>
      </c>
      <c r="D39" s="916">
        <f>[4]Wheatland!G32</f>
        <v>214.18916045413465</v>
      </c>
      <c r="E39" s="916">
        <f>[4]Wheatland!H32</f>
        <v>214.18916045413465</v>
      </c>
      <c r="F39" s="916">
        <f>[4]Wheatland!I32</f>
        <v>214.18916045413465</v>
      </c>
      <c r="G39" s="916">
        <f>[4]Wheatland!J32</f>
        <v>202.90363293576459</v>
      </c>
      <c r="H39" s="916">
        <f>[4]Wheatland!K32</f>
        <v>202.90363293576459</v>
      </c>
      <c r="I39" s="916">
        <f>[4]Wheatland!L32</f>
        <v>202.90363293576459</v>
      </c>
      <c r="J39" s="916">
        <f>[4]Wheatland!M32</f>
        <v>202.90363293576459</v>
      </c>
      <c r="K39" s="916">
        <f>[4]Wheatland!N32</f>
        <v>202.90363293576459</v>
      </c>
      <c r="L39" s="916">
        <f>[4]Wheatland!O32</f>
        <v>202.90363293576459</v>
      </c>
      <c r="M39" s="916">
        <f>[4]Wheatland!P32</f>
        <v>182.42398472903594</v>
      </c>
      <c r="N39" s="916">
        <f>[4]Wheatland!Q32</f>
        <v>173.85930445264518</v>
      </c>
      <c r="O39" s="916">
        <f>[4]Wheatland!R32</f>
        <v>165.4919363117296</v>
      </c>
      <c r="P39" s="916">
        <f>[4]Wheatland!S32</f>
        <v>157.1367057079903</v>
      </c>
      <c r="Q39" s="916">
        <f>[4]Wheatland!T32</f>
        <v>153.87277608557633</v>
      </c>
      <c r="R39" s="916">
        <f>[4]Wheatland!U32</f>
        <v>150.10205821656322</v>
      </c>
      <c r="S39" s="916">
        <f>[4]Wheatland!V32</f>
        <v>140.91744210252145</v>
      </c>
      <c r="T39" s="916">
        <f>[4]Wheatland!W32</f>
        <v>111.7182114379754</v>
      </c>
      <c r="U39" s="916">
        <f>[4]Wheatland!X32</f>
        <v>104.21191981593451</v>
      </c>
      <c r="V39" s="916">
        <f>[4]Wheatland!Y32</f>
        <v>84.108254466257392</v>
      </c>
      <c r="W39" s="916">
        <f>[4]Wheatland!Z32</f>
        <v>84.108254466257392</v>
      </c>
      <c r="X39" s="916">
        <f>[4]Wheatland!AA32</f>
        <v>0</v>
      </c>
      <c r="Y39" s="1025">
        <f>[4]Wheatland!AB32</f>
        <v>0</v>
      </c>
    </row>
    <row r="40" spans="1:25">
      <c r="A40" s="914" t="s">
        <v>632</v>
      </c>
      <c r="B40" s="915"/>
      <c r="C40" s="1068">
        <f>-[4]Wheatland!F19</f>
        <v>-141.23125695336634</v>
      </c>
      <c r="D40" s="1068">
        <f>-[4]Wheatland!G19</f>
        <v>-245.47164354789081</v>
      </c>
      <c r="E40" s="1068">
        <f>-[4]Wheatland!H19</f>
        <v>-243.46526896377219</v>
      </c>
      <c r="F40" s="1068">
        <f>-[4]Wheatland!I19</f>
        <v>-332.31786337591763</v>
      </c>
      <c r="G40" s="1068">
        <f>-[4]Wheatland!J19</f>
        <v>-407.63961802974086</v>
      </c>
      <c r="H40" s="1068">
        <f>-[4]Wheatland!K19</f>
        <v>-419.06931395513539</v>
      </c>
      <c r="I40" s="1068">
        <f>-[4]Wheatland!L19</f>
        <v>-422.84607567746747</v>
      </c>
      <c r="J40" s="1068">
        <f>-[4]Wheatland!M19</f>
        <v>-426.32263804083107</v>
      </c>
      <c r="K40" s="1068">
        <f>-[4]Wheatland!N19</f>
        <v>-430.1931342307584</v>
      </c>
      <c r="L40" s="1068">
        <f>-[4]Wheatland!O19</f>
        <v>-434.76798159889807</v>
      </c>
      <c r="M40" s="1068">
        <f>-[4]Wheatland!P19</f>
        <v>-439.39382687852026</v>
      </c>
      <c r="N40" s="1068">
        <f>-[4]Wheatland!Q19</f>
        <v>-441.97082698988038</v>
      </c>
      <c r="O40" s="1068">
        <f>-[4]Wheatland!R19</f>
        <v>-446.40437452140122</v>
      </c>
      <c r="P40" s="1068">
        <f>-[4]Wheatland!S19</f>
        <v>-441.40674273255746</v>
      </c>
      <c r="Q40" s="1068">
        <f>-[4]Wheatland!T19</f>
        <v>-445.210263507712</v>
      </c>
      <c r="R40" s="1068">
        <f>-[4]Wheatland!U19</f>
        <v>-448.84905631735774</v>
      </c>
      <c r="S40" s="1068">
        <f>-[4]Wheatland!V19</f>
        <v>-452.37071313640485</v>
      </c>
      <c r="T40" s="1068">
        <f>-[4]Wheatland!W19</f>
        <v>-455.83590131113488</v>
      </c>
      <c r="U40" s="1068">
        <f>-[4]Wheatland!X19</f>
        <v>-458.77261423739219</v>
      </c>
      <c r="V40" s="1068">
        <f>-[4]Wheatland!Y19</f>
        <v>-450.47530283907463</v>
      </c>
      <c r="W40" s="1068">
        <f>-[4]Wheatland!Z19</f>
        <v>-463.2558550998574</v>
      </c>
      <c r="X40" s="1068">
        <f>-[4]Wheatland!AA19</f>
        <v>0</v>
      </c>
      <c r="Y40" s="1069">
        <f>-[4]Wheatland!AB19</f>
        <v>0</v>
      </c>
    </row>
    <row r="41" spans="1:25">
      <c r="A41" s="914" t="s">
        <v>685</v>
      </c>
      <c r="B41" s="915"/>
      <c r="C41" s="1024">
        <f>'Book Income Statement'!D75</f>
        <v>188.340226</v>
      </c>
      <c r="D41" s="1024">
        <f>'Book Income Statement'!E75</f>
        <v>305.53364568000001</v>
      </c>
      <c r="E41" s="1024">
        <f>'Book Income Statement'!F75</f>
        <v>306.57805505040005</v>
      </c>
      <c r="F41" s="1024">
        <f>'Book Income Statement'!G75</f>
        <v>485.22664943272241</v>
      </c>
      <c r="G41" s="1024">
        <f>'Book Income Statement'!H75</f>
        <v>719.59660074161229</v>
      </c>
      <c r="H41" s="1024">
        <f>'Book Income Statement'!I75</f>
        <v>772.47795082944276</v>
      </c>
      <c r="I41" s="1024">
        <f>'Book Income Statement'!J75</f>
        <v>801.53325576365933</v>
      </c>
      <c r="J41" s="1024">
        <f>'Book Income Statement'!K75</f>
        <v>826.61227952020636</v>
      </c>
      <c r="K41" s="1024">
        <f>'Book Income Statement'!L75</f>
        <v>852.81216471480923</v>
      </c>
      <c r="L41" s="1024">
        <f>'Book Income Statement'!M75</f>
        <v>890.65486476058686</v>
      </c>
      <c r="M41" s="1024">
        <f>'Book Income Statement'!N75</f>
        <v>934.60063999110105</v>
      </c>
      <c r="N41" s="1024">
        <f>'Book Income Statement'!O75</f>
        <v>949.03289389606118</v>
      </c>
      <c r="O41" s="1024">
        <f>'Book Income Statement'!P75</f>
        <v>970.63666034439393</v>
      </c>
      <c r="P41" s="1024">
        <f>'Book Income Statement'!Q75</f>
        <v>965.33823383571587</v>
      </c>
      <c r="Q41" s="1024">
        <f>'Book Income Statement'!R75</f>
        <v>985.32061534102752</v>
      </c>
      <c r="R41" s="1024">
        <f>'Book Income Statement'!S75</f>
        <v>1004.8117592088589</v>
      </c>
      <c r="S41" s="1024">
        <f>'Book Income Statement'!T75</f>
        <v>1023.7723566789643</v>
      </c>
      <c r="T41" s="1024">
        <f>'Book Income Statement'!U75</f>
        <v>1051.2163396431367</v>
      </c>
      <c r="U41" s="1024">
        <f>'Book Income Statement'!V75</f>
        <v>1081.6673926725593</v>
      </c>
      <c r="V41" s="1024">
        <f>'Book Income Statement'!W75</f>
        <v>1085.2409640649389</v>
      </c>
      <c r="W41" s="1024">
        <f>'Book Income Statement'!X75</f>
        <v>304.68945202003727</v>
      </c>
      <c r="X41" s="1024">
        <f>'Book Income Statement'!Y75</f>
        <v>0</v>
      </c>
      <c r="Y41" s="1070">
        <f>'Book Income Statement'!Z75</f>
        <v>0</v>
      </c>
    </row>
    <row r="42" spans="1:25">
      <c r="A42" s="908" t="s">
        <v>634</v>
      </c>
      <c r="B42" s="1026"/>
      <c r="C42" s="1027">
        <f>C37+C39+C40+C41</f>
        <v>0</v>
      </c>
      <c r="D42" s="1027">
        <f t="shared" ref="D42:Y42" si="2">D37+D39+D40+D41</f>
        <v>1.3073986337985843E-12</v>
      </c>
      <c r="E42" s="1027">
        <f t="shared" si="2"/>
        <v>-7.9580786405131221E-13</v>
      </c>
      <c r="F42" s="1027">
        <f t="shared" si="2"/>
        <v>29.788960728516031</v>
      </c>
      <c r="G42" s="1027">
        <f t="shared" si="2"/>
        <v>61.565605207438921</v>
      </c>
      <c r="H42" s="1027">
        <f t="shared" si="2"/>
        <v>64.211191704505381</v>
      </c>
      <c r="I42" s="1027">
        <f t="shared" si="2"/>
        <v>66.958367762441867</v>
      </c>
      <c r="J42" s="1027">
        <f t="shared" si="2"/>
        <v>69.946393288844661</v>
      </c>
      <c r="K42" s="1027">
        <f t="shared" si="2"/>
        <v>73.01046748062447</v>
      </c>
      <c r="L42" s="1027">
        <f t="shared" si="2"/>
        <v>76.329192373252226</v>
      </c>
      <c r="M42" s="1027">
        <f t="shared" si="2"/>
        <v>79.909007395488175</v>
      </c>
      <c r="N42" s="1027">
        <f t="shared" si="2"/>
        <v>83.131121408944523</v>
      </c>
      <c r="O42" s="1027">
        <f t="shared" si="2"/>
        <v>86.53107867802828</v>
      </c>
      <c r="P42" s="1027">
        <f t="shared" si="2"/>
        <v>90.019197193268383</v>
      </c>
      <c r="Q42" s="1027">
        <f t="shared" si="2"/>
        <v>93.59812179203152</v>
      </c>
      <c r="R42" s="1027">
        <f t="shared" si="2"/>
        <v>97.270576656869252</v>
      </c>
      <c r="S42" s="1027">
        <f t="shared" si="2"/>
        <v>101.03936769573102</v>
      </c>
      <c r="T42" s="1027">
        <f t="shared" si="2"/>
        <v>105.36863405762369</v>
      </c>
      <c r="U42" s="1027">
        <f t="shared" si="2"/>
        <v>109.98460309206496</v>
      </c>
      <c r="V42" s="1027">
        <f t="shared" si="2"/>
        <v>114.98259070320614</v>
      </c>
      <c r="W42" s="1027">
        <f t="shared" si="2"/>
        <v>23925.184513311859</v>
      </c>
      <c r="X42" s="1027">
        <f t="shared" si="2"/>
        <v>0</v>
      </c>
      <c r="Y42" s="1028">
        <f t="shared" si="2"/>
        <v>0</v>
      </c>
    </row>
  </sheetData>
  <pageMargins left="0.75" right="0.75" top="1" bottom="1" header="0.5" footer="0.5"/>
  <pageSetup scale="53"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W65533"/>
  <sheetViews>
    <sheetView view="pageBreakPreview" topLeftCell="A37" zoomScale="75" zoomScaleNormal="85" zoomScaleSheetLayoutView="75" workbookViewId="0">
      <selection activeCell="C17" sqref="C17"/>
    </sheetView>
  </sheetViews>
  <sheetFormatPr defaultColWidth="9.33203125" defaultRowHeight="12"/>
  <cols>
    <col min="1" max="1" width="35.109375" style="83" customWidth="1"/>
    <col min="2" max="2" width="9.5546875" style="83" bestFit="1" customWidth="1"/>
    <col min="3" max="3" width="11.6640625" style="83" customWidth="1"/>
    <col min="4" max="4" width="5.88671875" style="83" customWidth="1"/>
    <col min="5" max="5" width="23.5546875" style="83" customWidth="1"/>
    <col min="6" max="6" width="11" style="83" bestFit="1" customWidth="1"/>
    <col min="7" max="7" width="12" style="83" customWidth="1"/>
    <col min="8" max="8" width="12.33203125" style="83" bestFit="1" customWidth="1"/>
    <col min="9" max="9" width="11.109375" style="83" bestFit="1" customWidth="1"/>
    <col min="10" max="10" width="6.44140625" style="83" customWidth="1"/>
    <col min="11" max="11" width="23.109375" style="83" customWidth="1"/>
    <col min="12" max="12" width="14" style="83" customWidth="1"/>
    <col min="13" max="13" width="11.109375" style="83" customWidth="1"/>
    <col min="14" max="14" width="12" style="83" bestFit="1" customWidth="1"/>
    <col min="15" max="15" width="7.33203125" style="83" customWidth="1"/>
    <col min="16" max="16" width="11.88671875" style="83" bestFit="1" customWidth="1"/>
    <col min="17" max="17" width="5.6640625" style="83" customWidth="1"/>
    <col min="18" max="18" width="12.33203125" style="83" customWidth="1"/>
    <col min="19" max="20" width="9.33203125" style="83" customWidth="1"/>
    <col min="21" max="16384" width="9.33203125" style="20"/>
  </cols>
  <sheetData>
    <row r="1" spans="1:21">
      <c r="A1" s="1058" t="s">
        <v>670</v>
      </c>
      <c r="B1" s="243"/>
    </row>
    <row r="2" spans="1:21" ht="21">
      <c r="A2" s="1078" t="s">
        <v>421</v>
      </c>
      <c r="B2" s="1078"/>
      <c r="C2" s="1078"/>
      <c r="D2" s="1078"/>
      <c r="E2" s="1078"/>
      <c r="F2" s="1078"/>
      <c r="G2" s="1078"/>
      <c r="H2" s="1078"/>
      <c r="I2" s="1078"/>
      <c r="J2" s="1078"/>
      <c r="K2" s="1078"/>
      <c r="L2" s="1078"/>
      <c r="M2" s="1078"/>
      <c r="N2" s="1078"/>
      <c r="O2" s="1078"/>
      <c r="P2" s="1078"/>
      <c r="Q2" s="1078"/>
      <c r="R2" s="1078"/>
      <c r="S2" s="1078"/>
      <c r="T2" s="1078"/>
      <c r="U2" s="1078"/>
    </row>
    <row r="3" spans="1:21" ht="13.95" customHeight="1">
      <c r="A3" s="1079" t="s">
        <v>10</v>
      </c>
      <c r="B3" s="1079"/>
      <c r="C3" s="1079"/>
      <c r="D3" s="1079"/>
      <c r="E3" s="1079"/>
      <c r="F3" s="1079"/>
      <c r="G3" s="1079"/>
      <c r="H3" s="1079"/>
      <c r="I3" s="1079"/>
      <c r="J3" s="1079"/>
      <c r="K3" s="1079"/>
      <c r="L3" s="1079"/>
      <c r="M3" s="1079"/>
      <c r="N3" s="1079"/>
      <c r="O3" s="1079"/>
      <c r="P3" s="1079"/>
      <c r="Q3" s="1079"/>
      <c r="R3" s="1079"/>
      <c r="S3" s="1079"/>
      <c r="T3" s="1079"/>
      <c r="U3" s="1079"/>
    </row>
    <row r="4" spans="1:21" ht="13.95" customHeight="1">
      <c r="A4" s="1077" t="str">
        <f ca="1">CONCATENATE("File Location: ",CELL("filename"))</f>
        <v>File Location: H:\East Origination\Genco Third Party Scenarios\[Wheatland_New - W 501 D5A.xls]Tracking sheet</v>
      </c>
      <c r="B4" s="1077"/>
      <c r="C4" s="1077"/>
      <c r="D4" s="1077"/>
      <c r="E4" s="1077"/>
      <c r="F4" s="1077"/>
      <c r="G4" s="1077"/>
      <c r="H4" s="1077"/>
      <c r="I4" s="1077"/>
      <c r="J4" s="1077"/>
      <c r="K4" s="1077"/>
      <c r="L4" s="1077"/>
      <c r="M4" s="1077"/>
      <c r="N4" s="1077"/>
    </row>
    <row r="5" spans="1:21" ht="15.6">
      <c r="A5" s="446" t="s">
        <v>102</v>
      </c>
      <c r="B5" s="447"/>
      <c r="C5" s="448"/>
      <c r="E5" s="446" t="s">
        <v>11</v>
      </c>
      <c r="F5" s="447"/>
      <c r="G5" s="447"/>
      <c r="H5" s="447"/>
      <c r="I5" s="456"/>
      <c r="K5" s="449" t="s">
        <v>560</v>
      </c>
      <c r="L5" s="457"/>
      <c r="M5" s="447"/>
      <c r="N5" s="447"/>
      <c r="O5" s="447"/>
      <c r="P5" s="458"/>
      <c r="R5" s="446" t="s">
        <v>257</v>
      </c>
      <c r="S5" s="447"/>
      <c r="T5" s="447"/>
      <c r="U5" s="448"/>
    </row>
    <row r="6" spans="1:21" ht="14.25" customHeight="1">
      <c r="A6" s="444"/>
      <c r="B6" s="249"/>
      <c r="C6" s="271"/>
      <c r="E6" s="444"/>
      <c r="F6" s="249"/>
      <c r="G6" s="249"/>
      <c r="H6" s="249"/>
      <c r="I6" s="1009"/>
      <c r="K6" s="272"/>
      <c r="L6" s="249"/>
      <c r="M6" s="889" t="s">
        <v>502</v>
      </c>
      <c r="N6" s="890">
        <v>1999</v>
      </c>
      <c r="O6" s="249"/>
      <c r="P6" s="271"/>
      <c r="R6" s="246" t="s">
        <v>554</v>
      </c>
      <c r="S6" s="249"/>
      <c r="T6" s="249"/>
      <c r="U6" s="959">
        <v>0.33</v>
      </c>
    </row>
    <row r="7" spans="1:21" ht="24">
      <c r="A7" s="277" t="s">
        <v>61</v>
      </c>
      <c r="B7" s="249"/>
      <c r="C7" s="271"/>
      <c r="E7" s="246" t="s">
        <v>255</v>
      </c>
      <c r="F7" s="249"/>
      <c r="G7" s="249"/>
      <c r="H7" s="455"/>
      <c r="I7" s="1010" t="s">
        <v>305</v>
      </c>
      <c r="K7" s="439"/>
      <c r="L7" s="440" t="s">
        <v>360</v>
      </c>
      <c r="M7" s="441" t="s">
        <v>365</v>
      </c>
      <c r="N7" s="441" t="s">
        <v>353</v>
      </c>
      <c r="O7" s="366"/>
      <c r="P7" s="891" t="s">
        <v>503</v>
      </c>
      <c r="R7" s="246" t="s">
        <v>555</v>
      </c>
      <c r="S7" s="274"/>
      <c r="T7" s="317"/>
      <c r="U7" s="376">
        <v>7.4828000000000006E-2</v>
      </c>
    </row>
    <row r="8" spans="1:21">
      <c r="A8" s="246" t="s">
        <v>13</v>
      </c>
      <c r="B8" s="247">
        <f>C8/C11</f>
        <v>0.25000000000000006</v>
      </c>
      <c r="C8" s="248">
        <f>C60-C9</f>
        <v>40195.621500000008</v>
      </c>
      <c r="E8" s="246" t="s">
        <v>12</v>
      </c>
      <c r="F8" s="249"/>
      <c r="G8" s="249"/>
      <c r="H8" s="250"/>
      <c r="I8" s="1011">
        <v>4</v>
      </c>
      <c r="K8" s="251" t="s">
        <v>310</v>
      </c>
      <c r="L8" s="1059">
        <v>321</v>
      </c>
      <c r="M8" s="252">
        <f>NetMW*AnnualHours</f>
        <v>564000</v>
      </c>
      <c r="N8" s="253">
        <f>WaterTreatmentVar/M8*1000</f>
        <v>0.56914893617021278</v>
      </c>
      <c r="O8" s="254"/>
      <c r="P8" s="386">
        <f>AVERAGE('Book Income Statement'!E24:H24)</f>
        <v>367.2904214050165</v>
      </c>
      <c r="R8" s="246" t="s">
        <v>639</v>
      </c>
      <c r="S8" s="274"/>
      <c r="T8" s="317"/>
      <c r="U8" s="376">
        <f>0.157545</f>
        <v>0.15754499999999999</v>
      </c>
    </row>
    <row r="9" spans="1:21">
      <c r="A9" s="246" t="s">
        <v>14</v>
      </c>
      <c r="B9" s="247">
        <f>C9/C11</f>
        <v>0.75</v>
      </c>
      <c r="C9" s="298">
        <f>IF(I34="Normal",'Debt Amortization'!$B$22,I38)</f>
        <v>120586.8645</v>
      </c>
      <c r="E9" s="246" t="s">
        <v>684</v>
      </c>
      <c r="F9" s="249"/>
      <c r="G9" s="249"/>
      <c r="H9" s="255"/>
      <c r="I9" s="1067">
        <v>514.6</v>
      </c>
      <c r="K9" s="251" t="s">
        <v>423</v>
      </c>
      <c r="L9" s="1059">
        <f>N9*M9/1000</f>
        <v>28.2</v>
      </c>
      <c r="M9" s="252">
        <f>NetMW*AnnualHours</f>
        <v>564000</v>
      </c>
      <c r="N9" s="253">
        <v>0.05</v>
      </c>
      <c r="O9" s="254"/>
      <c r="P9" s="386">
        <f>AVERAGE('Book Income Statement'!E25:H25)</f>
        <v>32.266635151468734</v>
      </c>
      <c r="R9" s="272" t="s">
        <v>116</v>
      </c>
      <c r="S9" s="249"/>
      <c r="T9" s="249"/>
      <c r="U9" s="314" t="s">
        <v>117</v>
      </c>
    </row>
    <row r="10" spans="1:21" ht="13.8">
      <c r="A10" s="258"/>
      <c r="B10" s="259"/>
      <c r="C10" s="260"/>
      <c r="E10" s="246" t="s">
        <v>358</v>
      </c>
      <c r="F10" s="249"/>
      <c r="G10" s="249"/>
      <c r="H10" s="261"/>
      <c r="I10" s="1030">
        <v>470</v>
      </c>
      <c r="K10" s="251" t="s">
        <v>311</v>
      </c>
      <c r="L10" s="1060">
        <v>307</v>
      </c>
      <c r="M10" s="252">
        <f>NetMW*AnnualHours</f>
        <v>564000</v>
      </c>
      <c r="N10" s="256">
        <f>Variable/M10*1000</f>
        <v>0.5443262411347517</v>
      </c>
      <c r="O10" s="257"/>
      <c r="P10" s="892">
        <f>AVERAGE('Book Income Statement'!E26:H26)</f>
        <v>351.27152452130861</v>
      </c>
      <c r="R10" s="246" t="s">
        <v>115</v>
      </c>
      <c r="S10" s="249"/>
      <c r="T10" s="249"/>
      <c r="U10" s="376">
        <v>0</v>
      </c>
    </row>
    <row r="11" spans="1:21">
      <c r="A11" s="246" t="s">
        <v>15</v>
      </c>
      <c r="B11" s="259"/>
      <c r="C11" s="445">
        <f>SUM(C8:C9)</f>
        <v>160782.486</v>
      </c>
      <c r="E11" s="246" t="s">
        <v>607</v>
      </c>
      <c r="F11" s="1003">
        <v>0.02</v>
      </c>
      <c r="G11" s="249" t="s">
        <v>608</v>
      </c>
      <c r="H11" s="250"/>
      <c r="I11" s="1004">
        <f>NetMW*(1-F11)</f>
        <v>460.59999999999997</v>
      </c>
      <c r="K11" s="262" t="s">
        <v>516</v>
      </c>
      <c r="L11" s="263">
        <f>SUM(L8:L10)</f>
        <v>656.2</v>
      </c>
      <c r="M11" s="264"/>
      <c r="N11" s="265">
        <f>SUM(N8:N10)</f>
        <v>1.1634751773049645</v>
      </c>
      <c r="O11" s="266"/>
      <c r="P11" s="893">
        <f>AVERAGE('Book Income Statement'!D27:G27)</f>
        <v>645.33412622628691</v>
      </c>
      <c r="R11" s="383" t="s">
        <v>274</v>
      </c>
      <c r="S11" s="384"/>
      <c r="T11" s="302"/>
      <c r="U11" s="314">
        <v>10</v>
      </c>
    </row>
    <row r="12" spans="1:21">
      <c r="A12" s="270"/>
      <c r="B12" s="259"/>
      <c r="C12" s="271"/>
      <c r="E12" s="267" t="s">
        <v>24</v>
      </c>
      <c r="F12" s="249"/>
      <c r="G12" s="249"/>
      <c r="H12" s="268"/>
      <c r="I12" s="1012">
        <v>11735</v>
      </c>
      <c r="P12" s="269"/>
      <c r="R12" s="246" t="s">
        <v>261</v>
      </c>
      <c r="S12" s="249"/>
      <c r="T12" s="317"/>
      <c r="U12" s="960">
        <v>0</v>
      </c>
    </row>
    <row r="13" spans="1:21" ht="15.6">
      <c r="A13" s="277" t="s">
        <v>62</v>
      </c>
      <c r="B13" s="259"/>
      <c r="C13" s="271"/>
      <c r="E13" s="246" t="s">
        <v>1</v>
      </c>
      <c r="F13" s="249"/>
      <c r="G13" s="249"/>
      <c r="H13" s="261"/>
      <c r="I13" s="1013">
        <f>G14/8760</f>
        <v>0.13698630136986301</v>
      </c>
      <c r="K13" s="923" t="s">
        <v>517</v>
      </c>
      <c r="L13" s="924"/>
      <c r="M13" s="457"/>
      <c r="N13" s="925"/>
      <c r="O13" s="926"/>
      <c r="P13" s="927"/>
      <c r="R13" s="246" t="s">
        <v>650</v>
      </c>
      <c r="S13" s="249"/>
      <c r="T13" s="317"/>
      <c r="U13" s="960">
        <v>0.63</v>
      </c>
    </row>
    <row r="14" spans="1:21" ht="23.25" customHeight="1">
      <c r="A14" s="279" t="s">
        <v>103</v>
      </c>
      <c r="B14" s="259"/>
      <c r="C14" s="271"/>
      <c r="E14" s="246" t="s">
        <v>96</v>
      </c>
      <c r="F14" s="249"/>
      <c r="G14" s="261">
        <v>1200</v>
      </c>
      <c r="H14" s="268" t="s">
        <v>334</v>
      </c>
      <c r="I14" s="273">
        <v>0</v>
      </c>
      <c r="K14" s="272"/>
      <c r="L14" s="943" t="s">
        <v>518</v>
      </c>
      <c r="M14" s="944" t="s">
        <v>519</v>
      </c>
      <c r="N14" s="945" t="s">
        <v>520</v>
      </c>
      <c r="O14" s="946" t="s">
        <v>527</v>
      </c>
      <c r="P14" s="897" t="s">
        <v>521</v>
      </c>
      <c r="R14" s="388" t="s">
        <v>363</v>
      </c>
      <c r="S14" s="389"/>
      <c r="T14" s="390"/>
      <c r="U14" s="961">
        <f>Depreciation!B64</f>
        <v>459.07367894579613</v>
      </c>
    </row>
    <row r="15" spans="1:21">
      <c r="A15" s="246" t="s">
        <v>336</v>
      </c>
      <c r="B15" s="259"/>
      <c r="C15" s="514">
        <v>86219.301000000007</v>
      </c>
      <c r="E15" s="246" t="s">
        <v>16</v>
      </c>
      <c r="F15" s="249"/>
      <c r="G15" s="249"/>
      <c r="H15" s="261"/>
      <c r="I15" s="278">
        <v>20</v>
      </c>
      <c r="K15" s="251" t="s">
        <v>297</v>
      </c>
      <c r="L15" s="928">
        <v>120</v>
      </c>
      <c r="M15" s="929">
        <f>N15/(I8)</f>
        <v>4330</v>
      </c>
      <c r="N15" s="929">
        <f>VLOOKUP(L15,Main_Table,2)</f>
        <v>17320</v>
      </c>
      <c r="O15" s="254">
        <f>Main_Start*L15/1000</f>
        <v>2078.4</v>
      </c>
      <c r="P15" s="930">
        <v>0.03</v>
      </c>
    </row>
    <row r="16" spans="1:21" ht="15.6">
      <c r="A16" s="246" t="s">
        <v>335</v>
      </c>
      <c r="B16" s="259"/>
      <c r="C16" s="514">
        <v>4440.5339999999997</v>
      </c>
      <c r="E16" s="246" t="s">
        <v>20</v>
      </c>
      <c r="F16" s="249"/>
      <c r="G16" s="280">
        <v>36678</v>
      </c>
      <c r="H16" s="249" t="s">
        <v>319</v>
      </c>
      <c r="I16" s="281">
        <f>(MONTH(StartDate)+1)/12</f>
        <v>0.58333333333333337</v>
      </c>
      <c r="K16" s="251" t="s">
        <v>522</v>
      </c>
      <c r="L16" s="928">
        <v>120</v>
      </c>
      <c r="M16" s="931">
        <f>N16/I8</f>
        <v>0</v>
      </c>
      <c r="N16" s="931">
        <f>VLOOKUP(L16,Main_Table,3)</f>
        <v>0</v>
      </c>
      <c r="O16" s="257">
        <f>Fuel_Start*L16/1000</f>
        <v>0</v>
      </c>
      <c r="P16" s="932"/>
      <c r="R16" s="446" t="s">
        <v>258</v>
      </c>
      <c r="S16" s="447"/>
      <c r="T16" s="447"/>
      <c r="U16" s="448"/>
    </row>
    <row r="17" spans="1:23">
      <c r="A17" s="246" t="s">
        <v>347</v>
      </c>
      <c r="B17" s="259"/>
      <c r="C17" s="516">
        <v>24230.498</v>
      </c>
      <c r="E17" s="246" t="s">
        <v>348</v>
      </c>
      <c r="F17" s="249"/>
      <c r="G17" s="280">
        <v>43981</v>
      </c>
      <c r="H17" s="249"/>
      <c r="I17" s="281"/>
      <c r="K17" s="933"/>
      <c r="L17" s="263"/>
      <c r="M17" s="934">
        <f>SUM(M15:M16)</f>
        <v>4330</v>
      </c>
      <c r="N17" s="934">
        <f>SUM(N15:N16)</f>
        <v>17320</v>
      </c>
      <c r="O17" s="947">
        <f>SUM(O15:O16)</f>
        <v>2078.4</v>
      </c>
      <c r="P17" s="893"/>
      <c r="R17" s="272" t="s">
        <v>43</v>
      </c>
      <c r="S17" s="249"/>
      <c r="T17" s="249"/>
      <c r="U17" s="336">
        <f>$C$8/'Book Income Statement'!$E$81</f>
        <v>10.83020859653908</v>
      </c>
    </row>
    <row r="18" spans="1:23">
      <c r="A18" s="246" t="s">
        <v>687</v>
      </c>
      <c r="B18" s="259"/>
      <c r="C18" s="516">
        <v>8720.4979999999996</v>
      </c>
      <c r="E18" s="282" t="s">
        <v>113</v>
      </c>
      <c r="F18" s="283" t="s">
        <v>275</v>
      </c>
      <c r="G18" s="284">
        <f>C60/I10</f>
        <v>342.09039574468085</v>
      </c>
      <c r="H18" s="283" t="s">
        <v>276</v>
      </c>
      <c r="I18" s="284">
        <f>(C60-C49)/I10</f>
        <v>342.09039574468085</v>
      </c>
      <c r="P18" s="269"/>
      <c r="R18" s="272" t="s">
        <v>45</v>
      </c>
      <c r="S18" s="249"/>
      <c r="T18" s="249"/>
      <c r="U18" s="296">
        <v>30</v>
      </c>
    </row>
    <row r="19" spans="1:23" ht="15.6">
      <c r="A19" s="246" t="s">
        <v>688</v>
      </c>
      <c r="B19" s="259"/>
      <c r="C19" s="516">
        <v>6886</v>
      </c>
      <c r="E19" s="288"/>
      <c r="G19" s="289"/>
      <c r="H19" s="290"/>
      <c r="I19" s="291"/>
      <c r="K19" s="449" t="s">
        <v>531</v>
      </c>
      <c r="L19" s="447"/>
      <c r="M19" s="447"/>
      <c r="N19" s="447"/>
      <c r="O19" s="447"/>
      <c r="P19" s="459"/>
      <c r="R19" s="272" t="s">
        <v>46</v>
      </c>
      <c r="S19" s="249"/>
      <c r="T19" s="249"/>
      <c r="U19" s="391">
        <v>0.1</v>
      </c>
      <c r="V19"/>
      <c r="W19"/>
    </row>
    <row r="20" spans="1:23" ht="15.6">
      <c r="A20" s="246" t="s">
        <v>689</v>
      </c>
      <c r="B20" s="259"/>
      <c r="C20" s="516">
        <v>929.8</v>
      </c>
      <c r="E20" s="449" t="s">
        <v>557</v>
      </c>
      <c r="F20" s="967"/>
      <c r="G20" s="968"/>
      <c r="H20" s="967"/>
      <c r="I20" s="969"/>
      <c r="K20" s="272"/>
      <c r="L20" s="274"/>
      <c r="M20" s="274"/>
      <c r="N20" s="310"/>
      <c r="O20" s="275"/>
      <c r="P20" s="891" t="s">
        <v>503</v>
      </c>
      <c r="R20" s="282" t="s">
        <v>320</v>
      </c>
      <c r="S20" s="286"/>
      <c r="T20" s="286"/>
      <c r="U20" s="883">
        <v>1.3490953938988963E-2</v>
      </c>
      <c r="V20"/>
      <c r="W20"/>
    </row>
    <row r="21" spans="1:23" ht="13.2">
      <c r="A21" s="246" t="s">
        <v>690</v>
      </c>
      <c r="B21" s="259"/>
      <c r="C21" s="516">
        <v>2386.6999999999998</v>
      </c>
      <c r="E21" s="272" t="s">
        <v>558</v>
      </c>
      <c r="F21" s="275">
        <f>VariableMwh</f>
        <v>1.1634751773049645</v>
      </c>
      <c r="G21" s="971" t="s">
        <v>561</v>
      </c>
      <c r="H21" s="970"/>
      <c r="I21" s="973">
        <v>0.03</v>
      </c>
      <c r="K21" s="251" t="s">
        <v>312</v>
      </c>
      <c r="L21" s="274"/>
      <c r="M21" s="274"/>
      <c r="N21" s="894">
        <v>893</v>
      </c>
      <c r="O21" s="275"/>
      <c r="P21" s="386">
        <f>AVERAGE('Book Income Statement'!E36:H36)</f>
        <v>990.87500666997494</v>
      </c>
      <c r="V21"/>
      <c r="W21"/>
    </row>
    <row r="22" spans="1:23" ht="15.6">
      <c r="A22" s="246" t="s">
        <v>691</v>
      </c>
      <c r="B22" s="259"/>
      <c r="C22" s="516">
        <v>3066.7</v>
      </c>
      <c r="E22" s="272" t="s">
        <v>559</v>
      </c>
      <c r="F22" s="1015">
        <f>M17</f>
        <v>4330</v>
      </c>
      <c r="G22" s="971" t="s">
        <v>562</v>
      </c>
      <c r="H22" s="970"/>
      <c r="I22" s="1018"/>
      <c r="K22" s="251" t="s">
        <v>313</v>
      </c>
      <c r="L22" s="274"/>
      <c r="M22" s="274"/>
      <c r="N22" s="894">
        <v>272</v>
      </c>
      <c r="O22" s="249"/>
      <c r="P22" s="386">
        <f>AVERAGE('Book Income Statement'!E37:H37)</f>
        <v>301.81187213240003</v>
      </c>
      <c r="R22" s="449" t="s">
        <v>419</v>
      </c>
      <c r="S22" s="447"/>
      <c r="T22" s="447"/>
      <c r="U22" s="448"/>
      <c r="V22"/>
      <c r="W22"/>
    </row>
    <row r="23" spans="1:23" ht="13.2">
      <c r="A23" s="246" t="s">
        <v>668</v>
      </c>
      <c r="B23" s="259"/>
      <c r="C23" s="516">
        <v>1500</v>
      </c>
      <c r="E23" s="282" t="s">
        <v>622</v>
      </c>
      <c r="F23" s="1016">
        <v>1</v>
      </c>
      <c r="G23" s="972" t="s">
        <v>353</v>
      </c>
      <c r="H23" s="286" t="s">
        <v>623</v>
      </c>
      <c r="I23" s="1017">
        <v>0.02</v>
      </c>
      <c r="K23" s="251" t="s">
        <v>488</v>
      </c>
      <c r="L23" s="274"/>
      <c r="M23" s="274"/>
      <c r="N23" s="895">
        <f>NetMW/2890*1000</f>
        <v>162.62975778546712</v>
      </c>
      <c r="O23" s="249"/>
      <c r="P23" s="386">
        <f>AVERAGE('Book Income Statement'!E38:H38)</f>
        <v>180.45438110908302</v>
      </c>
      <c r="R23" s="272"/>
      <c r="S23" s="249"/>
      <c r="T23" s="249"/>
      <c r="U23" s="271"/>
      <c r="V23"/>
      <c r="W23"/>
    </row>
    <row r="24" spans="1:23" ht="13.2">
      <c r="A24" s="272" t="s">
        <v>337</v>
      </c>
      <c r="B24" s="259"/>
      <c r="C24" s="517">
        <v>1172.731</v>
      </c>
      <c r="E24" s="288"/>
      <c r="G24" s="289"/>
      <c r="H24" s="290"/>
      <c r="I24" s="291"/>
      <c r="K24" s="251" t="s">
        <v>610</v>
      </c>
      <c r="L24" s="1007">
        <v>7.0000000000000007E-2</v>
      </c>
      <c r="M24" s="274" t="s">
        <v>611</v>
      </c>
      <c r="N24" s="895">
        <f>L24*(ISO_NetMW*12)</f>
        <v>432.26400000000007</v>
      </c>
      <c r="O24" s="249"/>
      <c r="P24" s="386">
        <f>AVERAGE('Book Income Statement'!E39:H39)</f>
        <v>174.34648000000001</v>
      </c>
      <c r="R24" s="272" t="s">
        <v>414</v>
      </c>
      <c r="S24" s="427" t="str">
        <f ca="1">IF(ABS(SUM(BS!D38:X38))&gt;0.01,"NO !!!!!!","YES")</f>
        <v>YES</v>
      </c>
      <c r="T24" s="249"/>
      <c r="U24" s="271"/>
      <c r="V24"/>
      <c r="W24"/>
    </row>
    <row r="25" spans="1:23" ht="16.8">
      <c r="A25" s="246" t="s">
        <v>114</v>
      </c>
      <c r="B25" s="259"/>
      <c r="C25" s="516">
        <v>1112.944</v>
      </c>
      <c r="E25" s="446" t="s">
        <v>254</v>
      </c>
      <c r="F25" s="447"/>
      <c r="G25" s="447"/>
      <c r="H25" s="447"/>
      <c r="I25" s="454"/>
      <c r="K25" s="272" t="s">
        <v>489</v>
      </c>
      <c r="L25" s="249"/>
      <c r="M25" s="249"/>
      <c r="N25" s="896">
        <v>250</v>
      </c>
      <c r="O25" s="249"/>
      <c r="P25" s="892">
        <f>AVERAGE('Book Income Statement'!E40:H40)</f>
        <v>277.40061776874995</v>
      </c>
      <c r="R25" s="272" t="s">
        <v>415</v>
      </c>
      <c r="S25" s="428">
        <f>Depreciation!B15</f>
        <v>159422.15400000001</v>
      </c>
      <c r="T25" s="249"/>
      <c r="U25" s="271"/>
      <c r="V25"/>
      <c r="W25"/>
    </row>
    <row r="26" spans="1:23" ht="13.2">
      <c r="A26" s="246" t="s">
        <v>673</v>
      </c>
      <c r="B26" s="259"/>
      <c r="C26" s="516">
        <v>5000</v>
      </c>
      <c r="E26" s="295" t="s">
        <v>349</v>
      </c>
      <c r="F26" s="249"/>
      <c r="G26" s="249"/>
      <c r="H26" s="249"/>
      <c r="I26" s="296">
        <v>3</v>
      </c>
      <c r="K26" s="262" t="s">
        <v>314</v>
      </c>
      <c r="L26" s="264"/>
      <c r="M26" s="285"/>
      <c r="N26" s="263">
        <f>SUM(N21:N25)</f>
        <v>2009.8937577854672</v>
      </c>
      <c r="O26" s="286"/>
      <c r="P26" s="893">
        <f>SUM(P21:P25)</f>
        <v>1924.8883576802077</v>
      </c>
      <c r="Q26" s="312"/>
      <c r="R26" s="429" t="s">
        <v>416</v>
      </c>
      <c r="S26" s="430">
        <f>C60</f>
        <v>160782.486</v>
      </c>
      <c r="T26" s="249"/>
      <c r="U26" s="271"/>
      <c r="V26"/>
      <c r="W26"/>
    </row>
    <row r="27" spans="1:23" ht="13.2">
      <c r="A27" s="272" t="s">
        <v>226</v>
      </c>
      <c r="B27" s="249"/>
      <c r="C27" s="517">
        <v>1500</v>
      </c>
      <c r="E27" s="295" t="s">
        <v>154</v>
      </c>
      <c r="F27" s="249"/>
      <c r="G27" s="249"/>
      <c r="H27" s="249"/>
      <c r="I27" s="298">
        <f>I10</f>
        <v>470</v>
      </c>
      <c r="K27" s="292"/>
      <c r="L27" s="244"/>
      <c r="M27" s="244"/>
      <c r="N27" s="293"/>
      <c r="P27" s="294"/>
      <c r="R27" s="272" t="s">
        <v>417</v>
      </c>
      <c r="S27" s="431">
        <f>S26-S25</f>
        <v>1360.3319999999949</v>
      </c>
      <c r="T27" s="341"/>
      <c r="U27" s="271"/>
      <c r="V27"/>
    </row>
    <row r="28" spans="1:23" ht="15.6">
      <c r="A28" s="272" t="s">
        <v>168</v>
      </c>
      <c r="B28" s="494">
        <v>0.05</v>
      </c>
      <c r="C28" s="518">
        <v>50</v>
      </c>
      <c r="E28" s="299" t="s">
        <v>137</v>
      </c>
      <c r="F28" s="300"/>
      <c r="G28" s="300"/>
      <c r="H28" s="300"/>
      <c r="I28" s="301">
        <f>AnnualHours</f>
        <v>1200</v>
      </c>
      <c r="K28" s="449" t="s">
        <v>439</v>
      </c>
      <c r="L28" s="457"/>
      <c r="M28" s="457"/>
      <c r="N28" s="460"/>
      <c r="O28" s="447"/>
      <c r="P28" s="461"/>
      <c r="R28" s="272" t="s">
        <v>692</v>
      </c>
      <c r="S28" s="309">
        <f>C25</f>
        <v>1112.944</v>
      </c>
      <c r="T28" s="249"/>
      <c r="U28" s="271"/>
      <c r="V28"/>
    </row>
    <row r="29" spans="1:23">
      <c r="A29" s="246" t="s">
        <v>526</v>
      </c>
      <c r="B29" s="259"/>
      <c r="C29" s="515">
        <v>1000</v>
      </c>
      <c r="E29" s="299" t="s">
        <v>318</v>
      </c>
      <c r="F29" s="300"/>
      <c r="G29" s="300"/>
      <c r="H29" s="300"/>
      <c r="I29" s="303">
        <v>4</v>
      </c>
      <c r="K29" s="272"/>
      <c r="L29" s="249"/>
      <c r="M29" s="889" t="s">
        <v>502</v>
      </c>
      <c r="N29" s="890">
        <v>1999</v>
      </c>
      <c r="O29" s="249"/>
      <c r="P29" s="276"/>
      <c r="R29" s="272"/>
      <c r="S29" s="432"/>
      <c r="T29" s="249"/>
      <c r="U29" s="271"/>
    </row>
    <row r="30" spans="1:23">
      <c r="A30" s="246"/>
      <c r="B30" s="307"/>
      <c r="C30" s="435">
        <f>SUM(C15:C29)</f>
        <v>148215.70600000001</v>
      </c>
      <c r="E30" s="299" t="s">
        <v>252</v>
      </c>
      <c r="F30" s="300"/>
      <c r="G30" s="300"/>
      <c r="H30" s="300"/>
      <c r="I30" s="304">
        <v>0</v>
      </c>
      <c r="K30" s="297" t="s">
        <v>235</v>
      </c>
      <c r="L30" s="249"/>
      <c r="M30" s="274"/>
      <c r="N30" s="900"/>
      <c r="O30" s="249"/>
      <c r="P30" s="891" t="s">
        <v>503</v>
      </c>
      <c r="R30" s="282"/>
      <c r="S30" s="286"/>
      <c r="T30" s="286"/>
      <c r="U30" s="357"/>
    </row>
    <row r="31" spans="1:23">
      <c r="A31" s="279" t="s">
        <v>104</v>
      </c>
      <c r="B31" s="259"/>
      <c r="C31" s="436"/>
      <c r="E31" s="282" t="s">
        <v>306</v>
      </c>
      <c r="F31" s="286"/>
      <c r="G31" s="286"/>
      <c r="H31" s="286"/>
      <c r="I31" s="308">
        <v>0.03</v>
      </c>
      <c r="K31" s="251" t="s">
        <v>129</v>
      </c>
      <c r="L31" s="249"/>
      <c r="M31" s="249"/>
      <c r="N31" s="895">
        <v>10</v>
      </c>
      <c r="O31" s="249"/>
      <c r="P31" s="386"/>
    </row>
    <row r="32" spans="1:23">
      <c r="A32" s="246" t="s">
        <v>277</v>
      </c>
      <c r="B32" s="259"/>
      <c r="C32" s="433">
        <v>0</v>
      </c>
      <c r="K32" s="251" t="s">
        <v>315</v>
      </c>
      <c r="L32" s="249"/>
      <c r="M32" s="249"/>
      <c r="N32" s="895">
        <v>50</v>
      </c>
      <c r="O32" s="249"/>
      <c r="P32" s="386"/>
    </row>
    <row r="33" spans="1:16" ht="16.8">
      <c r="A33" s="246" t="s">
        <v>332</v>
      </c>
      <c r="B33" s="313"/>
      <c r="C33" s="517">
        <v>908.78599999999994</v>
      </c>
      <c r="E33" s="446" t="s">
        <v>19</v>
      </c>
      <c r="F33" s="453"/>
      <c r="G33" s="447"/>
      <c r="H33" s="447"/>
      <c r="I33" s="448"/>
      <c r="K33" s="251" t="s">
        <v>316</v>
      </c>
      <c r="L33" s="249"/>
      <c r="M33" s="249"/>
      <c r="N33" s="896">
        <v>205</v>
      </c>
      <c r="O33" s="249"/>
      <c r="P33" s="892"/>
    </row>
    <row r="34" spans="1:16">
      <c r="A34" s="246" t="s">
        <v>272</v>
      </c>
      <c r="B34" s="259"/>
      <c r="C34" s="516">
        <v>313.82</v>
      </c>
      <c r="E34" s="272" t="s">
        <v>259</v>
      </c>
      <c r="F34" s="249"/>
      <c r="G34" s="249"/>
      <c r="H34" s="249"/>
      <c r="I34" s="314" t="s">
        <v>671</v>
      </c>
      <c r="K34" s="251" t="s">
        <v>236</v>
      </c>
      <c r="L34" s="274"/>
      <c r="M34" s="305"/>
      <c r="N34" s="306">
        <f>SUM(N31:N33)</f>
        <v>265</v>
      </c>
      <c r="O34" s="249"/>
      <c r="P34" s="386">
        <f>AVERAGE('Book Income Statement'!E44:H44)</f>
        <v>294.04465483487496</v>
      </c>
    </row>
    <row r="35" spans="1:16">
      <c r="A35" s="272" t="s">
        <v>271</v>
      </c>
      <c r="B35" s="317"/>
      <c r="C35" s="516">
        <v>200</v>
      </c>
      <c r="E35" s="272"/>
      <c r="F35" s="249"/>
      <c r="G35" s="249"/>
      <c r="H35" s="249"/>
      <c r="I35" s="271"/>
      <c r="K35" s="251" t="s">
        <v>587</v>
      </c>
      <c r="L35" s="274"/>
      <c r="M35" s="274"/>
      <c r="N35" s="310">
        <v>95</v>
      </c>
      <c r="O35" s="249"/>
      <c r="P35" s="386">
        <f>AVERAGE('Book Income Statement'!E45:H45)</f>
        <v>105.412234752125</v>
      </c>
    </row>
    <row r="36" spans="1:16">
      <c r="A36" s="246" t="s">
        <v>273</v>
      </c>
      <c r="B36" s="317"/>
      <c r="C36" s="516">
        <v>185.19800000000001</v>
      </c>
      <c r="E36" s="272"/>
      <c r="F36" s="318" t="s">
        <v>108</v>
      </c>
      <c r="G36" s="318" t="s">
        <v>111</v>
      </c>
      <c r="H36" s="318" t="s">
        <v>181</v>
      </c>
      <c r="I36" s="319" t="s">
        <v>182</v>
      </c>
      <c r="K36" s="251" t="s">
        <v>588</v>
      </c>
      <c r="L36" s="274"/>
      <c r="M36" s="274"/>
      <c r="N36" s="310">
        <v>140</v>
      </c>
      <c r="O36" s="249"/>
      <c r="P36" s="386"/>
    </row>
    <row r="37" spans="1:16">
      <c r="A37" s="246" t="s">
        <v>278</v>
      </c>
      <c r="B37" s="259"/>
      <c r="C37" s="516">
        <v>0</v>
      </c>
      <c r="E37" s="258" t="s">
        <v>183</v>
      </c>
      <c r="F37" s="320">
        <f>IF($I$34="Normal",'Debt Amortization'!B19,0)</f>
        <v>0</v>
      </c>
      <c r="G37" s="321">
        <f>IF($I$34="Normal",'Debt Amortization'!B20,0)</f>
        <v>0</v>
      </c>
      <c r="H37" s="321">
        <f>IF($I$34="Normal",'Debt Amortization'!B21,0)</f>
        <v>0</v>
      </c>
      <c r="I37" s="322">
        <f>SUM(F37:H37)</f>
        <v>0</v>
      </c>
      <c r="K37" s="272" t="s">
        <v>9</v>
      </c>
      <c r="L37" s="249"/>
      <c r="M37" s="249"/>
      <c r="N37" s="311">
        <v>82</v>
      </c>
      <c r="O37" s="249"/>
      <c r="P37" s="386">
        <f>AVERAGE('Book Income Statement'!E47:H47)</f>
        <v>90.987402628149994</v>
      </c>
    </row>
    <row r="38" spans="1:16">
      <c r="A38" s="246" t="s">
        <v>331</v>
      </c>
      <c r="B38" s="259"/>
      <c r="C38" s="517">
        <v>600.53099999999995</v>
      </c>
      <c r="E38" s="258" t="s">
        <v>604</v>
      </c>
      <c r="F38" s="1076">
        <f>C60*0.75*0.16</f>
        <v>19293.89832</v>
      </c>
      <c r="G38" s="1074">
        <f>C60*0.75*0.3</f>
        <v>36176.059349999996</v>
      </c>
      <c r="H38" s="1074">
        <f>C60*0.75*0.54</f>
        <v>65116.90683</v>
      </c>
      <c r="I38" s="322">
        <f>SUM(F38:H38)</f>
        <v>120586.8645</v>
      </c>
      <c r="K38" s="272" t="s">
        <v>458</v>
      </c>
      <c r="L38" s="249"/>
      <c r="M38" s="249"/>
      <c r="N38" s="311">
        <v>30</v>
      </c>
      <c r="O38" s="249"/>
      <c r="P38" s="386">
        <f>AVERAGE('Book Income Statement'!E48:H48)</f>
        <v>33.288074132250003</v>
      </c>
    </row>
    <row r="39" spans="1:16" ht="13.8">
      <c r="A39" s="246" t="s">
        <v>333</v>
      </c>
      <c r="B39" s="313"/>
      <c r="C39" s="516">
        <v>400</v>
      </c>
      <c r="E39" s="258" t="s">
        <v>184</v>
      </c>
      <c r="F39" s="325">
        <f>IF(I34="Normal",3,4)</f>
        <v>4</v>
      </c>
      <c r="G39" s="326">
        <f>IF(I34="Normal",20,10)</f>
        <v>10</v>
      </c>
      <c r="H39" s="325">
        <f>IF(I34="Normal",0,20)</f>
        <v>20</v>
      </c>
      <c r="I39" s="271">
        <f>MAX(F39,G39,H39)</f>
        <v>20</v>
      </c>
      <c r="K39" s="272" t="s">
        <v>8</v>
      </c>
      <c r="L39" s="249"/>
      <c r="M39" s="249"/>
      <c r="N39" s="315">
        <v>75</v>
      </c>
      <c r="O39" s="249"/>
      <c r="P39" s="892">
        <f>AVERAGE('Book Income Statement'!E49:H49)</f>
        <v>83.220185330624986</v>
      </c>
    </row>
    <row r="40" spans="1:16">
      <c r="A40" s="246" t="s">
        <v>682</v>
      </c>
      <c r="B40" s="313"/>
      <c r="C40" s="516">
        <v>232.28800000000001</v>
      </c>
      <c r="E40" s="328" t="s">
        <v>201</v>
      </c>
      <c r="F40" s="329">
        <f>IF(I34="Normal",7.75%,6.73%)</f>
        <v>6.7299999999999999E-2</v>
      </c>
      <c r="G40" s="329">
        <f>IF(I34="Normal",8%,7.57%)</f>
        <v>7.5700000000000003E-2</v>
      </c>
      <c r="H40" s="329">
        <f>IF(I34="normal",0%,8.18%)</f>
        <v>8.1799999999999998E-2</v>
      </c>
      <c r="I40" s="330">
        <f>IF(I34="Normal",F40*($F$37/$I$37)+G40*($G$37/$I$37)+H40*($H$37/$I$37),_Int1*(Principal1/I38)+_Int2*(Principal2/I38)+_Int3*(Principal3/I38))</f>
        <v>7.7649999999999997E-2</v>
      </c>
      <c r="K40" s="316" t="s">
        <v>317</v>
      </c>
      <c r="L40" s="249"/>
      <c r="M40" s="249"/>
      <c r="N40" s="507">
        <f>SUM(N34:N39)</f>
        <v>687</v>
      </c>
      <c r="O40" s="249"/>
      <c r="P40" s="897">
        <f>SUM(P34:P39)</f>
        <v>606.95255167802497</v>
      </c>
    </row>
    <row r="41" spans="1:16">
      <c r="A41" s="246" t="s">
        <v>696</v>
      </c>
      <c r="B41" s="313"/>
      <c r="C41" s="516">
        <v>15.1</v>
      </c>
      <c r="E41" s="258" t="s">
        <v>185</v>
      </c>
      <c r="F41" s="332">
        <v>1.3</v>
      </c>
      <c r="G41" s="332">
        <v>2.5</v>
      </c>
      <c r="H41" s="333">
        <v>2.5</v>
      </c>
      <c r="I41" s="334">
        <f>IF(I34="Normal",F41*($F$37/$I$37)+G41*($G$37/$I$37)+H41*($H$37/$I$37),F41*(Principal1/I38)+G41*(Principal2/I38)+H41*(Principal3/I38))</f>
        <v>2.3079999999999998</v>
      </c>
      <c r="K41" s="272"/>
      <c r="L41" s="249"/>
      <c r="M41" s="249"/>
      <c r="N41" s="249"/>
      <c r="O41" s="249"/>
      <c r="P41" s="276"/>
    </row>
    <row r="42" spans="1:16">
      <c r="A42" s="272" t="s">
        <v>60</v>
      </c>
      <c r="B42" s="317"/>
      <c r="C42" s="434">
        <v>0</v>
      </c>
      <c r="E42" s="246" t="s">
        <v>225</v>
      </c>
      <c r="F42" s="249"/>
      <c r="G42" s="335" t="s">
        <v>263</v>
      </c>
      <c r="H42" s="335"/>
      <c r="I42" s="336"/>
      <c r="K42" s="323" t="s">
        <v>21</v>
      </c>
      <c r="L42" s="274"/>
      <c r="M42" s="274"/>
      <c r="N42" s="324">
        <v>0.03</v>
      </c>
      <c r="O42" s="249"/>
      <c r="P42" s="276"/>
    </row>
    <row r="43" spans="1:16">
      <c r="A43" s="272"/>
      <c r="B43" s="249"/>
      <c r="C43" s="437">
        <f>SUM(C32:C42)</f>
        <v>2855.723</v>
      </c>
      <c r="E43" s="337" t="s">
        <v>206</v>
      </c>
      <c r="F43" s="338">
        <f>IF(F37&gt;0,'Debt Amortization'!$E$31,'Debt Amortization'!C73)</f>
        <v>2.5</v>
      </c>
      <c r="G43" s="339">
        <f>IF(G37&gt;0,'Debt Amortization'!$E$39,'Debt Amortization'!C87)</f>
        <v>7.45</v>
      </c>
      <c r="H43" s="339">
        <f>IF(H37&gt;0,'Debt Amortization'!$E$47,'Debt Amortization'!C101)</f>
        <v>15.389999999999997</v>
      </c>
      <c r="I43" s="340">
        <f>+'Debt Amortization'!E56</f>
        <v>6.6013589133415289</v>
      </c>
      <c r="K43" s="327" t="s">
        <v>22</v>
      </c>
      <c r="L43" s="264"/>
      <c r="M43" s="264"/>
      <c r="N43" s="285">
        <v>0.03</v>
      </c>
      <c r="O43" s="286"/>
      <c r="P43" s="287"/>
    </row>
    <row r="44" spans="1:16">
      <c r="A44" s="272"/>
      <c r="B44" s="249"/>
      <c r="C44" s="438"/>
      <c r="E44" s="288"/>
      <c r="I44" s="343"/>
      <c r="K44" s="244"/>
      <c r="L44" s="244"/>
      <c r="M44" s="244"/>
      <c r="N44" s="331"/>
      <c r="P44" s="294"/>
    </row>
    <row r="45" spans="1:16" ht="15.6">
      <c r="A45" s="279" t="s">
        <v>105</v>
      </c>
      <c r="B45" s="259"/>
      <c r="C45" s="438"/>
      <c r="E45" s="446" t="s">
        <v>253</v>
      </c>
      <c r="F45" s="447"/>
      <c r="G45" s="447"/>
      <c r="H45" s="447"/>
      <c r="I45" s="452"/>
      <c r="K45" s="462" t="s">
        <v>440</v>
      </c>
      <c r="L45" s="463"/>
      <c r="M45" s="463"/>
      <c r="N45" s="464"/>
      <c r="O45" s="463"/>
      <c r="P45" s="465"/>
    </row>
    <row r="46" spans="1:16" ht="13.2">
      <c r="A46" s="246" t="s">
        <v>221</v>
      </c>
      <c r="B46" s="259"/>
      <c r="C46" s="433">
        <v>0</v>
      </c>
      <c r="E46" s="258" t="s">
        <v>222</v>
      </c>
      <c r="F46" s="249"/>
      <c r="G46" s="249"/>
      <c r="H46" s="249"/>
      <c r="I46" s="344" t="s">
        <v>5</v>
      </c>
      <c r="K46" s="272"/>
      <c r="L46" s="508" t="s">
        <v>473</v>
      </c>
      <c r="M46" s="175"/>
      <c r="N46" s="509">
        <v>1999</v>
      </c>
      <c r="O46" s="342"/>
      <c r="P46" s="1014" t="s">
        <v>474</v>
      </c>
    </row>
    <row r="47" spans="1:16">
      <c r="A47" s="246" t="s">
        <v>63</v>
      </c>
      <c r="B47" s="259"/>
      <c r="C47" s="433">
        <v>0</v>
      </c>
      <c r="E47" s="258" t="s">
        <v>223</v>
      </c>
      <c r="F47" s="249"/>
      <c r="G47" s="249"/>
      <c r="H47" s="249"/>
      <c r="I47" s="345">
        <f>0.5*'Returns Summary'!$D$23</f>
        <v>0</v>
      </c>
      <c r="K47" s="323" t="s">
        <v>533</v>
      </c>
      <c r="L47" s="951">
        <f>L11</f>
        <v>656.2</v>
      </c>
      <c r="M47" s="259" t="s">
        <v>352</v>
      </c>
      <c r="N47" s="952">
        <f>L47/AnnualHours/NetMW*1000</f>
        <v>1.1634751773049647</v>
      </c>
      <c r="O47" s="342" t="s">
        <v>353</v>
      </c>
      <c r="P47" s="511">
        <f>AVERAGE('PPA Assumptions &amp;Summary'!C58:F58)</f>
        <v>1.2533931376427305</v>
      </c>
    </row>
    <row r="48" spans="1:16">
      <c r="A48" s="246" t="s">
        <v>338</v>
      </c>
      <c r="B48" s="351"/>
      <c r="C48" s="516">
        <v>0</v>
      </c>
      <c r="E48" s="347" t="s">
        <v>224</v>
      </c>
      <c r="F48" s="286"/>
      <c r="G48" s="348"/>
      <c r="H48" s="286"/>
      <c r="I48" s="349">
        <v>0</v>
      </c>
      <c r="K48" s="323"/>
      <c r="L48" s="254"/>
      <c r="M48" s="249"/>
      <c r="N48" s="341"/>
      <c r="O48" s="342"/>
      <c r="P48" s="276"/>
    </row>
    <row r="49" spans="1:16" ht="13.8">
      <c r="A49" s="272" t="s">
        <v>59</v>
      </c>
      <c r="B49" s="317"/>
      <c r="C49" s="352">
        <f>+IF(I46="Financing", I47, 0)</f>
        <v>0</v>
      </c>
      <c r="E49" s="83" t="s">
        <v>138</v>
      </c>
      <c r="K49" s="323" t="s">
        <v>297</v>
      </c>
      <c r="L49" s="405">
        <f>Main_Start*L15/1000</f>
        <v>2078.4</v>
      </c>
      <c r="M49" s="259" t="s">
        <v>352</v>
      </c>
      <c r="N49" s="405">
        <f>L49/L15*1000</f>
        <v>17320</v>
      </c>
      <c r="O49" s="342" t="s">
        <v>529</v>
      </c>
      <c r="P49" s="949">
        <f>AVERAGE('Book Income Statement'!E31:H31)/L15*1000</f>
        <v>19218.314799019001</v>
      </c>
    </row>
    <row r="50" spans="1:16" ht="15.6">
      <c r="A50" s="272"/>
      <c r="B50" s="259"/>
      <c r="C50" s="301">
        <f>SUM(C46:C49)</f>
        <v>0</v>
      </c>
      <c r="E50" s="446" t="s">
        <v>44</v>
      </c>
      <c r="F50" s="447"/>
      <c r="G50" s="447"/>
      <c r="H50" s="447"/>
      <c r="I50" s="448"/>
      <c r="K50" s="323" t="s">
        <v>522</v>
      </c>
      <c r="L50" s="948">
        <f>O16</f>
        <v>0</v>
      </c>
      <c r="M50" s="259" t="s">
        <v>352</v>
      </c>
      <c r="N50" s="948">
        <f>L50/L16*1000</f>
        <v>0</v>
      </c>
      <c r="O50" s="342" t="s">
        <v>529</v>
      </c>
      <c r="P50" s="950">
        <f>AVERAGE('Book Income Statement'!E32:H32)/L16*1000</f>
        <v>0</v>
      </c>
    </row>
    <row r="51" spans="1:16">
      <c r="A51" s="272"/>
      <c r="B51" s="259"/>
      <c r="C51" s="301"/>
      <c r="E51" s="385" t="s">
        <v>207</v>
      </c>
      <c r="F51" s="249"/>
      <c r="G51" s="249" t="s">
        <v>220</v>
      </c>
      <c r="H51" s="427" t="str">
        <f>+IF(I51=0, "", IF(OR(I51&gt;I15, I51&lt;MAX('Project Assumtions'!F39:H39)), "Error", "-"))</f>
        <v/>
      </c>
      <c r="I51" s="296"/>
      <c r="K51" s="323"/>
      <c r="L51" s="951">
        <f>SUM(L49:L50)</f>
        <v>2078.4</v>
      </c>
      <c r="M51" s="249"/>
      <c r="N51" s="951">
        <f>SUM(N49:N50)</f>
        <v>17320</v>
      </c>
      <c r="O51" s="342"/>
      <c r="P51" s="949">
        <f>SUM(P49:P50)</f>
        <v>19218.314799019001</v>
      </c>
    </row>
    <row r="52" spans="1:16">
      <c r="A52" s="279" t="s">
        <v>106</v>
      </c>
      <c r="B52" s="317"/>
      <c r="C52" s="354"/>
      <c r="E52" s="272"/>
      <c r="F52" s="249"/>
      <c r="G52" s="249" t="s">
        <v>219</v>
      </c>
      <c r="H52" s="249"/>
      <c r="I52" s="353"/>
      <c r="K52" s="323"/>
      <c r="L52" s="254"/>
      <c r="M52" s="249"/>
      <c r="N52" s="341"/>
      <c r="O52" s="342"/>
      <c r="P52" s="276"/>
    </row>
    <row r="53" spans="1:16" ht="13.2">
      <c r="A53" s="272" t="s">
        <v>475</v>
      </c>
      <c r="B53" s="492">
        <v>6.4000000000000001E-2</v>
      </c>
      <c r="C53" s="942">
        <f>-6.078+9717.135</f>
        <v>9711.0570000000007</v>
      </c>
      <c r="E53" s="282"/>
      <c r="F53" s="286"/>
      <c r="G53" s="286" t="s">
        <v>7</v>
      </c>
      <c r="H53" s="286"/>
      <c r="I53" s="355"/>
      <c r="K53" s="323" t="s">
        <v>532</v>
      </c>
      <c r="L53" s="405">
        <f>Labor+Fixed+N25+N23</f>
        <v>1577.6297577854671</v>
      </c>
      <c r="M53" s="259" t="s">
        <v>352</v>
      </c>
      <c r="N53" s="341">
        <f>L53/NetMW/12</f>
        <v>0.27972158825983456</v>
      </c>
      <c r="O53" s="342" t="s">
        <v>354</v>
      </c>
      <c r="P53" s="511">
        <f>AVERAGE('Book Income Statement'!E41:H41)/NetMW/12</f>
        <v>0.34129226200003687</v>
      </c>
    </row>
    <row r="54" spans="1:16">
      <c r="A54" s="272"/>
      <c r="B54" s="360"/>
      <c r="C54" s="301">
        <f>SUM(C53:C53)</f>
        <v>9711.0570000000007</v>
      </c>
      <c r="E54" s="249"/>
      <c r="F54" s="249"/>
      <c r="G54" s="249"/>
      <c r="H54" s="249"/>
      <c r="I54" s="356"/>
      <c r="K54" s="323" t="s">
        <v>484</v>
      </c>
      <c r="L54" s="405">
        <f>N40</f>
        <v>687</v>
      </c>
      <c r="M54" s="259" t="s">
        <v>352</v>
      </c>
      <c r="N54" s="341">
        <f>L54/NetMW/12</f>
        <v>0.12180851063829788</v>
      </c>
      <c r="O54" s="342" t="s">
        <v>354</v>
      </c>
      <c r="P54" s="511">
        <f>AVERAGE('Book Income Statement'!E50:H50)/NetMW/12-P55</f>
        <v>0.11427985374917013</v>
      </c>
    </row>
    <row r="55" spans="1:16" ht="15.6">
      <c r="A55" s="272"/>
      <c r="B55" s="249"/>
      <c r="C55" s="271"/>
      <c r="E55" s="449" t="s">
        <v>438</v>
      </c>
      <c r="F55" s="447"/>
      <c r="G55" s="447"/>
      <c r="H55" s="447"/>
      <c r="I55" s="448"/>
      <c r="K55" s="323" t="s">
        <v>553</v>
      </c>
      <c r="L55" s="405">
        <f>'Book Income Statement'!E53/(1.03^2)</f>
        <v>0</v>
      </c>
      <c r="M55" s="259" t="s">
        <v>352</v>
      </c>
      <c r="N55" s="341">
        <f>L55/NetMW/12</f>
        <v>0</v>
      </c>
      <c r="O55" s="342" t="s">
        <v>354</v>
      </c>
      <c r="P55" s="511">
        <f>AVERAGE('Book Income Statement'!E53:H53)/NetMW/12</f>
        <v>2.0879170653050616E-2</v>
      </c>
    </row>
    <row r="56" spans="1:16">
      <c r="A56" s="246" t="s">
        <v>411</v>
      </c>
      <c r="B56" s="493">
        <v>0.03</v>
      </c>
      <c r="C56" s="1061">
        <v>0</v>
      </c>
      <c r="E56" s="272"/>
      <c r="F56" s="249"/>
      <c r="G56" s="450" t="s">
        <v>68</v>
      </c>
      <c r="H56" s="249"/>
      <c r="I56" s="451">
        <v>0.12</v>
      </c>
      <c r="K56" s="323" t="s">
        <v>500</v>
      </c>
      <c r="L56" s="948">
        <f>'Book Income Statement'!D58</f>
        <v>0</v>
      </c>
      <c r="M56" s="259" t="s">
        <v>352</v>
      </c>
      <c r="N56" s="346">
        <f>L56/NetMW/12</f>
        <v>0</v>
      </c>
      <c r="O56" s="342" t="s">
        <v>354</v>
      </c>
      <c r="P56" s="512">
        <v>0</v>
      </c>
    </row>
    <row r="57" spans="1:16">
      <c r="A57" s="246" t="s">
        <v>412</v>
      </c>
      <c r="B57" s="493">
        <v>0.05</v>
      </c>
      <c r="C57" s="1071">
        <v>0</v>
      </c>
      <c r="E57" s="272"/>
      <c r="F57" s="249"/>
      <c r="G57" s="363" t="s">
        <v>17</v>
      </c>
      <c r="H57" s="249"/>
      <c r="I57" s="364" t="s">
        <v>18</v>
      </c>
      <c r="K57" s="323"/>
      <c r="L57" s="951">
        <f>SUM(L53:L56)</f>
        <v>2264.6297577854671</v>
      </c>
      <c r="M57" s="259"/>
      <c r="N57" s="952">
        <f>SUM(N53:N56)</f>
        <v>0.40153009889813246</v>
      </c>
      <c r="O57" s="342"/>
      <c r="P57" s="511">
        <f>SUM(P53:P56)</f>
        <v>0.47645128640225759</v>
      </c>
    </row>
    <row r="58" spans="1:16">
      <c r="A58" s="246" t="s">
        <v>420</v>
      </c>
      <c r="B58" s="362"/>
      <c r="C58" s="301">
        <f>SUM(C56:C57)</f>
        <v>0</v>
      </c>
      <c r="E58" s="365" t="s">
        <v>0</v>
      </c>
      <c r="F58" s="366"/>
      <c r="G58" s="318" t="s">
        <v>39</v>
      </c>
      <c r="H58" s="366"/>
      <c r="I58" s="319" t="s">
        <v>39</v>
      </c>
      <c r="K58" s="953" t="s">
        <v>528</v>
      </c>
      <c r="L58" s="958">
        <f>L47+L51+L57</f>
        <v>4999.2297577854679</v>
      </c>
      <c r="M58" s="954" t="s">
        <v>352</v>
      </c>
      <c r="N58" s="955"/>
      <c r="O58" s="956"/>
      <c r="P58" s="957"/>
    </row>
    <row r="59" spans="1:16">
      <c r="A59" s="272"/>
      <c r="B59" s="317"/>
      <c r="C59" s="354"/>
      <c r="E59" s="369">
        <v>10</v>
      </c>
      <c r="F59" s="259"/>
      <c r="G59" s="370">
        <f>'Returns Summary'!$L$8</f>
        <v>0.24638254046440125</v>
      </c>
      <c r="H59" s="247"/>
      <c r="I59" s="371">
        <f>'Returns Summary'!$L$12</f>
        <v>0.18173993229866031</v>
      </c>
      <c r="K59" s="244"/>
      <c r="L59" s="244"/>
      <c r="M59" s="244"/>
      <c r="N59" s="331"/>
      <c r="P59" s="294"/>
    </row>
    <row r="60" spans="1:16" ht="15.6">
      <c r="A60" s="347" t="s">
        <v>58</v>
      </c>
      <c r="B60" s="368"/>
      <c r="C60" s="1008">
        <f>C30+C43+C50+C54+C58</f>
        <v>160782.486</v>
      </c>
      <c r="E60" s="369">
        <v>15</v>
      </c>
      <c r="F60" s="259"/>
      <c r="G60" s="370">
        <f>'Returns Summary'!$Q$8</f>
        <v>0.28782079815864559</v>
      </c>
      <c r="H60" s="247"/>
      <c r="I60" s="371">
        <f>'Returns Summary'!$Q$12</f>
        <v>0.23028261065483091</v>
      </c>
      <c r="K60" s="446" t="s">
        <v>701</v>
      </c>
      <c r="L60" s="457"/>
      <c r="M60" s="457"/>
      <c r="N60" s="447"/>
      <c r="O60" s="447"/>
      <c r="P60" s="461"/>
    </row>
    <row r="61" spans="1:16">
      <c r="A61" s="244"/>
      <c r="B61" s="244"/>
      <c r="C61" s="244"/>
      <c r="E61" s="369">
        <v>20</v>
      </c>
      <c r="F61" s="259"/>
      <c r="G61" s="370">
        <f>'Returns Summary'!$W$8</f>
        <v>0.29623010754585266</v>
      </c>
      <c r="H61" s="247"/>
      <c r="I61" s="371">
        <f>'Returns Summary'!$W$12</f>
        <v>0.23934877514839176</v>
      </c>
      <c r="K61" s="282" t="s">
        <v>501</v>
      </c>
      <c r="L61" s="286"/>
      <c r="M61" s="286"/>
      <c r="N61" s="443">
        <f>706.2/4*0</f>
        <v>0</v>
      </c>
      <c r="O61" s="286"/>
      <c r="P61" s="357"/>
    </row>
    <row r="62" spans="1:16">
      <c r="A62" s="288"/>
      <c r="C62" s="372"/>
      <c r="E62" s="369"/>
      <c r="F62" s="259"/>
      <c r="G62" s="370"/>
      <c r="H62" s="247"/>
      <c r="I62" s="371"/>
      <c r="K62" s="292"/>
      <c r="L62" s="244"/>
      <c r="M62" s="358"/>
      <c r="N62" s="359"/>
    </row>
    <row r="63" spans="1:16" ht="15.6">
      <c r="A63" s="446" t="s">
        <v>57</v>
      </c>
      <c r="B63" s="447"/>
      <c r="C63" s="448"/>
      <c r="E63" s="272"/>
      <c r="F63" s="249"/>
      <c r="G63" s="363" t="s">
        <v>17</v>
      </c>
      <c r="H63" s="249"/>
      <c r="I63" s="364" t="s">
        <v>18</v>
      </c>
      <c r="K63" s="446" t="s">
        <v>256</v>
      </c>
      <c r="L63" s="447"/>
      <c r="M63" s="447"/>
      <c r="N63" s="447"/>
      <c r="O63" s="447"/>
      <c r="P63" s="448"/>
    </row>
    <row r="64" spans="1:16">
      <c r="A64" s="246" t="s">
        <v>190</v>
      </c>
      <c r="B64" s="249"/>
      <c r="C64" s="314" t="s">
        <v>497</v>
      </c>
      <c r="E64" s="365" t="s">
        <v>0</v>
      </c>
      <c r="F64" s="366"/>
      <c r="G64" s="318" t="s">
        <v>67</v>
      </c>
      <c r="H64" s="366"/>
      <c r="I64" s="319" t="s">
        <v>67</v>
      </c>
      <c r="K64" s="246" t="s">
        <v>187</v>
      </c>
      <c r="L64" s="249"/>
      <c r="M64" s="249"/>
      <c r="N64" s="361">
        <v>0.35</v>
      </c>
      <c r="O64" s="249"/>
      <c r="P64" s="510" t="s">
        <v>474</v>
      </c>
    </row>
    <row r="65" spans="1:16">
      <c r="A65" s="246" t="s">
        <v>233</v>
      </c>
      <c r="B65" s="249"/>
      <c r="C65" s="373">
        <v>2.5</v>
      </c>
      <c r="E65" s="369">
        <v>10</v>
      </c>
      <c r="F65" s="259"/>
      <c r="G65" s="374">
        <f>'Returns Summary'!$L$9</f>
        <v>34175.721280701437</v>
      </c>
      <c r="H65" s="374"/>
      <c r="I65" s="375">
        <f>'Returns Summary'!$L$13</f>
        <v>13916.103631675707</v>
      </c>
      <c r="K65" s="246" t="s">
        <v>186</v>
      </c>
      <c r="L65" s="249"/>
      <c r="M65" s="249"/>
      <c r="N65" s="487">
        <v>4.4999999999999998E-2</v>
      </c>
      <c r="O65" s="249"/>
      <c r="P65" s="271"/>
    </row>
    <row r="66" spans="1:16">
      <c r="A66" s="246" t="s">
        <v>448</v>
      </c>
      <c r="B66" s="249"/>
      <c r="C66" s="314" t="s">
        <v>178</v>
      </c>
      <c r="E66" s="369">
        <v>15</v>
      </c>
      <c r="F66" s="259"/>
      <c r="G66" s="374">
        <f>'Returns Summary'!$Q$9</f>
        <v>70476.479965601102</v>
      </c>
      <c r="H66" s="374"/>
      <c r="I66" s="375">
        <f>'Returns Summary'!$Q$13</f>
        <v>38575.560714370338</v>
      </c>
      <c r="K66" s="272" t="s">
        <v>188</v>
      </c>
      <c r="L66" s="249"/>
      <c r="M66" s="249"/>
      <c r="N66" s="367">
        <f>(1-N65)*N64+N65</f>
        <v>0.37924999999999998</v>
      </c>
      <c r="O66" s="249"/>
      <c r="P66" s="513"/>
    </row>
    <row r="67" spans="1:16">
      <c r="A67" s="246" t="s">
        <v>449</v>
      </c>
      <c r="B67" s="249"/>
      <c r="C67" s="314" t="s">
        <v>178</v>
      </c>
      <c r="E67" s="377">
        <v>20</v>
      </c>
      <c r="F67" s="350"/>
      <c r="G67" s="378">
        <f>'Returns Summary'!$W$9</f>
        <v>91246.394576740553</v>
      </c>
      <c r="H67" s="378"/>
      <c r="I67" s="379">
        <f>'Returns Summary'!$W$13</f>
        <v>49424.393934144253</v>
      </c>
      <c r="K67" s="272"/>
      <c r="L67" s="249"/>
      <c r="M67" s="249"/>
      <c r="N67" s="367"/>
      <c r="O67" s="249"/>
      <c r="P67" s="271"/>
    </row>
    <row r="68" spans="1:16">
      <c r="A68" s="246" t="s">
        <v>215</v>
      </c>
      <c r="B68" s="249"/>
      <c r="C68" s="314">
        <v>15</v>
      </c>
      <c r="E68" s="380"/>
      <c r="F68" s="245"/>
      <c r="G68" s="381"/>
      <c r="H68" s="381"/>
      <c r="I68" s="381"/>
      <c r="K68" s="246" t="s">
        <v>463</v>
      </c>
      <c r="L68" s="249"/>
      <c r="M68" s="249"/>
      <c r="N68" s="488">
        <v>3.4000000000000002E-2</v>
      </c>
      <c r="O68" s="249"/>
      <c r="P68" s="276">
        <f>AVERAGE('Tax Calculations'!D10:G10)</f>
        <v>227.07431331339882</v>
      </c>
    </row>
    <row r="69" spans="1:16">
      <c r="A69" s="246" t="s">
        <v>189</v>
      </c>
      <c r="B69" s="249"/>
      <c r="C69" s="314" t="s">
        <v>167</v>
      </c>
      <c r="K69" s="246" t="s">
        <v>462</v>
      </c>
      <c r="L69" s="249"/>
      <c r="M69" s="249"/>
      <c r="N69" s="489">
        <v>1.2E-2</v>
      </c>
      <c r="O69" s="249"/>
      <c r="P69" s="276">
        <f>AVERAGE('Tax Calculations'!D15:G15)</f>
        <v>300.1073167906153</v>
      </c>
    </row>
    <row r="70" spans="1:16">
      <c r="A70" s="272" t="s">
        <v>227</v>
      </c>
      <c r="B70" s="249"/>
      <c r="C70" s="314" t="s">
        <v>23</v>
      </c>
      <c r="K70" s="246" t="s">
        <v>321</v>
      </c>
      <c r="L70" s="249"/>
      <c r="M70" s="249"/>
      <c r="N70" s="489">
        <v>0</v>
      </c>
      <c r="O70" s="249"/>
      <c r="P70" s="271"/>
    </row>
    <row r="71" spans="1:16">
      <c r="A71" s="246" t="s">
        <v>179</v>
      </c>
      <c r="B71" s="249"/>
      <c r="C71" s="314" t="s">
        <v>23</v>
      </c>
      <c r="K71" s="347" t="s">
        <v>251</v>
      </c>
      <c r="L71" s="286"/>
      <c r="M71" s="286"/>
      <c r="N71" s="466">
        <v>0</v>
      </c>
      <c r="O71" s="286"/>
      <c r="P71" s="467"/>
    </row>
    <row r="72" spans="1:16">
      <c r="A72" s="272" t="s">
        <v>228</v>
      </c>
      <c r="B72" s="249"/>
      <c r="C72" s="382">
        <v>0</v>
      </c>
      <c r="P72" s="243"/>
    </row>
    <row r="73" spans="1:16">
      <c r="A73" s="385" t="s">
        <v>327</v>
      </c>
      <c r="B73" s="249"/>
      <c r="C73" s="271"/>
    </row>
    <row r="74" spans="1:16">
      <c r="A74" s="272" t="s">
        <v>268</v>
      </c>
      <c r="B74" s="249"/>
      <c r="C74" s="387">
        <v>1</v>
      </c>
    </row>
    <row r="75" spans="1:16">
      <c r="A75" s="272" t="s">
        <v>269</v>
      </c>
      <c r="B75" s="249"/>
      <c r="C75" s="391">
        <v>0.5</v>
      </c>
    </row>
    <row r="76" spans="1:16">
      <c r="A76" s="385" t="s">
        <v>328</v>
      </c>
      <c r="B76" s="249"/>
      <c r="C76" s="392" t="s">
        <v>326</v>
      </c>
    </row>
    <row r="77" spans="1:16">
      <c r="A77" s="282" t="s">
        <v>180</v>
      </c>
      <c r="B77" s="286"/>
      <c r="C77" s="393" t="s">
        <v>23</v>
      </c>
    </row>
    <row r="78" spans="1:16">
      <c r="A78" s="394"/>
    </row>
    <row r="79" spans="1:16">
      <c r="A79" s="394"/>
      <c r="J79" s="400"/>
    </row>
    <row r="80" spans="1:16">
      <c r="A80" s="394"/>
      <c r="J80" s="404"/>
    </row>
    <row r="81" spans="1:10">
      <c r="A81" s="394"/>
      <c r="J81" s="406"/>
    </row>
    <row r="82" spans="1:10">
      <c r="J82" s="408"/>
    </row>
    <row r="83" spans="1:10" ht="12.6" thickBot="1">
      <c r="J83" s="413"/>
    </row>
    <row r="84" spans="1:10" ht="16.2" thickBot="1">
      <c r="E84" s="396" t="s">
        <v>282</v>
      </c>
      <c r="F84" s="397"/>
      <c r="G84" s="397"/>
      <c r="H84" s="398"/>
      <c r="I84" s="399"/>
    </row>
    <row r="85" spans="1:10">
      <c r="D85" s="83" t="s">
        <v>286</v>
      </c>
      <c r="E85" s="401"/>
      <c r="F85" s="249"/>
      <c r="G85" s="249"/>
      <c r="H85" s="402"/>
      <c r="I85" s="403"/>
    </row>
    <row r="86" spans="1:10">
      <c r="D86" s="83" t="s">
        <v>287</v>
      </c>
      <c r="E86" s="401" t="s">
        <v>283</v>
      </c>
      <c r="F86" s="405">
        <f>C60</f>
        <v>160782.486</v>
      </c>
      <c r="G86" s="249"/>
      <c r="H86" s="402"/>
    </row>
    <row r="87" spans="1:10" ht="12.6" thickBot="1">
      <c r="A87" s="72"/>
      <c r="B87" s="395" t="s">
        <v>309</v>
      </c>
      <c r="C87" s="72"/>
      <c r="E87" s="401" t="s">
        <v>284</v>
      </c>
      <c r="F87" s="407">
        <f>F86-C42</f>
        <v>160782.486</v>
      </c>
      <c r="G87" s="249"/>
      <c r="H87" s="402"/>
    </row>
    <row r="88" spans="1:10" ht="12.6" thickBot="1">
      <c r="A88" s="72"/>
      <c r="B88" s="73" t="s">
        <v>307</v>
      </c>
      <c r="C88" s="72"/>
      <c r="D88" s="423" t="s">
        <v>292</v>
      </c>
      <c r="E88" s="409" t="s">
        <v>285</v>
      </c>
      <c r="F88" s="410">
        <f>C42</f>
        <v>0</v>
      </c>
      <c r="G88" s="411"/>
      <c r="H88" s="412"/>
    </row>
    <row r="89" spans="1:10" ht="12.6" thickBot="1">
      <c r="A89" s="72"/>
      <c r="B89" s="73" t="s">
        <v>308</v>
      </c>
      <c r="C89" s="72"/>
      <c r="D89" s="423" t="s">
        <v>295</v>
      </c>
      <c r="E89" s="288"/>
      <c r="F89" s="414"/>
      <c r="G89" s="414"/>
    </row>
    <row r="90" spans="1:10" ht="16.2" thickBot="1">
      <c r="E90" s="415" t="s">
        <v>293</v>
      </c>
      <c r="F90" s="416"/>
      <c r="G90" s="417" t="s">
        <v>294</v>
      </c>
      <c r="H90" s="418"/>
    </row>
    <row r="91" spans="1:10" ht="16.2" thickBot="1">
      <c r="E91" s="415">
        <v>12</v>
      </c>
      <c r="F91" s="416">
        <v>16</v>
      </c>
      <c r="G91" s="419">
        <v>8</v>
      </c>
      <c r="H91" s="420">
        <v>10</v>
      </c>
    </row>
    <row r="92" spans="1:10" ht="13.8" thickBot="1">
      <c r="E92" s="421">
        <f>E91*'Book Income Statement'!$C$84-$C$8-'PPA Assumptions &amp;Summary'!$B$14</f>
        <v>-7639.2185396661089</v>
      </c>
      <c r="F92" s="421">
        <f>F91*'Book Income Statement'!$C$84-$C$8-'PPA Assumptions &amp;Summary'!$B$14</f>
        <v>3214.1173725126423</v>
      </c>
      <c r="G92" s="422">
        <f>G91*'Book Income Statement'!$C$83-C8-'PPA Assumptions &amp;Summary'!$B$14</f>
        <v>25476.072340136066</v>
      </c>
      <c r="H92" s="422">
        <f>H91*'Book Income Statement'!$C$83-C8-'PPA Assumptions &amp;Summary'!$B$14</f>
        <v>41894.896994220668</v>
      </c>
      <c r="I92" s="380"/>
    </row>
    <row r="93" spans="1:10">
      <c r="I93" s="289"/>
    </row>
    <row r="94" spans="1:10">
      <c r="E94" s="83" t="s">
        <v>290</v>
      </c>
      <c r="G94" s="380"/>
    </row>
    <row r="95" spans="1:10">
      <c r="E95" s="424" t="s">
        <v>291</v>
      </c>
      <c r="F95" s="425"/>
      <c r="G95" s="289"/>
      <c r="H95" s="425"/>
    </row>
    <row r="108" spans="11:14">
      <c r="K108" s="83" t="s">
        <v>300</v>
      </c>
    </row>
    <row r="109" spans="11:14">
      <c r="K109" s="83" t="s">
        <v>301</v>
      </c>
    </row>
    <row r="110" spans="11:14">
      <c r="K110" s="83" t="s">
        <v>302</v>
      </c>
    </row>
    <row r="111" spans="11:14">
      <c r="K111" s="83" t="s">
        <v>303</v>
      </c>
      <c r="N111" s="426"/>
    </row>
    <row r="112" spans="11:14">
      <c r="K112" s="83" t="s">
        <v>304</v>
      </c>
      <c r="N112" s="426"/>
    </row>
    <row r="113" spans="12:14">
      <c r="L113" s="426"/>
      <c r="M113" s="426"/>
      <c r="N113" s="426"/>
    </row>
    <row r="65533" spans="4:4">
      <c r="D65533" s="423" t="s">
        <v>292</v>
      </c>
    </row>
  </sheetData>
  <customSheetViews>
    <customSheetView guid="{9D7575BF-255B-11D2-8267-00A0D1027254}" scale="75" showPageBreaks="1" printArea="1" showRuler="0" topLeftCell="A22">
      <selection activeCell="A36" sqref="A36:C36"/>
      <colBreaks count="1" manualBreakCount="1">
        <brk id="14" min="1" max="60" man="1"/>
      </colBreaks>
      <pageMargins left="0.75" right="0.5" top="0.25" bottom="0.5" header="0" footer="0"/>
      <pageSetup scale="62" orientation="landscape" horizontalDpi="4294967294" r:id="rId1"/>
      <headerFooter alignWithMargins="0">
        <oddFooter>&amp;L&amp;D   &amp;T&amp;RO:\Naes\GenSvcs\TVA\TVA Model\&amp;F
&amp;A &amp;P</oddFooter>
      </headerFooter>
    </customSheetView>
    <customSheetView guid="{773475A7-2559-11D2-A5F6-0060080AEB13}" scale="75" showPageBreaks="1" fitToPage="1" showRuler="0" topLeftCell="A10">
      <selection activeCell="H37" sqref="H37"/>
      <pageMargins left="0.5" right="0.5" top="0.5" bottom="0.5" header="0.5" footer="0.37"/>
      <printOptions horizontalCentered="1"/>
      <pageSetup scale="65" orientation="landscape" horizontalDpi="4294967294" r:id="rId2"/>
      <headerFooter alignWithMargins="0">
        <oddFooter>&amp;L&amp;D   &amp;T&amp;RO:\Naes\GenSvcs\Tva\Tva Models\&amp;F   
&amp;A   &amp;P</oddFooter>
      </headerFooter>
    </customSheetView>
  </customSheetViews>
  <mergeCells count="3">
    <mergeCell ref="A4:N4"/>
    <mergeCell ref="A2:U2"/>
    <mergeCell ref="A3:U3"/>
  </mergeCells>
  <dataValidations count="8">
    <dataValidation type="list" allowBlank="1" showInputMessage="1" showErrorMessage="1" sqref="I46">
      <formula1>"Financing, Operations"</formula1>
    </dataValidation>
    <dataValidation type="list" allowBlank="1" showInputMessage="1" showErrorMessage="1" sqref="C70:C71 C77 C66:C67">
      <formula1>"Yes,No"</formula1>
    </dataValidation>
    <dataValidation type="list" allowBlank="1" showInputMessage="1" showErrorMessage="1" sqref="C64">
      <formula1>"Fixed,Index"</formula1>
    </dataValidation>
    <dataValidation type="list" allowBlank="1" showInputMessage="1" showErrorMessage="1" sqref="C69">
      <formula1>"Assumed,Dispatched"</formula1>
    </dataValidation>
    <dataValidation type="list" allowBlank="1" showInputMessage="1" showErrorMessage="1" sqref="G42:H42">
      <formula1>"Interest Only,No P&amp;I"</formula1>
    </dataValidation>
    <dataValidation type="list" allowBlank="1" showInputMessage="1" showErrorMessage="1" sqref="C65">
      <formula1>"0,2.5,N/A"</formula1>
    </dataValidation>
    <dataValidation type="list" allowBlank="1" showInputMessage="1" showErrorMessage="1" sqref="I34">
      <formula1>"Normal,Alternate"</formula1>
    </dataValidation>
    <dataValidation type="list" allowBlank="1" showInputMessage="1" showErrorMessage="1" sqref="C76">
      <formula1>"Kaiser Peak, ECT Peak Curve, Marginal Cost Curve"</formula1>
    </dataValidation>
  </dataValidations>
  <pageMargins left="0.25" right="0.25" top="0.25" bottom="0.5" header="0" footer="0"/>
  <pageSetup scale="50" pageOrder="overThenDown" orientation="landscape" horizontalDpi="4294967294" r:id="rId3"/>
  <headerFooter alignWithMargins="0">
    <oddFooter>&amp;L&amp;D   &amp;T&amp;R&amp;F
&amp;A &amp;P</oddFooter>
  </headerFooter>
  <colBreaks count="1" manualBreakCount="1">
    <brk id="14" min="1" max="76" man="1"/>
  </colBreaks>
  <drawing r:id="rId4"/>
  <legacyDrawing r:id="rId5"/>
  <mc:AlternateContent xmlns:mc="http://schemas.openxmlformats.org/markup-compatibility/2006">
    <mc:Choice Requires="x14">
      <controls>
        <mc:AlternateContent xmlns:mc="http://schemas.openxmlformats.org/markup-compatibility/2006">
          <mc:Choice Requires="x14">
            <control shapeId="10747" r:id="rId6" name="Button 507">
              <controlPr defaultSize="0" print="0" autoFill="0" autoPict="0" macro="[0]!print1">
                <anchor moveWithCells="1" sizeWithCells="1">
                  <from>
                    <xdr:col>0</xdr:col>
                    <xdr:colOff>45720</xdr:colOff>
                    <xdr:row>0</xdr:row>
                    <xdr:rowOff>45720</xdr:rowOff>
                  </from>
                  <to>
                    <xdr:col>0</xdr:col>
                    <xdr:colOff>1501140</xdr:colOff>
                    <xdr:row>3</xdr:row>
                    <xdr:rowOff>22860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AI86"/>
  <sheetViews>
    <sheetView topLeftCell="A46" zoomScale="75" zoomScaleNormal="75" zoomScaleSheetLayoutView="85" workbookViewId="0">
      <selection activeCell="A86" sqref="A86"/>
    </sheetView>
  </sheetViews>
  <sheetFormatPr defaultRowHeight="13.2" outlineLevelRow="1"/>
  <cols>
    <col min="1" max="1" width="37.33203125" style="60" customWidth="1"/>
    <col min="2" max="2" width="8.88671875" style="60" customWidth="1"/>
    <col min="3" max="24" width="9.109375" style="60" customWidth="1"/>
    <col min="25" max="26" width="0" style="60" hidden="1" customWidth="1"/>
    <col min="27" max="35" width="9.109375" style="60" customWidth="1"/>
  </cols>
  <sheetData>
    <row r="1" spans="1:35" ht="20.399999999999999">
      <c r="A1" s="525" t="str">
        <f>'Project Assumtions'!$A$2</f>
        <v>WHEATLAND POWER IN, L.L.C.</v>
      </c>
      <c r="B1" s="526"/>
      <c r="E1" s="202"/>
    </row>
    <row r="2" spans="1:35">
      <c r="A2" s="527" t="s">
        <v>143</v>
      </c>
      <c r="B2" s="528"/>
      <c r="E2" s="202"/>
    </row>
    <row r="3" spans="1:35">
      <c r="B3" s="72"/>
      <c r="C3" s="78">
        <v>1</v>
      </c>
      <c r="D3" s="78">
        <f>C3+1</f>
        <v>2</v>
      </c>
      <c r="E3" s="78">
        <f t="shared" ref="E3:AA3" si="0">D3+1</f>
        <v>3</v>
      </c>
      <c r="F3" s="78">
        <f t="shared" si="0"/>
        <v>4</v>
      </c>
      <c r="G3" s="78">
        <f t="shared" si="0"/>
        <v>5</v>
      </c>
      <c r="H3" s="78">
        <f t="shared" si="0"/>
        <v>6</v>
      </c>
      <c r="I3" s="78">
        <f t="shared" si="0"/>
        <v>7</v>
      </c>
      <c r="J3" s="78">
        <f t="shared" si="0"/>
        <v>8</v>
      </c>
      <c r="K3" s="78">
        <f t="shared" si="0"/>
        <v>9</v>
      </c>
      <c r="L3" s="78">
        <f t="shared" si="0"/>
        <v>10</v>
      </c>
      <c r="M3" s="78">
        <f t="shared" si="0"/>
        <v>11</v>
      </c>
      <c r="N3" s="78">
        <f t="shared" si="0"/>
        <v>12</v>
      </c>
      <c r="O3" s="78">
        <f t="shared" si="0"/>
        <v>13</v>
      </c>
      <c r="P3" s="78">
        <f t="shared" si="0"/>
        <v>14</v>
      </c>
      <c r="Q3" s="78">
        <f t="shared" si="0"/>
        <v>15</v>
      </c>
      <c r="R3" s="78">
        <f t="shared" si="0"/>
        <v>16</v>
      </c>
      <c r="S3" s="78">
        <f t="shared" si="0"/>
        <v>17</v>
      </c>
      <c r="T3" s="78">
        <f t="shared" si="0"/>
        <v>18</v>
      </c>
      <c r="U3" s="78">
        <f t="shared" si="0"/>
        <v>19</v>
      </c>
      <c r="V3" s="78">
        <f t="shared" si="0"/>
        <v>20</v>
      </c>
      <c r="W3" s="78">
        <f t="shared" si="0"/>
        <v>21</v>
      </c>
      <c r="X3" s="78">
        <f t="shared" si="0"/>
        <v>22</v>
      </c>
      <c r="Y3" s="78">
        <f t="shared" si="0"/>
        <v>23</v>
      </c>
      <c r="Z3" s="78">
        <f t="shared" si="0"/>
        <v>24</v>
      </c>
      <c r="AA3" s="78">
        <f t="shared" si="0"/>
        <v>25</v>
      </c>
    </row>
    <row r="4" spans="1:35">
      <c r="A4" s="529"/>
      <c r="B4" s="530"/>
      <c r="C4" s="531">
        <f>YEAR(StartDate)</f>
        <v>2000</v>
      </c>
      <c r="D4" s="531">
        <f>C4+1</f>
        <v>2001</v>
      </c>
      <c r="E4" s="531">
        <f t="shared" ref="E4:AA4" si="1">D4+1</f>
        <v>2002</v>
      </c>
      <c r="F4" s="531">
        <f t="shared" si="1"/>
        <v>2003</v>
      </c>
      <c r="G4" s="531">
        <f t="shared" si="1"/>
        <v>2004</v>
      </c>
      <c r="H4" s="531">
        <f t="shared" si="1"/>
        <v>2005</v>
      </c>
      <c r="I4" s="531">
        <f t="shared" si="1"/>
        <v>2006</v>
      </c>
      <c r="J4" s="531">
        <f t="shared" si="1"/>
        <v>2007</v>
      </c>
      <c r="K4" s="531">
        <f t="shared" si="1"/>
        <v>2008</v>
      </c>
      <c r="L4" s="531">
        <f t="shared" si="1"/>
        <v>2009</v>
      </c>
      <c r="M4" s="531">
        <f t="shared" si="1"/>
        <v>2010</v>
      </c>
      <c r="N4" s="531">
        <f t="shared" si="1"/>
        <v>2011</v>
      </c>
      <c r="O4" s="531">
        <f t="shared" si="1"/>
        <v>2012</v>
      </c>
      <c r="P4" s="531">
        <f t="shared" si="1"/>
        <v>2013</v>
      </c>
      <c r="Q4" s="531">
        <f t="shared" si="1"/>
        <v>2014</v>
      </c>
      <c r="R4" s="531">
        <f t="shared" si="1"/>
        <v>2015</v>
      </c>
      <c r="S4" s="531">
        <f t="shared" si="1"/>
        <v>2016</v>
      </c>
      <c r="T4" s="531">
        <f t="shared" si="1"/>
        <v>2017</v>
      </c>
      <c r="U4" s="531">
        <f t="shared" si="1"/>
        <v>2018</v>
      </c>
      <c r="V4" s="531">
        <f t="shared" si="1"/>
        <v>2019</v>
      </c>
      <c r="W4" s="531">
        <f t="shared" si="1"/>
        <v>2020</v>
      </c>
      <c r="X4" s="531">
        <f t="shared" si="1"/>
        <v>2021</v>
      </c>
      <c r="Y4" s="531">
        <f t="shared" si="1"/>
        <v>2022</v>
      </c>
      <c r="Z4" s="531">
        <f t="shared" si="1"/>
        <v>2023</v>
      </c>
      <c r="AA4" s="532">
        <f t="shared" si="1"/>
        <v>2024</v>
      </c>
    </row>
    <row r="5" spans="1:35" s="44" customFormat="1">
      <c r="A5" s="533" t="s">
        <v>234</v>
      </c>
      <c r="B5" s="79"/>
      <c r="C5" s="534">
        <f>ROUND((DATE($D$4,1,1)-StartDate)/30.4375,1)</f>
        <v>7</v>
      </c>
      <c r="D5" s="535">
        <f t="shared" ref="D5:V5" si="2">IF($C$5&lt;12,IF(D$3&gt;ProjectLife+1+1,0,IF(D$3=ProjectLife+1+1,12-$C$5,12)),IF(D$3&gt;ProjectLife+1,0,12))</f>
        <v>12</v>
      </c>
      <c r="E5" s="535">
        <f t="shared" si="2"/>
        <v>12</v>
      </c>
      <c r="F5" s="535">
        <f t="shared" si="2"/>
        <v>12</v>
      </c>
      <c r="G5" s="535">
        <f t="shared" si="2"/>
        <v>12</v>
      </c>
      <c r="H5" s="535">
        <f t="shared" si="2"/>
        <v>12</v>
      </c>
      <c r="I5" s="535">
        <f t="shared" si="2"/>
        <v>12</v>
      </c>
      <c r="J5" s="535">
        <f t="shared" si="2"/>
        <v>12</v>
      </c>
      <c r="K5" s="535">
        <f t="shared" si="2"/>
        <v>12</v>
      </c>
      <c r="L5" s="535">
        <f t="shared" si="2"/>
        <v>12</v>
      </c>
      <c r="M5" s="535">
        <f t="shared" si="2"/>
        <v>12</v>
      </c>
      <c r="N5" s="535">
        <f t="shared" si="2"/>
        <v>12</v>
      </c>
      <c r="O5" s="535">
        <f t="shared" si="2"/>
        <v>12</v>
      </c>
      <c r="P5" s="535">
        <f t="shared" si="2"/>
        <v>12</v>
      </c>
      <c r="Q5" s="535">
        <f t="shared" si="2"/>
        <v>12</v>
      </c>
      <c r="R5" s="535">
        <f t="shared" si="2"/>
        <v>12</v>
      </c>
      <c r="S5" s="535">
        <f t="shared" si="2"/>
        <v>12</v>
      </c>
      <c r="T5" s="535">
        <f t="shared" si="2"/>
        <v>12</v>
      </c>
      <c r="U5" s="535">
        <f t="shared" si="2"/>
        <v>12</v>
      </c>
      <c r="V5" s="535">
        <f t="shared" si="2"/>
        <v>12</v>
      </c>
      <c r="W5" s="536">
        <v>5</v>
      </c>
      <c r="X5" s="536">
        <v>0</v>
      </c>
      <c r="Y5" s="535">
        <f>IF($C$5&lt;12,IF(Y$3&gt;ProjectLife+1+1,0,IF(Y$3=ProjectLife+1+1,12-$C$5,12)),IF(Y$3&gt;ProjectLife+1,0,12))</f>
        <v>0</v>
      </c>
      <c r="Z5" s="535">
        <f>IF($C$5&lt;12,IF(Z$3&gt;ProjectLife+1+1,0,IF(Z$3=ProjectLife+1+1,12-$C$5,12)),IF(Z$3&gt;ProjectLife+1,0,12))</f>
        <v>0</v>
      </c>
      <c r="AA5" s="537">
        <f>IF($C$5&lt;12,IF(AA$3&gt;ProjectLife+1+1,0,IF(AA$3=ProjectLife+1+1,12-$C$5,12)),IF(AA$3&gt;ProjectLife+1,0,12))</f>
        <v>0</v>
      </c>
      <c r="AB5" s="79"/>
      <c r="AC5" s="79"/>
      <c r="AD5" s="79"/>
      <c r="AE5" s="79"/>
      <c r="AF5" s="79"/>
      <c r="AG5" s="79"/>
      <c r="AH5" s="79"/>
      <c r="AI5" s="79"/>
    </row>
    <row r="6" spans="1:35" s="41" customFormat="1" ht="12.6" customHeight="1">
      <c r="A6" s="538" t="s">
        <v>139</v>
      </c>
      <c r="B6" s="79"/>
      <c r="C6" s="535">
        <f>IF($C$5&lt;12,IF(C$3&gt;PPATerm+1,0,IF(C$3=PPATerm+1,12-$C$5,C$5)),IF(C$3&lt;PPATerm+1,C$5,0))</f>
        <v>7</v>
      </c>
      <c r="D6" s="535">
        <f t="shared" ref="D6:AA6" si="3">IF($C$5&lt;12,IF(D$3&gt;PPATerm+1,0,IF(D$3=PPATerm+1,12-$C$5,D$5)),IF(D$3&lt;PPATerm+1,D$5,0))</f>
        <v>12</v>
      </c>
      <c r="E6" s="535">
        <f t="shared" si="3"/>
        <v>12</v>
      </c>
      <c r="F6" s="535">
        <f t="shared" si="3"/>
        <v>5</v>
      </c>
      <c r="G6" s="535">
        <f t="shared" si="3"/>
        <v>0</v>
      </c>
      <c r="H6" s="535">
        <f t="shared" si="3"/>
        <v>0</v>
      </c>
      <c r="I6" s="535">
        <f t="shared" si="3"/>
        <v>0</v>
      </c>
      <c r="J6" s="535">
        <f t="shared" si="3"/>
        <v>0</v>
      </c>
      <c r="K6" s="535">
        <f t="shared" si="3"/>
        <v>0</v>
      </c>
      <c r="L6" s="535">
        <f t="shared" si="3"/>
        <v>0</v>
      </c>
      <c r="M6" s="535">
        <f t="shared" si="3"/>
        <v>0</v>
      </c>
      <c r="N6" s="535">
        <f t="shared" si="3"/>
        <v>0</v>
      </c>
      <c r="O6" s="535">
        <f t="shared" si="3"/>
        <v>0</v>
      </c>
      <c r="P6" s="535">
        <f t="shared" si="3"/>
        <v>0</v>
      </c>
      <c r="Q6" s="535">
        <f t="shared" si="3"/>
        <v>0</v>
      </c>
      <c r="R6" s="535">
        <f t="shared" si="3"/>
        <v>0</v>
      </c>
      <c r="S6" s="535">
        <f t="shared" si="3"/>
        <v>0</v>
      </c>
      <c r="T6" s="535">
        <f t="shared" si="3"/>
        <v>0</v>
      </c>
      <c r="U6" s="535">
        <f t="shared" si="3"/>
        <v>0</v>
      </c>
      <c r="V6" s="535">
        <f t="shared" si="3"/>
        <v>0</v>
      </c>
      <c r="W6" s="535">
        <f t="shared" si="3"/>
        <v>0</v>
      </c>
      <c r="X6" s="535">
        <f t="shared" si="3"/>
        <v>0</v>
      </c>
      <c r="Y6" s="535">
        <f t="shared" si="3"/>
        <v>0</v>
      </c>
      <c r="Z6" s="535">
        <f t="shared" si="3"/>
        <v>0</v>
      </c>
      <c r="AA6" s="537">
        <f t="shared" si="3"/>
        <v>0</v>
      </c>
      <c r="AB6" s="72"/>
      <c r="AC6" s="72"/>
      <c r="AD6" s="72"/>
      <c r="AE6" s="72"/>
      <c r="AF6" s="72"/>
      <c r="AG6" s="72"/>
      <c r="AH6" s="72"/>
      <c r="AI6" s="72"/>
    </row>
    <row r="7" spans="1:35" s="41" customFormat="1" ht="12.6" customHeight="1">
      <c r="A7" s="538" t="s">
        <v>342</v>
      </c>
      <c r="B7" s="79"/>
      <c r="C7" s="535">
        <f t="shared" ref="C7:AA7" si="4">C5-C6</f>
        <v>0</v>
      </c>
      <c r="D7" s="535">
        <f t="shared" si="4"/>
        <v>0</v>
      </c>
      <c r="E7" s="535">
        <f t="shared" si="4"/>
        <v>0</v>
      </c>
      <c r="F7" s="535">
        <f t="shared" si="4"/>
        <v>7</v>
      </c>
      <c r="G7" s="535">
        <f t="shared" si="4"/>
        <v>12</v>
      </c>
      <c r="H7" s="535">
        <f t="shared" si="4"/>
        <v>12</v>
      </c>
      <c r="I7" s="535">
        <f t="shared" si="4"/>
        <v>12</v>
      </c>
      <c r="J7" s="535">
        <f t="shared" si="4"/>
        <v>12</v>
      </c>
      <c r="K7" s="535">
        <f t="shared" si="4"/>
        <v>12</v>
      </c>
      <c r="L7" s="535">
        <f t="shared" si="4"/>
        <v>12</v>
      </c>
      <c r="M7" s="535">
        <f t="shared" si="4"/>
        <v>12</v>
      </c>
      <c r="N7" s="535">
        <f t="shared" si="4"/>
        <v>12</v>
      </c>
      <c r="O7" s="535">
        <f t="shared" si="4"/>
        <v>12</v>
      </c>
      <c r="P7" s="535">
        <f t="shared" si="4"/>
        <v>12</v>
      </c>
      <c r="Q7" s="535">
        <f t="shared" si="4"/>
        <v>12</v>
      </c>
      <c r="R7" s="535">
        <f t="shared" si="4"/>
        <v>12</v>
      </c>
      <c r="S7" s="535">
        <f t="shared" si="4"/>
        <v>12</v>
      </c>
      <c r="T7" s="535">
        <f t="shared" si="4"/>
        <v>12</v>
      </c>
      <c r="U7" s="535">
        <f t="shared" si="4"/>
        <v>12</v>
      </c>
      <c r="V7" s="535">
        <f t="shared" si="4"/>
        <v>12</v>
      </c>
      <c r="W7" s="536">
        <v>5</v>
      </c>
      <c r="X7" s="535">
        <f t="shared" si="4"/>
        <v>0</v>
      </c>
      <c r="Y7" s="535">
        <f t="shared" si="4"/>
        <v>0</v>
      </c>
      <c r="Z7" s="535">
        <f t="shared" si="4"/>
        <v>0</v>
      </c>
      <c r="AA7" s="537">
        <f t="shared" si="4"/>
        <v>0</v>
      </c>
      <c r="AB7" s="72"/>
      <c r="AC7" s="72"/>
      <c r="AD7" s="72"/>
      <c r="AE7" s="72"/>
      <c r="AF7" s="72"/>
      <c r="AG7" s="72"/>
      <c r="AH7" s="72"/>
      <c r="AI7" s="72"/>
    </row>
    <row r="8" spans="1:35" s="41" customFormat="1" ht="12.6" customHeight="1">
      <c r="A8" s="538" t="s">
        <v>343</v>
      </c>
      <c r="B8" s="79"/>
      <c r="C8" s="539">
        <f>IF(C5=0,0,PPACAPACITY/NetMW*(C6/C5))</f>
        <v>1</v>
      </c>
      <c r="D8" s="539">
        <f t="shared" ref="D8:AA8" si="5">IF(D5=0,0,PPACAPACITY/NetMW*(D6/D5))</f>
        <v>1</v>
      </c>
      <c r="E8" s="539">
        <f t="shared" si="5"/>
        <v>1</v>
      </c>
      <c r="F8" s="539">
        <f t="shared" si="5"/>
        <v>0.41666666666666669</v>
      </c>
      <c r="G8" s="539">
        <f t="shared" si="5"/>
        <v>0</v>
      </c>
      <c r="H8" s="539">
        <f t="shared" si="5"/>
        <v>0</v>
      </c>
      <c r="I8" s="539">
        <f t="shared" si="5"/>
        <v>0</v>
      </c>
      <c r="J8" s="539">
        <f t="shared" si="5"/>
        <v>0</v>
      </c>
      <c r="K8" s="539">
        <f t="shared" si="5"/>
        <v>0</v>
      </c>
      <c r="L8" s="539">
        <f t="shared" si="5"/>
        <v>0</v>
      </c>
      <c r="M8" s="539">
        <f t="shared" si="5"/>
        <v>0</v>
      </c>
      <c r="N8" s="539">
        <f t="shared" si="5"/>
        <v>0</v>
      </c>
      <c r="O8" s="539">
        <f t="shared" si="5"/>
        <v>0</v>
      </c>
      <c r="P8" s="539">
        <f t="shared" si="5"/>
        <v>0</v>
      </c>
      <c r="Q8" s="539">
        <f t="shared" si="5"/>
        <v>0</v>
      </c>
      <c r="R8" s="539">
        <f t="shared" si="5"/>
        <v>0</v>
      </c>
      <c r="S8" s="539">
        <f t="shared" si="5"/>
        <v>0</v>
      </c>
      <c r="T8" s="539">
        <f t="shared" si="5"/>
        <v>0</v>
      </c>
      <c r="U8" s="539">
        <f t="shared" si="5"/>
        <v>0</v>
      </c>
      <c r="V8" s="539">
        <f t="shared" si="5"/>
        <v>0</v>
      </c>
      <c r="W8" s="539">
        <f t="shared" si="5"/>
        <v>0</v>
      </c>
      <c r="X8" s="539">
        <f t="shared" si="5"/>
        <v>0</v>
      </c>
      <c r="Y8" s="539">
        <f t="shared" si="5"/>
        <v>0</v>
      </c>
      <c r="Z8" s="539">
        <f t="shared" si="5"/>
        <v>0</v>
      </c>
      <c r="AA8" s="540">
        <f t="shared" si="5"/>
        <v>0</v>
      </c>
      <c r="AB8" s="72"/>
      <c r="AC8" s="72"/>
      <c r="AD8" s="72"/>
      <c r="AE8" s="72"/>
      <c r="AF8" s="72"/>
      <c r="AG8" s="72"/>
      <c r="AH8" s="72"/>
      <c r="AI8" s="72"/>
    </row>
    <row r="9" spans="1:35" s="41" customFormat="1" ht="17.25" customHeight="1" outlineLevel="1">
      <c r="A9" s="541" t="s">
        <v>344</v>
      </c>
      <c r="B9" s="542" t="s">
        <v>288</v>
      </c>
      <c r="C9" s="543" t="str">
        <f>IF(C5=0,"",IF(C7=0,"PPA",IF(C6=0,"MERCH.","BLENDED")))</f>
        <v>PPA</v>
      </c>
      <c r="D9" s="543" t="str">
        <f>IF(D5=0,"",IF(D7=0,"PPA",IF(D6=0,"MERCH.","BLENDED")))</f>
        <v>PPA</v>
      </c>
      <c r="E9" s="543" t="str">
        <f t="shared" ref="E9:AA9" si="6">IF(E5=0,"",IF(E7=0,"PPA",IF(E6=0,"MERCH.","BLENDED")))</f>
        <v>PPA</v>
      </c>
      <c r="F9" s="543" t="str">
        <f t="shared" si="6"/>
        <v>BLENDED</v>
      </c>
      <c r="G9" s="543" t="str">
        <f t="shared" si="6"/>
        <v>MERCH.</v>
      </c>
      <c r="H9" s="543" t="str">
        <f t="shared" si="6"/>
        <v>MERCH.</v>
      </c>
      <c r="I9" s="543" t="str">
        <f t="shared" si="6"/>
        <v>MERCH.</v>
      </c>
      <c r="J9" s="543" t="str">
        <f t="shared" si="6"/>
        <v>MERCH.</v>
      </c>
      <c r="K9" s="543" t="str">
        <f t="shared" si="6"/>
        <v>MERCH.</v>
      </c>
      <c r="L9" s="543" t="str">
        <f t="shared" si="6"/>
        <v>MERCH.</v>
      </c>
      <c r="M9" s="543" t="str">
        <f t="shared" si="6"/>
        <v>MERCH.</v>
      </c>
      <c r="N9" s="543" t="str">
        <f t="shared" si="6"/>
        <v>MERCH.</v>
      </c>
      <c r="O9" s="543" t="str">
        <f t="shared" si="6"/>
        <v>MERCH.</v>
      </c>
      <c r="P9" s="543" t="str">
        <f t="shared" si="6"/>
        <v>MERCH.</v>
      </c>
      <c r="Q9" s="543" t="str">
        <f t="shared" si="6"/>
        <v>MERCH.</v>
      </c>
      <c r="R9" s="543" t="str">
        <f t="shared" si="6"/>
        <v>MERCH.</v>
      </c>
      <c r="S9" s="543" t="str">
        <f t="shared" si="6"/>
        <v>MERCH.</v>
      </c>
      <c r="T9" s="543" t="str">
        <f t="shared" si="6"/>
        <v>MERCH.</v>
      </c>
      <c r="U9" s="543" t="str">
        <f t="shared" si="6"/>
        <v>MERCH.</v>
      </c>
      <c r="V9" s="543" t="str">
        <f t="shared" si="6"/>
        <v>MERCH.</v>
      </c>
      <c r="W9" s="543" t="str">
        <f t="shared" si="6"/>
        <v>MERCH.</v>
      </c>
      <c r="X9" s="543" t="str">
        <f t="shared" si="6"/>
        <v/>
      </c>
      <c r="Y9" s="543" t="str">
        <f t="shared" si="6"/>
        <v/>
      </c>
      <c r="Z9" s="543" t="str">
        <f t="shared" si="6"/>
        <v/>
      </c>
      <c r="AA9" s="544" t="str">
        <f t="shared" si="6"/>
        <v/>
      </c>
      <c r="AB9" s="72"/>
      <c r="AC9" s="72"/>
      <c r="AD9" s="72"/>
      <c r="AE9" s="72"/>
      <c r="AF9" s="72"/>
      <c r="AG9" s="72"/>
      <c r="AH9" s="72"/>
      <c r="AI9" s="72"/>
    </row>
    <row r="10" spans="1:35" s="41" customFormat="1" ht="12.6" customHeight="1" outlineLevel="1">
      <c r="A10" s="69"/>
      <c r="B10" s="72"/>
      <c r="C10" s="87"/>
      <c r="D10" s="87"/>
      <c r="E10" s="202"/>
      <c r="F10" s="202"/>
      <c r="G10" s="202"/>
      <c r="H10" s="202"/>
      <c r="I10" s="202"/>
      <c r="J10" s="202"/>
      <c r="K10" s="202"/>
      <c r="L10" s="202"/>
      <c r="M10" s="202"/>
      <c r="N10" s="202"/>
      <c r="O10" s="202"/>
      <c r="P10" s="202"/>
      <c r="Q10" s="202"/>
      <c r="R10" s="202"/>
      <c r="S10" s="202"/>
      <c r="T10" s="202"/>
      <c r="U10" s="202"/>
      <c r="V10" s="202"/>
      <c r="W10" s="202"/>
      <c r="X10" s="202"/>
      <c r="Y10" s="202"/>
      <c r="Z10" s="202"/>
      <c r="AA10" s="202"/>
      <c r="AB10" s="72"/>
      <c r="AC10" s="72"/>
      <c r="AD10" s="72"/>
      <c r="AE10" s="72"/>
      <c r="AF10" s="72"/>
      <c r="AG10" s="72"/>
      <c r="AH10" s="72"/>
      <c r="AI10" s="72"/>
    </row>
    <row r="11" spans="1:35" s="41" customFormat="1" ht="12.6" customHeight="1" outlineLevel="1">
      <c r="A11" s="529" t="s">
        <v>140</v>
      </c>
      <c r="B11" s="530"/>
      <c r="C11" s="545">
        <f>IF('Project Assumtions'!$C$77="Yes",C26,C24)</f>
        <v>29.337500000000002</v>
      </c>
      <c r="D11" s="545">
        <f>IF('Project Assumtions'!$C$77="Yes",D26,D24)</f>
        <v>29.337499999999999</v>
      </c>
      <c r="E11" s="545">
        <f>IF('Project Assumtions'!$C$77="Yes",E26,E24)</f>
        <v>29.337499999999999</v>
      </c>
      <c r="F11" s="545">
        <f>IF('Project Assumtions'!$C$77="Yes",F26,F24)</f>
        <v>29.337500000000002</v>
      </c>
      <c r="G11" s="545">
        <f>IF('Project Assumtions'!$C$77="Yes",G26,G24)</f>
        <v>29.337500000000002</v>
      </c>
      <c r="H11" s="545">
        <f>IF('Project Assumtions'!$C$77="Yes",H26,H24)</f>
        <v>29.337500000000002</v>
      </c>
      <c r="I11" s="545">
        <f>IF('Project Assumtions'!$C$77="Yes",I26,I24)</f>
        <v>29.337500000000002</v>
      </c>
      <c r="J11" s="545">
        <f>IF('Project Assumtions'!$C$77="Yes",J26,J24)</f>
        <v>29.337500000000002</v>
      </c>
      <c r="K11" s="545">
        <f>IF('Project Assumtions'!$C$77="Yes",K26,K24)</f>
        <v>29.337500000000002</v>
      </c>
      <c r="L11" s="545">
        <f>IF('Project Assumtions'!$C$77="Yes",L26,L24)</f>
        <v>29.337500000000002</v>
      </c>
      <c r="M11" s="545">
        <f>IF('Project Assumtions'!$C$77="Yes",M26,M24)</f>
        <v>29.337500000000002</v>
      </c>
      <c r="N11" s="545">
        <f>IF('Project Assumtions'!$C$77="Yes",N26,N24)</f>
        <v>29.337500000000002</v>
      </c>
      <c r="O11" s="545">
        <f>IF('Project Assumtions'!$C$77="Yes",O26,O24)</f>
        <v>29.337500000000002</v>
      </c>
      <c r="P11" s="545">
        <f>IF('Project Assumtions'!$C$77="Yes",P26,P24)</f>
        <v>29.337500000000002</v>
      </c>
      <c r="Q11" s="545">
        <f>IF('Project Assumtions'!$C$77="Yes",Q26,Q24)</f>
        <v>29.337500000000002</v>
      </c>
      <c r="R11" s="545">
        <f>IF('Project Assumtions'!$C$77="Yes",R26,R24)</f>
        <v>29.337500000000002</v>
      </c>
      <c r="S11" s="545">
        <f>IF('Project Assumtions'!$C$77="Yes",S26,S24)</f>
        <v>29.337500000000002</v>
      </c>
      <c r="T11" s="545">
        <f>IF('Project Assumtions'!$C$77="Yes",T26,T24)</f>
        <v>29.337500000000002</v>
      </c>
      <c r="U11" s="545">
        <f>IF('Project Assumtions'!$C$77="Yes",U26,U24)</f>
        <v>29.337500000000002</v>
      </c>
      <c r="V11" s="545">
        <f>IF('Project Assumtions'!$C$77="Yes",V26,V24)</f>
        <v>29.337500000000002</v>
      </c>
      <c r="W11" s="545">
        <f>IF('Project Assumtions'!$C$77="Yes",W26,W24)</f>
        <v>29.337500000000002</v>
      </c>
      <c r="X11" s="545">
        <f>IF('Project Assumtions'!$C$77="Yes",X26,X24)</f>
        <v>0</v>
      </c>
      <c r="Y11" s="545">
        <f>IF('Project Assumtions'!$C$77="Yes",Y26,Y24)</f>
        <v>0</v>
      </c>
      <c r="Z11" s="545">
        <f>IF('Project Assumtions'!$C$77="Yes",Z26,Z24)</f>
        <v>0</v>
      </c>
      <c r="AA11" s="546">
        <f>IF('Project Assumtions'!$C$77="Yes",AA26,AA24)</f>
        <v>0</v>
      </c>
      <c r="AB11" s="72"/>
      <c r="AC11" s="72"/>
      <c r="AD11" s="72"/>
      <c r="AE11" s="72"/>
      <c r="AF11" s="72"/>
      <c r="AG11" s="72"/>
      <c r="AH11" s="72"/>
      <c r="AI11" s="72"/>
    </row>
    <row r="12" spans="1:35" s="41" customFormat="1" ht="12.6" customHeight="1" outlineLevel="1">
      <c r="A12" s="547" t="s">
        <v>648</v>
      </c>
      <c r="B12" s="79"/>
      <c r="C12" s="202">
        <f>IF(C6=0,0,PPA_Price)</f>
        <v>4</v>
      </c>
      <c r="D12" s="202">
        <f t="shared" ref="D12:AA12" si="7">IF(D6=0,0,PPA_Price)</f>
        <v>4</v>
      </c>
      <c r="E12" s="202">
        <f t="shared" si="7"/>
        <v>4</v>
      </c>
      <c r="F12" s="202">
        <f t="shared" si="7"/>
        <v>4</v>
      </c>
      <c r="G12" s="202">
        <f t="shared" si="7"/>
        <v>0</v>
      </c>
      <c r="H12" s="202">
        <f t="shared" si="7"/>
        <v>0</v>
      </c>
      <c r="I12" s="202">
        <f t="shared" si="7"/>
        <v>0</v>
      </c>
      <c r="J12" s="202">
        <f t="shared" si="7"/>
        <v>0</v>
      </c>
      <c r="K12" s="202">
        <f t="shared" si="7"/>
        <v>0</v>
      </c>
      <c r="L12" s="202">
        <f t="shared" si="7"/>
        <v>0</v>
      </c>
      <c r="M12" s="202">
        <f t="shared" si="7"/>
        <v>0</v>
      </c>
      <c r="N12" s="202">
        <f t="shared" si="7"/>
        <v>0</v>
      </c>
      <c r="O12" s="202">
        <f t="shared" si="7"/>
        <v>0</v>
      </c>
      <c r="P12" s="202">
        <f t="shared" si="7"/>
        <v>0</v>
      </c>
      <c r="Q12" s="202">
        <f t="shared" si="7"/>
        <v>0</v>
      </c>
      <c r="R12" s="202">
        <f t="shared" si="7"/>
        <v>0</v>
      </c>
      <c r="S12" s="202">
        <f t="shared" si="7"/>
        <v>0</v>
      </c>
      <c r="T12" s="202">
        <f t="shared" si="7"/>
        <v>0</v>
      </c>
      <c r="U12" s="202">
        <f t="shared" si="7"/>
        <v>0</v>
      </c>
      <c r="V12" s="202">
        <f t="shared" si="7"/>
        <v>0</v>
      </c>
      <c r="W12" s="202">
        <f t="shared" si="7"/>
        <v>0</v>
      </c>
      <c r="X12" s="202">
        <f t="shared" si="7"/>
        <v>0</v>
      </c>
      <c r="Y12" s="202">
        <f t="shared" si="7"/>
        <v>0</v>
      </c>
      <c r="Z12" s="202">
        <f t="shared" si="7"/>
        <v>0</v>
      </c>
      <c r="AA12" s="548">
        <f t="shared" si="7"/>
        <v>0</v>
      </c>
      <c r="AB12" s="72"/>
      <c r="AC12" s="72"/>
      <c r="AD12" s="72"/>
      <c r="AE12" s="72"/>
      <c r="AF12" s="72"/>
      <c r="AG12" s="72"/>
      <c r="AH12" s="72"/>
      <c r="AI12" s="72"/>
    </row>
    <row r="13" spans="1:35" s="41" customFormat="1" ht="12.6" customHeight="1" outlineLevel="1">
      <c r="A13" s="547" t="s">
        <v>649</v>
      </c>
      <c r="B13" s="79"/>
      <c r="C13" s="202">
        <f>IF(C7=0,0,CHOOSE('Project Assumtions'!$C$74,C65,C66,C67,C68))</f>
        <v>0</v>
      </c>
      <c r="D13" s="202">
        <f>IF(D7=0,0,CHOOSE('Project Assumtions'!$C$74,D65,D66,D67,D68))</f>
        <v>0</v>
      </c>
      <c r="E13" s="202">
        <f>IF(E7=0,0,CHOOSE('Project Assumtions'!$C$74,E65,E66,E67,E68))</f>
        <v>0</v>
      </c>
      <c r="F13" s="202">
        <f>IF(F7=0,0,CHOOSE('Project Assumtions'!$C$74,F65,F66,F67,F68))</f>
        <v>6.2794012357916662</v>
      </c>
      <c r="G13" s="202">
        <f>IF(G7=0,0,CHOOSE('Project Assumtions'!$C$74,G65,G66,G67,G68))</f>
        <v>6.4677832728654154</v>
      </c>
      <c r="H13" s="202">
        <f>IF(H7=0,0,CHOOSE('Project Assumtions'!$C$74,H65,H66,H67,H68))</f>
        <v>6.6618167710513783</v>
      </c>
      <c r="I13" s="202">
        <f>IF(I7=0,0,CHOOSE('Project Assumtions'!$C$74,I65,I66,I67,I68))</f>
        <v>6.7561071007339519</v>
      </c>
      <c r="J13" s="202">
        <f>IF(J7=0,0,CHOOSE('Project Assumtions'!$C$74,J65,J66,J67,J68))</f>
        <v>6.850059215103534</v>
      </c>
      <c r="K13" s="202">
        <f>IF(K7=0,0,CHOOSE('Project Assumtions'!$C$74,K65,K66,K67,K68))</f>
        <v>6.9435679599446294</v>
      </c>
      <c r="L13" s="202">
        <f>IF(L7=0,0,CHOOSE('Project Assumtions'!$C$74,L65,L66,L67,L68))</f>
        <v>7.036522176182598</v>
      </c>
      <c r="M13" s="202">
        <f>IF(M7=0,0,CHOOSE('Project Assumtions'!$C$74,M65,M66,M67,M68))</f>
        <v>7.1288044342308936</v>
      </c>
      <c r="N13" s="202">
        <f>IF(N7=0,0,CHOOSE('Project Assumtions'!$C$74,N65,N66,N67,N68))</f>
        <v>7.2202907578035225</v>
      </c>
      <c r="O13" s="202">
        <f>IF(O7=0,0,CHOOSE('Project Assumtions'!$C$74,O65,O66,O67,O68))</f>
        <v>7.3108503367997031</v>
      </c>
      <c r="P13" s="202">
        <f>IF(P7=0,0,CHOOSE('Project Assumtions'!$C$74,P65,P66,P67,P68))</f>
        <v>7.2705146108035672</v>
      </c>
      <c r="Q13" s="202">
        <f>IF(Q7=0,0,CHOOSE('Project Assumtions'!$C$74,Q65,Q66,Q67,Q68))</f>
        <v>7.3549045125361081</v>
      </c>
      <c r="R13" s="202">
        <f>IF(R7=0,0,CHOOSE('Project Assumtions'!$C$74,R65,R66,R67,R68))</f>
        <v>7.4378143452228782</v>
      </c>
      <c r="S13" s="202">
        <f>IF(S7=0,0,CHOOSE('Project Assumtions'!$C$74,S65,S66,S67,S68))</f>
        <v>7.5190793538095724</v>
      </c>
      <c r="T13" s="202">
        <f>IF(T7=0,0,CHOOSE('Project Assumtions'!$C$74,T65,T66,T67,T68))</f>
        <v>7.5985262300007683</v>
      </c>
      <c r="U13" s="202">
        <f>IF(U7=0,0,CHOOSE('Project Assumtions'!$C$74,U65,U66,U67,U68))</f>
        <v>7.6759727473450061</v>
      </c>
      <c r="V13" s="202">
        <f>IF(V7=0,0,CHOOSE('Project Assumtions'!$C$74,V65,V66,V67,V68))</f>
        <v>7.5962028344804393</v>
      </c>
      <c r="W13" s="202">
        <f>IF(W7=0,0,CHOOSE('Project Assumtions'!$C$74,W65,W66,W67,W68))</f>
        <v>7.6644136354431218</v>
      </c>
      <c r="X13" s="202">
        <f>IF(X7=0,0,CHOOSE('Project Assumtions'!$C$74,X65,X66,X67,X68))</f>
        <v>0</v>
      </c>
      <c r="Y13" s="202">
        <f>IF(Y7=0,0,CHOOSE('Project Assumtions'!$C$74,Y65,Y66,Y67,Y68))</f>
        <v>0</v>
      </c>
      <c r="Z13" s="202">
        <f>IF(Z7=0,0,CHOOSE('Project Assumtions'!$C$74,Z65,Z66,Z67,Z68))</f>
        <v>0</v>
      </c>
      <c r="AA13" s="548">
        <f>IF(AA7=0,0,CHOOSE('Project Assumtions'!$C$74,AA65,AA66,AA67,AA68))</f>
        <v>0</v>
      </c>
      <c r="AB13" s="72"/>
      <c r="AC13" s="72"/>
      <c r="AD13" s="72"/>
      <c r="AE13" s="72"/>
      <c r="AF13" s="72"/>
      <c r="AG13" s="72"/>
      <c r="AH13" s="72"/>
      <c r="AI13" s="72"/>
    </row>
    <row r="14" spans="1:35" s="41" customFormat="1" ht="12.6" customHeight="1" outlineLevel="1">
      <c r="A14" s="547" t="s">
        <v>345</v>
      </c>
      <c r="B14" s="549">
        <f>NPV(B15,C14:G14)</f>
        <v>3.6047762023450041</v>
      </c>
      <c r="C14" s="226">
        <v>1</v>
      </c>
      <c r="D14" s="227">
        <f>C14*(1+'Project Assumtions'!$I$30)</f>
        <v>1</v>
      </c>
      <c r="E14" s="227">
        <f>D14*(1+'Project Assumtions'!$I$30)</f>
        <v>1</v>
      </c>
      <c r="F14" s="227">
        <f>E14*(1+'Project Assumtions'!$I$30)</f>
        <v>1</v>
      </c>
      <c r="G14" s="227">
        <f>F14*(1+'Project Assumtions'!$I$30)</f>
        <v>1</v>
      </c>
      <c r="H14" s="227">
        <f>G14*(1+'Project Assumtions'!$I$30)</f>
        <v>1</v>
      </c>
      <c r="I14" s="227">
        <f>H14*(1+'Project Assumtions'!$I$30)</f>
        <v>1</v>
      </c>
      <c r="J14" s="227">
        <f>I14*(1+'Project Assumtions'!$I$30)</f>
        <v>1</v>
      </c>
      <c r="K14" s="227">
        <f>J14*(1+'Project Assumtions'!$I$30)</f>
        <v>1</v>
      </c>
      <c r="L14" s="227">
        <f>K14*(1+'Project Assumtions'!$I$30)</f>
        <v>1</v>
      </c>
      <c r="M14" s="227">
        <f>L14*(1+'Project Assumtions'!$I$30)</f>
        <v>1</v>
      </c>
      <c r="N14" s="227">
        <f>M14*(1+'Project Assumtions'!$I$30)</f>
        <v>1</v>
      </c>
      <c r="O14" s="227">
        <f>N14*(1+'Project Assumtions'!$I$30)</f>
        <v>1</v>
      </c>
      <c r="P14" s="227">
        <f>O14*(1+'Project Assumtions'!$I$30)</f>
        <v>1</v>
      </c>
      <c r="Q14" s="227">
        <f>P14*(1+'Project Assumtions'!$I$30)</f>
        <v>1</v>
      </c>
      <c r="R14" s="227">
        <f>Q14*(1+'Project Assumtions'!$I$30)</f>
        <v>1</v>
      </c>
      <c r="S14" s="227">
        <f>R14*(1+'Project Assumtions'!$I$30)</f>
        <v>1</v>
      </c>
      <c r="T14" s="227">
        <f>S14*(1+'Project Assumtions'!$I$30)</f>
        <v>1</v>
      </c>
      <c r="U14" s="227">
        <f>T14*(1+'Project Assumtions'!$I$30)</f>
        <v>1</v>
      </c>
      <c r="V14" s="227">
        <f>U14*(1+'Project Assumtions'!$I$30)</f>
        <v>1</v>
      </c>
      <c r="W14" s="227">
        <f>V14*(1+'Project Assumtions'!$I$30)</f>
        <v>1</v>
      </c>
      <c r="X14" s="227">
        <f>W14*(1+'Project Assumtions'!$I$30)</f>
        <v>1</v>
      </c>
      <c r="Y14" s="227">
        <f>X14*(1+'Project Assumtions'!$I$30)</f>
        <v>1</v>
      </c>
      <c r="Z14" s="227">
        <f>Y14*(1+'Project Assumtions'!$I$30)</f>
        <v>1</v>
      </c>
      <c r="AA14" s="550">
        <f>Z14*(1+'Project Assumtions'!$I$30)</f>
        <v>1</v>
      </c>
      <c r="AB14" s="72"/>
      <c r="AC14" s="72"/>
      <c r="AD14" s="72"/>
      <c r="AE14" s="72"/>
      <c r="AF14" s="72"/>
      <c r="AG14" s="72"/>
      <c r="AH14" s="72"/>
      <c r="AI14" s="72"/>
    </row>
    <row r="15" spans="1:35" s="41" customFormat="1" ht="12.6" customHeight="1" outlineLevel="1">
      <c r="A15" s="547" t="s">
        <v>112</v>
      </c>
      <c r="B15" s="551">
        <v>0.12</v>
      </c>
      <c r="C15" s="228">
        <v>0</v>
      </c>
      <c r="D15" s="199">
        <f>+C15</f>
        <v>0</v>
      </c>
      <c r="E15" s="199">
        <f t="shared" ref="E15:AA15" si="8">+D15</f>
        <v>0</v>
      </c>
      <c r="F15" s="199">
        <f t="shared" si="8"/>
        <v>0</v>
      </c>
      <c r="G15" s="199">
        <f t="shared" si="8"/>
        <v>0</v>
      </c>
      <c r="H15" s="199">
        <f t="shared" si="8"/>
        <v>0</v>
      </c>
      <c r="I15" s="199">
        <f t="shared" si="8"/>
        <v>0</v>
      </c>
      <c r="J15" s="199">
        <f t="shared" si="8"/>
        <v>0</v>
      </c>
      <c r="K15" s="199">
        <f t="shared" si="8"/>
        <v>0</v>
      </c>
      <c r="L15" s="199">
        <f t="shared" si="8"/>
        <v>0</v>
      </c>
      <c r="M15" s="199">
        <f t="shared" si="8"/>
        <v>0</v>
      </c>
      <c r="N15" s="199">
        <f t="shared" si="8"/>
        <v>0</v>
      </c>
      <c r="O15" s="199">
        <f t="shared" si="8"/>
        <v>0</v>
      </c>
      <c r="P15" s="199">
        <f t="shared" si="8"/>
        <v>0</v>
      </c>
      <c r="Q15" s="199">
        <f t="shared" si="8"/>
        <v>0</v>
      </c>
      <c r="R15" s="199">
        <f t="shared" si="8"/>
        <v>0</v>
      </c>
      <c r="S15" s="199">
        <f t="shared" si="8"/>
        <v>0</v>
      </c>
      <c r="T15" s="199">
        <f t="shared" si="8"/>
        <v>0</v>
      </c>
      <c r="U15" s="199">
        <f t="shared" si="8"/>
        <v>0</v>
      </c>
      <c r="V15" s="199">
        <f t="shared" si="8"/>
        <v>0</v>
      </c>
      <c r="W15" s="199">
        <f t="shared" si="8"/>
        <v>0</v>
      </c>
      <c r="X15" s="199">
        <f t="shared" si="8"/>
        <v>0</v>
      </c>
      <c r="Y15" s="199">
        <f t="shared" si="8"/>
        <v>0</v>
      </c>
      <c r="Z15" s="199">
        <f t="shared" si="8"/>
        <v>0</v>
      </c>
      <c r="AA15" s="552">
        <f t="shared" si="8"/>
        <v>0</v>
      </c>
      <c r="AB15" s="72"/>
      <c r="AC15" s="72"/>
      <c r="AD15" s="72"/>
      <c r="AE15" s="72"/>
      <c r="AF15" s="72"/>
      <c r="AG15" s="72"/>
      <c r="AH15" s="72"/>
      <c r="AI15" s="72"/>
    </row>
    <row r="16" spans="1:35" s="41" customFormat="1" ht="12.6" customHeight="1" outlineLevel="1">
      <c r="A16" s="547" t="s">
        <v>141</v>
      </c>
      <c r="B16" s="79"/>
      <c r="C16" s="228">
        <v>0</v>
      </c>
      <c r="D16" s="199">
        <f>+C16</f>
        <v>0</v>
      </c>
      <c r="E16" s="199">
        <f t="shared" ref="E16:AA16" si="9">+D16</f>
        <v>0</v>
      </c>
      <c r="F16" s="199">
        <f t="shared" si="9"/>
        <v>0</v>
      </c>
      <c r="G16" s="199">
        <f t="shared" si="9"/>
        <v>0</v>
      </c>
      <c r="H16" s="199">
        <f t="shared" si="9"/>
        <v>0</v>
      </c>
      <c r="I16" s="199">
        <f t="shared" si="9"/>
        <v>0</v>
      </c>
      <c r="J16" s="199">
        <f t="shared" si="9"/>
        <v>0</v>
      </c>
      <c r="K16" s="199">
        <f t="shared" si="9"/>
        <v>0</v>
      </c>
      <c r="L16" s="199">
        <f t="shared" si="9"/>
        <v>0</v>
      </c>
      <c r="M16" s="199">
        <f t="shared" si="9"/>
        <v>0</v>
      </c>
      <c r="N16" s="199">
        <f t="shared" si="9"/>
        <v>0</v>
      </c>
      <c r="O16" s="199">
        <f t="shared" si="9"/>
        <v>0</v>
      </c>
      <c r="P16" s="199">
        <f t="shared" si="9"/>
        <v>0</v>
      </c>
      <c r="Q16" s="199">
        <f t="shared" si="9"/>
        <v>0</v>
      </c>
      <c r="R16" s="199">
        <f t="shared" si="9"/>
        <v>0</v>
      </c>
      <c r="S16" s="199">
        <f t="shared" si="9"/>
        <v>0</v>
      </c>
      <c r="T16" s="199">
        <f t="shared" si="9"/>
        <v>0</v>
      </c>
      <c r="U16" s="199">
        <f t="shared" si="9"/>
        <v>0</v>
      </c>
      <c r="V16" s="199">
        <f t="shared" si="9"/>
        <v>0</v>
      </c>
      <c r="W16" s="199">
        <f t="shared" si="9"/>
        <v>0</v>
      </c>
      <c r="X16" s="199">
        <f t="shared" si="9"/>
        <v>0</v>
      </c>
      <c r="Y16" s="199">
        <f t="shared" si="9"/>
        <v>0</v>
      </c>
      <c r="Z16" s="199">
        <f t="shared" si="9"/>
        <v>0</v>
      </c>
      <c r="AA16" s="552">
        <f t="shared" si="9"/>
        <v>0</v>
      </c>
      <c r="AB16" s="72"/>
      <c r="AC16" s="72"/>
      <c r="AD16" s="72"/>
      <c r="AE16" s="72"/>
      <c r="AF16" s="72"/>
      <c r="AG16" s="72"/>
      <c r="AH16" s="72"/>
      <c r="AI16" s="72"/>
    </row>
    <row r="17" spans="1:35" s="41" customFormat="1" ht="12.6" hidden="1" customHeight="1" outlineLevel="1">
      <c r="A17" s="553" t="s">
        <v>346</v>
      </c>
      <c r="B17" s="79"/>
      <c r="C17" s="199"/>
      <c r="D17" s="199"/>
      <c r="E17" s="199"/>
      <c r="F17" s="199"/>
      <c r="G17" s="199"/>
      <c r="H17" s="199"/>
      <c r="I17" s="199"/>
      <c r="J17" s="199"/>
      <c r="K17" s="199"/>
      <c r="L17" s="199"/>
      <c r="M17" s="199"/>
      <c r="N17" s="199"/>
      <c r="O17" s="199"/>
      <c r="P17" s="199"/>
      <c r="Q17" s="199"/>
      <c r="R17" s="199"/>
      <c r="S17" s="229">
        <v>0</v>
      </c>
      <c r="T17" s="230">
        <f>S17</f>
        <v>0</v>
      </c>
      <c r="U17" s="230">
        <f>T17</f>
        <v>0</v>
      </c>
      <c r="V17" s="230">
        <f>U17</f>
        <v>0</v>
      </c>
      <c r="W17" s="230"/>
      <c r="X17" s="230"/>
      <c r="Y17" s="230"/>
      <c r="Z17" s="230"/>
      <c r="AA17" s="554"/>
      <c r="AB17" s="72"/>
      <c r="AC17" s="72"/>
      <c r="AD17" s="72"/>
      <c r="AE17" s="72"/>
      <c r="AF17" s="72"/>
      <c r="AG17" s="72"/>
      <c r="AH17" s="72"/>
      <c r="AI17" s="72"/>
    </row>
    <row r="18" spans="1:35" s="41" customFormat="1" ht="12.6" hidden="1" customHeight="1" outlineLevel="1">
      <c r="A18" s="553" t="s">
        <v>112</v>
      </c>
      <c r="B18" s="79"/>
      <c r="C18" s="199"/>
      <c r="D18" s="199"/>
      <c r="E18" s="199"/>
      <c r="F18" s="199"/>
      <c r="G18" s="199"/>
      <c r="H18" s="199"/>
      <c r="I18" s="199"/>
      <c r="J18" s="199"/>
      <c r="K18" s="199"/>
      <c r="L18" s="199"/>
      <c r="M18" s="199"/>
      <c r="N18" s="199"/>
      <c r="O18" s="199"/>
      <c r="P18" s="199"/>
      <c r="Q18" s="199"/>
      <c r="R18" s="228">
        <v>0</v>
      </c>
      <c r="S18" s="199">
        <f>+R18</f>
        <v>0</v>
      </c>
      <c r="T18" s="199">
        <f t="shared" ref="T18:V19" si="10">+S18</f>
        <v>0</v>
      </c>
      <c r="U18" s="199">
        <f t="shared" si="10"/>
        <v>0</v>
      </c>
      <c r="V18" s="199">
        <f t="shared" si="10"/>
        <v>0</v>
      </c>
      <c r="W18" s="199"/>
      <c r="X18" s="199"/>
      <c r="Y18" s="199"/>
      <c r="Z18" s="199"/>
      <c r="AA18" s="552"/>
      <c r="AB18" s="72"/>
      <c r="AC18" s="72"/>
      <c r="AD18" s="72"/>
      <c r="AE18" s="72"/>
      <c r="AF18" s="72"/>
      <c r="AG18" s="72"/>
      <c r="AH18" s="72"/>
      <c r="AI18" s="72"/>
    </row>
    <row r="19" spans="1:35" s="41" customFormat="1" ht="12.6" hidden="1" customHeight="1" outlineLevel="1">
      <c r="A19" s="553" t="s">
        <v>141</v>
      </c>
      <c r="B19" s="79"/>
      <c r="C19" s="199"/>
      <c r="D19" s="199"/>
      <c r="E19" s="199"/>
      <c r="F19" s="199"/>
      <c r="G19" s="199"/>
      <c r="H19" s="199"/>
      <c r="I19" s="199"/>
      <c r="J19" s="199"/>
      <c r="K19" s="199"/>
      <c r="L19" s="199"/>
      <c r="M19" s="199"/>
      <c r="N19" s="199"/>
      <c r="O19" s="199"/>
      <c r="P19" s="199"/>
      <c r="Q19" s="199"/>
      <c r="R19" s="228">
        <v>0</v>
      </c>
      <c r="S19" s="199">
        <f>+R19</f>
        <v>0</v>
      </c>
      <c r="T19" s="199">
        <f t="shared" si="10"/>
        <v>0</v>
      </c>
      <c r="U19" s="199">
        <f t="shared" si="10"/>
        <v>0</v>
      </c>
      <c r="V19" s="199">
        <f t="shared" si="10"/>
        <v>0</v>
      </c>
      <c r="W19" s="199"/>
      <c r="X19" s="199"/>
      <c r="Y19" s="199"/>
      <c r="Z19" s="199"/>
      <c r="AA19" s="552"/>
      <c r="AB19" s="72"/>
      <c r="AC19" s="72"/>
      <c r="AD19" s="72"/>
      <c r="AE19" s="72"/>
      <c r="AF19" s="72"/>
      <c r="AG19" s="72"/>
      <c r="AH19" s="72"/>
      <c r="AI19" s="72"/>
    </row>
    <row r="20" spans="1:35" s="41" customFormat="1" ht="12.6" customHeight="1" collapsed="1">
      <c r="A20" s="553"/>
      <c r="B20" s="79"/>
      <c r="C20" s="199"/>
      <c r="D20" s="199"/>
      <c r="E20" s="199"/>
      <c r="F20" s="199"/>
      <c r="G20" s="199"/>
      <c r="H20" s="199"/>
      <c r="I20" s="199"/>
      <c r="J20" s="199"/>
      <c r="K20" s="199"/>
      <c r="L20" s="199"/>
      <c r="M20" s="199"/>
      <c r="N20" s="199"/>
      <c r="O20" s="199"/>
      <c r="P20" s="199"/>
      <c r="Q20" s="199"/>
      <c r="R20" s="199"/>
      <c r="S20" s="199"/>
      <c r="T20" s="199"/>
      <c r="U20" s="199"/>
      <c r="V20" s="199"/>
      <c r="W20" s="199"/>
      <c r="X20" s="199"/>
      <c r="Y20" s="199"/>
      <c r="Z20" s="199"/>
      <c r="AA20" s="552"/>
      <c r="AB20" s="72"/>
      <c r="AC20" s="72"/>
      <c r="AD20" s="72"/>
      <c r="AE20" s="72"/>
      <c r="AF20" s="72"/>
      <c r="AG20" s="72"/>
      <c r="AH20" s="72"/>
      <c r="AI20" s="72"/>
    </row>
    <row r="21" spans="1:35" s="44" customFormat="1" ht="15.6">
      <c r="A21" s="555" t="s">
        <v>329</v>
      </c>
      <c r="B21" s="79"/>
      <c r="C21" s="79"/>
      <c r="D21" s="79"/>
      <c r="E21" s="79"/>
      <c r="F21" s="79"/>
      <c r="G21" s="79"/>
      <c r="H21" s="79"/>
      <c r="I21" s="79"/>
      <c r="J21" s="79"/>
      <c r="K21" s="79"/>
      <c r="L21" s="79"/>
      <c r="M21" s="79"/>
      <c r="N21" s="79"/>
      <c r="O21" s="79"/>
      <c r="P21" s="79"/>
      <c r="Q21" s="79"/>
      <c r="R21" s="79"/>
      <c r="S21" s="79"/>
      <c r="T21" s="79"/>
      <c r="U21" s="79"/>
      <c r="V21" s="79"/>
      <c r="W21" s="79"/>
      <c r="X21" s="79"/>
      <c r="Y21" s="79"/>
      <c r="Z21" s="79"/>
      <c r="AA21" s="556"/>
      <c r="AB21" s="79"/>
      <c r="AC21" s="79"/>
      <c r="AD21" s="79"/>
      <c r="AE21" s="79"/>
      <c r="AF21" s="79"/>
      <c r="AG21" s="79"/>
      <c r="AH21" s="79"/>
      <c r="AI21" s="79"/>
    </row>
    <row r="22" spans="1:35" s="5" customFormat="1" ht="12.6" customHeight="1">
      <c r="A22" s="522" t="s">
        <v>330</v>
      </c>
      <c r="B22" s="557"/>
      <c r="C22" s="558">
        <f>IF(C3&gt;ProjectLife+1,0,('Book Income Statement'!D17/Operations!C30*1000))</f>
        <v>77.042724417426541</v>
      </c>
      <c r="D22" s="558">
        <f>IF(D3&gt;ProjectLife+1,0,('Book Income Statement'!E17/Operations!D30*1000))</f>
        <v>74.481360177304964</v>
      </c>
      <c r="E22" s="558">
        <f>IF(E3&gt;ProjectLife+1,0,('Book Income Statement'!F17/Operations!E30*1000))</f>
        <v>74.635675982624122</v>
      </c>
      <c r="F22" s="558">
        <f>IF(F3&gt;ProjectLife+1,0,('Book Income Statement'!G17/Operations!F30*1000))</f>
        <v>85.739950031107597</v>
      </c>
      <c r="G22" s="558">
        <f>IF(G3&gt;ProjectLife+1,0,('Book Income Statement'!H17/Operations!G30*1000))</f>
        <v>95.41770317189696</v>
      </c>
      <c r="H22" s="558">
        <f>IF(H3&gt;ProjectLife+1,0,('Book Income Statement'!I17/Operations!H30*1000))</f>
        <v>97.399509267053858</v>
      </c>
      <c r="I22" s="558">
        <f>IF(I3&gt;ProjectLife+1,0,('Book Income Statement'!J17/Operations!I30*1000))</f>
        <v>98.406240645265598</v>
      </c>
      <c r="J22" s="558">
        <f>IF(J3&gt;ProjectLife+1,0,('Book Income Statement'!K17/Operations!J30*1000))</f>
        <v>99.412138097829711</v>
      </c>
      <c r="K22" s="558">
        <f>IF(K3&gt;ProjectLife+1,0,('Book Income Statement'!L17/Operations!K30*1000))</f>
        <v>100.41624553096689</v>
      </c>
      <c r="L22" s="558">
        <f>IF(L3&gt;ProjectLife+1,0,('Book Income Statement'!M17/Operations!L30*1000))</f>
        <v>101.41755023580426</v>
      </c>
      <c r="M22" s="558">
        <f>IF(M3&gt;ProjectLife+1,0,('Book Income Statement'!N17/Operations!M30*1000))</f>
        <v>102.41498035195401</v>
      </c>
      <c r="N22" s="558">
        <f>IF(N3&gt;ProjectLife+1,0,('Book Income Statement'!O17/Operations!N30*1000))</f>
        <v>103.40740222986049</v>
      </c>
      <c r="O22" s="558">
        <f>IF(O3&gt;ProjectLife+1,0,('Book Income Statement'!P17/Operations!O30*1000))</f>
        <v>104.39361768812465</v>
      </c>
      <c r="P22" s="558">
        <f>IF(P3&gt;ProjectLife+1,0,('Book Income Statement'!Q17/Operations!P30*1000))</f>
        <v>104.10002110498714</v>
      </c>
      <c r="Q22" s="558">
        <f>IF(Q3&gt;ProjectLife+1,0,('Book Income Statement'!R17/Operations!Q30*1000))</f>
        <v>105.03178647953941</v>
      </c>
      <c r="R22" s="558">
        <f>IF(R3&gt;ProjectLife+1,0,('Book Income Statement'!S17/Operations!R30*1000))</f>
        <v>105.95218950757032</v>
      </c>
      <c r="S22" s="558">
        <f>IF(S3&gt;ProjectLife+1,0,('Book Income Statement'!T17/Operations!S30*1000))</f>
        <v>106.8597098594515</v>
      </c>
      <c r="T22" s="558">
        <f>IF(T3&gt;ProjectLife+1,0,('Book Income Statement'!U17/Operations!T30*1000))</f>
        <v>107.75274621188876</v>
      </c>
      <c r="U22" s="558">
        <f>IF(U3&gt;ProjectLife+1,0,('Book Income Statement'!V17/Operations!U30*1000))</f>
        <v>108.62961275659875</v>
      </c>
      <c r="V22" s="558">
        <f>IF(V3&gt;ProjectLife+1,0,('Book Income Statement'!W17/Operations!V30*1000))</f>
        <v>107.96929500550452</v>
      </c>
      <c r="W22" s="558">
        <f>IF(W3&gt;ProjectLife+1,0,('Book Income Statement'!X17/Operations!W30*1000))</f>
        <v>64.931405344705709</v>
      </c>
      <c r="X22" s="558">
        <f>IF(X3&gt;ProjectLife+1,0,('Book Income Statement'!Y17/Operations!X30*1000))</f>
        <v>0</v>
      </c>
      <c r="Y22" s="558">
        <f>IF(Y3&gt;ProjectLife+1,0,('Book Income Statement'!Z17/Operations!Y30*1000))</f>
        <v>0</v>
      </c>
      <c r="Z22" s="558">
        <f>IF(Z3&gt;ProjectLife+1,0,('Book Income Statement'!AA17/Operations!Z30*1000))</f>
        <v>0</v>
      </c>
      <c r="AA22" s="559">
        <f>IF(AA3&gt;ProjectLife+1,0,('Book Income Statement'!AB17/Operations!AA30*1000))</f>
        <v>0</v>
      </c>
      <c r="AB22" s="147"/>
      <c r="AC22" s="147"/>
      <c r="AD22" s="147"/>
      <c r="AE22" s="147"/>
      <c r="AF22" s="147"/>
      <c r="AG22" s="147"/>
      <c r="AH22" s="147"/>
      <c r="AI22" s="147"/>
    </row>
    <row r="23" spans="1:35" s="5" customFormat="1" ht="12.6" customHeight="1">
      <c r="A23" s="560"/>
      <c r="B23" s="557"/>
      <c r="C23" s="558"/>
      <c r="D23" s="558"/>
      <c r="E23" s="558"/>
      <c r="F23" s="558"/>
      <c r="G23" s="558"/>
      <c r="H23" s="558"/>
      <c r="I23" s="558"/>
      <c r="J23" s="558"/>
      <c r="K23" s="558"/>
      <c r="L23" s="558"/>
      <c r="M23" s="558"/>
      <c r="N23" s="558"/>
      <c r="O23" s="558"/>
      <c r="P23" s="558"/>
      <c r="Q23" s="558"/>
      <c r="R23" s="558"/>
      <c r="S23" s="558"/>
      <c r="T23" s="558"/>
      <c r="U23" s="558"/>
      <c r="V23" s="558"/>
      <c r="W23" s="558"/>
      <c r="X23" s="558"/>
      <c r="Y23" s="558"/>
      <c r="Z23" s="558"/>
      <c r="AA23" s="559"/>
      <c r="AB23" s="147"/>
      <c r="AC23" s="147"/>
      <c r="AD23" s="147"/>
      <c r="AE23" s="147"/>
      <c r="AF23" s="147"/>
      <c r="AG23" s="147"/>
      <c r="AH23" s="147"/>
      <c r="AI23" s="147"/>
    </row>
    <row r="24" spans="1:35" s="5" customFormat="1" ht="12.6" customHeight="1">
      <c r="A24" s="522" t="s">
        <v>88</v>
      </c>
      <c r="B24" s="557"/>
      <c r="C24" s="561">
        <f>IF(C3&gt;ProjectLife+1,0,IF(Operations!C30=0,0,(Operations!C33*Operations!C43)/Operations!C30*1000))</f>
        <v>29.337500000000002</v>
      </c>
      <c r="D24" s="561">
        <f>IF(D3&gt;ProjectLife+1,0,IF(Operations!D30=0,0,(Operations!D33*Operations!D43)/Operations!D30*1000))</f>
        <v>29.337499999999999</v>
      </c>
      <c r="E24" s="561">
        <f>IF(E3&gt;ProjectLife+1,0,IF(Operations!E30=0,0,(Operations!E33*Operations!E43)/Operations!E30*1000))</f>
        <v>29.337499999999999</v>
      </c>
      <c r="F24" s="561">
        <f>IF(F3&gt;ProjectLife+1,0,IF(Operations!F30=0,0,(Operations!F33*Operations!F43)/Operations!F30*1000))</f>
        <v>29.337500000000002</v>
      </c>
      <c r="G24" s="561">
        <f>IF(G3&gt;ProjectLife+1,0,IF(Operations!G30=0,0,(Operations!G33*Operations!G43)/Operations!G30*1000))</f>
        <v>29.337500000000002</v>
      </c>
      <c r="H24" s="561">
        <f>IF(H3&gt;ProjectLife+1,0,IF(Operations!H30=0,0,(Operations!H33*Operations!H43)/Operations!H30*1000))</f>
        <v>29.337500000000002</v>
      </c>
      <c r="I24" s="561">
        <f>IF(I3&gt;ProjectLife+1,0,IF(Operations!I30=0,0,(Operations!I33*Operations!I43)/Operations!I30*1000))</f>
        <v>29.337500000000002</v>
      </c>
      <c r="J24" s="561">
        <f>IF(J3&gt;ProjectLife+1,0,IF(Operations!J30=0,0,(Operations!J33*Operations!J43)/Operations!J30*1000))</f>
        <v>29.337500000000002</v>
      </c>
      <c r="K24" s="561">
        <f>IF(K3&gt;ProjectLife+1,0,IF(Operations!K30=0,0,(Operations!K33*Operations!K43)/Operations!K30*1000))</f>
        <v>29.337500000000002</v>
      </c>
      <c r="L24" s="561">
        <f>IF(L3&gt;ProjectLife+1,0,IF(Operations!L30=0,0,(Operations!L33*Operations!L43)/Operations!L30*1000))</f>
        <v>29.337500000000002</v>
      </c>
      <c r="M24" s="561">
        <f>IF(M3&gt;ProjectLife+1,0,IF(Operations!M30=0,0,(Operations!M33*Operations!M43)/Operations!M30*1000))</f>
        <v>29.337500000000002</v>
      </c>
      <c r="N24" s="561">
        <f>IF(N3&gt;ProjectLife+1,0,IF(Operations!N30=0,0,(Operations!N33*Operations!N43)/Operations!N30*1000))</f>
        <v>29.337500000000002</v>
      </c>
      <c r="O24" s="561">
        <f>IF(O3&gt;ProjectLife+1,0,IF(Operations!O30=0,0,(Operations!O33*Operations!O43)/Operations!O30*1000))</f>
        <v>29.337500000000002</v>
      </c>
      <c r="P24" s="561">
        <f>IF(P3&gt;ProjectLife+1,0,IF(Operations!P30=0,0,(Operations!P33*Operations!P43)/Operations!P30*1000))</f>
        <v>29.337500000000002</v>
      </c>
      <c r="Q24" s="561">
        <f>IF(Q3&gt;ProjectLife+1,0,IF(Operations!Q30=0,0,(Operations!Q33*Operations!Q43)/Operations!Q30*1000))</f>
        <v>29.337500000000002</v>
      </c>
      <c r="R24" s="561">
        <f>IF(R3&gt;ProjectLife+1,0,IF(Operations!R30=0,0,(Operations!R33*Operations!R43)/Operations!R30*1000))</f>
        <v>29.337500000000002</v>
      </c>
      <c r="S24" s="561">
        <f>IF(S3&gt;ProjectLife+1,0,IF(Operations!S30=0,0,(Operations!S33*Operations!S43)/Operations!S30*1000))</f>
        <v>29.337500000000002</v>
      </c>
      <c r="T24" s="561">
        <f>IF(T3&gt;ProjectLife+1,0,IF(Operations!T30=0,0,(Operations!T33*Operations!T43)/Operations!T30*1000))</f>
        <v>29.337500000000002</v>
      </c>
      <c r="U24" s="561">
        <f>IF(U3&gt;ProjectLife+1,0,IF(Operations!U30=0,0,(Operations!U33*Operations!U43)/Operations!U30*1000))</f>
        <v>29.337500000000002</v>
      </c>
      <c r="V24" s="561">
        <f>IF(V3&gt;ProjectLife+1,0,IF(Operations!V30=0,0,(Operations!V33*Operations!V43)/Operations!V30*1000))</f>
        <v>29.337500000000002</v>
      </c>
      <c r="W24" s="561">
        <f>IF(W3&gt;ProjectLife+1,0,IF(Operations!W30=0,0,(Operations!W33*Operations!W43)/Operations!W30*1000))</f>
        <v>29.337500000000002</v>
      </c>
      <c r="X24" s="561">
        <f>IF(X3&gt;ProjectLife+1,0,IF(Operations!X30=0,0,(Operations!X33*Operations!X43)/Operations!X30*1000))</f>
        <v>0</v>
      </c>
      <c r="Y24" s="561">
        <f>IF(Y3&gt;ProjectLife+1,0,IF(Operations!Y30=0,0,(Operations!Y33*Operations!Y43)/Operations!Y30*1000))</f>
        <v>0</v>
      </c>
      <c r="Z24" s="561">
        <f>IF(Z3&gt;ProjectLife+1,0,IF(Operations!Z30=0,0,(Operations!Z33*Operations!Z43)/Operations!Z30*1000))</f>
        <v>0</v>
      </c>
      <c r="AA24" s="562">
        <f>IF(AA3&gt;ProjectLife+1,0,IF(Operations!AA30=0,0,(Operations!AA33*Operations!AA43)/Operations!AA30*1000))</f>
        <v>0</v>
      </c>
      <c r="AB24" s="147"/>
      <c r="AC24" s="147"/>
      <c r="AD24" s="147"/>
      <c r="AE24" s="147"/>
      <c r="AF24" s="147"/>
      <c r="AG24" s="147"/>
      <c r="AH24" s="147"/>
      <c r="AI24" s="147"/>
    </row>
    <row r="25" spans="1:35" s="5" customFormat="1" ht="12.6" customHeight="1">
      <c r="A25" s="522" t="s">
        <v>147</v>
      </c>
      <c r="B25" s="557"/>
      <c r="C25" s="563">
        <f>IF(C3&gt;ProjectLife+1,0,IF(Operations!C30=0,0,VEP*((1+VEP_ESCAL)^('PPA Assumptions &amp;Summary'!C4-'Project Assumtions'!$N$6))))</f>
        <v>1.1983794326241135</v>
      </c>
      <c r="D25" s="563">
        <f>IF(D3&gt;ProjectLife+1,0,IF(Operations!D30=0,0,VEP*((1+VEP_ESCAL)^('PPA Assumptions &amp;Summary'!D4-'Project Assumtions'!$N$6))))</f>
        <v>1.2343308156028368</v>
      </c>
      <c r="E25" s="563">
        <f>IF(E3&gt;ProjectLife+1,0,IF(Operations!E30=0,0,VEP*((1+VEP_ESCAL)^('PPA Assumptions &amp;Summary'!E4-'Project Assumtions'!$N$6))))</f>
        <v>1.2713607400709219</v>
      </c>
      <c r="F25" s="563">
        <f>IF(F3&gt;ProjectLife+1,0,IF(Operations!F30=0,0,VEP*((1+VEP_ESCAL)^('PPA Assumptions &amp;Summary'!F4-'Project Assumtions'!$N$6))))</f>
        <v>1.3095015622730495</v>
      </c>
      <c r="G25" s="563">
        <f>IF(G3&gt;ProjectLife+1,0,IF(Operations!G30=0,0,VEP*((1+VEP_ESCAL)^('PPA Assumptions &amp;Summary'!G4-'Project Assumtions'!$N$6))))</f>
        <v>1.348786609141241</v>
      </c>
      <c r="H25" s="563">
        <f>IF(H3&gt;ProjectLife+1,0,IF(Operations!H30=0,0,VEP*((1+VEP_ESCAL)^('PPA Assumptions &amp;Summary'!H4-'Project Assumtions'!$N$6))))</f>
        <v>1.3892502074154782</v>
      </c>
      <c r="I25" s="563">
        <f>IF(I3&gt;ProjectLife+1,0,IF(Operations!I30=0,0,VEP*((1+VEP_ESCAL)^('PPA Assumptions &amp;Summary'!I4-'Project Assumtions'!$N$6))))</f>
        <v>1.4309277136379426</v>
      </c>
      <c r="J25" s="563">
        <f>IF(J3&gt;ProjectLife+1,0,IF(Operations!J30=0,0,VEP*((1+VEP_ESCAL)^('PPA Assumptions &amp;Summary'!J4-'Project Assumtions'!$N$6))))</f>
        <v>1.4738555450470807</v>
      </c>
      <c r="K25" s="563">
        <f>IF(K3&gt;ProjectLife+1,0,IF(Operations!K30=0,0,VEP*((1+VEP_ESCAL)^('PPA Assumptions &amp;Summary'!K4-'Project Assumtions'!$N$6))))</f>
        <v>1.5180712113984933</v>
      </c>
      <c r="L25" s="563">
        <f>IF(L3&gt;ProjectLife+1,0,IF(Operations!L30=0,0,VEP*((1+VEP_ESCAL)^('PPA Assumptions &amp;Summary'!L4-'Project Assumtions'!$N$6))))</f>
        <v>1.5636133477404481</v>
      </c>
      <c r="M25" s="563">
        <f>IF(M3&gt;ProjectLife+1,0,IF(Operations!M30=0,0,VEP*((1+VEP_ESCAL)^('PPA Assumptions &amp;Summary'!M4-'Project Assumtions'!$N$6))))</f>
        <v>1.6105217481726615</v>
      </c>
      <c r="N25" s="563">
        <f>IF(N3&gt;ProjectLife+1,0,IF(Operations!N30=0,0,VEP*((1+VEP_ESCAL)^('PPA Assumptions &amp;Summary'!N4-'Project Assumtions'!$N$6))))</f>
        <v>1.6588374006178412</v>
      </c>
      <c r="O25" s="563">
        <f>IF(O3&gt;ProjectLife+1,0,IF(Operations!O30=0,0,VEP*((1+VEP_ESCAL)^('PPA Assumptions &amp;Summary'!O4-'Project Assumtions'!$N$6))))</f>
        <v>1.7086025226363764</v>
      </c>
      <c r="P25" s="563">
        <f>IF(P3&gt;ProjectLife+1,0,IF(Operations!P30=0,0,VEP*((1+VEP_ESCAL)^('PPA Assumptions &amp;Summary'!P4-'Project Assumtions'!$N$6))))</f>
        <v>1.7598605983154678</v>
      </c>
      <c r="Q25" s="563">
        <f>IF(Q3&gt;ProjectLife+1,0,IF(Operations!Q30=0,0,VEP*((1+VEP_ESCAL)^('PPA Assumptions &amp;Summary'!Q4-'Project Assumtions'!$N$6))))</f>
        <v>1.8126564162649319</v>
      </c>
      <c r="R25" s="563">
        <f>IF(R3&gt;ProjectLife+1,0,IF(Operations!R30=0,0,VEP*((1+VEP_ESCAL)^('PPA Assumptions &amp;Summary'!R4-'Project Assumtions'!$N$6))))</f>
        <v>1.8670361087528795</v>
      </c>
      <c r="S25" s="563">
        <f>IF(S3&gt;ProjectLife+1,0,IF(Operations!S30=0,0,VEP*((1+VEP_ESCAL)^('PPA Assumptions &amp;Summary'!S4-'Project Assumtions'!$N$6))))</f>
        <v>1.9230471920154659</v>
      </c>
      <c r="T25" s="563">
        <f>IF(T3&gt;ProjectLife+1,0,IF(Operations!T30=0,0,VEP*((1+VEP_ESCAL)^('PPA Assumptions &amp;Summary'!T4-'Project Assumtions'!$N$6))))</f>
        <v>1.9807386077759299</v>
      </c>
      <c r="U25" s="563">
        <f>IF(U3&gt;ProjectLife+1,0,IF(Operations!U30=0,0,VEP*((1+VEP_ESCAL)^('PPA Assumptions &amp;Summary'!U4-'Project Assumtions'!$N$6))))</f>
        <v>2.0401607660092078</v>
      </c>
      <c r="V25" s="563">
        <f>IF(V3&gt;ProjectLife+1,0,IF(Operations!V30=0,0,VEP*((1+VEP_ESCAL)^('PPA Assumptions &amp;Summary'!V4-'Project Assumtions'!$N$6))))</f>
        <v>2.1013655889894838</v>
      </c>
      <c r="W25" s="563">
        <f>IF(W3&gt;ProjectLife+1,0,IF(Operations!W30=0,0,VEP*((1+VEP_ESCAL)^('PPA Assumptions &amp;Summary'!W4-'Project Assumtions'!$N$6))))</f>
        <v>2.1644065566591681</v>
      </c>
      <c r="X25" s="563">
        <f>IF(X3&gt;ProjectLife+1,0,IF(Operations!X30=0,0,VEP*((1+VEP_ESCAL)^('PPA Assumptions &amp;Summary'!X4-'Project Assumtions'!$N$6))))</f>
        <v>0</v>
      </c>
      <c r="Y25" s="563">
        <f>IF(Y3&gt;ProjectLife+1,0,IF(Operations!Y30=0,0,VEP*((1+VEP_ESCAL)^('PPA Assumptions &amp;Summary'!Y4-'Project Assumtions'!$N$6))))</f>
        <v>0</v>
      </c>
      <c r="Z25" s="563">
        <f>IF(Z3&gt;ProjectLife+1,0,IF(Operations!Z30=0,0,VEP*((1+VEP_ESCAL)^('PPA Assumptions &amp;Summary'!Z4-'Project Assumtions'!$N$6))))</f>
        <v>0</v>
      </c>
      <c r="AA25" s="1001">
        <f>IF(AA3&gt;ProjectLife+1,0,IF(Operations!AA30=0,0,VEP*((1+VEP_ESCAL)^('PPA Assumptions &amp;Summary'!AA4-'Project Assumtions'!$N$6))))</f>
        <v>0</v>
      </c>
      <c r="AB25" s="147"/>
      <c r="AC25" s="147"/>
      <c r="AD25" s="147"/>
      <c r="AE25" s="147"/>
      <c r="AF25" s="147"/>
      <c r="AG25" s="147"/>
      <c r="AH25" s="147"/>
      <c r="AI25" s="147"/>
    </row>
    <row r="26" spans="1:35" s="5" customFormat="1" ht="12.6" customHeight="1">
      <c r="A26" s="564" t="s">
        <v>142</v>
      </c>
      <c r="B26" s="565"/>
      <c r="C26" s="566">
        <f t="shared" ref="C26:AA26" si="11">IF(C3&gt;ProjectLife+1,0,SUM(C24:C25))</f>
        <v>30.535879432624114</v>
      </c>
      <c r="D26" s="566">
        <f t="shared" si="11"/>
        <v>30.571830815602837</v>
      </c>
      <c r="E26" s="566">
        <f t="shared" si="11"/>
        <v>30.60886074007092</v>
      </c>
      <c r="F26" s="566">
        <f t="shared" si="11"/>
        <v>30.647001562273051</v>
      </c>
      <c r="G26" s="566">
        <f t="shared" si="11"/>
        <v>30.686286609141241</v>
      </c>
      <c r="H26" s="566">
        <f t="shared" si="11"/>
        <v>30.726750207415481</v>
      </c>
      <c r="I26" s="566">
        <f t="shared" si="11"/>
        <v>30.768427713637944</v>
      </c>
      <c r="J26" s="566">
        <f t="shared" si="11"/>
        <v>30.811355545047082</v>
      </c>
      <c r="K26" s="566">
        <f t="shared" si="11"/>
        <v>30.855571211398495</v>
      </c>
      <c r="L26" s="566">
        <f t="shared" si="11"/>
        <v>30.901113347740448</v>
      </c>
      <c r="M26" s="566">
        <f t="shared" si="11"/>
        <v>30.948021748172664</v>
      </c>
      <c r="N26" s="566">
        <f t="shared" si="11"/>
        <v>30.996337400617843</v>
      </c>
      <c r="O26" s="566">
        <f t="shared" si="11"/>
        <v>31.046102522636378</v>
      </c>
      <c r="P26" s="566">
        <f t="shared" si="11"/>
        <v>31.097360598315468</v>
      </c>
      <c r="Q26" s="566">
        <f t="shared" si="11"/>
        <v>31.150156416264934</v>
      </c>
      <c r="R26" s="566">
        <f t="shared" si="11"/>
        <v>31.204536108752883</v>
      </c>
      <c r="S26" s="566">
        <f t="shared" si="11"/>
        <v>31.260547192015469</v>
      </c>
      <c r="T26" s="566">
        <f t="shared" si="11"/>
        <v>31.318238607775932</v>
      </c>
      <c r="U26" s="566">
        <f t="shared" si="11"/>
        <v>31.37766076600921</v>
      </c>
      <c r="V26" s="566">
        <f t="shared" si="11"/>
        <v>31.438865588989486</v>
      </c>
      <c r="W26" s="566">
        <f t="shared" si="11"/>
        <v>31.501906556659172</v>
      </c>
      <c r="X26" s="566">
        <f t="shared" si="11"/>
        <v>0</v>
      </c>
      <c r="Y26" s="566">
        <f t="shared" si="11"/>
        <v>0</v>
      </c>
      <c r="Z26" s="566">
        <f t="shared" si="11"/>
        <v>0</v>
      </c>
      <c r="AA26" s="567">
        <f t="shared" si="11"/>
        <v>0</v>
      </c>
      <c r="AB26" s="147"/>
      <c r="AC26" s="147"/>
      <c r="AD26" s="147"/>
      <c r="AE26" s="147"/>
      <c r="AF26" s="147"/>
      <c r="AG26" s="147"/>
      <c r="AH26" s="147"/>
      <c r="AI26" s="147"/>
    </row>
    <row r="27" spans="1:35" s="5" customFormat="1" ht="12.6" customHeight="1">
      <c r="A27" s="185"/>
      <c r="B27" s="147"/>
      <c r="C27" s="201"/>
      <c r="D27" s="201"/>
      <c r="E27" s="201"/>
      <c r="F27" s="201"/>
      <c r="G27" s="201"/>
      <c r="H27" s="201"/>
      <c r="I27" s="201"/>
      <c r="J27" s="201"/>
      <c r="K27" s="201"/>
      <c r="L27" s="201"/>
      <c r="M27" s="201"/>
      <c r="N27" s="201"/>
      <c r="O27" s="201"/>
      <c r="P27" s="201"/>
      <c r="Q27" s="201"/>
      <c r="R27" s="201"/>
      <c r="S27" s="201"/>
      <c r="T27" s="201"/>
      <c r="U27" s="201"/>
      <c r="V27" s="201"/>
      <c r="W27" s="201"/>
      <c r="X27" s="201"/>
      <c r="Y27" s="201"/>
      <c r="Z27" s="201"/>
      <c r="AA27" s="201"/>
      <c r="AB27" s="147"/>
      <c r="AC27" s="147"/>
      <c r="AD27" s="147"/>
      <c r="AE27" s="147"/>
      <c r="AF27" s="147"/>
      <c r="AG27" s="147"/>
      <c r="AH27" s="147"/>
      <c r="AI27" s="147"/>
    </row>
    <row r="28" spans="1:35" s="44" customFormat="1" ht="15.6">
      <c r="A28" s="568" t="s">
        <v>162</v>
      </c>
      <c r="B28" s="569"/>
      <c r="C28" s="569"/>
      <c r="D28" s="569"/>
      <c r="E28" s="569"/>
      <c r="F28" s="569"/>
      <c r="G28" s="569"/>
      <c r="H28" s="569"/>
      <c r="I28" s="569"/>
      <c r="J28" s="569"/>
      <c r="K28" s="569"/>
      <c r="L28" s="569"/>
      <c r="M28" s="569"/>
      <c r="N28" s="569"/>
      <c r="O28" s="569"/>
      <c r="P28" s="569"/>
      <c r="Q28" s="569"/>
      <c r="R28" s="569"/>
      <c r="S28" s="569"/>
      <c r="T28" s="569"/>
      <c r="U28" s="569"/>
      <c r="V28" s="569"/>
      <c r="W28" s="569"/>
      <c r="X28" s="569"/>
      <c r="Y28" s="569"/>
      <c r="Z28" s="569"/>
      <c r="AA28" s="570"/>
      <c r="AB28" s="79"/>
      <c r="AC28" s="79"/>
      <c r="AD28" s="79"/>
      <c r="AE28" s="79"/>
      <c r="AF28" s="79"/>
      <c r="AG28" s="79"/>
      <c r="AH28" s="79"/>
      <c r="AI28" s="79"/>
    </row>
    <row r="29" spans="1:35" s="44" customFormat="1" ht="10.199999999999999">
      <c r="A29" s="571" t="s">
        <v>403</v>
      </c>
      <c r="B29" s="179" t="s">
        <v>355</v>
      </c>
      <c r="C29" s="179"/>
      <c r="D29" s="179"/>
      <c r="E29" s="179"/>
      <c r="F29" s="179"/>
      <c r="G29" s="179"/>
      <c r="H29" s="179"/>
      <c r="I29" s="179"/>
      <c r="J29" s="179"/>
      <c r="K29" s="179"/>
      <c r="L29" s="179"/>
      <c r="M29" s="179"/>
      <c r="N29" s="179"/>
      <c r="O29" s="179"/>
      <c r="P29" s="179"/>
      <c r="Q29" s="179"/>
      <c r="R29" s="179"/>
      <c r="S29" s="179"/>
      <c r="T29" s="179"/>
      <c r="U29" s="179"/>
      <c r="V29" s="179"/>
      <c r="W29" s="179"/>
      <c r="X29" s="179"/>
      <c r="Y29" s="179"/>
      <c r="Z29" s="179"/>
      <c r="AA29" s="572"/>
      <c r="AB29" s="79"/>
      <c r="AC29" s="79"/>
      <c r="AD29" s="79"/>
      <c r="AE29" s="79"/>
      <c r="AF29" s="79"/>
      <c r="AG29" s="79"/>
      <c r="AH29" s="79"/>
      <c r="AI29" s="79"/>
    </row>
    <row r="30" spans="1:35">
      <c r="A30" s="553" t="s">
        <v>540</v>
      </c>
      <c r="B30" s="231">
        <f>AVERAGE(C30:V30)</f>
        <v>951.71415423099984</v>
      </c>
      <c r="C30" s="573">
        <f>'Book Income Statement'!D27</f>
        <v>394.26683333333335</v>
      </c>
      <c r="D30" s="573">
        <f>'Book Income Statement'!E27</f>
        <v>696.16257999999993</v>
      </c>
      <c r="E30" s="573">
        <f>'Book Income Statement'!F27</f>
        <v>717.04745739999998</v>
      </c>
      <c r="F30" s="573">
        <f>'Book Income Statement'!G27</f>
        <v>773.85963417181426</v>
      </c>
      <c r="G30" s="573">
        <f>'Book Income Statement'!H27</f>
        <v>816.24465273936107</v>
      </c>
      <c r="H30" s="573">
        <f>'Book Income Statement'!I27</f>
        <v>840.73199232154195</v>
      </c>
      <c r="I30" s="573">
        <f>'Book Income Statement'!J27</f>
        <v>865.95395209118828</v>
      </c>
      <c r="J30" s="573">
        <f>'Book Income Statement'!K27</f>
        <v>891.93257065392368</v>
      </c>
      <c r="K30" s="573">
        <f>'Book Income Statement'!L27</f>
        <v>918.69054777354154</v>
      </c>
      <c r="L30" s="573">
        <f>'Book Income Statement'!M27</f>
        <v>946.25126420674769</v>
      </c>
      <c r="M30" s="573">
        <f>'Book Income Statement'!N27</f>
        <v>974.63880213295033</v>
      </c>
      <c r="N30" s="573">
        <f>'Book Income Statement'!O27</f>
        <v>1003.8779661969386</v>
      </c>
      <c r="O30" s="573">
        <f>'Book Income Statement'!P27</f>
        <v>1033.9943051828468</v>
      </c>
      <c r="P30" s="573">
        <f>'Book Income Statement'!Q27</f>
        <v>1065.0141343383323</v>
      </c>
      <c r="Q30" s="573">
        <f>'Book Income Statement'!R27</f>
        <v>1096.9645583684824</v>
      </c>
      <c r="R30" s="573">
        <f>'Book Income Statement'!S27</f>
        <v>1129.8734951195365</v>
      </c>
      <c r="S30" s="573">
        <f>'Book Income Statement'!T27</f>
        <v>1163.7696999731224</v>
      </c>
      <c r="T30" s="573">
        <f>'Book Income Statement'!U27</f>
        <v>1198.6827909723163</v>
      </c>
      <c r="U30" s="573">
        <f>'Book Income Statement'!V27</f>
        <v>1234.643274701486</v>
      </c>
      <c r="V30" s="573">
        <f>'Book Income Statement'!W27</f>
        <v>1271.6825729425302</v>
      </c>
      <c r="W30" s="573">
        <f>'Book Income Statement'!X27</f>
        <v>1309.833050130806</v>
      </c>
      <c r="X30" s="573">
        <f>'Book Income Statement'!Y27</f>
        <v>0</v>
      </c>
      <c r="Y30" s="573">
        <f>'Book Income Statement'!Z27</f>
        <v>0</v>
      </c>
      <c r="Z30" s="573">
        <f>'Book Income Statement'!AA27</f>
        <v>0</v>
      </c>
      <c r="AA30" s="574">
        <f>'Book Income Statement'!AB27</f>
        <v>0</v>
      </c>
    </row>
    <row r="31" spans="1:35">
      <c r="A31" s="553" t="s">
        <v>539</v>
      </c>
      <c r="B31" s="232">
        <f>AVERAGE(C31:V31)</f>
        <v>2876.1403964016945</v>
      </c>
      <c r="C31" s="573">
        <f>'Book Income Statement'!D33</f>
        <v>2140.752</v>
      </c>
      <c r="D31" s="573">
        <f>'Book Income Statement'!E33</f>
        <v>2204.9745600000001</v>
      </c>
      <c r="E31" s="573">
        <f>'Book Income Statement'!F33</f>
        <v>2271.1237968</v>
      </c>
      <c r="F31" s="573">
        <f>'Book Income Statement'!G33</f>
        <v>2339.2575107040002</v>
      </c>
      <c r="G31" s="573">
        <f>'Book Income Statement'!H33</f>
        <v>2409.4352360251196</v>
      </c>
      <c r="H31" s="573">
        <f>'Book Income Statement'!I33</f>
        <v>2481.7182931058733</v>
      </c>
      <c r="I31" s="573">
        <f>'Book Income Statement'!J33</f>
        <v>2556.16984189905</v>
      </c>
      <c r="J31" s="573">
        <f>'Book Income Statement'!K33</f>
        <v>2632.8549371560212</v>
      </c>
      <c r="K31" s="573">
        <f>'Book Income Statement'!L33</f>
        <v>2711.8405852707015</v>
      </c>
      <c r="L31" s="573">
        <f>'Book Income Statement'!M33</f>
        <v>2793.1958028288227</v>
      </c>
      <c r="M31" s="573">
        <f>'Book Income Statement'!N33</f>
        <v>2876.9916769136876</v>
      </c>
      <c r="N31" s="573">
        <f>'Book Income Statement'!O33</f>
        <v>2963.3014272210976</v>
      </c>
      <c r="O31" s="573">
        <f>'Book Income Statement'!P33</f>
        <v>3052.2004700377306</v>
      </c>
      <c r="P31" s="573">
        <f>'Book Income Statement'!Q33</f>
        <v>3143.7664841388628</v>
      </c>
      <c r="Q31" s="573">
        <f>'Book Income Statement'!R33</f>
        <v>3238.0794786630286</v>
      </c>
      <c r="R31" s="573">
        <f>'Book Income Statement'!S33</f>
        <v>3335.2218630229195</v>
      </c>
      <c r="S31" s="573">
        <f>'Book Income Statement'!T33</f>
        <v>3435.2785189136066</v>
      </c>
      <c r="T31" s="573">
        <f>'Book Income Statement'!U33</f>
        <v>3538.336874481015</v>
      </c>
      <c r="U31" s="573">
        <f>'Book Income Statement'!V33</f>
        <v>3644.486980715445</v>
      </c>
      <c r="V31" s="573">
        <f>'Book Income Statement'!W33</f>
        <v>3753.8215901369085</v>
      </c>
      <c r="W31" s="573">
        <f>'Book Income Statement'!X33</f>
        <v>3866.4362378410151</v>
      </c>
      <c r="X31" s="573">
        <f>'Book Income Statement'!Y33</f>
        <v>0</v>
      </c>
      <c r="Y31" s="573">
        <f>'Book Income Statement'!Z33</f>
        <v>0</v>
      </c>
      <c r="Z31" s="573">
        <f>'Book Income Statement'!AA33</f>
        <v>0</v>
      </c>
      <c r="AA31" s="574">
        <f>'Book Income Statement'!AB33</f>
        <v>0</v>
      </c>
    </row>
    <row r="32" spans="1:35">
      <c r="A32" s="553" t="s">
        <v>541</v>
      </c>
      <c r="B32" s="232">
        <f>AVERAGE(C32:V32)</f>
        <v>3548.6250676764876</v>
      </c>
      <c r="C32" s="573">
        <f>'Book Income Statement'!D41+'Book Income Statement'!D50</f>
        <v>1401.4358794694351</v>
      </c>
      <c r="D32" s="573">
        <f>'Book Income Statement'!E41+'Book Income Statement'!E50</f>
        <v>2402.5457100346021</v>
      </c>
      <c r="E32" s="573">
        <f>'Book Income Statement'!F41+'Book Income Statement'!F50</f>
        <v>2474.6220813356399</v>
      </c>
      <c r="F32" s="573">
        <f>'Book Income Statement'!G41+'Book Income Statement'!G50</f>
        <v>2801.0147437757096</v>
      </c>
      <c r="G32" s="573">
        <f>'Book Income Statement'!H41+'Book Income Statement'!H50</f>
        <v>3070.5584860889803</v>
      </c>
      <c r="H32" s="573">
        <f>'Book Income Statement'!I41+'Book Income Statement'!I50</f>
        <v>3162.6752406716496</v>
      </c>
      <c r="I32" s="573">
        <f>'Book Income Statement'!J41+'Book Income Statement'!J50</f>
        <v>3257.5554978917999</v>
      </c>
      <c r="J32" s="573">
        <f>'Book Income Statement'!K41+'Book Income Statement'!K50</f>
        <v>3355.2821628285533</v>
      </c>
      <c r="K32" s="573">
        <f>'Book Income Statement'!L41+'Book Income Statement'!L50</f>
        <v>3455.9406277134094</v>
      </c>
      <c r="L32" s="573">
        <f>'Book Income Statement'!M41+'Book Income Statement'!M50</f>
        <v>3559.6188465448122</v>
      </c>
      <c r="M32" s="573">
        <f>'Book Income Statement'!N41+'Book Income Statement'!N50</f>
        <v>3666.4074119411566</v>
      </c>
      <c r="N32" s="573">
        <f>'Book Income Statement'!O41+'Book Income Statement'!O50</f>
        <v>3776.399634299391</v>
      </c>
      <c r="O32" s="573">
        <f>'Book Income Statement'!P41+'Book Income Statement'!P50</f>
        <v>3889.6916233283728</v>
      </c>
      <c r="P32" s="573">
        <f>'Book Income Statement'!Q41+'Book Income Statement'!Q50</f>
        <v>4006.3823720282239</v>
      </c>
      <c r="Q32" s="573">
        <f>'Book Income Statement'!R41+'Book Income Statement'!R50</f>
        <v>4126.5738431890713</v>
      </c>
      <c r="R32" s="573">
        <f>'Book Income Statement'!S41+'Book Income Statement'!S50</f>
        <v>4250.3710584847431</v>
      </c>
      <c r="S32" s="573">
        <f>'Book Income Statement'!T41+'Book Income Statement'!T50</f>
        <v>4377.8821902392847</v>
      </c>
      <c r="T32" s="573">
        <f>'Book Income Statement'!U41+'Book Income Statement'!U50</f>
        <v>4509.2186559464626</v>
      </c>
      <c r="U32" s="573">
        <f>'Book Income Statement'!V41+'Book Income Statement'!V50</f>
        <v>4644.4952156248573</v>
      </c>
      <c r="V32" s="573">
        <f>'Book Income Statement'!W41+'Book Income Statement'!W50</f>
        <v>4783.8300720936022</v>
      </c>
      <c r="W32" s="573">
        <f>'Book Income Statement'!X41+'Book Income Statement'!X50</f>
        <v>2156.1517301224058</v>
      </c>
      <c r="X32" s="573">
        <f>'Book Income Statement'!Y41+'Book Income Statement'!Y50</f>
        <v>0</v>
      </c>
      <c r="Y32" s="573">
        <f>'Book Income Statement'!Z41+'Book Income Statement'!Z50</f>
        <v>0</v>
      </c>
      <c r="Z32" s="573">
        <f>'Book Income Statement'!AA41+'Book Income Statement'!AA50</f>
        <v>0</v>
      </c>
      <c r="AA32" s="574">
        <f>'Book Income Statement'!AB41+'Book Income Statement'!AB50</f>
        <v>0</v>
      </c>
    </row>
    <row r="33" spans="1:35">
      <c r="A33" s="553" t="s">
        <v>542</v>
      </c>
      <c r="B33" s="232"/>
      <c r="C33" s="573">
        <f>'Book Income Statement'!D53</f>
        <v>146.77966132968001</v>
      </c>
      <c r="D33" s="573">
        <f>'Book Income Statement'!E53</f>
        <v>0</v>
      </c>
      <c r="E33" s="573">
        <f>'Book Income Statement'!F53</f>
        <v>87.389186058051934</v>
      </c>
      <c r="F33" s="573">
        <f>'Book Income Statement'!G53</f>
        <v>162.25722812182451</v>
      </c>
      <c r="G33" s="573">
        <f>'Book Income Statement'!H53</f>
        <v>221.38767575294543</v>
      </c>
      <c r="H33" s="573">
        <f>'Book Income Statement'!I53</f>
        <v>267.21788876867009</v>
      </c>
      <c r="I33" s="573">
        <f>'Book Income Statement'!J53</f>
        <v>353.45828178270818</v>
      </c>
      <c r="J33" s="573">
        <f>'Book Income Statement'!K53</f>
        <v>461.59047473625338</v>
      </c>
      <c r="K33" s="573">
        <f>'Book Income Statement'!L53</f>
        <v>530.06817208874804</v>
      </c>
      <c r="L33" s="573">
        <f>'Book Income Statement'!M53</f>
        <v>522.92142236624431</v>
      </c>
      <c r="M33" s="573">
        <f>'Book Income Statement'!N53</f>
        <v>517.60989500579763</v>
      </c>
      <c r="N33" s="573">
        <f>'Book Income Statement'!O53</f>
        <v>683.84684063616498</v>
      </c>
      <c r="O33" s="573">
        <f>'Book Income Statement'!P53</f>
        <v>683.84684063616498</v>
      </c>
      <c r="P33" s="573">
        <f>'Book Income Statement'!Q53</f>
        <v>683.84684063616498</v>
      </c>
      <c r="Q33" s="573">
        <f>'Book Income Statement'!R53</f>
        <v>683.84684063616498</v>
      </c>
      <c r="R33" s="573">
        <f>'Book Income Statement'!S53</f>
        <v>683.84684063616498</v>
      </c>
      <c r="S33" s="573">
        <f>'Book Income Statement'!T53</f>
        <v>683.84684063616498</v>
      </c>
      <c r="T33" s="573">
        <f>'Book Income Statement'!U53</f>
        <v>683.84684063616498</v>
      </c>
      <c r="U33" s="573">
        <f>'Book Income Statement'!V53</f>
        <v>683.84684063616498</v>
      </c>
      <c r="V33" s="573">
        <f>'Book Income Statement'!W53</f>
        <v>683.84684063616498</v>
      </c>
      <c r="W33" s="573">
        <f>'Book Income Statement'!X53</f>
        <v>683.84684063616498</v>
      </c>
      <c r="X33" s="573">
        <f>'Book Income Statement'!Y53</f>
        <v>0</v>
      </c>
      <c r="Y33" s="573">
        <f>'Book Income Statement'!Z53</f>
        <v>0</v>
      </c>
      <c r="Z33" s="573">
        <f>'Book Income Statement'!AA53</f>
        <v>0</v>
      </c>
      <c r="AA33" s="574">
        <f>'Book Income Statement'!AB53</f>
        <v>0</v>
      </c>
    </row>
    <row r="34" spans="1:35">
      <c r="A34" s="553" t="s">
        <v>504</v>
      </c>
      <c r="B34" s="232">
        <f>AVERAGE(C34:V34)</f>
        <v>0</v>
      </c>
      <c r="C34" s="573">
        <f>'Book Income Statement'!D58</f>
        <v>0</v>
      </c>
      <c r="D34" s="573">
        <f>'Book Income Statement'!E58</f>
        <v>0</v>
      </c>
      <c r="E34" s="573">
        <f>'Book Income Statement'!F58</f>
        <v>0</v>
      </c>
      <c r="F34" s="573">
        <f>'Book Income Statement'!G58</f>
        <v>0</v>
      </c>
      <c r="G34" s="573">
        <f>'Book Income Statement'!H58</f>
        <v>0</v>
      </c>
      <c r="H34" s="573">
        <f>'Book Income Statement'!I58</f>
        <v>0</v>
      </c>
      <c r="I34" s="573">
        <f>'Book Income Statement'!J58</f>
        <v>0</v>
      </c>
      <c r="J34" s="573">
        <f>'Book Income Statement'!K58</f>
        <v>0</v>
      </c>
      <c r="K34" s="573">
        <f>'Book Income Statement'!L58</f>
        <v>0</v>
      </c>
      <c r="L34" s="573">
        <f>'Book Income Statement'!M58</f>
        <v>0</v>
      </c>
      <c r="M34" s="573">
        <f>'Book Income Statement'!N58</f>
        <v>0</v>
      </c>
      <c r="N34" s="573">
        <f>'Book Income Statement'!O58</f>
        <v>0</v>
      </c>
      <c r="O34" s="573">
        <f>'Book Income Statement'!P58</f>
        <v>0</v>
      </c>
      <c r="P34" s="573">
        <f>'Book Income Statement'!Q58</f>
        <v>0</v>
      </c>
      <c r="Q34" s="573">
        <f>'Book Income Statement'!R58</f>
        <v>0</v>
      </c>
      <c r="R34" s="573">
        <f>'Book Income Statement'!S58</f>
        <v>0</v>
      </c>
      <c r="S34" s="573">
        <f>'Book Income Statement'!T58</f>
        <v>0</v>
      </c>
      <c r="T34" s="573">
        <f>'Book Income Statement'!U58</f>
        <v>0</v>
      </c>
      <c r="U34" s="573">
        <f>'Book Income Statement'!V58</f>
        <v>0</v>
      </c>
      <c r="V34" s="573">
        <f>'Book Income Statement'!W58</f>
        <v>0</v>
      </c>
      <c r="W34" s="573">
        <f>'Book Income Statement'!X58</f>
        <v>0</v>
      </c>
      <c r="X34" s="573">
        <f>'Book Income Statement'!Y58</f>
        <v>0</v>
      </c>
      <c r="Y34" s="575"/>
      <c r="Z34" s="575"/>
      <c r="AA34" s="576"/>
    </row>
    <row r="35" spans="1:35" ht="14.4">
      <c r="A35" s="553" t="s">
        <v>151</v>
      </c>
      <c r="B35" s="233">
        <f>AVERAGE(C35:V35)</f>
        <v>0</v>
      </c>
      <c r="C35" s="898">
        <f>'Returns Summary'!C23</f>
        <v>0</v>
      </c>
      <c r="D35" s="898">
        <f>'Returns Summary'!D23</f>
        <v>0</v>
      </c>
      <c r="E35" s="898">
        <f>'Returns Summary'!E23</f>
        <v>0</v>
      </c>
      <c r="F35" s="898">
        <f>'Returns Summary'!F23</f>
        <v>0</v>
      </c>
      <c r="G35" s="898">
        <f>'Returns Summary'!G23</f>
        <v>0</v>
      </c>
      <c r="H35" s="898">
        <f>'Returns Summary'!H23</f>
        <v>0</v>
      </c>
      <c r="I35" s="898">
        <f>'Returns Summary'!I23</f>
        <v>0</v>
      </c>
      <c r="J35" s="898">
        <f>'Returns Summary'!J23</f>
        <v>0</v>
      </c>
      <c r="K35" s="898">
        <f>'Returns Summary'!K23</f>
        <v>0</v>
      </c>
      <c r="L35" s="898">
        <f>'Returns Summary'!L23</f>
        <v>0</v>
      </c>
      <c r="M35" s="898">
        <f>'Returns Summary'!M23</f>
        <v>0</v>
      </c>
      <c r="N35" s="898">
        <f>'Returns Summary'!N23</f>
        <v>0</v>
      </c>
      <c r="O35" s="898">
        <f>'Returns Summary'!O23</f>
        <v>0</v>
      </c>
      <c r="P35" s="898">
        <f>'Returns Summary'!P23</f>
        <v>0</v>
      </c>
      <c r="Q35" s="898">
        <f>'Returns Summary'!Q23</f>
        <v>0</v>
      </c>
      <c r="R35" s="898">
        <f>'Returns Summary'!R23</f>
        <v>0</v>
      </c>
      <c r="S35" s="898">
        <f>'Returns Summary'!S23</f>
        <v>0</v>
      </c>
      <c r="T35" s="898">
        <f>'Returns Summary'!T23</f>
        <v>0</v>
      </c>
      <c r="U35" s="898">
        <f>'Returns Summary'!U23</f>
        <v>0</v>
      </c>
      <c r="V35" s="898">
        <f>'Returns Summary'!V23</f>
        <v>0</v>
      </c>
      <c r="W35" s="898">
        <f>'Returns Summary'!W23</f>
        <v>0</v>
      </c>
      <c r="X35" s="898">
        <f>'Returns Summary'!X23</f>
        <v>0</v>
      </c>
      <c r="Y35" s="577">
        <f>'Returns Summary'!Y23</f>
        <v>0</v>
      </c>
      <c r="Z35" s="577">
        <f>'Returns Summary'!Z23</f>
        <v>0</v>
      </c>
      <c r="AA35" s="578">
        <f>'Returns Summary'!AA23</f>
        <v>0</v>
      </c>
    </row>
    <row r="36" spans="1:35">
      <c r="A36" s="553" t="s">
        <v>152</v>
      </c>
      <c r="B36" s="175"/>
      <c r="C36" s="573">
        <f t="shared" ref="C36:V36" si="12">SUM(C30:C35)</f>
        <v>4083.2343741324489</v>
      </c>
      <c r="D36" s="573">
        <f t="shared" si="12"/>
        <v>5303.6828500346019</v>
      </c>
      <c r="E36" s="573">
        <f t="shared" si="12"/>
        <v>5550.1825215936915</v>
      </c>
      <c r="F36" s="573">
        <f t="shared" si="12"/>
        <v>6076.3891167733482</v>
      </c>
      <c r="G36" s="573">
        <f t="shared" si="12"/>
        <v>6517.6260506064064</v>
      </c>
      <c r="H36" s="573">
        <f t="shared" si="12"/>
        <v>6752.3434148677352</v>
      </c>
      <c r="I36" s="573">
        <f t="shared" si="12"/>
        <v>7033.1375736647469</v>
      </c>
      <c r="J36" s="573">
        <f t="shared" si="12"/>
        <v>7341.6601453747526</v>
      </c>
      <c r="K36" s="573">
        <f t="shared" si="12"/>
        <v>7616.5399328464</v>
      </c>
      <c r="L36" s="573">
        <f t="shared" si="12"/>
        <v>7821.9873359466274</v>
      </c>
      <c r="M36" s="573">
        <f t="shared" si="12"/>
        <v>8035.6477859935922</v>
      </c>
      <c r="N36" s="573">
        <f t="shared" si="12"/>
        <v>8427.4258683535918</v>
      </c>
      <c r="O36" s="573">
        <f t="shared" si="12"/>
        <v>8659.7332391851141</v>
      </c>
      <c r="P36" s="573">
        <f t="shared" si="12"/>
        <v>8899.0098311415841</v>
      </c>
      <c r="Q36" s="573">
        <f t="shared" si="12"/>
        <v>9145.4647208567476</v>
      </c>
      <c r="R36" s="573">
        <f t="shared" si="12"/>
        <v>9399.313257263364</v>
      </c>
      <c r="S36" s="573">
        <f t="shared" si="12"/>
        <v>9660.7772497621772</v>
      </c>
      <c r="T36" s="573">
        <f t="shared" si="12"/>
        <v>9930.0851620359572</v>
      </c>
      <c r="U36" s="573">
        <f t="shared" si="12"/>
        <v>10207.472311677953</v>
      </c>
      <c r="V36" s="573">
        <f t="shared" si="12"/>
        <v>10493.181075809205</v>
      </c>
      <c r="W36" s="573">
        <f>SUM(W30:W35)</f>
        <v>8016.2678587303926</v>
      </c>
      <c r="X36" s="573">
        <f>SUM(X30:X35)</f>
        <v>0</v>
      </c>
      <c r="Y36" s="573">
        <f>SUM(Y30:Y35)</f>
        <v>0</v>
      </c>
      <c r="Z36" s="573">
        <f>SUM(Z30:Z35)</f>
        <v>0</v>
      </c>
      <c r="AA36" s="574">
        <f>SUM(AA30:AA35)</f>
        <v>0</v>
      </c>
    </row>
    <row r="37" spans="1:35">
      <c r="A37" s="553"/>
      <c r="B37" s="175"/>
      <c r="C37" s="573"/>
      <c r="D37" s="573"/>
      <c r="E37" s="573"/>
      <c r="F37" s="573"/>
      <c r="G37" s="573"/>
      <c r="H37" s="573"/>
      <c r="I37" s="573"/>
      <c r="J37" s="573"/>
      <c r="K37" s="573"/>
      <c r="L37" s="573"/>
      <c r="M37" s="573"/>
      <c r="N37" s="573"/>
      <c r="O37" s="573"/>
      <c r="P37" s="573"/>
      <c r="Q37" s="573"/>
      <c r="R37" s="573"/>
      <c r="S37" s="573"/>
      <c r="T37" s="573"/>
      <c r="U37" s="573"/>
      <c r="V37" s="573"/>
      <c r="W37" s="573"/>
      <c r="X37" s="573"/>
      <c r="Y37" s="573"/>
      <c r="Z37" s="573"/>
      <c r="AA37" s="574"/>
    </row>
    <row r="38" spans="1:35">
      <c r="A38" s="579" t="s">
        <v>356</v>
      </c>
      <c r="B38" s="179" t="s">
        <v>355</v>
      </c>
      <c r="C38" s="575"/>
      <c r="D38" s="575"/>
      <c r="E38" s="575"/>
      <c r="F38" s="575"/>
      <c r="G38" s="575"/>
      <c r="H38" s="575"/>
      <c r="I38" s="575"/>
      <c r="J38" s="575"/>
      <c r="K38" s="575"/>
      <c r="L38" s="575"/>
      <c r="M38" s="575"/>
      <c r="N38" s="575"/>
      <c r="O38" s="575"/>
      <c r="P38" s="575"/>
      <c r="Q38" s="575"/>
      <c r="R38" s="575"/>
      <c r="S38" s="575"/>
      <c r="T38" s="575"/>
      <c r="U38" s="575"/>
      <c r="V38" s="575"/>
      <c r="W38" s="575"/>
      <c r="X38" s="575"/>
      <c r="Y38" s="575"/>
      <c r="Z38" s="575"/>
      <c r="AA38" s="576"/>
    </row>
    <row r="39" spans="1:35">
      <c r="A39" s="553" t="s">
        <v>543</v>
      </c>
      <c r="B39" s="231">
        <f>AVERAGE(C39:V39)</f>
        <v>2149.3090682085881</v>
      </c>
      <c r="C39" s="575">
        <f>'Book Income Statement'!D37+'Book Income Statement'!D36+'Book Income Statement'!D40+'Book Income Statement'!D38</f>
        <v>947.89254613610171</v>
      </c>
      <c r="D39" s="575">
        <f>'Book Income Statement'!E37+'Book Income Statement'!E36+'Book Income Statement'!E40+'Book Income Statement'!E38</f>
        <v>1673.7074100346019</v>
      </c>
      <c r="E39" s="575">
        <f>'Book Income Statement'!F37+'Book Income Statement'!F36+'Book Income Statement'!F40+'Book Income Statement'!F38</f>
        <v>1723.91863233564</v>
      </c>
      <c r="F39" s="575">
        <f>'Book Income Statement'!G37+'Book Income Statement'!G36+'Book Income Statement'!G40+'Book Income Statement'!G38</f>
        <v>1775.6361913057092</v>
      </c>
      <c r="G39" s="575">
        <f>'Book Income Statement'!H37+'Book Income Statement'!H36+'Book Income Statement'!H40+'Book Income Statement'!H38</f>
        <v>1828.9052770448804</v>
      </c>
      <c r="H39" s="575">
        <f>'Book Income Statement'!I37+'Book Income Statement'!I36+'Book Income Statement'!I40+'Book Income Statement'!I38</f>
        <v>1883.7724353562271</v>
      </c>
      <c r="I39" s="575">
        <f>'Book Income Statement'!J37+'Book Income Statement'!J36+'Book Income Statement'!J40+'Book Income Statement'!J38</f>
        <v>1940.2856084169139</v>
      </c>
      <c r="J39" s="575">
        <f>'Book Income Statement'!K37+'Book Income Statement'!K36+'Book Income Statement'!K40+'Book Income Statement'!K38</f>
        <v>1998.494176669421</v>
      </c>
      <c r="K39" s="575">
        <f>'Book Income Statement'!L37+'Book Income Statement'!L36+'Book Income Statement'!L40+'Book Income Statement'!L38</f>
        <v>2058.4490019695036</v>
      </c>
      <c r="L39" s="575">
        <f>'Book Income Statement'!M37+'Book Income Statement'!M36+'Book Income Statement'!M40+'Book Income Statement'!M38</f>
        <v>2120.202472028589</v>
      </c>
      <c r="M39" s="575">
        <f>'Book Income Statement'!N37+'Book Income Statement'!N36+'Book Income Statement'!N40+'Book Income Statement'!N38</f>
        <v>2183.8085461894466</v>
      </c>
      <c r="N39" s="575">
        <f>'Book Income Statement'!O37+'Book Income Statement'!O36+'Book Income Statement'!O40+'Book Income Statement'!O38</f>
        <v>2249.3228025751296</v>
      </c>
      <c r="O39" s="575">
        <f>'Book Income Statement'!P37+'Book Income Statement'!P36+'Book Income Statement'!P40+'Book Income Statement'!P38</f>
        <v>2316.8024866523833</v>
      </c>
      <c r="P39" s="575">
        <f>'Book Income Statement'!Q37+'Book Income Statement'!Q36+'Book Income Statement'!Q40+'Book Income Statement'!Q38</f>
        <v>2386.3065612519549</v>
      </c>
      <c r="Q39" s="575">
        <f>'Book Income Statement'!R37+'Book Income Statement'!R36+'Book Income Statement'!R40+'Book Income Statement'!R38</f>
        <v>2457.8957580895139</v>
      </c>
      <c r="R39" s="575">
        <f>'Book Income Statement'!S37+'Book Income Statement'!S36+'Book Income Statement'!S40+'Book Income Statement'!S38</f>
        <v>2531.6326308321991</v>
      </c>
      <c r="S39" s="575">
        <f>'Book Income Statement'!T37+'Book Income Statement'!T36+'Book Income Statement'!T40+'Book Income Statement'!T38</f>
        <v>2607.5816097571646</v>
      </c>
      <c r="T39" s="575">
        <f>'Book Income Statement'!U37+'Book Income Statement'!U36+'Book Income Statement'!U40+'Book Income Statement'!U38</f>
        <v>2685.8090580498797</v>
      </c>
      <c r="U39" s="575">
        <f>'Book Income Statement'!V37+'Book Income Statement'!V36+'Book Income Statement'!V40+'Book Income Statement'!V38</f>
        <v>2766.3833297913761</v>
      </c>
      <c r="V39" s="575">
        <f>'Book Income Statement'!W37+'Book Income Statement'!W36+'Book Income Statement'!W40+'Book Income Statement'!W38</f>
        <v>2849.3748296851172</v>
      </c>
      <c r="W39" s="575">
        <f>'Book Income Statement'!X37+'Book Income Statement'!X36+'Book Income Statement'!X40+'Book Income Statement'!X38</f>
        <v>1222.8566977398627</v>
      </c>
      <c r="X39" s="575">
        <f>'Book Income Statement'!Y37+'Book Income Statement'!Y36+'Book Income Statement'!Y40+'Book Income Statement'!Y38</f>
        <v>0</v>
      </c>
      <c r="Y39" s="575">
        <f>'Book Income Statement'!Z37+'Book Income Statement'!Z36+'Book Income Statement'!Z40+'Book Income Statement'!Z38</f>
        <v>0</v>
      </c>
      <c r="Z39" s="575">
        <f>'Book Income Statement'!AA37+'Book Income Statement'!AA36+'Book Income Statement'!AA40+'Book Income Statement'!AA38</f>
        <v>0</v>
      </c>
      <c r="AA39" s="576">
        <f>'Book Income Statement'!AB37+'Book Income Statement'!AB36+'Book Income Statement'!AB40+'Book Income Statement'!AB38</f>
        <v>0</v>
      </c>
    </row>
    <row r="40" spans="1:35">
      <c r="A40" s="553" t="s">
        <v>357</v>
      </c>
      <c r="B40" s="233">
        <f>AVERAGE(C40:V40)</f>
        <v>937.98395127403978</v>
      </c>
      <c r="C40" s="575">
        <f>SUM('Book Income Statement'!D44:D49)</f>
        <v>453.54333333333329</v>
      </c>
      <c r="D40" s="575">
        <f>SUM('Book Income Statement'!E44:E49)</f>
        <v>728.83829999999989</v>
      </c>
      <c r="E40" s="575">
        <f>SUM('Book Income Statement'!F44:F49)</f>
        <v>750.70344899999986</v>
      </c>
      <c r="F40" s="575">
        <f>SUM('Book Income Statement'!G44:G49)</f>
        <v>773.22455246999994</v>
      </c>
      <c r="G40" s="575">
        <f>SUM('Book Income Statement'!H44:H49)</f>
        <v>796.42128904409992</v>
      </c>
      <c r="H40" s="575">
        <f>SUM('Book Income Statement'!I44:I49)</f>
        <v>820.31392771542289</v>
      </c>
      <c r="I40" s="575">
        <f>SUM('Book Income Statement'!J44:J49)</f>
        <v>844.92334554688568</v>
      </c>
      <c r="J40" s="575">
        <f>SUM('Book Income Statement'!K44:K49)</f>
        <v>870.27104591329203</v>
      </c>
      <c r="K40" s="575">
        <f>SUM('Book Income Statement'!L44:L49)</f>
        <v>896.37917729069102</v>
      </c>
      <c r="L40" s="575">
        <f>SUM('Book Income Statement'!M44:M49)</f>
        <v>923.27055260941165</v>
      </c>
      <c r="M40" s="575">
        <f>SUM('Book Income Statement'!N44:N49)</f>
        <v>950.9686691876941</v>
      </c>
      <c r="N40" s="575">
        <f>SUM('Book Income Statement'!O44:O49)</f>
        <v>979.4977292633248</v>
      </c>
      <c r="O40" s="575">
        <f>SUM('Book Income Statement'!P44:P49)</f>
        <v>1008.8826611412244</v>
      </c>
      <c r="P40" s="575">
        <f>SUM('Book Income Statement'!Q44:Q49)</f>
        <v>1039.1491409754613</v>
      </c>
      <c r="Q40" s="575">
        <f>SUM('Book Income Statement'!R44:R49)</f>
        <v>1070.3236152047252</v>
      </c>
      <c r="R40" s="575">
        <f>SUM('Book Income Statement'!S44:S49)</f>
        <v>1102.4333236608668</v>
      </c>
      <c r="S40" s="575">
        <f>SUM('Book Income Statement'!T44:T49)</f>
        <v>1135.5063233706928</v>
      </c>
      <c r="T40" s="575">
        <f>SUM('Book Income Statement'!U44:U49)</f>
        <v>1169.5715130718136</v>
      </c>
      <c r="U40" s="575">
        <f>SUM('Book Income Statement'!V44:V49)</f>
        <v>1204.6586584639681</v>
      </c>
      <c r="V40" s="575">
        <f>SUM('Book Income Statement'!W44:W49)</f>
        <v>1240.798418217887</v>
      </c>
      <c r="W40" s="575">
        <f>SUM('Book Income Statement'!X44:X49)</f>
        <v>635.60064533407763</v>
      </c>
      <c r="X40" s="575">
        <f>SUM('Book Income Statement'!Y44:Y49)</f>
        <v>0</v>
      </c>
      <c r="Y40" s="575">
        <f>SUM('Book Income Statement'!Z44:Z49)</f>
        <v>0</v>
      </c>
      <c r="Z40" s="575">
        <f>SUM('Book Income Statement'!AA44:AA49)</f>
        <v>0</v>
      </c>
      <c r="AA40" s="576">
        <f>SUM('Book Income Statement'!AB44:AB49)</f>
        <v>0</v>
      </c>
    </row>
    <row r="41" spans="1:35">
      <c r="A41" s="547"/>
      <c r="B41" s="175"/>
      <c r="C41" s="175"/>
      <c r="D41" s="175"/>
      <c r="E41" s="175"/>
      <c r="F41" s="175"/>
      <c r="G41" s="175"/>
      <c r="H41" s="175"/>
      <c r="I41" s="175"/>
      <c r="J41" s="175"/>
      <c r="K41" s="175"/>
      <c r="L41" s="175"/>
      <c r="M41" s="175"/>
      <c r="N41" s="175"/>
      <c r="O41" s="175"/>
      <c r="P41" s="175"/>
      <c r="Q41" s="175"/>
      <c r="R41" s="175"/>
      <c r="S41" s="175"/>
      <c r="T41" s="175"/>
      <c r="U41" s="175"/>
      <c r="V41" s="175"/>
      <c r="W41" s="175"/>
      <c r="X41" s="175"/>
      <c r="Y41" s="175"/>
      <c r="Z41" s="175"/>
      <c r="AA41" s="580"/>
    </row>
    <row r="42" spans="1:35">
      <c r="A42" s="571" t="s">
        <v>404</v>
      </c>
      <c r="B42" s="179" t="s">
        <v>355</v>
      </c>
      <c r="C42" s="575"/>
      <c r="D42" s="575"/>
      <c r="E42" s="575"/>
      <c r="F42" s="575"/>
      <c r="G42" s="575"/>
      <c r="H42" s="575"/>
      <c r="I42" s="575"/>
      <c r="J42" s="575"/>
      <c r="K42" s="575"/>
      <c r="L42" s="575"/>
      <c r="M42" s="575"/>
      <c r="N42" s="575"/>
      <c r="O42" s="575"/>
      <c r="P42" s="575"/>
      <c r="Q42" s="575"/>
      <c r="R42" s="575"/>
      <c r="S42" s="575"/>
      <c r="T42" s="575"/>
      <c r="U42" s="575"/>
      <c r="V42" s="575"/>
      <c r="W42" s="575"/>
      <c r="X42" s="575"/>
      <c r="Y42" s="575"/>
      <c r="Z42" s="575"/>
      <c r="AA42" s="576"/>
    </row>
    <row r="43" spans="1:35" s="41" customFormat="1" ht="12.6" customHeight="1">
      <c r="A43" s="553" t="s">
        <v>545</v>
      </c>
      <c r="B43" s="234">
        <f>AVERAGE(C43:V43)</f>
        <v>0.17124026818516541</v>
      </c>
      <c r="C43" s="581">
        <f>IF(Operations!C3&gt;'Project Assumtions'!$I$15+1,0,C30/'Project Assumtions'!$I$10/SUM('Book Income Statement'!D6:D8))</f>
        <v>0.11983794326241136</v>
      </c>
      <c r="D43" s="581">
        <f>IF(Operations!D3&gt;'Project Assumtions'!$I$15+1,0,D30/'Project Assumtions'!$I$10/SUM('Book Income Statement'!E6:E8))</f>
        <v>0.12343308156028367</v>
      </c>
      <c r="E43" s="581">
        <f>IF(Operations!E3&gt;'Project Assumtions'!$I$15+1,0,E30/'Project Assumtions'!$I$10/SUM('Book Income Statement'!F6:F8))</f>
        <v>0.1271360740070922</v>
      </c>
      <c r="F43" s="581">
        <f>IF(Operations!F3&gt;'Project Assumtions'!$I$15+1,0,F30/'Project Assumtions'!$I$10/SUM('Book Income Statement'!G6:G8))</f>
        <v>0.13720915499500252</v>
      </c>
      <c r="G43" s="581">
        <f>IF(Operations!G3&gt;'Project Assumtions'!$I$15+1,0,G30/'Project Assumtions'!$I$10/SUM('Book Income Statement'!H6:H8))</f>
        <v>0.14472422920910658</v>
      </c>
      <c r="H43" s="581">
        <f>IF(Operations!H3&gt;'Project Assumtions'!$I$15+1,0,H30/'Project Assumtions'!$I$10/SUM('Book Income Statement'!I6:I8))</f>
        <v>0.14906595608537979</v>
      </c>
      <c r="I43" s="581">
        <f>IF(Operations!I3&gt;'Project Assumtions'!$I$15+1,0,I30/'Project Assumtions'!$I$10/SUM('Book Income Statement'!J6:J8))</f>
        <v>0.15353793476794117</v>
      </c>
      <c r="J43" s="581">
        <f>IF(Operations!J3&gt;'Project Assumtions'!$I$15+1,0,J30/'Project Assumtions'!$I$10/SUM('Book Income Statement'!K6:K8))</f>
        <v>0.15814407281097939</v>
      </c>
      <c r="K43" s="581">
        <f>IF(Operations!K3&gt;'Project Assumtions'!$I$15+1,0,K30/'Project Assumtions'!$I$10/SUM('Book Income Statement'!L6:L8))</f>
        <v>0.1628883949953088</v>
      </c>
      <c r="L43" s="581">
        <f>IF(Operations!L3&gt;'Project Assumtions'!$I$15+1,0,L30/'Project Assumtions'!$I$10/SUM('Book Income Statement'!M6:M8))</f>
        <v>0.16777504684516806</v>
      </c>
      <c r="M43" s="581">
        <f>IF(Operations!M3&gt;'Project Assumtions'!$I$15+1,0,M30/'Project Assumtions'!$I$10/SUM('Book Income Statement'!N6:N8))</f>
        <v>0.1728082982505231</v>
      </c>
      <c r="N43" s="581">
        <f>IF(Operations!N3&gt;'Project Assumtions'!$I$15+1,0,N30/'Project Assumtions'!$I$10/SUM('Book Income Statement'!O6:O8))</f>
        <v>0.17799254719803878</v>
      </c>
      <c r="O43" s="581">
        <f>IF(Operations!O3&gt;'Project Assumtions'!$I$15+1,0,O30/'Project Assumtions'!$I$10/SUM('Book Income Statement'!P6:P8))</f>
        <v>0.18333232361397991</v>
      </c>
      <c r="P43" s="581">
        <f>IF(Operations!P3&gt;'Project Assumtions'!$I$15+1,0,P30/'Project Assumtions'!$I$10/SUM('Book Income Statement'!Q6:Q8))</f>
        <v>0.18883229332239934</v>
      </c>
      <c r="Q43" s="581">
        <f>IF(Operations!Q3&gt;'Project Assumtions'!$I$15+1,0,Q30/'Project Assumtions'!$I$10/SUM('Book Income Statement'!R6:R8))</f>
        <v>0.19449726212207133</v>
      </c>
      <c r="R43" s="581">
        <f>IF(Operations!R3&gt;'Project Assumtions'!$I$15+1,0,R30/'Project Assumtions'!$I$10/SUM('Book Income Statement'!S6:S8))</f>
        <v>0.20033217998573341</v>
      </c>
      <c r="S43" s="581">
        <f>IF(Operations!S3&gt;'Project Assumtions'!$I$15+1,0,S30/'Project Assumtions'!$I$10/SUM('Book Income Statement'!T6:T8))</f>
        <v>0.2063421453853054</v>
      </c>
      <c r="T43" s="581">
        <f>IF(Operations!T3&gt;'Project Assumtions'!$I$15+1,0,T30/'Project Assumtions'!$I$10/SUM('Book Income Statement'!U6:U8))</f>
        <v>0.2125324097468646</v>
      </c>
      <c r="U43" s="581">
        <f>IF(Operations!U3&gt;'Project Assumtions'!$I$15+1,0,U30/'Project Assumtions'!$I$10/SUM('Book Income Statement'!V6:V8))</f>
        <v>0.21890838203927057</v>
      </c>
      <c r="V43" s="581">
        <f>IF(Operations!V3&gt;'Project Assumtions'!$I$15+1,0,V30/'Project Assumtions'!$I$10/SUM('Book Income Statement'!W6:W8))</f>
        <v>0.22547563350044864</v>
      </c>
      <c r="W43" s="581">
        <f>IF(Operations!W3&gt;'Project Assumtions'!$I$15+1,0,W30/'Project Assumtions'!$I$10/SUM('Book Income Statement'!X6:X8))</f>
        <v>0.5573757660131089</v>
      </c>
      <c r="X43" s="581" t="e">
        <f>IF(Operations!X3&gt;'Project Assumtions'!$I$15+1,0,X30/'Project Assumtions'!$I$10/SUM('Book Income Statement'!Y6:Y8))</f>
        <v>#DIV/0!</v>
      </c>
      <c r="Y43" s="581" t="e">
        <f>IF(Operations!Y3&gt;'Project Assumtions'!$I$15+1,0,Y30/'Project Assumtions'!$I$10/SUM('Book Income Statement'!Z6:Z8))</f>
        <v>#DIV/0!</v>
      </c>
      <c r="Z43" s="581" t="e">
        <f>IF(Operations!Z3&gt;'Project Assumtions'!$I$15+1,0,Z30/'Project Assumtions'!$I$10/SUM('Book Income Statement'!AA6:AA8))</f>
        <v>#DIV/0!</v>
      </c>
      <c r="AA43" s="582" t="e">
        <f>IF(Operations!AA3&gt;'Project Assumtions'!$I$15+1,0,AA30/'Project Assumtions'!$I$10/SUM('Book Income Statement'!AB6:AB8))</f>
        <v>#DIV/0!</v>
      </c>
      <c r="AB43" s="72"/>
      <c r="AC43" s="72"/>
      <c r="AD43" s="72"/>
      <c r="AE43" s="72"/>
      <c r="AF43" s="72"/>
      <c r="AG43" s="72"/>
      <c r="AH43" s="72"/>
      <c r="AI43" s="72"/>
    </row>
    <row r="44" spans="1:35" s="41" customFormat="1" ht="12.6" customHeight="1">
      <c r="A44" s="553" t="s">
        <v>544</v>
      </c>
      <c r="B44" s="237">
        <f>AVERAGE(C44:V44)</f>
        <v>0.52350989804487991</v>
      </c>
      <c r="C44" s="581">
        <f>IF(Operations!C3&gt;'Project Assumtions'!$I$15+1,0,C31/'Project Assumtions'!$I$10/SUM('Book Income Statement'!D6:D8))</f>
        <v>0.65068449848024312</v>
      </c>
      <c r="D44" s="581">
        <f>IF(Operations!D3&gt;'Project Assumtions'!$I$15+1,0,D31/'Project Assumtions'!$I$10/SUM('Book Income Statement'!E6:E8))</f>
        <v>0.39095293617021282</v>
      </c>
      <c r="E44" s="581">
        <f>IF(Operations!E3&gt;'Project Assumtions'!$I$15+1,0,E31/'Project Assumtions'!$I$10/SUM('Book Income Statement'!F6:F8))</f>
        <v>0.40268152425531917</v>
      </c>
      <c r="F44" s="581">
        <f>IF(Operations!F3&gt;'Project Assumtions'!$I$15+1,0,F31/'Project Assumtions'!$I$10/SUM('Book Income Statement'!G6:G8))</f>
        <v>0.41476196998297876</v>
      </c>
      <c r="G44" s="581">
        <f>IF(Operations!G3&gt;'Project Assumtions'!$I$15+1,0,G31/'Project Assumtions'!$I$10/SUM('Book Income Statement'!H6:H8))</f>
        <v>0.42720482908246799</v>
      </c>
      <c r="H44" s="581">
        <f>IF(Operations!H3&gt;'Project Assumtions'!$I$15+1,0,H31/'Project Assumtions'!$I$10/SUM('Book Income Statement'!I6:I8))</f>
        <v>0.44002097395494205</v>
      </c>
      <c r="I44" s="581">
        <f>IF(Operations!I3&gt;'Project Assumtions'!$I$15+1,0,I31/'Project Assumtions'!$I$10/SUM('Book Income Statement'!J6:J8))</f>
        <v>0.45322160317359045</v>
      </c>
      <c r="J44" s="581">
        <f>IF(Operations!J3&gt;'Project Assumtions'!$I$15+1,0,J31/'Project Assumtions'!$I$10/SUM('Book Income Statement'!K6:K8))</f>
        <v>0.46681825126879811</v>
      </c>
      <c r="K44" s="581">
        <f>IF(Operations!K3&gt;'Project Assumtions'!$I$15+1,0,K31/'Project Assumtions'!$I$10/SUM('Book Income Statement'!L6:L8))</f>
        <v>0.48082279880686202</v>
      </c>
      <c r="L44" s="581">
        <f>IF(Operations!L3&gt;'Project Assumtions'!$I$15+1,0,L31/'Project Assumtions'!$I$10/SUM('Book Income Statement'!M6:M8))</f>
        <v>0.49524748277106784</v>
      </c>
      <c r="M44" s="581">
        <f>IF(Operations!M3&gt;'Project Assumtions'!$I$15+1,0,M31/'Project Assumtions'!$I$10/SUM('Book Income Statement'!N6:N8))</f>
        <v>0.51010490725419999</v>
      </c>
      <c r="N44" s="581">
        <f>IF(Operations!N3&gt;'Project Assumtions'!$I$15+1,0,N31/'Project Assumtions'!$I$10/SUM('Book Income Statement'!O6:O8))</f>
        <v>0.52540805447182581</v>
      </c>
      <c r="O44" s="581">
        <f>IF(Operations!O3&gt;'Project Assumtions'!$I$15+1,0,O31/'Project Assumtions'!$I$10/SUM('Book Income Statement'!P6:P8))</f>
        <v>0.54117029610598066</v>
      </c>
      <c r="P44" s="581">
        <f>IF(Operations!P3&gt;'Project Assumtions'!$I$15+1,0,P31/'Project Assumtions'!$I$10/SUM('Book Income Statement'!Q6:Q8))</f>
        <v>0.55740540498916002</v>
      </c>
      <c r="Q44" s="581">
        <f>IF(Operations!Q3&gt;'Project Assumtions'!$I$15+1,0,Q31/'Project Assumtions'!$I$10/SUM('Book Income Statement'!R6:R8))</f>
        <v>0.57412756713883484</v>
      </c>
      <c r="R44" s="581">
        <f>IF(Operations!R3&gt;'Project Assumtions'!$I$15+1,0,R31/'Project Assumtions'!$I$10/SUM('Book Income Statement'!S6:S8))</f>
        <v>0.59135139415299987</v>
      </c>
      <c r="S44" s="581">
        <f>IF(Operations!S3&gt;'Project Assumtions'!$I$15+1,0,S31/'Project Assumtions'!$I$10/SUM('Book Income Statement'!T6:T8))</f>
        <v>0.60909193597758982</v>
      </c>
      <c r="T44" s="581">
        <f>IF(Operations!T3&gt;'Project Assumtions'!$I$15+1,0,T31/'Project Assumtions'!$I$10/SUM('Book Income Statement'!U6:U8))</f>
        <v>0.62736469405691753</v>
      </c>
      <c r="U44" s="581">
        <f>IF(Operations!U3&gt;'Project Assumtions'!$I$15+1,0,U31/'Project Assumtions'!$I$10/SUM('Book Income Statement'!V6:V8))</f>
        <v>0.64618563487862501</v>
      </c>
      <c r="V44" s="581">
        <f>IF(Operations!V3&gt;'Project Assumtions'!$I$15+1,0,V31/'Project Assumtions'!$I$10/SUM('Book Income Statement'!W6:W8))</f>
        <v>0.66557120392498381</v>
      </c>
      <c r="W44" s="581">
        <f>IF(Operations!W3&gt;'Project Assumtions'!$I$15+1,0,W31/'Project Assumtions'!$I$10/SUM('Book Income Statement'!X6:X8))</f>
        <v>1.6452920161025595</v>
      </c>
      <c r="X44" s="581" t="e">
        <f>IF(Operations!X3&gt;'Project Assumtions'!$I$15+1,0,X31/'Project Assumtions'!$I$10/SUM('Book Income Statement'!Y6:Y8))</f>
        <v>#DIV/0!</v>
      </c>
      <c r="Y44" s="581" t="e">
        <f>IF(Operations!Y3&gt;'Project Assumtions'!$I$15+1,0,Y31/'Project Assumtions'!$I$10/SUM('Book Income Statement'!Z6:Z8))</f>
        <v>#DIV/0!</v>
      </c>
      <c r="Z44" s="581" t="e">
        <f>IF(Operations!Z3&gt;'Project Assumtions'!$I$15+1,0,Z31/'Project Assumtions'!$I$10/SUM('Book Income Statement'!AA6:AA8))</f>
        <v>#DIV/0!</v>
      </c>
      <c r="AA44" s="582" t="e">
        <f>IF(Operations!AA3&gt;'Project Assumtions'!$I$15+1,0,AA31/'Project Assumtions'!$I$10/SUM('Book Income Statement'!AB6:AB8))</f>
        <v>#DIV/0!</v>
      </c>
      <c r="AB44" s="72"/>
      <c r="AC44" s="72"/>
      <c r="AD44" s="72"/>
      <c r="AE44" s="72"/>
      <c r="AF44" s="72"/>
      <c r="AG44" s="72"/>
      <c r="AH44" s="72"/>
      <c r="AI44" s="72"/>
    </row>
    <row r="45" spans="1:35" s="41" customFormat="1" ht="14.25" customHeight="1">
      <c r="A45" s="553" t="s">
        <v>546</v>
      </c>
      <c r="B45" s="236">
        <f>AVERAGE(C45:V45)</f>
        <v>0.63806318246207638</v>
      </c>
      <c r="C45" s="583">
        <f>IF(Operations!C3&gt;'Project Assumtions'!$I$15+1,0,C32/('Project Assumtions'!$I$10*SUM('Book Income Statement'!D6:D8)))</f>
        <v>0.42596835242232073</v>
      </c>
      <c r="D45" s="583">
        <f>IF(Operations!D3&gt;'Project Assumtions'!$I$15+1,0,D32/('Project Assumtions'!$I$10*SUM('Book Income Statement'!E6:E8)))</f>
        <v>0.42598328192102874</v>
      </c>
      <c r="E45" s="583">
        <f>IF(Operations!E3&gt;'Project Assumtions'!$I$15+1,0,E32/('Project Assumtions'!$I$10*SUM('Book Income Statement'!F6:F8)))</f>
        <v>0.43876278037865957</v>
      </c>
      <c r="F45" s="583">
        <f>IF(Operations!F3&gt;'Project Assumtions'!$I$15+1,0,F32/('Project Assumtions'!$I$10*SUM('Book Income Statement'!G6:G8)))</f>
        <v>0.49663381981838822</v>
      </c>
      <c r="G45" s="583">
        <f>IF(Operations!G3&gt;'Project Assumtions'!$I$15+1,0,G32/('Project Assumtions'!$I$10*SUM('Book Income Statement'!H6:H8)))</f>
        <v>0.54442526349095399</v>
      </c>
      <c r="H45" s="583">
        <f>IF(Operations!H3&gt;'Project Assumtions'!$I$15+1,0,H32/('Project Assumtions'!$I$10*SUM('Book Income Statement'!I6:I8)))</f>
        <v>0.56075802139568254</v>
      </c>
      <c r="I45" s="583">
        <f>IF(Operations!I3&gt;'Project Assumtions'!$I$15+1,0,I32/('Project Assumtions'!$I$10*SUM('Book Income Statement'!J6:J8)))</f>
        <v>0.57758076203755315</v>
      </c>
      <c r="J45" s="583">
        <f>IF(Operations!J3&gt;'Project Assumtions'!$I$15+1,0,J32/('Project Assumtions'!$I$10*SUM('Book Income Statement'!K6:K8)))</f>
        <v>0.59490818489867969</v>
      </c>
      <c r="K45" s="583">
        <f>IF(Operations!K3&gt;'Project Assumtions'!$I$15+1,0,K32/('Project Assumtions'!$I$10*SUM('Book Income Statement'!L6:L8)))</f>
        <v>0.61275543044563996</v>
      </c>
      <c r="L45" s="583">
        <f>IF(Operations!L3&gt;'Project Assumtions'!$I$15+1,0,L32/('Project Assumtions'!$I$10*SUM('Book Income Statement'!M6:M8)))</f>
        <v>0.63113809335900928</v>
      </c>
      <c r="M45" s="583">
        <f>IF(Operations!M3&gt;'Project Assumtions'!$I$15+1,0,M32/('Project Assumtions'!$I$10*SUM('Book Income Statement'!N6:N8)))</f>
        <v>0.65007223615977949</v>
      </c>
      <c r="N45" s="583">
        <f>IF(Operations!N3&gt;'Project Assumtions'!$I$15+1,0,N32/('Project Assumtions'!$I$10*SUM('Book Income Statement'!O6:O8)))</f>
        <v>0.66957440324457285</v>
      </c>
      <c r="O45" s="583">
        <f>IF(Operations!O3&gt;'Project Assumtions'!$I$15+1,0,O32/('Project Assumtions'!$I$10*SUM('Book Income Statement'!P6:P8)))</f>
        <v>0.68966163534191005</v>
      </c>
      <c r="P45" s="583">
        <f>IF(Operations!P3&gt;'Project Assumtions'!$I$15+1,0,P32/('Project Assumtions'!$I$10*SUM('Book Income Statement'!Q6:Q8)))</f>
        <v>0.71035148440216733</v>
      </c>
      <c r="Q45" s="583">
        <f>IF(Operations!Q3&gt;'Project Assumtions'!$I$15+1,0,Q32/('Project Assumtions'!$I$10*SUM('Book Income Statement'!R6:R8)))</f>
        <v>0.73166202893423249</v>
      </c>
      <c r="R45" s="583">
        <f>IF(Operations!R3&gt;'Project Assumtions'!$I$15+1,0,R32/('Project Assumtions'!$I$10*SUM('Book Income Statement'!S6:S8)))</f>
        <v>0.75361188980225946</v>
      </c>
      <c r="S45" s="583">
        <f>IF(Operations!S3&gt;'Project Assumtions'!$I$15+1,0,S32/('Project Assumtions'!$I$10*SUM('Book Income Statement'!T6:T8)))</f>
        <v>0.77622024649632704</v>
      </c>
      <c r="T45" s="583">
        <f>IF(Operations!T3&gt;'Project Assumtions'!$I$15+1,0,T32/('Project Assumtions'!$I$10*SUM('Book Income Statement'!U6:U8)))</f>
        <v>0.79950685389121678</v>
      </c>
      <c r="U45" s="583">
        <f>IF(Operations!U3&gt;'Project Assumtions'!$I$15+1,0,U32/('Project Assumtions'!$I$10*SUM('Book Income Statement'!V6:V8)))</f>
        <v>0.82349205950795346</v>
      </c>
      <c r="V45" s="583">
        <f>IF(Operations!V3&gt;'Project Assumtions'!$I$15+1,0,V32/('Project Assumtions'!$I$10*SUM('Book Income Statement'!W6:W8)))</f>
        <v>0.84819682129319185</v>
      </c>
      <c r="W45" s="583">
        <f>IF(Operations!W3&gt;'Project Assumtions'!$I$15+1,0,W32/('Project Assumtions'!$I$10*SUM('Book Income Statement'!X6:X8)))</f>
        <v>0.91751137452017262</v>
      </c>
      <c r="X45" s="583" t="e">
        <f>IF(Operations!X3&gt;'Project Assumtions'!$I$15+1,0,X32/('Project Assumtions'!$I$10*SUM('Book Income Statement'!Y6:Y8)))</f>
        <v>#DIV/0!</v>
      </c>
      <c r="Y45" s="583" t="e">
        <f>IF(Operations!Y3&gt;'Project Assumtions'!$I$15+1,0,Y32/('Project Assumtions'!$I$10*SUM('Book Income Statement'!Z6:Z8)))</f>
        <v>#DIV/0!</v>
      </c>
      <c r="Z45" s="583" t="e">
        <f>IF(Operations!Z3&gt;'Project Assumtions'!$I$15+1,0,Z32/('Project Assumtions'!$I$10*SUM('Book Income Statement'!AA6:AA8)))</f>
        <v>#DIV/0!</v>
      </c>
      <c r="AA45" s="584" t="e">
        <f>IF(Operations!AA3&gt;'Project Assumtions'!$I$15+1,0,AA32/('Project Assumtions'!$I$10*SUM('Book Income Statement'!AB6:AB8)))</f>
        <v>#DIV/0!</v>
      </c>
      <c r="AB45" s="72"/>
      <c r="AC45" s="72"/>
      <c r="AD45" s="72"/>
      <c r="AE45" s="72"/>
      <c r="AF45" s="72"/>
      <c r="AG45" s="72"/>
      <c r="AH45" s="72"/>
      <c r="AI45" s="72"/>
    </row>
    <row r="46" spans="1:35" s="41" customFormat="1" ht="12.6" customHeight="1">
      <c r="A46" s="553" t="s">
        <v>547</v>
      </c>
      <c r="B46" s="237">
        <f>AVERAGE(C46:V46)</f>
        <v>1.3328133486921216</v>
      </c>
      <c r="C46" s="581">
        <f t="shared" ref="C46:V46" si="13">SUM(C43:C45)</f>
        <v>1.1964907941649752</v>
      </c>
      <c r="D46" s="581">
        <f t="shared" si="13"/>
        <v>0.94036929965152527</v>
      </c>
      <c r="E46" s="581">
        <f t="shared" si="13"/>
        <v>0.96858037864107094</v>
      </c>
      <c r="F46" s="581">
        <f t="shared" si="13"/>
        <v>1.0486049447963695</v>
      </c>
      <c r="G46" s="581">
        <f t="shared" si="13"/>
        <v>1.1163543217825285</v>
      </c>
      <c r="H46" s="581">
        <f t="shared" si="13"/>
        <v>1.1498449514360045</v>
      </c>
      <c r="I46" s="581">
        <f t="shared" si="13"/>
        <v>1.1843402999790849</v>
      </c>
      <c r="J46" s="581">
        <f t="shared" si="13"/>
        <v>1.2198705089784572</v>
      </c>
      <c r="K46" s="581">
        <f t="shared" si="13"/>
        <v>1.2564666242478109</v>
      </c>
      <c r="L46" s="581">
        <f t="shared" si="13"/>
        <v>1.2941606229752451</v>
      </c>
      <c r="M46" s="581">
        <f t="shared" si="13"/>
        <v>1.3329854416645026</v>
      </c>
      <c r="N46" s="581">
        <f t="shared" si="13"/>
        <v>1.3729750049144376</v>
      </c>
      <c r="O46" s="581">
        <f t="shared" si="13"/>
        <v>1.4141642550618707</v>
      </c>
      <c r="P46" s="581">
        <f t="shared" si="13"/>
        <v>1.4565891827137267</v>
      </c>
      <c r="Q46" s="581">
        <f t="shared" si="13"/>
        <v>1.5002868581951385</v>
      </c>
      <c r="R46" s="581">
        <f t="shared" si="13"/>
        <v>1.5452954639409926</v>
      </c>
      <c r="S46" s="581">
        <f t="shared" si="13"/>
        <v>1.5916543278592221</v>
      </c>
      <c r="T46" s="581">
        <f t="shared" si="13"/>
        <v>1.639403957694999</v>
      </c>
      <c r="U46" s="581">
        <f t="shared" si="13"/>
        <v>1.6885860764258491</v>
      </c>
      <c r="V46" s="581">
        <f t="shared" si="13"/>
        <v>1.7392436587186242</v>
      </c>
      <c r="W46" s="581">
        <f>SUM(W43:W45)</f>
        <v>3.1201791566358406</v>
      </c>
      <c r="X46" s="581" t="e">
        <f>SUM(X43:X45)</f>
        <v>#DIV/0!</v>
      </c>
      <c r="Y46" s="581" t="e">
        <f>SUM(Y43:Y45)</f>
        <v>#DIV/0!</v>
      </c>
      <c r="Z46" s="581" t="e">
        <f>SUM(Z43:Z45)</f>
        <v>#DIV/0!</v>
      </c>
      <c r="AA46" s="582" t="e">
        <f>SUM(AA43:AA45)</f>
        <v>#DIV/0!</v>
      </c>
      <c r="AB46" s="72"/>
      <c r="AC46" s="72"/>
      <c r="AD46" s="72"/>
      <c r="AE46" s="72"/>
      <c r="AF46" s="72"/>
      <c r="AG46" s="72"/>
      <c r="AH46" s="72"/>
      <c r="AI46" s="72"/>
    </row>
    <row r="47" spans="1:35" s="41" customFormat="1" ht="12.6" customHeight="1">
      <c r="A47" s="553"/>
      <c r="B47" s="238"/>
      <c r="C47" s="585"/>
      <c r="D47" s="585"/>
      <c r="E47" s="585"/>
      <c r="F47" s="585"/>
      <c r="G47" s="585"/>
      <c r="H47" s="585"/>
      <c r="I47" s="585"/>
      <c r="J47" s="585"/>
      <c r="K47" s="585"/>
      <c r="L47" s="585"/>
      <c r="M47" s="585"/>
      <c r="N47" s="585"/>
      <c r="O47" s="585"/>
      <c r="P47" s="585"/>
      <c r="Q47" s="585"/>
      <c r="R47" s="585"/>
      <c r="S47" s="585"/>
      <c r="T47" s="585"/>
      <c r="U47" s="585"/>
      <c r="V47" s="585"/>
      <c r="W47" s="585"/>
      <c r="X47" s="585"/>
      <c r="Y47" s="585"/>
      <c r="Z47" s="585"/>
      <c r="AA47" s="586"/>
      <c r="AB47" s="72"/>
      <c r="AC47" s="72"/>
      <c r="AD47" s="72"/>
      <c r="AE47" s="72"/>
      <c r="AF47" s="72"/>
      <c r="AG47" s="72"/>
      <c r="AH47" s="72"/>
      <c r="AI47" s="72"/>
    </row>
    <row r="48" spans="1:35" s="41" customFormat="1" ht="12.6" customHeight="1">
      <c r="A48" s="553" t="s">
        <v>148</v>
      </c>
      <c r="B48" s="237">
        <f>AVERAGE(C48:V48)</f>
        <v>1.3328133486921216</v>
      </c>
      <c r="C48" s="581">
        <f t="shared" ref="C48:V48" si="14">C46</f>
        <v>1.1964907941649752</v>
      </c>
      <c r="D48" s="581">
        <f t="shared" si="14"/>
        <v>0.94036929965152527</v>
      </c>
      <c r="E48" s="581">
        <f t="shared" si="14"/>
        <v>0.96858037864107094</v>
      </c>
      <c r="F48" s="581">
        <f t="shared" si="14"/>
        <v>1.0486049447963695</v>
      </c>
      <c r="G48" s="581">
        <f t="shared" si="14"/>
        <v>1.1163543217825285</v>
      </c>
      <c r="H48" s="581">
        <f t="shared" si="14"/>
        <v>1.1498449514360045</v>
      </c>
      <c r="I48" s="581">
        <f t="shared" si="14"/>
        <v>1.1843402999790849</v>
      </c>
      <c r="J48" s="581">
        <f t="shared" si="14"/>
        <v>1.2198705089784572</v>
      </c>
      <c r="K48" s="581">
        <f t="shared" si="14"/>
        <v>1.2564666242478109</v>
      </c>
      <c r="L48" s="581">
        <f t="shared" si="14"/>
        <v>1.2941606229752451</v>
      </c>
      <c r="M48" s="581">
        <f t="shared" si="14"/>
        <v>1.3329854416645026</v>
      </c>
      <c r="N48" s="581">
        <f t="shared" si="14"/>
        <v>1.3729750049144376</v>
      </c>
      <c r="O48" s="581">
        <f t="shared" si="14"/>
        <v>1.4141642550618707</v>
      </c>
      <c r="P48" s="581">
        <f t="shared" si="14"/>
        <v>1.4565891827137267</v>
      </c>
      <c r="Q48" s="581">
        <f t="shared" si="14"/>
        <v>1.5002868581951385</v>
      </c>
      <c r="R48" s="581">
        <f t="shared" si="14"/>
        <v>1.5452954639409926</v>
      </c>
      <c r="S48" s="581">
        <f t="shared" si="14"/>
        <v>1.5916543278592221</v>
      </c>
      <c r="T48" s="581">
        <f t="shared" si="14"/>
        <v>1.639403957694999</v>
      </c>
      <c r="U48" s="581">
        <f t="shared" si="14"/>
        <v>1.6885860764258491</v>
      </c>
      <c r="V48" s="581">
        <f t="shared" si="14"/>
        <v>1.7392436587186242</v>
      </c>
      <c r="W48" s="581">
        <f>W46</f>
        <v>3.1201791566358406</v>
      </c>
      <c r="X48" s="581" t="e">
        <f>X46</f>
        <v>#DIV/0!</v>
      </c>
      <c r="Y48" s="581" t="e">
        <f>Y46</f>
        <v>#DIV/0!</v>
      </c>
      <c r="Z48" s="581" t="e">
        <f>Z46</f>
        <v>#DIV/0!</v>
      </c>
      <c r="AA48" s="582" t="e">
        <f>AA46</f>
        <v>#DIV/0!</v>
      </c>
      <c r="AB48" s="72"/>
      <c r="AC48" s="72"/>
      <c r="AD48" s="72"/>
      <c r="AE48" s="72"/>
      <c r="AF48" s="72"/>
      <c r="AG48" s="72"/>
      <c r="AH48" s="72"/>
      <c r="AI48" s="72"/>
    </row>
    <row r="49" spans="1:35" s="41" customFormat="1" ht="12.6" customHeight="1">
      <c r="A49" s="553" t="s">
        <v>548</v>
      </c>
      <c r="B49" s="237">
        <f>AVERAGE(C49:V49)</f>
        <v>8.4487092792304042E-2</v>
      </c>
      <c r="C49" s="899">
        <f>IF(Operations!C3&gt;'Project Assumtions'!$I$15+1,0,C33/'Project Assumtions'!$I$10/SUM('Book Income Statement'!D6:D8))</f>
        <v>4.4613878823610946E-2</v>
      </c>
      <c r="D49" s="899">
        <f>IF(Operations!D3&gt;'Project Assumtions'!$I$15+1,0,D33/'Project Assumtions'!$I$10/SUM('Book Income Statement'!E6:E8))</f>
        <v>0</v>
      </c>
      <c r="E49" s="899">
        <f>IF(Operations!E3&gt;'Project Assumtions'!$I$15+1,0,E33/'Project Assumtions'!$I$10/SUM('Book Income Statement'!F6:F8))</f>
        <v>1.5494536535115592E-2</v>
      </c>
      <c r="F49" s="899">
        <f>IF(Operations!F3&gt;'Project Assumtions'!$I$15+1,0,F33/'Project Assumtions'!$I$10/SUM('Book Income Statement'!G6:G8))</f>
        <v>2.876901207833768E-2</v>
      </c>
      <c r="G49" s="899">
        <f>IF(Operations!G3&gt;'Project Assumtions'!$I$15+1,0,G33/'Project Assumtions'!$I$10/SUM('Book Income Statement'!H6:H8))</f>
        <v>3.925313399874919E-2</v>
      </c>
      <c r="H49" s="899">
        <f>IF(Operations!H3&gt;'Project Assumtions'!$I$15+1,0,H33/'Project Assumtions'!$I$10/SUM('Book Income Statement'!I6:I8))</f>
        <v>4.7379058292317394E-2</v>
      </c>
      <c r="I49" s="899">
        <f>IF(Operations!I3&gt;'Project Assumtions'!$I$15+1,0,I33/'Project Assumtions'!$I$10/SUM('Book Income Statement'!J6:J8))</f>
        <v>6.2669908117501449E-2</v>
      </c>
      <c r="J49" s="899">
        <f>IF(Operations!J3&gt;'Project Assumtions'!$I$15+1,0,J33/'Project Assumtions'!$I$10/SUM('Book Income Statement'!K6:K8))</f>
        <v>8.1842282754654855E-2</v>
      </c>
      <c r="K49" s="899">
        <f>IF(Operations!K3&gt;'Project Assumtions'!$I$15+1,0,K33/'Project Assumtions'!$I$10/SUM('Book Income Statement'!L6:L8))</f>
        <v>9.3983718455451781E-2</v>
      </c>
      <c r="L49" s="899">
        <f>IF(Operations!L3&gt;'Project Assumtions'!$I$15+1,0,L33/'Project Assumtions'!$I$10/SUM('Book Income Statement'!M6:M8))</f>
        <v>9.2716564249334096E-2</v>
      </c>
      <c r="M49" s="899">
        <f>IF(Operations!M3&gt;'Project Assumtions'!$I$15+1,0,M33/'Project Assumtions'!$I$10/SUM('Book Income Statement'!N6:N8))</f>
        <v>9.1774804079042135E-2</v>
      </c>
      <c r="N49" s="899">
        <f>IF(Operations!N3&gt;'Project Assumtions'!$I$15+1,0,N33/'Project Assumtions'!$I$10/SUM('Book Income Statement'!O6:O8))</f>
        <v>0.12124943982910726</v>
      </c>
      <c r="O49" s="899">
        <f>IF(Operations!O3&gt;'Project Assumtions'!$I$15+1,0,O33/'Project Assumtions'!$I$10/SUM('Book Income Statement'!P6:P8))</f>
        <v>0.12124943982910726</v>
      </c>
      <c r="P49" s="899">
        <f>IF(Operations!P3&gt;'Project Assumtions'!$I$15+1,0,P33/'Project Assumtions'!$I$10/SUM('Book Income Statement'!Q6:Q8))</f>
        <v>0.12124943982910726</v>
      </c>
      <c r="Q49" s="899">
        <f>IF(Operations!Q3&gt;'Project Assumtions'!$I$15+1,0,Q33/'Project Assumtions'!$I$10/SUM('Book Income Statement'!R6:R8))</f>
        <v>0.12124943982910726</v>
      </c>
      <c r="R49" s="899">
        <f>IF(Operations!R3&gt;'Project Assumtions'!$I$15+1,0,R33/'Project Assumtions'!$I$10/SUM('Book Income Statement'!S6:S8))</f>
        <v>0.12124943982910726</v>
      </c>
      <c r="S49" s="899">
        <f>IF(Operations!S3&gt;'Project Assumtions'!$I$15+1,0,S33/'Project Assumtions'!$I$10/SUM('Book Income Statement'!T6:T8))</f>
        <v>0.12124943982910726</v>
      </c>
      <c r="T49" s="899">
        <f>IF(Operations!T3&gt;'Project Assumtions'!$I$15+1,0,T33/'Project Assumtions'!$I$10/SUM('Book Income Statement'!U6:U8))</f>
        <v>0.12124943982910726</v>
      </c>
      <c r="U49" s="899">
        <f>IF(Operations!U3&gt;'Project Assumtions'!$I$15+1,0,U33/'Project Assumtions'!$I$10/SUM('Book Income Statement'!V6:V8))</f>
        <v>0.12124943982910726</v>
      </c>
      <c r="V49" s="899">
        <f>IF(Operations!V3&gt;'Project Assumtions'!$I$15+1,0,V33/'Project Assumtions'!$I$10/SUM('Book Income Statement'!W6:W8))</f>
        <v>0.12124943982910726</v>
      </c>
      <c r="W49" s="899">
        <f>IF(Operations!W3&gt;'Project Assumtions'!$I$15+1,0,W33/'Project Assumtions'!$I$10/SUM('Book Income Statement'!X6:X8))</f>
        <v>0.29099865558985744</v>
      </c>
      <c r="X49" s="899" t="e">
        <f>IF(Operations!X3&gt;'Project Assumtions'!$I$15+1,0,X33/'Project Assumtions'!$I$10/SUM('Book Income Statement'!Y6:Y8))</f>
        <v>#DIV/0!</v>
      </c>
      <c r="Y49" s="899" t="e">
        <f>IF(Operations!Y3&gt;'Project Assumtions'!$I$15+1,0,Y33/'Project Assumtions'!$I$10/SUM('Book Income Statement'!Z6:Z8))</f>
        <v>#DIV/0!</v>
      </c>
      <c r="Z49" s="899" t="e">
        <f>IF(Operations!Z3&gt;'Project Assumtions'!$I$15+1,0,Z33/'Project Assumtions'!$I$10/SUM('Book Income Statement'!AA6:AA8))</f>
        <v>#DIV/0!</v>
      </c>
      <c r="AA49" s="1002" t="e">
        <f>IF(Operations!AA3&gt;'Project Assumtions'!$I$15+1,0,AA33/'Project Assumtions'!$I$10/SUM('Book Income Statement'!AB6:AB8))</f>
        <v>#DIV/0!</v>
      </c>
      <c r="AB49" s="72"/>
      <c r="AC49" s="72"/>
      <c r="AD49" s="72"/>
      <c r="AE49" s="72"/>
      <c r="AF49" s="72"/>
      <c r="AG49" s="72"/>
      <c r="AH49" s="72"/>
      <c r="AI49" s="72"/>
    </row>
    <row r="50" spans="1:35" s="41" customFormat="1" ht="12.6" customHeight="1">
      <c r="A50" s="553" t="s">
        <v>505</v>
      </c>
      <c r="B50" s="237">
        <f>AVERAGE(C50:V50)</f>
        <v>0</v>
      </c>
      <c r="C50" s="899">
        <f>IF(Operations!C3&gt;'Project Assumtions'!$I$15+1,0,C34/'Project Assumtions'!$I$10/SUM('Book Income Statement'!D6:D8))</f>
        <v>0</v>
      </c>
      <c r="D50" s="899">
        <f>IF(Operations!D3&gt;'Project Assumtions'!$I$15+1,0,D34/'Project Assumtions'!$I$10/SUM('Book Income Statement'!E6:E8))</f>
        <v>0</v>
      </c>
      <c r="E50" s="899">
        <f>IF(Operations!E3&gt;'Project Assumtions'!$I$15+1,0,E34/'Project Assumtions'!$I$10/SUM('Book Income Statement'!F6:F8))</f>
        <v>0</v>
      </c>
      <c r="F50" s="899">
        <f>IF(Operations!F3&gt;'Project Assumtions'!$I$15+1,0,F34/'Project Assumtions'!$I$10/SUM('Book Income Statement'!G6:G8))</f>
        <v>0</v>
      </c>
      <c r="G50" s="899">
        <f>IF(Operations!G3&gt;'Project Assumtions'!$I$15+1,0,G34/'Project Assumtions'!$I$10/SUM('Book Income Statement'!H6:H8))</f>
        <v>0</v>
      </c>
      <c r="H50" s="899">
        <f>IF(Operations!H3&gt;'Project Assumtions'!$I$15+1,0,H34/'Project Assumtions'!$I$10/SUM('Book Income Statement'!I6:I8))</f>
        <v>0</v>
      </c>
      <c r="I50" s="899">
        <f>IF(Operations!I3&gt;'Project Assumtions'!$I$15+1,0,I34/'Project Assumtions'!$I$10/SUM('Book Income Statement'!J6:J8))</f>
        <v>0</v>
      </c>
      <c r="J50" s="899">
        <f>IF(Operations!J3&gt;'Project Assumtions'!$I$15+1,0,J34/'Project Assumtions'!$I$10/SUM('Book Income Statement'!K6:K8))</f>
        <v>0</v>
      </c>
      <c r="K50" s="899">
        <f>IF(Operations!K3&gt;'Project Assumtions'!$I$15+1,0,K34/'Project Assumtions'!$I$10/SUM('Book Income Statement'!L6:L8))</f>
        <v>0</v>
      </c>
      <c r="L50" s="899">
        <f>IF(Operations!L3&gt;'Project Assumtions'!$I$15+1,0,L34/'Project Assumtions'!$I$10/SUM('Book Income Statement'!M6:M8))</f>
        <v>0</v>
      </c>
      <c r="M50" s="899">
        <f>IF(Operations!M3&gt;'Project Assumtions'!$I$15+1,0,M34/'Project Assumtions'!$I$10/SUM('Book Income Statement'!N6:N8))</f>
        <v>0</v>
      </c>
      <c r="N50" s="899">
        <f>IF(Operations!N3&gt;'Project Assumtions'!$I$15+1,0,N34/'Project Assumtions'!$I$10/SUM('Book Income Statement'!O6:O8))</f>
        <v>0</v>
      </c>
      <c r="O50" s="899">
        <f>IF(Operations!O3&gt;'Project Assumtions'!$I$15+1,0,O34/'Project Assumtions'!$I$10/SUM('Book Income Statement'!P6:P8))</f>
        <v>0</v>
      </c>
      <c r="P50" s="899">
        <f>IF(Operations!P3&gt;'Project Assumtions'!$I$15+1,0,P34/'Project Assumtions'!$I$10/SUM('Book Income Statement'!Q6:Q8))</f>
        <v>0</v>
      </c>
      <c r="Q50" s="899">
        <f>IF(Operations!Q3&gt;'Project Assumtions'!$I$15+1,0,Q34/'Project Assumtions'!$I$10/SUM('Book Income Statement'!R6:R8))</f>
        <v>0</v>
      </c>
      <c r="R50" s="899">
        <f>IF(Operations!R3&gt;'Project Assumtions'!$I$15+1,0,R34/'Project Assumtions'!$I$10/SUM('Book Income Statement'!S6:S8))</f>
        <v>0</v>
      </c>
      <c r="S50" s="899">
        <f>IF(Operations!S3&gt;'Project Assumtions'!$I$15+1,0,S34/'Project Assumtions'!$I$10/SUM('Book Income Statement'!T6:T8))</f>
        <v>0</v>
      </c>
      <c r="T50" s="899">
        <f>IF(Operations!T3&gt;'Project Assumtions'!$I$15+1,0,T34/'Project Assumtions'!$I$10/SUM('Book Income Statement'!U6:U8))</f>
        <v>0</v>
      </c>
      <c r="U50" s="899">
        <f>IF(Operations!U3&gt;'Project Assumtions'!$I$15+1,0,U34/'Project Assumtions'!$I$10/SUM('Book Income Statement'!V6:V8))</f>
        <v>0</v>
      </c>
      <c r="V50" s="899">
        <f>IF(Operations!V3&gt;'Project Assumtions'!$I$15+1,0,V34/'Project Assumtions'!$I$10/SUM('Book Income Statement'!W6:W8))</f>
        <v>0</v>
      </c>
      <c r="W50" s="899">
        <f>IF(Operations!W3&gt;'Project Assumtions'!$I$15+1,0,W34/'Project Assumtions'!$I$10/SUM('Book Income Statement'!X6:X8))</f>
        <v>0</v>
      </c>
      <c r="X50" s="581"/>
      <c r="Y50" s="581"/>
      <c r="Z50" s="581"/>
      <c r="AA50" s="582"/>
      <c r="AB50" s="72"/>
      <c r="AC50" s="72"/>
      <c r="AD50" s="72"/>
      <c r="AE50" s="72"/>
      <c r="AF50" s="72"/>
      <c r="AG50" s="72"/>
      <c r="AH50" s="72"/>
      <c r="AI50" s="72"/>
    </row>
    <row r="51" spans="1:35" s="41" customFormat="1" ht="15" customHeight="1">
      <c r="A51" s="553" t="s">
        <v>149</v>
      </c>
      <c r="B51" s="236">
        <f>AVERAGE(C51:V51)</f>
        <v>0</v>
      </c>
      <c r="C51" s="583">
        <f>IF(Operations!C3&gt;'Project Assumtions'!$I$15+1,0,'Returns Summary'!C23/'Project Assumtions'!$I$10/SUM('Book Income Statement'!D6:D8))</f>
        <v>0</v>
      </c>
      <c r="D51" s="583">
        <f>IF(Operations!D3&gt;'Project Assumtions'!$I$15+1,0,'Returns Summary'!D23/'Project Assumtions'!$I$10/SUM('Book Income Statement'!E6:E8))</f>
        <v>0</v>
      </c>
      <c r="E51" s="583">
        <f>IF(Operations!E3&gt;'Project Assumtions'!$I$15+1,0,'Returns Summary'!E23/'Project Assumtions'!$I$10/SUM('Book Income Statement'!F6:F8))</f>
        <v>0</v>
      </c>
      <c r="F51" s="583">
        <f>IF(Operations!F3&gt;'Project Assumtions'!$I$15+1,0,'Returns Summary'!F23/'Project Assumtions'!$I$10/SUM('Book Income Statement'!G6:G8))</f>
        <v>0</v>
      </c>
      <c r="G51" s="583">
        <f>IF(Operations!G3&gt;'Project Assumtions'!$I$15+1,0,'Returns Summary'!G23/'Project Assumtions'!$I$10/SUM('Book Income Statement'!H6:H8))</f>
        <v>0</v>
      </c>
      <c r="H51" s="583">
        <f>IF(Operations!H3&gt;'Project Assumtions'!$I$15+1,0,'Returns Summary'!H23/'Project Assumtions'!$I$10/SUM('Book Income Statement'!I6:I8))</f>
        <v>0</v>
      </c>
      <c r="I51" s="583">
        <f>IF(Operations!I3&gt;'Project Assumtions'!$I$15+1,0,'Returns Summary'!I23/'Project Assumtions'!$I$10/SUM('Book Income Statement'!J6:J8))</f>
        <v>0</v>
      </c>
      <c r="J51" s="583">
        <f>IF(Operations!J3&gt;'Project Assumtions'!$I$15+1,0,'Returns Summary'!J23/'Project Assumtions'!$I$10/SUM('Book Income Statement'!K6:K8))</f>
        <v>0</v>
      </c>
      <c r="K51" s="583">
        <f>IF(Operations!K3&gt;'Project Assumtions'!$I$15+1,0,'Returns Summary'!K23/'Project Assumtions'!$I$10/SUM('Book Income Statement'!L6:L8))</f>
        <v>0</v>
      </c>
      <c r="L51" s="583">
        <f>IF(Operations!L3&gt;'Project Assumtions'!$I$15+1,0,'Returns Summary'!L23/'Project Assumtions'!$I$10/SUM('Book Income Statement'!M6:M8))</f>
        <v>0</v>
      </c>
      <c r="M51" s="583">
        <f>IF(Operations!M3&gt;'Project Assumtions'!$I$15+1,0,'Returns Summary'!M23/'Project Assumtions'!$I$10/SUM('Book Income Statement'!N6:N8))</f>
        <v>0</v>
      </c>
      <c r="N51" s="583">
        <f>IF(Operations!N3&gt;'Project Assumtions'!$I$15+1,0,'Returns Summary'!N23/'Project Assumtions'!$I$10/SUM('Book Income Statement'!O6:O8))</f>
        <v>0</v>
      </c>
      <c r="O51" s="583">
        <f>IF(Operations!O3&gt;'Project Assumtions'!$I$15+1,0,'Returns Summary'!O23/'Project Assumtions'!$I$10/SUM('Book Income Statement'!P6:P8))</f>
        <v>0</v>
      </c>
      <c r="P51" s="583">
        <f>IF(Operations!P3&gt;'Project Assumtions'!$I$15+1,0,'Returns Summary'!P23/'Project Assumtions'!$I$10/SUM('Book Income Statement'!Q6:Q8))</f>
        <v>0</v>
      </c>
      <c r="Q51" s="583">
        <f>IF(Operations!Q3&gt;'Project Assumtions'!$I$15+1,0,'Returns Summary'!Q23/'Project Assumtions'!$I$10/SUM('Book Income Statement'!R6:R8))</f>
        <v>0</v>
      </c>
      <c r="R51" s="583">
        <f>IF(Operations!R3&gt;'Project Assumtions'!$I$15+1,0,'Returns Summary'!R23/'Project Assumtions'!$I$10/SUM('Book Income Statement'!S6:S8))</f>
        <v>0</v>
      </c>
      <c r="S51" s="583">
        <f>IF(Operations!S3&gt;'Project Assumtions'!$I$15+1,0,'Returns Summary'!S23/'Project Assumtions'!$I$10/SUM('Book Income Statement'!T6:T8))</f>
        <v>0</v>
      </c>
      <c r="T51" s="583">
        <f>IF(Operations!T3&gt;'Project Assumtions'!$I$15+1,0,'Returns Summary'!T23/'Project Assumtions'!$I$10/SUM('Book Income Statement'!U6:U8))</f>
        <v>0</v>
      </c>
      <c r="U51" s="583">
        <f>IF(Operations!U3&gt;'Project Assumtions'!$I$15+1,0,'Returns Summary'!U23/'Project Assumtions'!$I$10/SUM('Book Income Statement'!V6:V8))</f>
        <v>0</v>
      </c>
      <c r="V51" s="583">
        <f>IF(Operations!V3&gt;'Project Assumtions'!$I$15+1,0,'Returns Summary'!V23/'Project Assumtions'!$I$10/SUM('Book Income Statement'!W6:W8))</f>
        <v>0</v>
      </c>
      <c r="W51" s="583">
        <f>IF(Operations!W3&gt;'Project Assumtions'!$I$15+1,0,'Returns Summary'!W23/'Project Assumtions'!$I$10/SUM('Book Income Statement'!X6:X8))</f>
        <v>0</v>
      </c>
      <c r="X51" s="583" t="e">
        <f>IF(Operations!X3&gt;'Project Assumtions'!$I$15+1,0,'Returns Summary'!X23/'Project Assumtions'!$I$10/SUM('Book Income Statement'!Y6:Y8))</f>
        <v>#DIV/0!</v>
      </c>
      <c r="Y51" s="583" t="e">
        <f>IF(Operations!Y3&gt;'Project Assumtions'!$I$15+1,0,'Returns Summary'!Y23/'Project Assumtions'!$I$10/SUM('Book Income Statement'!Z6:Z8))</f>
        <v>#DIV/0!</v>
      </c>
      <c r="Z51" s="583" t="e">
        <f>IF(Operations!Z3&gt;'Project Assumtions'!$I$15+1,0,'Returns Summary'!Z23/'Project Assumtions'!$I$10/SUM('Book Income Statement'!AA6:AA8))</f>
        <v>#DIV/0!</v>
      </c>
      <c r="AA51" s="584" t="e">
        <f>IF(Operations!AA3&gt;'Project Assumtions'!$I$15+1,0,'Returns Summary'!AA23/'Project Assumtions'!$I$10/SUM('Book Income Statement'!AB6:AB8))</f>
        <v>#DIV/0!</v>
      </c>
      <c r="AB51" s="72"/>
      <c r="AC51" s="72"/>
      <c r="AD51" s="72"/>
      <c r="AE51" s="72"/>
      <c r="AF51" s="72"/>
      <c r="AG51" s="72"/>
      <c r="AH51" s="72"/>
      <c r="AI51" s="72"/>
    </row>
    <row r="52" spans="1:35" s="41" customFormat="1" ht="12.6" customHeight="1">
      <c r="A52" s="553" t="s">
        <v>150</v>
      </c>
      <c r="B52" s="237">
        <f>AVERAGE(C52:V52)</f>
        <v>1.4173004414844255</v>
      </c>
      <c r="C52" s="581">
        <f t="shared" ref="C52:V52" si="15">SUM(C48:C51)</f>
        <v>1.2411046729885862</v>
      </c>
      <c r="D52" s="581">
        <f t="shared" si="15"/>
        <v>0.94036929965152527</v>
      </c>
      <c r="E52" s="581">
        <f t="shared" si="15"/>
        <v>0.9840749151761865</v>
      </c>
      <c r="F52" s="581">
        <f t="shared" si="15"/>
        <v>1.0773739568747072</v>
      </c>
      <c r="G52" s="581">
        <f t="shared" si="15"/>
        <v>1.1556074557812777</v>
      </c>
      <c r="H52" s="581">
        <f t="shared" si="15"/>
        <v>1.197224009728322</v>
      </c>
      <c r="I52" s="581">
        <f t="shared" si="15"/>
        <v>1.2470102080965864</v>
      </c>
      <c r="J52" s="581">
        <f t="shared" si="15"/>
        <v>1.3017127917331119</v>
      </c>
      <c r="K52" s="581">
        <f t="shared" si="15"/>
        <v>1.3504503427032626</v>
      </c>
      <c r="L52" s="581">
        <f t="shared" si="15"/>
        <v>1.3868771872245793</v>
      </c>
      <c r="M52" s="581">
        <f t="shared" si="15"/>
        <v>1.4247602457435447</v>
      </c>
      <c r="N52" s="581">
        <f t="shared" si="15"/>
        <v>1.4942244447435449</v>
      </c>
      <c r="O52" s="581">
        <f t="shared" si="15"/>
        <v>1.535413694890978</v>
      </c>
      <c r="P52" s="581">
        <f t="shared" si="15"/>
        <v>1.577838622542834</v>
      </c>
      <c r="Q52" s="581">
        <f t="shared" si="15"/>
        <v>1.6215362980242458</v>
      </c>
      <c r="R52" s="581">
        <f t="shared" si="15"/>
        <v>1.6665449037700999</v>
      </c>
      <c r="S52" s="581">
        <f t="shared" si="15"/>
        <v>1.7129037676883294</v>
      </c>
      <c r="T52" s="581">
        <f t="shared" si="15"/>
        <v>1.7606533975241063</v>
      </c>
      <c r="U52" s="581">
        <f t="shared" si="15"/>
        <v>1.8098355162549564</v>
      </c>
      <c r="V52" s="581">
        <f t="shared" si="15"/>
        <v>1.8604930985477315</v>
      </c>
      <c r="W52" s="581">
        <f>SUM(W48:W51)</f>
        <v>3.4111778122256982</v>
      </c>
      <c r="X52" s="581" t="e">
        <f>SUM(X48:X51)</f>
        <v>#DIV/0!</v>
      </c>
      <c r="Y52" s="581" t="e">
        <f>SUM(Y48:Y51)</f>
        <v>#DIV/0!</v>
      </c>
      <c r="Z52" s="581" t="e">
        <f>SUM(Z48:Z51)</f>
        <v>#DIV/0!</v>
      </c>
      <c r="AA52" s="582" t="e">
        <f>SUM(AA48:AA51)</f>
        <v>#DIV/0!</v>
      </c>
      <c r="AB52" s="72"/>
      <c r="AC52" s="72"/>
      <c r="AD52" s="72"/>
      <c r="AE52" s="72"/>
      <c r="AF52" s="72"/>
      <c r="AG52" s="72"/>
      <c r="AH52" s="72"/>
      <c r="AI52" s="72"/>
    </row>
    <row r="53" spans="1:35" s="41" customFormat="1" ht="12.6" customHeight="1">
      <c r="A53" s="553"/>
      <c r="B53" s="238"/>
      <c r="C53" s="587"/>
      <c r="D53" s="587"/>
      <c r="E53" s="587"/>
      <c r="F53" s="587"/>
      <c r="G53" s="587"/>
      <c r="H53" s="587"/>
      <c r="I53" s="587"/>
      <c r="J53" s="587"/>
      <c r="K53" s="587"/>
      <c r="L53" s="587"/>
      <c r="M53" s="587"/>
      <c r="N53" s="587"/>
      <c r="O53" s="587"/>
      <c r="P53" s="587"/>
      <c r="Q53" s="587"/>
      <c r="R53" s="587"/>
      <c r="S53" s="587"/>
      <c r="T53" s="587"/>
      <c r="U53" s="587"/>
      <c r="V53" s="587"/>
      <c r="W53" s="587"/>
      <c r="X53" s="587"/>
      <c r="Y53" s="587"/>
      <c r="Z53" s="587"/>
      <c r="AA53" s="588"/>
      <c r="AB53" s="72"/>
      <c r="AC53" s="72"/>
      <c r="AD53" s="72"/>
      <c r="AE53" s="72"/>
      <c r="AF53" s="72"/>
      <c r="AG53" s="72"/>
      <c r="AH53" s="72"/>
      <c r="AI53" s="72"/>
    </row>
    <row r="54" spans="1:35" s="41" customFormat="1" ht="12.6" customHeight="1">
      <c r="A54" s="553" t="s">
        <v>543</v>
      </c>
      <c r="B54" s="237">
        <f>AVERAGE(C54:V54)</f>
        <v>0.38708552720349898</v>
      </c>
      <c r="C54" s="587">
        <f>C39/'Project Assumtions'!$I$10/SUM('Book Income Statement'!D6:D8)</f>
        <v>0.28811323590762966</v>
      </c>
      <c r="D54" s="587">
        <f>D39/'Project Assumtions'!$I$10/SUM('Book Income Statement'!E6:E8)</f>
        <v>0.29675663298485849</v>
      </c>
      <c r="E54" s="587">
        <f>E39/'Project Assumtions'!$I$10/SUM('Book Income Statement'!F6:F8)</f>
        <v>0.30565933197440426</v>
      </c>
      <c r="F54" s="587">
        <f>F39/'Project Assumtions'!$I$10/SUM('Book Income Statement'!G6:G8)</f>
        <v>0.31482911193363639</v>
      </c>
      <c r="G54" s="587">
        <f>G39/'Project Assumtions'!$I$10/SUM('Book Income Statement'!H6:H8)</f>
        <v>0.32427398529164547</v>
      </c>
      <c r="H54" s="587">
        <f>H39/'Project Assumtions'!$I$10/SUM('Book Income Statement'!I6:I8)</f>
        <v>0.33400220485039483</v>
      </c>
      <c r="I54" s="587">
        <f>I39/'Project Assumtions'!$I$10/SUM('Book Income Statement'!J6:J8)</f>
        <v>0.34402227099590671</v>
      </c>
      <c r="J54" s="587">
        <f>J39/'Project Assumtions'!$I$10/SUM('Book Income Statement'!K6:K8)</f>
        <v>0.35434293912578391</v>
      </c>
      <c r="K54" s="587">
        <f>K39/'Project Assumtions'!$I$10/SUM('Book Income Statement'!L6:L8)</f>
        <v>0.36497322729955739</v>
      </c>
      <c r="L54" s="587">
        <f>L39/'Project Assumtions'!$I$10/SUM('Book Income Statement'!M6:M8)</f>
        <v>0.37592242411854415</v>
      </c>
      <c r="M54" s="587">
        <f>M39/'Project Assumtions'!$I$10/SUM('Book Income Statement'!N6:N8)</f>
        <v>0.38720009684210049</v>
      </c>
      <c r="N54" s="587">
        <f>N39/'Project Assumtions'!$I$10/SUM('Book Income Statement'!O6:O8)</f>
        <v>0.39881609974736337</v>
      </c>
      <c r="O54" s="587">
        <f>O39/'Project Assumtions'!$I$10/SUM('Book Income Statement'!P6:P8)</f>
        <v>0.41078058273978429</v>
      </c>
      <c r="P54" s="587">
        <f>P39/'Project Assumtions'!$I$10/SUM('Book Income Statement'!Q6:Q8)</f>
        <v>0.42310400022197786</v>
      </c>
      <c r="Q54" s="587">
        <f>Q39/'Project Assumtions'!$I$10/SUM('Book Income Statement'!R6:R8)</f>
        <v>0.43579712022863726</v>
      </c>
      <c r="R54" s="587">
        <f>R39/'Project Assumtions'!$I$10/SUM('Book Income Statement'!S6:S8)</f>
        <v>0.44887103383549626</v>
      </c>
      <c r="S54" s="587">
        <f>S39/'Project Assumtions'!$I$10/SUM('Book Income Statement'!T6:T8)</f>
        <v>0.46233716485056114</v>
      </c>
      <c r="T54" s="587">
        <f>T39/'Project Assumtions'!$I$10/SUM('Book Income Statement'!U6:U8)</f>
        <v>0.47620727979607796</v>
      </c>
      <c r="U54" s="587">
        <f>U39/'Project Assumtions'!$I$10/SUM('Book Income Statement'!V6:V8)</f>
        <v>0.4904934981899603</v>
      </c>
      <c r="V54" s="587">
        <f>V39/'Project Assumtions'!$I$10/SUM('Book Income Statement'!W6:W8)</f>
        <v>0.50520830313565901</v>
      </c>
      <c r="W54" s="587">
        <f>W39/'Project Assumtions'!$I$10/SUM('Book Income Statement'!X6:X8)</f>
        <v>0.52036455222972877</v>
      </c>
      <c r="X54" s="587" t="e">
        <f>X39/'Project Assumtions'!$I$10/SUM('Book Income Statement'!Y6:Y8)</f>
        <v>#DIV/0!</v>
      </c>
      <c r="Y54" s="587" t="e">
        <f>Y39/'Project Assumtions'!$I$10/SUM('Book Income Statement'!Z6:Z8)</f>
        <v>#DIV/0!</v>
      </c>
      <c r="Z54" s="587" t="e">
        <f>Z39/'Project Assumtions'!$I$10/SUM('Book Income Statement'!AA6:AA8)</f>
        <v>#DIV/0!</v>
      </c>
      <c r="AA54" s="588" t="e">
        <f>AA39/'Project Assumtions'!$I$10/SUM('Book Income Statement'!AB6:AB8)</f>
        <v>#DIV/0!</v>
      </c>
      <c r="AB54" s="72"/>
      <c r="AC54" s="72"/>
      <c r="AD54" s="72"/>
      <c r="AE54" s="72"/>
      <c r="AF54" s="72"/>
      <c r="AG54" s="72"/>
      <c r="AH54" s="72"/>
      <c r="AI54" s="72"/>
    </row>
    <row r="55" spans="1:35" s="41" customFormat="1" ht="12.6" customHeight="1">
      <c r="A55" s="553" t="s">
        <v>357</v>
      </c>
      <c r="B55" s="239">
        <f>AVERAGE(C55:V55)</f>
        <v>0.16918119281285748</v>
      </c>
      <c r="C55" s="587">
        <f>C40/'Project Assumtions'!$I$10/SUM('Book Income Statement'!D6:D8)</f>
        <v>0.13785511651469098</v>
      </c>
      <c r="D55" s="587">
        <f>D40/'Project Assumtions'!$I$10/SUM('Book Income Statement'!E6:E8)</f>
        <v>0.1292266489361702</v>
      </c>
      <c r="E55" s="587">
        <f>E40/'Project Assumtions'!$I$10/SUM('Book Income Statement'!F6:F8)</f>
        <v>0.13310344840425528</v>
      </c>
      <c r="F55" s="587">
        <f>F40/'Project Assumtions'!$I$10/SUM('Book Income Statement'!G6:G8)</f>
        <v>0.13709655185638298</v>
      </c>
      <c r="G55" s="587">
        <f>G40/'Project Assumtions'!$I$10/SUM('Book Income Statement'!H6:H8)</f>
        <v>0.14120944841207445</v>
      </c>
      <c r="H55" s="587">
        <f>H40/'Project Assumtions'!$I$10/SUM('Book Income Statement'!I6:I8)</f>
        <v>0.14544573186443668</v>
      </c>
      <c r="I55" s="587">
        <f>I40/'Project Assumtions'!$I$10/SUM('Book Income Statement'!J6:J8)</f>
        <v>0.1498091038203698</v>
      </c>
      <c r="J55" s="587">
        <f>J40/'Project Assumtions'!$I$10/SUM('Book Income Statement'!K6:K8)</f>
        <v>0.15430337693498086</v>
      </c>
      <c r="K55" s="587">
        <f>K40/'Project Assumtions'!$I$10/SUM('Book Income Statement'!L6:L8)</f>
        <v>0.15893247824303033</v>
      </c>
      <c r="L55" s="587">
        <f>L40/'Project Assumtions'!$I$10/SUM('Book Income Statement'!M6:M8)</f>
        <v>0.1637004525903212</v>
      </c>
      <c r="M55" s="587">
        <f>M40/'Project Assumtions'!$I$10/SUM('Book Income Statement'!N6:N8)</f>
        <v>0.16861146616803088</v>
      </c>
      <c r="N55" s="587">
        <f>N40/'Project Assumtions'!$I$10/SUM('Book Income Statement'!O6:O8)</f>
        <v>0.17366981015307179</v>
      </c>
      <c r="O55" s="587">
        <f>O40/'Project Assumtions'!$I$10/SUM('Book Income Statement'!P6:P8)</f>
        <v>0.17887990445766389</v>
      </c>
      <c r="P55" s="587">
        <f>P40/'Project Assumtions'!$I$10/SUM('Book Income Statement'!Q6:Q8)</f>
        <v>0.18424630159139385</v>
      </c>
      <c r="Q55" s="587">
        <f>Q40/'Project Assumtions'!$I$10/SUM('Book Income Statement'!R6:R8)</f>
        <v>0.18977369063913566</v>
      </c>
      <c r="R55" s="587">
        <f>R40/'Project Assumtions'!$I$10/SUM('Book Income Statement'!S6:S8)</f>
        <v>0.19546690135830971</v>
      </c>
      <c r="S55" s="587">
        <f>S40/'Project Assumtions'!$I$10/SUM('Book Income Statement'!T6:T8)</f>
        <v>0.20133090839905901</v>
      </c>
      <c r="T55" s="587">
        <f>T40/'Project Assumtions'!$I$10/SUM('Book Income Statement'!U6:U8)</f>
        <v>0.20737083565103076</v>
      </c>
      <c r="U55" s="587">
        <f>U40/'Project Assumtions'!$I$10/SUM('Book Income Statement'!V6:V8)</f>
        <v>0.21359196072056172</v>
      </c>
      <c r="V55" s="587">
        <f>V40/'Project Assumtions'!$I$10/SUM('Book Income Statement'!W6:W8)</f>
        <v>0.21999971954217856</v>
      </c>
      <c r="W55" s="587">
        <f>W40/'Project Assumtions'!$I$10/SUM('Book Income Statement'!X6:X8)</f>
        <v>0.27046835971662875</v>
      </c>
      <c r="X55" s="587" t="e">
        <f>X40/'Project Assumtions'!$I$10/SUM('Book Income Statement'!Y6:Y8)</f>
        <v>#DIV/0!</v>
      </c>
      <c r="Y55" s="587" t="e">
        <f>Y40/'Project Assumtions'!$I$10/SUM('Book Income Statement'!Z6:Z8)</f>
        <v>#DIV/0!</v>
      </c>
      <c r="Z55" s="587" t="e">
        <f>Z40/'Project Assumtions'!$I$10/SUM('Book Income Statement'!AA6:AA8)</f>
        <v>#DIV/0!</v>
      </c>
      <c r="AA55" s="588" t="e">
        <f>AA40/'Project Assumtions'!$I$10/SUM('Book Income Statement'!AB6:AB8)</f>
        <v>#DIV/0!</v>
      </c>
      <c r="AB55" s="72"/>
      <c r="AC55" s="72"/>
      <c r="AD55" s="72"/>
      <c r="AE55" s="72"/>
      <c r="AF55" s="72"/>
      <c r="AG55" s="72"/>
      <c r="AH55" s="72"/>
      <c r="AI55" s="72"/>
    </row>
    <row r="56" spans="1:35" s="41" customFormat="1" ht="12.6" customHeight="1">
      <c r="A56" s="553"/>
      <c r="B56" s="79"/>
      <c r="C56" s="587"/>
      <c r="D56" s="587"/>
      <c r="E56" s="587"/>
      <c r="F56" s="587"/>
      <c r="G56" s="587"/>
      <c r="H56" s="587"/>
      <c r="I56" s="587"/>
      <c r="J56" s="587"/>
      <c r="K56" s="587"/>
      <c r="L56" s="587"/>
      <c r="M56" s="587"/>
      <c r="N56" s="587"/>
      <c r="O56" s="587"/>
      <c r="P56" s="587"/>
      <c r="Q56" s="587"/>
      <c r="R56" s="587"/>
      <c r="S56" s="587"/>
      <c r="T56" s="587"/>
      <c r="U56" s="587"/>
      <c r="V56" s="587"/>
      <c r="W56" s="587"/>
      <c r="X56" s="587"/>
      <c r="Y56" s="587"/>
      <c r="Z56" s="587"/>
      <c r="AA56" s="588"/>
      <c r="AB56" s="72"/>
      <c r="AC56" s="72"/>
      <c r="AD56" s="72"/>
      <c r="AE56" s="72"/>
      <c r="AF56" s="72"/>
      <c r="AG56" s="72"/>
      <c r="AH56" s="72"/>
      <c r="AI56" s="72"/>
    </row>
    <row r="57" spans="1:35">
      <c r="A57" s="571" t="s">
        <v>405</v>
      </c>
      <c r="B57" s="179" t="s">
        <v>355</v>
      </c>
      <c r="C57" s="575"/>
      <c r="D57" s="575"/>
      <c r="E57" s="575"/>
      <c r="F57" s="575"/>
      <c r="G57" s="575"/>
      <c r="H57" s="575"/>
      <c r="I57" s="575"/>
      <c r="J57" s="575"/>
      <c r="K57" s="575"/>
      <c r="L57" s="575"/>
      <c r="M57" s="575"/>
      <c r="N57" s="575"/>
      <c r="O57" s="575"/>
      <c r="P57" s="575"/>
      <c r="Q57" s="575"/>
      <c r="R57" s="575"/>
      <c r="S57" s="575"/>
      <c r="T57" s="575"/>
      <c r="U57" s="575"/>
      <c r="V57" s="575"/>
      <c r="W57" s="575"/>
      <c r="X57" s="575"/>
      <c r="Y57" s="575"/>
      <c r="Z57" s="575"/>
      <c r="AA57" s="576"/>
    </row>
    <row r="58" spans="1:35" s="41" customFormat="1" ht="12.6" customHeight="1">
      <c r="A58" s="553" t="s">
        <v>549</v>
      </c>
      <c r="B58" s="234">
        <f>AVERAGE(C58:V58)</f>
        <v>1.6100452067250923</v>
      </c>
      <c r="C58" s="581">
        <f>IF(Operations!C3&gt;'Project Assumtions'!$I$15+1,0,C30*1000/(Operations!C30))</f>
        <v>1.1983794326241135</v>
      </c>
      <c r="D58" s="581">
        <f>IF(Operations!D3&gt;'Project Assumtions'!$I$15+1,0,D30*1000/(Operations!D30))</f>
        <v>1.2343308156028368</v>
      </c>
      <c r="E58" s="581">
        <f>IF(Operations!E3&gt;'Project Assumtions'!$I$15+1,0,E30*1000/(Operations!E30))</f>
        <v>1.2713607400709219</v>
      </c>
      <c r="F58" s="581">
        <f>IF(Operations!F3&gt;'Project Assumtions'!$I$15+1,0,F30*1000/(Operations!F30))</f>
        <v>1.3095015622730495</v>
      </c>
      <c r="G58" s="581">
        <f>IF(Operations!G3&gt;'Project Assumtions'!$I$15+1,0,G30*1000/(Operations!G30))</f>
        <v>1.3487866091412408</v>
      </c>
      <c r="H58" s="581">
        <f>IF(Operations!H3&gt;'Project Assumtions'!$I$15+1,0,H30*1000/(Operations!H30))</f>
        <v>1.3892502074154782</v>
      </c>
      <c r="I58" s="581">
        <f>IF(Operations!I3&gt;'Project Assumtions'!$I$15+1,0,I30*1000/(Operations!I30))</f>
        <v>1.4309277136379426</v>
      </c>
      <c r="J58" s="581">
        <f>IF(Operations!J3&gt;'Project Assumtions'!$I$15+1,0,J30*1000/(Operations!J30))</f>
        <v>1.4738555450470805</v>
      </c>
      <c r="K58" s="581">
        <f>IF(Operations!K3&gt;'Project Assumtions'!$I$15+1,0,K30*1000/(Operations!K30))</f>
        <v>1.5180712113984931</v>
      </c>
      <c r="L58" s="581">
        <f>IF(Operations!L3&gt;'Project Assumtions'!$I$15+1,0,L30*1000/(Operations!L30))</f>
        <v>1.5636133477404477</v>
      </c>
      <c r="M58" s="581">
        <f>IF(Operations!M3&gt;'Project Assumtions'!$I$15+1,0,M30*1000/(Operations!M30))</f>
        <v>1.6105217481726615</v>
      </c>
      <c r="N58" s="581">
        <f>IF(Operations!N3&gt;'Project Assumtions'!$I$15+1,0,N30*1000/(Operations!N30))</f>
        <v>1.658837400617841</v>
      </c>
      <c r="O58" s="581">
        <f>IF(Operations!O3&gt;'Project Assumtions'!$I$15+1,0,O30*1000/(Operations!O30))</f>
        <v>1.7086025226363764</v>
      </c>
      <c r="P58" s="581">
        <f>IF(Operations!P3&gt;'Project Assumtions'!$I$15+1,0,P30*1000/(Operations!P30))</f>
        <v>1.7598605983154678</v>
      </c>
      <c r="Q58" s="581">
        <f>IF(Operations!Q3&gt;'Project Assumtions'!$I$15+1,0,Q30*1000/(Operations!Q30))</f>
        <v>1.8126564162649321</v>
      </c>
      <c r="R58" s="581">
        <f>IF(Operations!R3&gt;'Project Assumtions'!$I$15+1,0,R30*1000/(Operations!R30))</f>
        <v>1.8670361087528795</v>
      </c>
      <c r="S58" s="581">
        <f>IF(Operations!S3&gt;'Project Assumtions'!$I$15+1,0,S30*1000/(Operations!S30))</f>
        <v>1.9230471920154655</v>
      </c>
      <c r="T58" s="581">
        <f>IF(Operations!T3&gt;'Project Assumtions'!$I$15+1,0,T30*1000/(Operations!T30))</f>
        <v>1.9807386077759299</v>
      </c>
      <c r="U58" s="581">
        <f>IF(Operations!U3&gt;'Project Assumtions'!$I$15+1,0,U30*1000/(Operations!U30))</f>
        <v>2.0401607660092083</v>
      </c>
      <c r="V58" s="581">
        <f>IF(Operations!V3&gt;'Project Assumtions'!$I$15+1,0,V30*1000/(Operations!V30))</f>
        <v>2.1013655889894838</v>
      </c>
      <c r="W58" s="581">
        <f>IF(Operations!W3&gt;'Project Assumtions'!$I$15+1,0,W30*1000/(Operations!W30))</f>
        <v>2.1644065566591677</v>
      </c>
      <c r="X58" s="581" t="e">
        <f>IF(Operations!X3&gt;'Project Assumtions'!$I$15+1,0,X30*1000/(Operations!X30))</f>
        <v>#DIV/0!</v>
      </c>
      <c r="Y58" s="581" t="e">
        <f>IF(Operations!Y3&gt;'Project Assumtions'!$I$15+1,0,Y30*1000/(Operations!Y30))</f>
        <v>#DIV/0!</v>
      </c>
      <c r="Z58" s="581" t="e">
        <f>IF(Operations!Z3&gt;'Project Assumtions'!$I$15+1,0,Z30*1000/(Operations!Z30))</f>
        <v>#DIV/0!</v>
      </c>
      <c r="AA58" s="582" t="e">
        <f>IF(Operations!AA3&gt;'Project Assumtions'!$I$15+1,0,AA30*1000/(Operations!AA30))</f>
        <v>#DIV/0!</v>
      </c>
      <c r="AB58" s="72"/>
      <c r="AC58" s="72"/>
      <c r="AD58" s="72"/>
      <c r="AE58" s="72"/>
      <c r="AF58" s="72"/>
      <c r="AG58" s="72"/>
      <c r="AH58" s="72"/>
      <c r="AI58" s="72"/>
    </row>
    <row r="59" spans="1:35" s="41" customFormat="1" ht="12.6" customHeight="1">
      <c r="A59" s="553" t="s">
        <v>552</v>
      </c>
      <c r="B59" s="237">
        <f>AVERAGE(C59:V59)</f>
        <v>4.9327324692008405</v>
      </c>
      <c r="C59" s="581">
        <f>IF(Operations!C3&gt;'Project Assumtions'!$I$15+1,0,C31*1000/(Operations!C30))</f>
        <v>6.5068449848024317</v>
      </c>
      <c r="D59" s="581">
        <f>IF(Operations!D3&gt;'Project Assumtions'!$I$15+1,0,D31*1000/(Operations!D30))</f>
        <v>3.9095293617021278</v>
      </c>
      <c r="E59" s="581">
        <f>IF(Operations!E3&gt;'Project Assumtions'!$I$15+1,0,E31*1000/(Operations!E30))</f>
        <v>4.0268152425531918</v>
      </c>
      <c r="F59" s="581">
        <f>IF(Operations!F3&gt;'Project Assumtions'!$I$15+1,0,F31*1000/(Operations!F30))</f>
        <v>3.9584198859321038</v>
      </c>
      <c r="G59" s="581">
        <f>IF(Operations!G3&gt;'Project Assumtions'!$I$15+1,0,G31*1000/(Operations!G30))</f>
        <v>3.9814214660239373</v>
      </c>
      <c r="H59" s="581">
        <f>IF(Operations!H3&gt;'Project Assumtions'!$I$15+1,0,H31*1000/(Operations!H30))</f>
        <v>4.1008641100046557</v>
      </c>
      <c r="I59" s="581">
        <f>IF(Operations!I3&gt;'Project Assumtions'!$I$15+1,0,I31*1000/(Operations!I30))</f>
        <v>4.2238900333047962</v>
      </c>
      <c r="J59" s="581">
        <f>IF(Operations!J3&gt;'Project Assumtions'!$I$15+1,0,J31*1000/(Operations!J30))</f>
        <v>4.3506067343039394</v>
      </c>
      <c r="K59" s="581">
        <f>IF(Operations!K3&gt;'Project Assumtions'!$I$15+1,0,K31*1000/(Operations!K30))</f>
        <v>4.4811249363330568</v>
      </c>
      <c r="L59" s="581">
        <f>IF(Operations!L3&gt;'Project Assumtions'!$I$15+1,0,L31*1000/(Operations!L30))</f>
        <v>4.615558684423049</v>
      </c>
      <c r="M59" s="581">
        <f>IF(Operations!M3&gt;'Project Assumtions'!$I$15+1,0,M31*1000/(Operations!M30))</f>
        <v>4.7540254449557411</v>
      </c>
      <c r="N59" s="581">
        <f>IF(Operations!N3&gt;'Project Assumtions'!$I$15+1,0,N31*1000/(Operations!N30))</f>
        <v>4.8966462083044116</v>
      </c>
      <c r="O59" s="581">
        <f>IF(Operations!O3&gt;'Project Assumtions'!$I$15+1,0,O31*1000/(Operations!O30))</f>
        <v>5.0435455945535441</v>
      </c>
      <c r="P59" s="581">
        <f>IF(Operations!P3&gt;'Project Assumtions'!$I$15+1,0,P31*1000/(Operations!P30))</f>
        <v>5.1948519623901515</v>
      </c>
      <c r="Q59" s="581">
        <f>IF(Operations!Q3&gt;'Project Assumtions'!$I$15+1,0,Q31*1000/(Operations!Q30))</f>
        <v>5.3506975212618562</v>
      </c>
      <c r="R59" s="581">
        <f>IF(Operations!R3&gt;'Project Assumtions'!$I$15+1,0,R31*1000/(Operations!R30))</f>
        <v>5.5112184468997114</v>
      </c>
      <c r="S59" s="581">
        <f>IF(Operations!S3&gt;'Project Assumtions'!$I$15+1,0,S31*1000/(Operations!S30))</f>
        <v>5.6765550003067018</v>
      </c>
      <c r="T59" s="581">
        <f>IF(Operations!T3&gt;'Project Assumtions'!$I$15+1,0,T31*1000/(Operations!T30))</f>
        <v>5.8468516503159034</v>
      </c>
      <c r="U59" s="581">
        <f>IF(Operations!U3&gt;'Project Assumtions'!$I$15+1,0,U31*1000/(Operations!U30))</f>
        <v>6.02225719982538</v>
      </c>
      <c r="V59" s="581">
        <f>IF(Operations!V3&gt;'Project Assumtions'!$I$15+1,0,V31*1000/(Operations!V30))</f>
        <v>6.2029249158201409</v>
      </c>
      <c r="W59" s="581">
        <f>IF(Operations!W3&gt;'Project Assumtions'!$I$15+1,0,W31*1000/(Operations!W30))</f>
        <v>6.3890126632947446</v>
      </c>
      <c r="X59" s="581" t="e">
        <f>IF(Operations!X3&gt;'Project Assumtions'!$I$15+1,0,X31*1000/(Operations!X30))</f>
        <v>#DIV/0!</v>
      </c>
      <c r="Y59" s="581" t="e">
        <f>IF(Operations!Y3&gt;'Project Assumtions'!$I$15+1,0,Y31*1000/(Operations!Y30))</f>
        <v>#DIV/0!</v>
      </c>
      <c r="Z59" s="581" t="e">
        <f>IF(Operations!Z3&gt;'Project Assumtions'!$I$15+1,0,Z31*1000/(Operations!Z30))</f>
        <v>#DIV/0!</v>
      </c>
      <c r="AA59" s="582" t="e">
        <f>IF(Operations!AA3&gt;'Project Assumtions'!$I$15+1,0,AA31*1000/(Operations!AA30))</f>
        <v>#DIV/0!</v>
      </c>
      <c r="AB59" s="72"/>
      <c r="AC59" s="72"/>
      <c r="AD59" s="72"/>
      <c r="AE59" s="72"/>
      <c r="AF59" s="72"/>
      <c r="AG59" s="72"/>
      <c r="AH59" s="72"/>
      <c r="AI59" s="72"/>
    </row>
    <row r="60" spans="1:35" s="41" customFormat="1" ht="15" customHeight="1">
      <c r="A60" s="553" t="s">
        <v>550</v>
      </c>
      <c r="B60" s="236">
        <f>AVERAGE(C60:V60)</f>
        <v>5.9960275451305556</v>
      </c>
      <c r="C60" s="583">
        <f>IF(Operations!C3&gt;'Project Assumtions'!$I$15+1,0,C32*1000/Operations!C30)</f>
        <v>4.259683524223207</v>
      </c>
      <c r="D60" s="583">
        <f>IF(Operations!D3&gt;'Project Assumtions'!$I$15+1,0,D32*1000/Operations!D30)</f>
        <v>4.2598328192102866</v>
      </c>
      <c r="E60" s="583">
        <f>IF(Operations!E3&gt;'Project Assumtions'!$I$15+1,0,E32*1000/Operations!E30)</f>
        <v>4.3876278037865957</v>
      </c>
      <c r="F60" s="583">
        <f>IF(Operations!F3&gt;'Project Assumtions'!$I$15+1,0,F32*1000/Operations!F30)</f>
        <v>4.7397913277251691</v>
      </c>
      <c r="G60" s="583">
        <f>IF(Operations!G3&gt;'Project Assumtions'!$I$15+1,0,G32*1000/Operations!G30)</f>
        <v>5.0738809188184284</v>
      </c>
      <c r="H60" s="583">
        <f>IF(Operations!H3&gt;'Project Assumtions'!$I$15+1,0,H32*1000/Operations!H30)</f>
        <v>5.2260973463829803</v>
      </c>
      <c r="I60" s="583">
        <f>IF(Operations!I3&gt;'Project Assumtions'!$I$15+1,0,I32*1000/Operations!I30)</f>
        <v>5.3828802667744711</v>
      </c>
      <c r="J60" s="583">
        <f>IF(Operations!J3&gt;'Project Assumtions'!$I$15+1,0,J32*1000/Operations!J30)</f>
        <v>5.544366674777705</v>
      </c>
      <c r="K60" s="583">
        <f>IF(Operations!K3&gt;'Project Assumtions'!$I$15+1,0,K32*1000/Operations!K30)</f>
        <v>5.7106976750210343</v>
      </c>
      <c r="L60" s="583">
        <f>IF(Operations!L3&gt;'Project Assumtions'!$I$15+1,0,L32*1000/Operations!L30)</f>
        <v>5.8820186052716661</v>
      </c>
      <c r="M60" s="583">
        <f>IF(Operations!M3&gt;'Project Assumtions'!$I$15+1,0,M32*1000/Operations!M30)</f>
        <v>6.0584791634298165</v>
      </c>
      <c r="N60" s="583">
        <f>IF(Operations!N3&gt;'Project Assumtions'!$I$15+1,0,N32*1000/Operations!N30)</f>
        <v>6.2402335383327108</v>
      </c>
      <c r="O60" s="583">
        <f>IF(Operations!O3&gt;'Project Assumtions'!$I$15+1,0,O32*1000/Operations!O30)</f>
        <v>6.4274405444826925</v>
      </c>
      <c r="P60" s="583">
        <f>IF(Operations!P3&gt;'Project Assumtions'!$I$15+1,0,P32*1000/Operations!P30)</f>
        <v>6.6202637608171724</v>
      </c>
      <c r="Q60" s="583">
        <f>IF(Operations!Q3&gt;'Project Assumtions'!$I$15+1,0,Q32*1000/Operations!Q30)</f>
        <v>6.8188716736416888</v>
      </c>
      <c r="R60" s="583">
        <f>IF(Operations!R3&gt;'Project Assumtions'!$I$15+1,0,R32*1000/Operations!R30)</f>
        <v>7.0234378238509398</v>
      </c>
      <c r="S60" s="583">
        <f>IF(Operations!S3&gt;'Project Assumtions'!$I$15+1,0,S32*1000/Operations!S30)</f>
        <v>7.2341409585664671</v>
      </c>
      <c r="T60" s="583">
        <f>IF(Operations!T3&gt;'Project Assumtions'!$I$15+1,0,T32*1000/Operations!T30)</f>
        <v>7.4511651873234586</v>
      </c>
      <c r="U60" s="583">
        <f>IF(Operations!U3&gt;'Project Assumtions'!$I$15+1,0,U32*1000/Operations!U30)</f>
        <v>7.6747001429431645</v>
      </c>
      <c r="V60" s="583">
        <f>IF(Operations!V3&gt;'Project Assumtions'!$I$15+1,0,V32*1000/Operations!V30)</f>
        <v>7.9049411472314581</v>
      </c>
      <c r="W60" s="583">
        <f>IF(Operations!W3&gt;'Project Assumtions'!$I$15+1,0,W32*1000/Operations!W30)</f>
        <v>3.562888370668992</v>
      </c>
      <c r="X60" s="583" t="e">
        <f>IF(Operations!X3&gt;'Project Assumtions'!$I$15+1,0,X32*1000/Operations!X30)</f>
        <v>#DIV/0!</v>
      </c>
      <c r="Y60" s="583" t="e">
        <f>IF(Operations!Y3&gt;'Project Assumtions'!$I$15+1,0,Y32*1000/Operations!Y30)</f>
        <v>#DIV/0!</v>
      </c>
      <c r="Z60" s="583" t="e">
        <f>IF(Operations!Z3&gt;'Project Assumtions'!$I$15+1,0,Z32*1000/Operations!Z30)</f>
        <v>#DIV/0!</v>
      </c>
      <c r="AA60" s="584" t="e">
        <f>IF(Operations!AA3&gt;'Project Assumtions'!$I$15+1,0,AA32*1000/Operations!AA30)</f>
        <v>#DIV/0!</v>
      </c>
      <c r="AB60" s="72"/>
      <c r="AC60" s="72"/>
      <c r="AD60" s="72"/>
      <c r="AE60" s="72"/>
      <c r="AF60" s="72"/>
      <c r="AG60" s="72"/>
      <c r="AH60" s="72"/>
      <c r="AI60" s="72"/>
    </row>
    <row r="61" spans="1:35" s="41" customFormat="1" ht="12.6" customHeight="1">
      <c r="A61" s="589" t="s">
        <v>551</v>
      </c>
      <c r="B61" s="240">
        <f>SUM(B58:B60)</f>
        <v>12.538805221056489</v>
      </c>
      <c r="C61" s="590">
        <f>IF(Operations!C3&gt;'Project Assumtions'!$I$15+1,0,SUM(C58:C60))</f>
        <v>11.964907941649752</v>
      </c>
      <c r="D61" s="591">
        <f>IF(Operations!D3&gt;'Project Assumtions'!$I$15+1,0,SUM(D58:D60))</f>
        <v>9.4036929965152503</v>
      </c>
      <c r="E61" s="591">
        <f>IF(Operations!E3&gt;'Project Assumtions'!$I$15+1,0,SUM(E58:E60))</f>
        <v>9.6858037864107089</v>
      </c>
      <c r="F61" s="591">
        <f>IF(Operations!F3&gt;'Project Assumtions'!$I$15+1,0,SUM(F58:F60))</f>
        <v>10.007712775930322</v>
      </c>
      <c r="G61" s="591">
        <f>IF(Operations!G3&gt;'Project Assumtions'!$I$15+1,0,SUM(G58:G60))</f>
        <v>10.404088993983606</v>
      </c>
      <c r="H61" s="591">
        <f>IF(Operations!H3&gt;'Project Assumtions'!$I$15+1,0,SUM(H58:H60))</f>
        <v>10.716211663803115</v>
      </c>
      <c r="I61" s="591">
        <f>IF(Operations!I3&gt;'Project Assumtions'!$I$15+1,0,SUM(I58:I60))</f>
        <v>11.037698013717209</v>
      </c>
      <c r="J61" s="591">
        <f>IF(Operations!J3&gt;'Project Assumtions'!$I$15+1,0,SUM(J58:J60))</f>
        <v>11.368828954128725</v>
      </c>
      <c r="K61" s="591">
        <f>IF(Operations!K3&gt;'Project Assumtions'!$I$15+1,0,SUM(K58:K60))</f>
        <v>11.709893822752584</v>
      </c>
      <c r="L61" s="591">
        <f>IF(Operations!L3&gt;'Project Assumtions'!$I$15+1,0,SUM(L58:L60))</f>
        <v>12.061190637435162</v>
      </c>
      <c r="M61" s="591">
        <f>IF(Operations!M3&gt;'Project Assumtions'!$I$15+1,0,SUM(M58:M60))</f>
        <v>12.423026356558218</v>
      </c>
      <c r="N61" s="591">
        <f>IF(Operations!N3&gt;'Project Assumtions'!$I$15+1,0,SUM(N58:N60))</f>
        <v>12.795717147254964</v>
      </c>
      <c r="O61" s="591">
        <f>IF(Operations!O3&gt;'Project Assumtions'!$I$15+1,0,SUM(O58:O60))</f>
        <v>13.179588661672613</v>
      </c>
      <c r="P61" s="591">
        <f>IF(Operations!P3&gt;'Project Assumtions'!$I$15+1,0,SUM(P58:P60))</f>
        <v>13.574976321522792</v>
      </c>
      <c r="Q61" s="591">
        <f>IF(Operations!Q3&gt;'Project Assumtions'!$I$15+1,0,SUM(Q58:Q60))</f>
        <v>13.982225611168477</v>
      </c>
      <c r="R61" s="591">
        <f>IF(Operations!R3&gt;'Project Assumtions'!$I$15+1,0,SUM(R58:R60))</f>
        <v>14.40169237950353</v>
      </c>
      <c r="S61" s="591">
        <f>IF(Operations!S3&gt;'Project Assumtions'!$I$15+1,0,SUM(S58:S60))</f>
        <v>14.833743150888633</v>
      </c>
      <c r="T61" s="591">
        <f>IF(Operations!T3&gt;'Project Assumtions'!$I$15+1,0,SUM(T58:T60))</f>
        <v>15.278755445415293</v>
      </c>
      <c r="U61" s="591">
        <f>IF(Operations!U3&gt;'Project Assumtions'!$I$15+1,0,SUM(U58:U60))</f>
        <v>15.737118108777752</v>
      </c>
      <c r="V61" s="591">
        <f>IF(Operations!V3&gt;'Project Assumtions'!$I$15+1,0,SUM(V58:V60))</f>
        <v>16.209231652041083</v>
      </c>
      <c r="W61" s="591">
        <f>IF(Operations!W3&gt;'Project Assumtions'!$I$15+1,0,SUM(W58:W60))</f>
        <v>12.116307590622904</v>
      </c>
      <c r="X61" s="591" t="e">
        <f>IF(Operations!X3&gt;'Project Assumtions'!$I$15+1,0,SUM(X58:X60))</f>
        <v>#DIV/0!</v>
      </c>
      <c r="Y61" s="591" t="e">
        <f>IF(Operations!Y3&gt;'Project Assumtions'!$I$15+1,0,SUM(Y58:Y60))</f>
        <v>#DIV/0!</v>
      </c>
      <c r="Z61" s="591" t="e">
        <f>IF(Operations!Z3&gt;'Project Assumtions'!$I$15+1,0,SUM(Z58:Z60))</f>
        <v>#DIV/0!</v>
      </c>
      <c r="AA61" s="592" t="e">
        <f>IF(Operations!AA3&gt;'Project Assumtions'!$I$15+1,0,SUM(AA58:AA60))</f>
        <v>#DIV/0!</v>
      </c>
      <c r="AB61" s="72"/>
      <c r="AC61" s="72"/>
      <c r="AD61" s="72"/>
      <c r="AE61" s="72"/>
      <c r="AF61" s="72"/>
      <c r="AG61" s="72"/>
      <c r="AH61" s="72"/>
      <c r="AI61" s="72"/>
    </row>
    <row r="62" spans="1:35" s="41" customFormat="1" ht="12.6" customHeight="1">
      <c r="A62" s="72"/>
      <c r="B62" s="72"/>
      <c r="C62" s="241"/>
      <c r="D62" s="235"/>
      <c r="E62" s="235"/>
      <c r="F62" s="235"/>
      <c r="G62" s="235"/>
      <c r="H62" s="235"/>
      <c r="I62" s="235"/>
      <c r="J62" s="235"/>
      <c r="K62" s="235"/>
      <c r="L62" s="235"/>
      <c r="M62" s="235"/>
      <c r="N62" s="235"/>
      <c r="O62" s="235"/>
      <c r="P62" s="235"/>
      <c r="Q62" s="235"/>
      <c r="R62" s="235"/>
      <c r="S62" s="235"/>
      <c r="T62" s="235"/>
      <c r="U62" s="235"/>
      <c r="V62" s="235"/>
      <c r="W62" s="235"/>
      <c r="X62" s="235"/>
      <c r="Y62" s="235"/>
      <c r="Z62" s="235"/>
      <c r="AA62" s="235"/>
      <c r="AB62" s="72"/>
      <c r="AC62" s="72"/>
      <c r="AD62" s="72"/>
      <c r="AE62" s="72"/>
      <c r="AF62" s="72"/>
      <c r="AG62" s="72"/>
      <c r="AH62" s="72"/>
      <c r="AI62" s="72"/>
    </row>
    <row r="63" spans="1:35" s="41" customFormat="1" ht="12.6" customHeight="1">
      <c r="A63" s="72"/>
      <c r="B63" s="72"/>
      <c r="C63" s="241"/>
      <c r="D63" s="235"/>
      <c r="E63" s="235"/>
      <c r="F63" s="235"/>
      <c r="G63" s="235"/>
      <c r="H63" s="235"/>
      <c r="I63" s="235"/>
      <c r="J63" s="235"/>
      <c r="K63" s="235"/>
      <c r="L63" s="235"/>
      <c r="M63" s="235"/>
      <c r="N63" s="235"/>
      <c r="O63" s="235"/>
      <c r="P63" s="235"/>
      <c r="Q63" s="235"/>
      <c r="R63" s="235"/>
      <c r="S63" s="235"/>
      <c r="T63" s="235"/>
      <c r="U63" s="235"/>
      <c r="V63" s="235"/>
      <c r="W63" s="235"/>
      <c r="X63" s="235"/>
      <c r="Y63" s="235"/>
      <c r="Z63" s="235"/>
      <c r="AA63" s="235"/>
      <c r="AB63" s="72"/>
      <c r="AC63" s="72"/>
      <c r="AD63" s="72"/>
      <c r="AE63" s="72"/>
      <c r="AF63" s="72"/>
      <c r="AG63" s="72"/>
      <c r="AH63" s="72"/>
      <c r="AI63" s="72"/>
    </row>
    <row r="64" spans="1:35" ht="12.6" customHeight="1">
      <c r="A64" s="568" t="s">
        <v>264</v>
      </c>
      <c r="B64" s="593"/>
      <c r="C64" s="593"/>
      <c r="D64" s="593"/>
      <c r="E64" s="593"/>
      <c r="F64" s="593"/>
      <c r="G64" s="593"/>
      <c r="H64" s="593"/>
      <c r="I64" s="593"/>
      <c r="J64" s="593"/>
      <c r="K64" s="593"/>
      <c r="L64" s="593"/>
      <c r="M64" s="593"/>
      <c r="N64" s="593"/>
      <c r="O64" s="593"/>
      <c r="P64" s="593"/>
      <c r="Q64" s="593"/>
      <c r="R64" s="593"/>
      <c r="S64" s="593"/>
      <c r="T64" s="593"/>
      <c r="U64" s="593"/>
      <c r="V64" s="593"/>
      <c r="W64" s="593"/>
      <c r="X64" s="593"/>
      <c r="Y64" s="593"/>
      <c r="Z64" s="593"/>
      <c r="AA64" s="523"/>
    </row>
    <row r="65" spans="1:35" ht="12.6" customHeight="1">
      <c r="A65" s="547" t="s">
        <v>266</v>
      </c>
      <c r="B65" s="594">
        <v>0.03</v>
      </c>
      <c r="C65" s="199">
        <f>C70*(1+$B$65)^('PPA Assumptions &amp;Summary'!C4-1998)/12</f>
        <v>5.8349499999999992</v>
      </c>
      <c r="D65" s="199">
        <f>D70*(1+$B$65)^('PPA Assumptions &amp;Summary'!D4-1998)/12</f>
        <v>6.0099984999999991</v>
      </c>
      <c r="E65" s="199">
        <f>E70*(1+$B$65)^('PPA Assumptions &amp;Summary'!E4-1998)/12</f>
        <v>6.0965060541666665</v>
      </c>
      <c r="F65" s="199">
        <f>F70*(1+$B$65)^('PPA Assumptions &amp;Summary'!F4-1998)/12</f>
        <v>6.2794012357916662</v>
      </c>
      <c r="G65" s="199">
        <f>G70*(1+$B$65)^('PPA Assumptions &amp;Summary'!G4-1998)/12</f>
        <v>6.4677832728654154</v>
      </c>
      <c r="H65" s="199">
        <f>H70*(1+$B$65)^('PPA Assumptions &amp;Summary'!H4-1998)/12</f>
        <v>6.6618167710513783</v>
      </c>
      <c r="I65" s="199">
        <f>I70*(1+$B$65)^('PPA Assumptions &amp;Summary'!I4-1998)/12</f>
        <v>6.7561071007339519</v>
      </c>
      <c r="J65" s="199">
        <f>J70*(1+$B$65)^('PPA Assumptions &amp;Summary'!J4-1998)/12</f>
        <v>6.850059215103534</v>
      </c>
      <c r="K65" s="199">
        <f>K70*(1+$B$65)^('PPA Assumptions &amp;Summary'!K4-1998)/12</f>
        <v>6.9435679599446294</v>
      </c>
      <c r="L65" s="199">
        <f>L70*(1+$B$65)^('PPA Assumptions &amp;Summary'!L4-1998)/12</f>
        <v>7.036522176182598</v>
      </c>
      <c r="M65" s="199">
        <f>M70*(1+$B$65)^('PPA Assumptions &amp;Summary'!M4-1998)/12</f>
        <v>7.1288044342308936</v>
      </c>
      <c r="N65" s="199">
        <f>N70*(1+$B$65)^('PPA Assumptions &amp;Summary'!N4-1998)/12</f>
        <v>7.2202907578035225</v>
      </c>
      <c r="O65" s="199">
        <f>O70*(1+$B$65)^('PPA Assumptions &amp;Summary'!O4-1998)/12</f>
        <v>7.3108503367997031</v>
      </c>
      <c r="P65" s="199">
        <f>P70*(1+$B$65)^('PPA Assumptions &amp;Summary'!P4-1998)/12</f>
        <v>7.2705146108035672</v>
      </c>
      <c r="Q65" s="199">
        <f>Q70*(1+$B$65)^('PPA Assumptions &amp;Summary'!Q4-1998)/12</f>
        <v>7.3549045125361081</v>
      </c>
      <c r="R65" s="199">
        <f>R70*(1+$B$65)^('PPA Assumptions &amp;Summary'!R4-1998)/12</f>
        <v>7.4378143452228782</v>
      </c>
      <c r="S65" s="199">
        <f>S70*(1+$B$65)^('PPA Assumptions &amp;Summary'!S4-1998)/12</f>
        <v>7.5190793538095724</v>
      </c>
      <c r="T65" s="199">
        <f>T70*(1+$B$65)^('PPA Assumptions &amp;Summary'!T4-1998)/12</f>
        <v>7.5985262300007683</v>
      </c>
      <c r="U65" s="199">
        <f>U70*(1+$B$65)^('PPA Assumptions &amp;Summary'!U4-1998)/12</f>
        <v>7.6759727473450061</v>
      </c>
      <c r="V65" s="199">
        <f>V70*(1+$B$65)^('PPA Assumptions &amp;Summary'!V4-1998)/12</f>
        <v>7.5962028344804393</v>
      </c>
      <c r="W65" s="199">
        <f>W70*(1+$B$65)^('PPA Assumptions &amp;Summary'!W4-1998)/12</f>
        <v>7.6644136354431218</v>
      </c>
      <c r="X65" s="175"/>
      <c r="Y65" s="175"/>
      <c r="Z65" s="175"/>
      <c r="AA65" s="580"/>
    </row>
    <row r="66" spans="1:35" ht="12.6" customHeight="1">
      <c r="A66" s="547" t="s">
        <v>267</v>
      </c>
      <c r="B66" s="175"/>
      <c r="C66" s="199">
        <f>C71*(1+'Project Assumtions'!$I$31)^('PPA Assumptions &amp;Summary'!C4-1998)/12</f>
        <v>4.7740499999999999</v>
      </c>
      <c r="D66" s="199">
        <f>D71*(1+'Project Assumtions'!$I$31)^('PPA Assumptions &amp;Summary'!D4-1998)/12</f>
        <v>4.9172715</v>
      </c>
      <c r="E66" s="199">
        <f>E71*(1+'Project Assumtions'!$I$31)^('PPA Assumptions &amp;Summary'!E4-1998)/12</f>
        <v>5.0647896449999994</v>
      </c>
      <c r="F66" s="199">
        <f>F71*(1+'Project Assumtions'!$I$31)^('PPA Assumptions &amp;Summary'!F4-1998)/12</f>
        <v>5.2167333343499989</v>
      </c>
      <c r="G66" s="199">
        <f>G71*(1+'Project Assumtions'!$I$31)^('PPA Assumptions &amp;Summary'!G4-1998)/12</f>
        <v>5.3732353343804995</v>
      </c>
      <c r="H66" s="199">
        <f>H71*(1+'Project Assumtions'!$I$31)^('PPA Assumptions &amp;Summary'!H4-1998)/12</f>
        <v>5.4319429056265092</v>
      </c>
      <c r="I66" s="199">
        <f>I71*(1+'Project Assumtions'!$I$31)^('PPA Assumptions &amp;Summary'!I4-1998)/12</f>
        <v>5.5949011927953043</v>
      </c>
      <c r="J66" s="199">
        <f>J71*(1+'Project Assumtions'!$I$31)^('PPA Assumptions &amp;Summary'!J4-1998)/12</f>
        <v>5.6540171299267259</v>
      </c>
      <c r="K66" s="199">
        <f>K71*(1+'Project Assumtions'!$I$31)^('PPA Assumptions &amp;Summary'!K4-1998)/12</f>
        <v>5.7116446122125177</v>
      </c>
      <c r="L66" s="199">
        <f>L71*(1+'Project Assumtions'!$I$31)^('PPA Assumptions &amp;Summary'!L4-1998)/12</f>
        <v>5.7676411280185222</v>
      </c>
      <c r="M66" s="199">
        <f>M71*(1+'Project Assumtions'!$I$31)^('PPA Assumptions &amp;Summary'!M4-1998)/12</f>
        <v>5.8218569546218966</v>
      </c>
      <c r="N66" s="199">
        <f>N71*(1+'Project Assumtions'!$I$31)^('PPA Assumptions &amp;Summary'!N4-1998)/12</f>
        <v>5.8741348538062566</v>
      </c>
      <c r="O66" s="199">
        <f>O71*(1+'Project Assumtions'!$I$31)^('PPA Assumptions &amp;Summary'!O4-1998)/12</f>
        <v>5.7982606119445919</v>
      </c>
      <c r="P66" s="199">
        <f>P71*(1+'Project Assumtions'!$I$31)^('PPA Assumptions &amp;Summary'!P4-1998)/12</f>
        <v>5.712547194202803</v>
      </c>
      <c r="Q66" s="199">
        <f>Q71*(1+'Project Assumtions'!$I$31)^('PPA Assumptions &amp;Summary'!Q4-1998)/12</f>
        <v>5.7501980734373204</v>
      </c>
      <c r="R66" s="199">
        <f>R71*(1+'Project Assumtions'!$I$31)^('PPA Assumptions &amp;Summary'!R4-1998)/12</f>
        <v>5.647229410261815</v>
      </c>
      <c r="S66" s="199">
        <f>S71*(1+'Project Assumtions'!$I$31)^('PPA Assumptions &amp;Summary'!S4-1998)/12</f>
        <v>5.6747768707996782</v>
      </c>
      <c r="T66" s="199">
        <f>T71*(1+'Project Assumtions'!$I$31)^('PPA Assumptions &amp;Summary'!T4-1998)/12</f>
        <v>5.6988946725005754</v>
      </c>
      <c r="U66" s="199">
        <f>U71*(1+'Project Assumtions'!$I$31)^('PPA Assumptions &amp;Summary'!U4-1998)/12</f>
        <v>5.8698615126755938</v>
      </c>
      <c r="V66" s="199">
        <f>V71*(1+'Project Assumtions'!$I$31)^('PPA Assumptions &amp;Summary'!V4-1998)/12</f>
        <v>5.8909328104134024</v>
      </c>
      <c r="W66" s="199">
        <f>W71*(1+'Project Assumtions'!$I$31)^('PPA Assumptions &amp;Summary'!W4-1998)/12</f>
        <v>5.9079855106540728</v>
      </c>
      <c r="X66" s="595"/>
      <c r="Y66" s="175"/>
      <c r="Z66" s="175"/>
      <c r="AA66" s="580"/>
    </row>
    <row r="67" spans="1:35" ht="12.6" customHeight="1">
      <c r="A67" s="547" t="s">
        <v>265</v>
      </c>
      <c r="B67" s="175"/>
      <c r="C67" s="199">
        <f>AVERAGE(C65,C66)</f>
        <v>5.3044999999999991</v>
      </c>
      <c r="D67" s="199">
        <f t="shared" ref="D67:V67" si="16">AVERAGE(D65,D66)</f>
        <v>5.463635</v>
      </c>
      <c r="E67" s="199">
        <f t="shared" si="16"/>
        <v>5.5806478495833325</v>
      </c>
      <c r="F67" s="199">
        <f t="shared" si="16"/>
        <v>5.7480672850708325</v>
      </c>
      <c r="G67" s="199">
        <f t="shared" si="16"/>
        <v>5.920509303622957</v>
      </c>
      <c r="H67" s="199">
        <f t="shared" si="16"/>
        <v>6.0468798383389437</v>
      </c>
      <c r="I67" s="199">
        <f t="shared" si="16"/>
        <v>6.1755041467646281</v>
      </c>
      <c r="J67" s="199">
        <f t="shared" si="16"/>
        <v>6.2520381725151299</v>
      </c>
      <c r="K67" s="199">
        <f t="shared" si="16"/>
        <v>6.3276062860785736</v>
      </c>
      <c r="L67" s="199">
        <f t="shared" si="16"/>
        <v>6.4020816521005601</v>
      </c>
      <c r="M67" s="199">
        <f t="shared" si="16"/>
        <v>6.4753306944263951</v>
      </c>
      <c r="N67" s="199">
        <f t="shared" si="16"/>
        <v>6.5472128058048895</v>
      </c>
      <c r="O67" s="199">
        <f t="shared" si="16"/>
        <v>6.5545554743721475</v>
      </c>
      <c r="P67" s="199">
        <f t="shared" si="16"/>
        <v>6.4915309025031851</v>
      </c>
      <c r="Q67" s="199">
        <f t="shared" si="16"/>
        <v>6.5525512929867142</v>
      </c>
      <c r="R67" s="199">
        <f t="shared" si="16"/>
        <v>6.5425218777423471</v>
      </c>
      <c r="S67" s="199">
        <f t="shared" si="16"/>
        <v>6.5969281123046253</v>
      </c>
      <c r="T67" s="199">
        <f t="shared" si="16"/>
        <v>6.6487104512506718</v>
      </c>
      <c r="U67" s="199">
        <f t="shared" si="16"/>
        <v>6.7729171300102999</v>
      </c>
      <c r="V67" s="199">
        <f t="shared" si="16"/>
        <v>6.7435678224469209</v>
      </c>
      <c r="W67" s="199"/>
      <c r="X67" s="175"/>
      <c r="Y67" s="175"/>
      <c r="Z67" s="175"/>
      <c r="AA67" s="580"/>
    </row>
    <row r="68" spans="1:35" ht="12.6" customHeight="1">
      <c r="A68" s="547" t="s">
        <v>270</v>
      </c>
      <c r="B68" s="175"/>
      <c r="C68" s="199">
        <f>C66+(C67-C66)*'Project Assumtions'!$C$75</f>
        <v>5.0392749999999999</v>
      </c>
      <c r="D68" s="199">
        <f>D66+(D67-D66)*'Project Assumtions'!$C$75</f>
        <v>5.19045325</v>
      </c>
      <c r="E68" s="199">
        <f>E66+(E67-E66)*'Project Assumtions'!$C$75</f>
        <v>5.3227187472916659</v>
      </c>
      <c r="F68" s="199">
        <f>F66+(F67-F66)*'Project Assumtions'!$C$75</f>
        <v>5.4824003097104157</v>
      </c>
      <c r="G68" s="199">
        <f>G66+(G67-G66)*'Project Assumtions'!$C$75</f>
        <v>5.6468723190017283</v>
      </c>
      <c r="H68" s="199">
        <f>H66+(H67-H66)*'Project Assumtions'!$C$75</f>
        <v>5.739411371982726</v>
      </c>
      <c r="I68" s="199">
        <f>I66+(I67-I66)*'Project Assumtions'!$C$75</f>
        <v>5.8852026697799662</v>
      </c>
      <c r="J68" s="199">
        <f>J66+(J67-J66)*'Project Assumtions'!$C$75</f>
        <v>5.9530276512209284</v>
      </c>
      <c r="K68" s="199">
        <f>K66+(K67-K66)*'Project Assumtions'!$C$75</f>
        <v>6.0196254491455452</v>
      </c>
      <c r="L68" s="199">
        <f>L66+(L67-L66)*'Project Assumtions'!$C$75</f>
        <v>6.0848613900595412</v>
      </c>
      <c r="M68" s="199">
        <f>M66+(M67-M66)*'Project Assumtions'!$C$75</f>
        <v>6.1485938245241458</v>
      </c>
      <c r="N68" s="199">
        <f>N66+(N67-N66)*'Project Assumtions'!$C$75</f>
        <v>6.2106738298055735</v>
      </c>
      <c r="O68" s="199">
        <f>O66+(O67-O66)*'Project Assumtions'!$C$75</f>
        <v>6.1764080431583697</v>
      </c>
      <c r="P68" s="199">
        <f>P66+(P67-P66)*'Project Assumtions'!$C$75</f>
        <v>6.102039048352994</v>
      </c>
      <c r="Q68" s="199">
        <f>Q66+(Q67-Q66)*'Project Assumtions'!$C$75</f>
        <v>6.1513746832120173</v>
      </c>
      <c r="R68" s="199">
        <f>R66+(R67-R66)*'Project Assumtions'!$C$75</f>
        <v>6.094875644002081</v>
      </c>
      <c r="S68" s="199">
        <f>S66+(S67-S66)*'Project Assumtions'!$C$75</f>
        <v>6.1358524915521517</v>
      </c>
      <c r="T68" s="199">
        <f>T66+(T67-T66)*'Project Assumtions'!$C$75</f>
        <v>6.1738025618756236</v>
      </c>
      <c r="U68" s="199">
        <f>U66+(U67-U66)*'Project Assumtions'!$C$75</f>
        <v>6.3213893213429468</v>
      </c>
      <c r="V68" s="199">
        <f>V66+(V67-V66)*'Project Assumtions'!$C$75</f>
        <v>6.3172503164301617</v>
      </c>
      <c r="W68" s="199"/>
      <c r="X68" s="175"/>
      <c r="Y68" s="175"/>
      <c r="Z68" s="175"/>
      <c r="AA68" s="580"/>
    </row>
    <row r="69" spans="1:35" s="41" customFormat="1" ht="12.6" customHeight="1">
      <c r="A69" s="553"/>
      <c r="B69" s="79"/>
      <c r="C69" s="199"/>
      <c r="D69" s="199"/>
      <c r="E69" s="199"/>
      <c r="F69" s="199"/>
      <c r="G69" s="199"/>
      <c r="H69" s="199"/>
      <c r="I69" s="199"/>
      <c r="J69" s="199"/>
      <c r="K69" s="199"/>
      <c r="L69" s="199"/>
      <c r="M69" s="199"/>
      <c r="N69" s="199"/>
      <c r="O69" s="199"/>
      <c r="P69" s="199"/>
      <c r="Q69" s="199"/>
      <c r="R69" s="199"/>
      <c r="S69" s="199"/>
      <c r="T69" s="199"/>
      <c r="U69" s="199"/>
      <c r="V69" s="199"/>
      <c r="W69" s="199"/>
      <c r="X69" s="199"/>
      <c r="Y69" s="199"/>
      <c r="Z69" s="199"/>
      <c r="AA69" s="552"/>
      <c r="AB69" s="72"/>
      <c r="AC69" s="72"/>
      <c r="AD69" s="72"/>
      <c r="AE69" s="72"/>
      <c r="AF69" s="72"/>
      <c r="AG69" s="72"/>
      <c r="AH69" s="72"/>
      <c r="AI69" s="72"/>
    </row>
    <row r="70" spans="1:35" ht="12.6" customHeight="1">
      <c r="A70" s="596" t="s">
        <v>614</v>
      </c>
      <c r="B70" s="79" t="s">
        <v>359</v>
      </c>
      <c r="C70" s="242">
        <v>66</v>
      </c>
      <c r="D70" s="242">
        <v>66</v>
      </c>
      <c r="E70" s="242">
        <v>65</v>
      </c>
      <c r="F70" s="242">
        <v>65</v>
      </c>
      <c r="G70" s="242">
        <v>65</v>
      </c>
      <c r="H70" s="242">
        <v>65</v>
      </c>
      <c r="I70" s="242">
        <v>64</v>
      </c>
      <c r="J70" s="242">
        <v>63</v>
      </c>
      <c r="K70" s="242">
        <v>62</v>
      </c>
      <c r="L70" s="242">
        <v>61</v>
      </c>
      <c r="M70" s="242">
        <v>60</v>
      </c>
      <c r="N70" s="242">
        <v>59</v>
      </c>
      <c r="O70" s="242">
        <v>58</v>
      </c>
      <c r="P70" s="242">
        <v>56</v>
      </c>
      <c r="Q70" s="242">
        <v>55</v>
      </c>
      <c r="R70" s="242">
        <v>54</v>
      </c>
      <c r="S70" s="242">
        <v>53</v>
      </c>
      <c r="T70" s="242">
        <v>52</v>
      </c>
      <c r="U70" s="242">
        <v>51</v>
      </c>
      <c r="V70" s="242">
        <v>49</v>
      </c>
      <c r="W70" s="242">
        <v>48</v>
      </c>
      <c r="X70" s="242">
        <v>36.99</v>
      </c>
      <c r="Y70" s="175"/>
      <c r="Z70" s="175"/>
      <c r="AA70" s="580"/>
    </row>
    <row r="71" spans="1:35" ht="12.6" customHeight="1">
      <c r="A71" s="596" t="s">
        <v>615</v>
      </c>
      <c r="B71" s="79" t="s">
        <v>359</v>
      </c>
      <c r="C71" s="242">
        <v>54</v>
      </c>
      <c r="D71" s="242">
        <v>54</v>
      </c>
      <c r="E71" s="242">
        <v>54</v>
      </c>
      <c r="F71" s="242">
        <v>54</v>
      </c>
      <c r="G71" s="242">
        <v>54</v>
      </c>
      <c r="H71" s="242">
        <v>53</v>
      </c>
      <c r="I71" s="242">
        <v>53</v>
      </c>
      <c r="J71" s="242">
        <v>52</v>
      </c>
      <c r="K71" s="242">
        <v>51</v>
      </c>
      <c r="L71" s="242">
        <v>50</v>
      </c>
      <c r="M71" s="242">
        <v>49</v>
      </c>
      <c r="N71" s="242">
        <v>48</v>
      </c>
      <c r="O71" s="242">
        <v>46</v>
      </c>
      <c r="P71" s="242">
        <v>44</v>
      </c>
      <c r="Q71" s="242">
        <v>43</v>
      </c>
      <c r="R71" s="242">
        <v>41</v>
      </c>
      <c r="S71" s="242">
        <v>40</v>
      </c>
      <c r="T71" s="242">
        <v>39</v>
      </c>
      <c r="U71" s="242">
        <v>39</v>
      </c>
      <c r="V71" s="242">
        <v>38</v>
      </c>
      <c r="W71" s="242">
        <v>37</v>
      </c>
      <c r="X71" s="242"/>
      <c r="Y71" s="175"/>
      <c r="Z71" s="175"/>
      <c r="AA71" s="580"/>
    </row>
    <row r="72" spans="1:35" s="5" customFormat="1" ht="12.6" customHeight="1">
      <c r="A72" s="522"/>
      <c r="B72" s="557"/>
      <c r="C72" s="597"/>
      <c r="D72" s="597"/>
      <c r="E72" s="597"/>
      <c r="F72" s="597"/>
      <c r="G72" s="597"/>
      <c r="H72" s="597"/>
      <c r="I72" s="597"/>
      <c r="J72" s="597"/>
      <c r="K72" s="597"/>
      <c r="L72" s="597"/>
      <c r="M72" s="597"/>
      <c r="N72" s="597"/>
      <c r="O72" s="597"/>
      <c r="P72" s="597"/>
      <c r="Q72" s="597"/>
      <c r="R72" s="597"/>
      <c r="S72" s="597"/>
      <c r="T72" s="597"/>
      <c r="U72" s="597"/>
      <c r="V72" s="597"/>
      <c r="W72" s="597"/>
      <c r="X72" s="597"/>
      <c r="Y72" s="597"/>
      <c r="Z72" s="597"/>
      <c r="AA72" s="598"/>
      <c r="AB72" s="147"/>
      <c r="AC72" s="147"/>
      <c r="AD72" s="147"/>
      <c r="AE72" s="147"/>
      <c r="AF72" s="147"/>
      <c r="AG72" s="147"/>
      <c r="AH72" s="147"/>
      <c r="AI72" s="147"/>
    </row>
    <row r="73" spans="1:35" ht="12.6" customHeight="1">
      <c r="A73" s="555" t="s">
        <v>322</v>
      </c>
      <c r="B73" s="79"/>
      <c r="C73" s="175"/>
      <c r="D73" s="175"/>
      <c r="E73" s="175"/>
      <c r="F73" s="175"/>
      <c r="G73" s="175"/>
      <c r="H73" s="175"/>
      <c r="I73" s="175"/>
      <c r="J73" s="175"/>
      <c r="K73" s="175"/>
      <c r="L73" s="175"/>
      <c r="M73" s="175"/>
      <c r="N73" s="175"/>
      <c r="O73" s="175"/>
      <c r="P73" s="175"/>
      <c r="Q73" s="175"/>
      <c r="R73" s="175"/>
      <c r="S73" s="175"/>
      <c r="T73" s="175"/>
      <c r="U73" s="175"/>
      <c r="V73" s="175"/>
      <c r="W73" s="175"/>
      <c r="X73" s="175"/>
      <c r="Y73" s="175"/>
      <c r="Z73" s="175"/>
      <c r="AA73" s="580"/>
    </row>
    <row r="74" spans="1:35" s="5" customFormat="1" ht="12.6" customHeight="1">
      <c r="A74" s="522" t="s">
        <v>323</v>
      </c>
      <c r="B74" s="557"/>
      <c r="C74" s="599">
        <f>D74/(1+B65)</f>
        <v>42.170774999999999</v>
      </c>
      <c r="D74" s="597">
        <f t="shared" ref="D74:V74" si="17">D79*((1+$B$65)^3)</f>
        <v>43.435898250000001</v>
      </c>
      <c r="E74" s="597">
        <f t="shared" si="17"/>
        <v>46.364406610000003</v>
      </c>
      <c r="F74" s="597">
        <f t="shared" si="17"/>
        <v>49.489605830000002</v>
      </c>
      <c r="G74" s="597">
        <f t="shared" si="17"/>
        <v>52.822423180000001</v>
      </c>
      <c r="H74" s="597">
        <f t="shared" si="17"/>
        <v>56.373785930000004</v>
      </c>
      <c r="I74" s="597">
        <f t="shared" si="17"/>
        <v>60.176475889999999</v>
      </c>
      <c r="J74" s="597">
        <f t="shared" si="17"/>
        <v>60.668203040000002</v>
      </c>
      <c r="K74" s="597">
        <f t="shared" si="17"/>
        <v>61.159930189999997</v>
      </c>
      <c r="L74" s="597">
        <f t="shared" si="17"/>
        <v>61.662584610000003</v>
      </c>
      <c r="M74" s="597">
        <f t="shared" si="17"/>
        <v>62.165239030000002</v>
      </c>
      <c r="N74" s="597">
        <f t="shared" si="17"/>
        <v>62.678820719999997</v>
      </c>
      <c r="O74" s="597">
        <f t="shared" si="17"/>
        <v>60.263894049999998</v>
      </c>
      <c r="P74" s="597">
        <f t="shared" si="17"/>
        <v>57.958240079999996</v>
      </c>
      <c r="Q74" s="597">
        <f t="shared" si="17"/>
        <v>55.729077000000004</v>
      </c>
      <c r="R74" s="597">
        <f t="shared" si="17"/>
        <v>53.587332079999996</v>
      </c>
      <c r="S74" s="597">
        <f t="shared" si="17"/>
        <v>51.533005319999994</v>
      </c>
      <c r="T74" s="597">
        <f t="shared" si="17"/>
        <v>52.232350599999997</v>
      </c>
      <c r="U74" s="597">
        <f t="shared" si="17"/>
        <v>52.931695879999999</v>
      </c>
      <c r="V74" s="597">
        <f t="shared" si="17"/>
        <v>53.652895700000002</v>
      </c>
      <c r="W74" s="597"/>
      <c r="X74" s="597"/>
      <c r="Y74" s="597"/>
      <c r="Z74" s="597"/>
      <c r="AA74" s="598"/>
      <c r="AB74" s="147"/>
      <c r="AC74" s="147"/>
      <c r="AD74" s="147"/>
      <c r="AE74" s="147"/>
      <c r="AF74" s="147"/>
      <c r="AG74" s="147"/>
      <c r="AH74" s="147"/>
      <c r="AI74" s="147"/>
    </row>
    <row r="75" spans="1:35">
      <c r="A75" s="522" t="s">
        <v>324</v>
      </c>
      <c r="B75" s="79"/>
      <c r="C75" s="599">
        <f>D75/(1+B65)</f>
        <v>42.255646999999996</v>
      </c>
      <c r="D75" s="597">
        <f t="shared" ref="D75:V75" si="18">D80*((1+$B$65)^3)</f>
        <v>43.52331641</v>
      </c>
      <c r="E75" s="597">
        <f t="shared" si="18"/>
        <v>46.255133909999998</v>
      </c>
      <c r="F75" s="597">
        <f t="shared" si="18"/>
        <v>49.150860459999997</v>
      </c>
      <c r="G75" s="597">
        <f t="shared" si="18"/>
        <v>52.232350599999997</v>
      </c>
      <c r="H75" s="597">
        <f t="shared" si="18"/>
        <v>55.5105316</v>
      </c>
      <c r="I75" s="597">
        <f t="shared" si="18"/>
        <v>58.985403459999993</v>
      </c>
      <c r="J75" s="597">
        <f t="shared" si="18"/>
        <v>59.378785180000001</v>
      </c>
      <c r="K75" s="597">
        <f t="shared" si="18"/>
        <v>59.772166900000002</v>
      </c>
      <c r="L75" s="597">
        <f t="shared" si="18"/>
        <v>60.176475889999999</v>
      </c>
      <c r="M75" s="597">
        <f t="shared" si="18"/>
        <v>60.580784879999996</v>
      </c>
      <c r="N75" s="597">
        <f t="shared" si="18"/>
        <v>60.98509387</v>
      </c>
      <c r="O75" s="597">
        <f t="shared" si="18"/>
        <v>57.870821920000004</v>
      </c>
      <c r="P75" s="597">
        <f t="shared" si="18"/>
        <v>54.909531749999999</v>
      </c>
      <c r="Q75" s="597">
        <f t="shared" si="18"/>
        <v>52.101223359999999</v>
      </c>
      <c r="R75" s="597">
        <f t="shared" si="18"/>
        <v>49.445896750000003</v>
      </c>
      <c r="S75" s="597">
        <f t="shared" si="18"/>
        <v>46.921697379999998</v>
      </c>
      <c r="T75" s="597">
        <f t="shared" si="18"/>
        <v>47.293224559999999</v>
      </c>
      <c r="U75" s="597">
        <f t="shared" si="18"/>
        <v>47.66475174</v>
      </c>
      <c r="V75" s="597">
        <f t="shared" si="18"/>
        <v>48.036278920000001</v>
      </c>
      <c r="W75" s="175"/>
      <c r="X75" s="175"/>
      <c r="Y75" s="175"/>
      <c r="Z75" s="175"/>
      <c r="AA75" s="580"/>
    </row>
    <row r="76" spans="1:35">
      <c r="A76" s="522" t="s">
        <v>325</v>
      </c>
      <c r="B76" s="79"/>
      <c r="C76" s="597">
        <v>0</v>
      </c>
      <c r="D76" s="597">
        <v>0</v>
      </c>
      <c r="E76" s="597">
        <v>0</v>
      </c>
      <c r="F76" s="597">
        <v>0</v>
      </c>
      <c r="G76" s="597">
        <v>0</v>
      </c>
      <c r="H76" s="597">
        <v>0</v>
      </c>
      <c r="I76" s="597">
        <v>0</v>
      </c>
      <c r="J76" s="597">
        <v>0</v>
      </c>
      <c r="K76" s="597">
        <v>0</v>
      </c>
      <c r="L76" s="597">
        <v>0</v>
      </c>
      <c r="M76" s="597">
        <v>0</v>
      </c>
      <c r="N76" s="597">
        <v>0</v>
      </c>
      <c r="O76" s="597">
        <v>0</v>
      </c>
      <c r="P76" s="597">
        <v>0</v>
      </c>
      <c r="Q76" s="597">
        <v>0</v>
      </c>
      <c r="R76" s="597">
        <v>0</v>
      </c>
      <c r="S76" s="597">
        <v>0</v>
      </c>
      <c r="T76" s="597">
        <v>0</v>
      </c>
      <c r="U76" s="597">
        <v>0</v>
      </c>
      <c r="V76" s="597">
        <v>0</v>
      </c>
      <c r="W76" s="175"/>
      <c r="X76" s="175"/>
      <c r="Y76" s="175"/>
      <c r="Z76" s="175"/>
      <c r="AA76" s="580"/>
    </row>
    <row r="77" spans="1:35">
      <c r="A77" s="522" t="s">
        <v>326</v>
      </c>
      <c r="B77" s="79"/>
      <c r="C77" s="597">
        <f>IF('Project Assumtions'!$C$77="yes",C26,C24)</f>
        <v>29.337500000000002</v>
      </c>
      <c r="D77" s="597">
        <f>IF('Project Assumtions'!$C$77="yes",D26,D24)</f>
        <v>29.337499999999999</v>
      </c>
      <c r="E77" s="597">
        <f>IF('Project Assumtions'!$C$77="yes",E26,E24)</f>
        <v>29.337499999999999</v>
      </c>
      <c r="F77" s="597">
        <f>IF('Project Assumtions'!$C$77="yes",F26,F24)</f>
        <v>29.337500000000002</v>
      </c>
      <c r="G77" s="597">
        <f>IF('Project Assumtions'!$C$77="yes",G26,G24)</f>
        <v>29.337500000000002</v>
      </c>
      <c r="H77" s="597">
        <f>IF('Project Assumtions'!$C$77="yes",H26,H24)</f>
        <v>29.337500000000002</v>
      </c>
      <c r="I77" s="597">
        <f>IF('Project Assumtions'!$C$77="yes",I26,I24)</f>
        <v>29.337500000000002</v>
      </c>
      <c r="J77" s="597">
        <f>IF('Project Assumtions'!$C$77="yes",J26,J24)</f>
        <v>29.337500000000002</v>
      </c>
      <c r="K77" s="597">
        <f>IF('Project Assumtions'!$C$77="yes",K26,K24)</f>
        <v>29.337500000000002</v>
      </c>
      <c r="L77" s="597">
        <f>IF('Project Assumtions'!$C$77="yes",L26,L24)</f>
        <v>29.337500000000002</v>
      </c>
      <c r="M77" s="597">
        <f>IF('Project Assumtions'!$C$77="yes",M26,M24)</f>
        <v>29.337500000000002</v>
      </c>
      <c r="N77" s="597">
        <f>IF('Project Assumtions'!$C$77="yes",N26,N24)</f>
        <v>29.337500000000002</v>
      </c>
      <c r="O77" s="597">
        <f>IF('Project Assumtions'!$C$77="yes",O26,O24)</f>
        <v>29.337500000000002</v>
      </c>
      <c r="P77" s="597">
        <f>IF('Project Assumtions'!$C$77="yes",P26,P24)</f>
        <v>29.337500000000002</v>
      </c>
      <c r="Q77" s="597">
        <f>IF('Project Assumtions'!$C$77="yes",Q26,Q24)</f>
        <v>29.337500000000002</v>
      </c>
      <c r="R77" s="597">
        <f>IF('Project Assumtions'!$C$77="yes",R26,R24)</f>
        <v>29.337500000000002</v>
      </c>
      <c r="S77" s="597">
        <f>IF('Project Assumtions'!$C$77="yes",S26,S24)</f>
        <v>29.337500000000002</v>
      </c>
      <c r="T77" s="597">
        <f>IF('Project Assumtions'!$C$77="yes",T26,T24)</f>
        <v>29.337500000000002</v>
      </c>
      <c r="U77" s="597">
        <f>IF('Project Assumtions'!$C$77="yes",U26,U24)</f>
        <v>29.337500000000002</v>
      </c>
      <c r="V77" s="597">
        <f>IF('Project Assumtions'!$C$77="yes",V26,V24)</f>
        <v>29.337500000000002</v>
      </c>
      <c r="W77" s="597"/>
      <c r="X77" s="175"/>
      <c r="Y77" s="175"/>
      <c r="Z77" s="175"/>
      <c r="AA77" s="580"/>
    </row>
    <row r="78" spans="1:35">
      <c r="A78" s="547"/>
      <c r="B78" s="175"/>
      <c r="C78" s="175"/>
      <c r="D78" s="175"/>
      <c r="E78" s="175"/>
      <c r="F78" s="175"/>
      <c r="G78" s="175"/>
      <c r="H78" s="175"/>
      <c r="I78" s="175"/>
      <c r="J78" s="175"/>
      <c r="K78" s="175"/>
      <c r="L78" s="175"/>
      <c r="M78" s="175"/>
      <c r="N78" s="175"/>
      <c r="O78" s="175"/>
      <c r="P78" s="175"/>
      <c r="Q78" s="175"/>
      <c r="R78" s="175"/>
      <c r="S78" s="175"/>
      <c r="T78" s="175"/>
      <c r="U78" s="175"/>
      <c r="V78" s="175"/>
      <c r="W78" s="175"/>
      <c r="X78" s="175"/>
      <c r="Y78" s="175"/>
      <c r="Z78" s="175"/>
      <c r="AA78" s="580"/>
    </row>
    <row r="79" spans="1:35">
      <c r="A79" s="600" t="s">
        <v>616</v>
      </c>
      <c r="B79" s="79" t="s">
        <v>359</v>
      </c>
      <c r="C79" s="175"/>
      <c r="D79" s="601">
        <v>39.75</v>
      </c>
      <c r="E79" s="601">
        <v>42.43</v>
      </c>
      <c r="F79" s="601">
        <v>45.29</v>
      </c>
      <c r="G79" s="601">
        <v>48.34</v>
      </c>
      <c r="H79" s="601">
        <v>51.59</v>
      </c>
      <c r="I79" s="601">
        <v>55.07</v>
      </c>
      <c r="J79" s="601">
        <v>55.52</v>
      </c>
      <c r="K79" s="601">
        <v>55.97</v>
      </c>
      <c r="L79" s="601">
        <v>56.43</v>
      </c>
      <c r="M79" s="601">
        <v>56.89</v>
      </c>
      <c r="N79" s="601">
        <v>57.36</v>
      </c>
      <c r="O79" s="601">
        <v>55.15</v>
      </c>
      <c r="P79" s="601">
        <v>53.04</v>
      </c>
      <c r="Q79" s="601">
        <v>51</v>
      </c>
      <c r="R79" s="601">
        <v>49.04</v>
      </c>
      <c r="S79" s="601">
        <v>47.16</v>
      </c>
      <c r="T79" s="601">
        <v>47.8</v>
      </c>
      <c r="U79" s="601">
        <v>48.44</v>
      </c>
      <c r="V79" s="601">
        <v>49.1</v>
      </c>
      <c r="W79" s="175"/>
      <c r="X79" s="175"/>
      <c r="Y79" s="175"/>
      <c r="Z79" s="175"/>
      <c r="AA79" s="580"/>
    </row>
    <row r="80" spans="1:35">
      <c r="A80" s="600" t="s">
        <v>617</v>
      </c>
      <c r="B80" s="79" t="s">
        <v>359</v>
      </c>
      <c r="C80" s="175"/>
      <c r="D80" s="601">
        <v>39.83</v>
      </c>
      <c r="E80" s="601">
        <v>42.33</v>
      </c>
      <c r="F80" s="601">
        <v>44.98</v>
      </c>
      <c r="G80" s="601">
        <v>47.8</v>
      </c>
      <c r="H80" s="601">
        <v>50.8</v>
      </c>
      <c r="I80" s="601">
        <v>53.98</v>
      </c>
      <c r="J80" s="601">
        <v>54.34</v>
      </c>
      <c r="K80" s="601">
        <v>54.7</v>
      </c>
      <c r="L80" s="601">
        <v>55.07</v>
      </c>
      <c r="M80" s="601">
        <v>55.44</v>
      </c>
      <c r="N80" s="601">
        <v>55.81</v>
      </c>
      <c r="O80" s="601">
        <v>52.96</v>
      </c>
      <c r="P80" s="601">
        <v>50.25</v>
      </c>
      <c r="Q80" s="601">
        <v>47.68</v>
      </c>
      <c r="R80" s="601">
        <v>45.25</v>
      </c>
      <c r="S80" s="601">
        <v>42.94</v>
      </c>
      <c r="T80" s="601">
        <v>43.28</v>
      </c>
      <c r="U80" s="601">
        <v>43.62</v>
      </c>
      <c r="V80" s="601">
        <v>43.96</v>
      </c>
      <c r="W80" s="175"/>
      <c r="X80" s="175"/>
      <c r="Y80" s="175"/>
      <c r="Z80" s="175"/>
      <c r="AA80" s="580"/>
    </row>
    <row r="81" spans="1:35">
      <c r="A81" s="547"/>
      <c r="B81" s="175"/>
      <c r="C81" s="175"/>
      <c r="D81" s="175"/>
      <c r="E81" s="175"/>
      <c r="F81" s="175"/>
      <c r="G81" s="175"/>
      <c r="H81" s="175"/>
      <c r="I81" s="175"/>
      <c r="J81" s="175"/>
      <c r="K81" s="175"/>
      <c r="L81" s="175"/>
      <c r="M81" s="175"/>
      <c r="N81" s="175"/>
      <c r="O81" s="175"/>
      <c r="P81" s="175"/>
      <c r="Q81" s="175"/>
      <c r="R81" s="175"/>
      <c r="S81" s="175"/>
      <c r="T81" s="175"/>
      <c r="U81" s="175"/>
      <c r="V81" s="175"/>
      <c r="W81" s="175"/>
      <c r="X81" s="175"/>
      <c r="Y81" s="175"/>
      <c r="Z81" s="175"/>
      <c r="AA81" s="580"/>
    </row>
    <row r="82" spans="1:35" ht="12.6" customHeight="1">
      <c r="A82" s="547"/>
      <c r="B82" s="175"/>
      <c r="C82" s="175"/>
      <c r="D82" s="175"/>
      <c r="E82" s="175"/>
      <c r="F82" s="175"/>
      <c r="G82" s="175"/>
      <c r="H82" s="175"/>
      <c r="I82" s="175"/>
      <c r="J82" s="175"/>
      <c r="K82" s="175"/>
      <c r="L82" s="175"/>
      <c r="M82" s="175"/>
      <c r="N82" s="175"/>
      <c r="O82" s="175"/>
      <c r="P82" s="175"/>
      <c r="Q82" s="175"/>
      <c r="R82" s="175"/>
      <c r="S82" s="175"/>
      <c r="T82" s="175"/>
      <c r="U82" s="175"/>
      <c r="V82" s="175"/>
      <c r="W82" s="175"/>
      <c r="X82" s="175"/>
      <c r="Y82" s="175"/>
      <c r="Z82" s="175"/>
      <c r="AA82" s="580"/>
    </row>
    <row r="83" spans="1:35">
      <c r="A83" s="547" t="s">
        <v>367</v>
      </c>
      <c r="B83" s="175"/>
      <c r="C83" s="602">
        <f>C70</f>
        <v>66</v>
      </c>
      <c r="D83" s="602">
        <f t="shared" ref="D83:V83" si="19">D70</f>
        <v>66</v>
      </c>
      <c r="E83" s="602">
        <f t="shared" si="19"/>
        <v>65</v>
      </c>
      <c r="F83" s="602">
        <f t="shared" si="19"/>
        <v>65</v>
      </c>
      <c r="G83" s="602">
        <f t="shared" si="19"/>
        <v>65</v>
      </c>
      <c r="H83" s="602">
        <f t="shared" si="19"/>
        <v>65</v>
      </c>
      <c r="I83" s="602">
        <f t="shared" si="19"/>
        <v>64</v>
      </c>
      <c r="J83" s="602">
        <f t="shared" si="19"/>
        <v>63</v>
      </c>
      <c r="K83" s="602">
        <f t="shared" si="19"/>
        <v>62</v>
      </c>
      <c r="L83" s="602">
        <f t="shared" si="19"/>
        <v>61</v>
      </c>
      <c r="M83" s="602">
        <f t="shared" si="19"/>
        <v>60</v>
      </c>
      <c r="N83" s="602">
        <f t="shared" si="19"/>
        <v>59</v>
      </c>
      <c r="O83" s="602">
        <f t="shared" si="19"/>
        <v>58</v>
      </c>
      <c r="P83" s="602">
        <f t="shared" si="19"/>
        <v>56</v>
      </c>
      <c r="Q83" s="602">
        <f t="shared" si="19"/>
        <v>55</v>
      </c>
      <c r="R83" s="602">
        <f t="shared" si="19"/>
        <v>54</v>
      </c>
      <c r="S83" s="602">
        <f t="shared" si="19"/>
        <v>53</v>
      </c>
      <c r="T83" s="602">
        <f t="shared" si="19"/>
        <v>52</v>
      </c>
      <c r="U83" s="602">
        <f t="shared" si="19"/>
        <v>51</v>
      </c>
      <c r="V83" s="602">
        <f t="shared" si="19"/>
        <v>49</v>
      </c>
      <c r="W83" s="175"/>
      <c r="X83" s="175"/>
      <c r="Y83" s="175"/>
      <c r="Z83" s="175"/>
      <c r="AA83" s="580"/>
    </row>
    <row r="84" spans="1:35" s="41" customFormat="1" ht="12.6" customHeight="1">
      <c r="A84" s="553" t="s">
        <v>366</v>
      </c>
      <c r="B84" s="603"/>
      <c r="C84" s="199">
        <v>55.8</v>
      </c>
      <c r="D84" s="199">
        <v>55.19</v>
      </c>
      <c r="E84" s="199">
        <v>54.58</v>
      </c>
      <c r="F84" s="199">
        <v>53.98</v>
      </c>
      <c r="G84" s="199">
        <v>53.39</v>
      </c>
      <c r="H84" s="199">
        <v>52.8</v>
      </c>
      <c r="I84" s="199">
        <v>52.22</v>
      </c>
      <c r="J84" s="199">
        <v>51.65</v>
      </c>
      <c r="K84" s="199">
        <v>51.08</v>
      </c>
      <c r="L84" s="199">
        <v>50.52</v>
      </c>
      <c r="M84" s="199">
        <v>47.5</v>
      </c>
      <c r="N84" s="199">
        <v>46.98</v>
      </c>
      <c r="O84" s="199">
        <v>46.46</v>
      </c>
      <c r="P84" s="199">
        <v>45.67</v>
      </c>
      <c r="Q84" s="199">
        <v>44</v>
      </c>
      <c r="R84" s="199">
        <v>39.5</v>
      </c>
      <c r="S84" s="199">
        <v>39.07</v>
      </c>
      <c r="T84" s="199">
        <v>38.64</v>
      </c>
      <c r="U84" s="199">
        <v>38.21</v>
      </c>
      <c r="V84" s="199">
        <v>37.79</v>
      </c>
      <c r="W84" s="199"/>
      <c r="X84" s="199"/>
      <c r="Y84" s="199"/>
      <c r="Z84" s="199"/>
      <c r="AA84" s="552"/>
      <c r="AB84" s="72"/>
      <c r="AC84" s="72"/>
      <c r="AD84" s="72"/>
      <c r="AE84" s="72"/>
      <c r="AF84" s="72"/>
      <c r="AG84" s="72"/>
      <c r="AH84" s="72"/>
      <c r="AI84" s="72"/>
    </row>
    <row r="85" spans="1:35" s="41" customFormat="1" ht="12.6" customHeight="1">
      <c r="A85" s="571"/>
      <c r="B85" s="79"/>
      <c r="C85" s="79"/>
      <c r="D85" s="79"/>
      <c r="E85" s="79"/>
      <c r="F85" s="79"/>
      <c r="G85" s="79"/>
      <c r="H85" s="79"/>
      <c r="I85" s="79"/>
      <c r="J85" s="79"/>
      <c r="K85" s="79"/>
      <c r="L85" s="79"/>
      <c r="M85" s="79"/>
      <c r="N85" s="79"/>
      <c r="O85" s="79"/>
      <c r="P85" s="79"/>
      <c r="Q85" s="79"/>
      <c r="R85" s="79"/>
      <c r="S85" s="79"/>
      <c r="T85" s="79"/>
      <c r="U85" s="79"/>
      <c r="V85" s="79"/>
      <c r="W85" s="79"/>
      <c r="X85" s="79"/>
      <c r="Y85" s="79"/>
      <c r="Z85" s="79"/>
      <c r="AA85" s="556"/>
      <c r="AB85" s="72"/>
      <c r="AC85" s="72"/>
      <c r="AD85" s="72"/>
      <c r="AE85" s="72"/>
      <c r="AF85" s="72"/>
      <c r="AG85" s="72"/>
      <c r="AH85" s="72"/>
      <c r="AI85" s="72"/>
    </row>
    <row r="86" spans="1:35">
      <c r="A86" s="604"/>
      <c r="B86" s="605"/>
      <c r="C86" s="606">
        <f>(C83-C84)/C84</f>
        <v>0.18279569892473124</v>
      </c>
      <c r="D86" s="606">
        <f t="shared" ref="D86:V86" si="20">(D83-D84)/D84</f>
        <v>0.19586881681464038</v>
      </c>
      <c r="E86" s="606">
        <f t="shared" si="20"/>
        <v>0.19091242213264936</v>
      </c>
      <c r="F86" s="606">
        <f t="shared" si="20"/>
        <v>0.20414968506854397</v>
      </c>
      <c r="G86" s="606">
        <f t="shared" si="20"/>
        <v>0.21745645251919835</v>
      </c>
      <c r="H86" s="606">
        <f t="shared" si="20"/>
        <v>0.23106060606060613</v>
      </c>
      <c r="I86" s="606">
        <f t="shared" si="20"/>
        <v>0.22558406740712372</v>
      </c>
      <c r="J86" s="606">
        <f t="shared" si="20"/>
        <v>0.21974830590513073</v>
      </c>
      <c r="K86" s="606">
        <f t="shared" si="20"/>
        <v>0.21378230227094758</v>
      </c>
      <c r="L86" s="606">
        <f t="shared" si="20"/>
        <v>0.2074425969912905</v>
      </c>
      <c r="M86" s="606">
        <f t="shared" si="20"/>
        <v>0.26315789473684209</v>
      </c>
      <c r="N86" s="606">
        <f t="shared" si="20"/>
        <v>0.25585355470412952</v>
      </c>
      <c r="O86" s="606">
        <f t="shared" si="20"/>
        <v>0.24838570813603097</v>
      </c>
      <c r="P86" s="606">
        <f t="shared" si="20"/>
        <v>0.22618786949857669</v>
      </c>
      <c r="Q86" s="606">
        <f t="shared" si="20"/>
        <v>0.25</v>
      </c>
      <c r="R86" s="606">
        <f t="shared" si="20"/>
        <v>0.36708860759493672</v>
      </c>
      <c r="S86" s="606">
        <f t="shared" si="20"/>
        <v>0.35653954440747376</v>
      </c>
      <c r="T86" s="606">
        <f t="shared" si="20"/>
        <v>0.34575569358178054</v>
      </c>
      <c r="U86" s="606">
        <f t="shared" si="20"/>
        <v>0.33472912850039255</v>
      </c>
      <c r="V86" s="606">
        <f t="shared" si="20"/>
        <v>0.29663932257210907</v>
      </c>
      <c r="W86" s="605"/>
      <c r="X86" s="605"/>
      <c r="Y86" s="605"/>
      <c r="Z86" s="605"/>
      <c r="AA86" s="524"/>
    </row>
  </sheetData>
  <customSheetViews>
    <customSheetView guid="{9D7575BF-255B-11D2-8267-00A0D1027254}" scale="75" showPageBreaks="1" showRuler="0" topLeftCell="A6">
      <selection activeCell="C21" sqref="C21"/>
      <pageMargins left="0.75" right="0.75" top="1" bottom="1" header="0.5" footer="0.5"/>
      <pageSetup scale="76" pageOrder="overThenDown" orientation="landscape" r:id="rId1"/>
      <headerFooter alignWithMargins="0">
        <oddFooter>&amp;L&amp;D   &amp;T&amp;RO:\Naes\GenSvcs\TVA\TVA Model\&amp;F
&amp;A &amp;P</oddFooter>
      </headerFooter>
    </customSheetView>
    <customSheetView guid="{773475A7-2559-11D2-A5F6-0060080AEB13}" scale="75" showPageBreaks="1" showRuler="0" topLeftCell="A6">
      <selection activeCell="C21" sqref="C21"/>
      <pageMargins left="0.75" right="0.75" top="1" bottom="1" header="0.5" footer="0.5"/>
      <pageSetup scale="76" pageOrder="overThenDown" orientation="landscape" r:id="rId2"/>
      <headerFooter alignWithMargins="0">
        <oddFooter>&amp;L&amp;D   &amp;T&amp;RO:\Naes\GenSvcs\TVA\TVA Model\&amp;F
&amp;A &amp;P</oddFooter>
      </headerFooter>
    </customSheetView>
  </customSheetViews>
  <pageMargins left="0.5" right="0.5" top="0.5" bottom="0.5" header="0" footer="0"/>
  <pageSetup scale="44" orientation="landscape" r:id="rId3"/>
  <headerFooter alignWithMargins="0">
    <oddFooter>&amp;L&amp;D   &amp;T&amp;R&amp;F
&amp;A &amp;P</oddFooter>
  </headerFooter>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AZ71"/>
  <sheetViews>
    <sheetView topLeftCell="A4" zoomScale="75" zoomScaleNormal="75" workbookViewId="0">
      <selection activeCell="A17" sqref="A17"/>
    </sheetView>
  </sheetViews>
  <sheetFormatPr defaultRowHeight="13.2"/>
  <cols>
    <col min="1" max="1" width="18.6640625" style="60" customWidth="1"/>
    <col min="2" max="2" width="15.88671875" style="60" customWidth="1"/>
    <col min="3" max="3" width="10.44140625" style="60" bestFit="1" customWidth="1"/>
    <col min="4" max="30" width="9.109375" style="60" customWidth="1"/>
  </cols>
  <sheetData>
    <row r="1" spans="1:52" ht="20.399999999999999">
      <c r="A1" s="525" t="str">
        <f>'Project Assumtions'!$A$2</f>
        <v>WHEATLAND POWER IN, L.L.C.</v>
      </c>
      <c r="B1" s="607"/>
      <c r="C1" s="607"/>
      <c r="D1" s="526"/>
    </row>
    <row r="2" spans="1:52">
      <c r="A2" s="527" t="s">
        <v>5</v>
      </c>
      <c r="B2" s="608"/>
      <c r="C2" s="608"/>
      <c r="D2" s="528"/>
    </row>
    <row r="3" spans="1:52" s="1" customFormat="1" ht="12.6" customHeight="1">
      <c r="A3" s="158"/>
      <c r="B3" s="60"/>
      <c r="C3" s="85">
        <f>'Book Income Statement'!D3</f>
        <v>1</v>
      </c>
      <c r="D3" s="85">
        <f>'Book Income Statement'!E3</f>
        <v>2</v>
      </c>
      <c r="E3" s="85">
        <f>'Book Income Statement'!F3</f>
        <v>3</v>
      </c>
      <c r="F3" s="85">
        <f>'Book Income Statement'!G3</f>
        <v>4</v>
      </c>
      <c r="G3" s="85">
        <f>'Book Income Statement'!H3</f>
        <v>5</v>
      </c>
      <c r="H3" s="85">
        <f>'Book Income Statement'!I3</f>
        <v>6</v>
      </c>
      <c r="I3" s="86">
        <f>'Book Income Statement'!J3</f>
        <v>7</v>
      </c>
      <c r="J3" s="85">
        <f>'Book Income Statement'!K3</f>
        <v>8</v>
      </c>
      <c r="K3" s="85">
        <f>'Book Income Statement'!L3</f>
        <v>9</v>
      </c>
      <c r="L3" s="85">
        <f>'Book Income Statement'!M3</f>
        <v>10</v>
      </c>
      <c r="M3" s="85">
        <f>'Book Income Statement'!N3</f>
        <v>11</v>
      </c>
      <c r="N3" s="85">
        <f>'Book Income Statement'!O3</f>
        <v>12</v>
      </c>
      <c r="O3" s="86">
        <f>'Book Income Statement'!P3</f>
        <v>13</v>
      </c>
      <c r="P3" s="85">
        <f>'Book Income Statement'!Q3</f>
        <v>14</v>
      </c>
      <c r="Q3" s="85">
        <f>'Book Income Statement'!R3</f>
        <v>15</v>
      </c>
      <c r="R3" s="85">
        <f>'Book Income Statement'!S3</f>
        <v>16</v>
      </c>
      <c r="S3" s="85">
        <f>'Book Income Statement'!T3</f>
        <v>17</v>
      </c>
      <c r="T3" s="85">
        <f>'Book Income Statement'!U3</f>
        <v>18</v>
      </c>
      <c r="U3" s="86">
        <f>'Book Income Statement'!V3</f>
        <v>19</v>
      </c>
      <c r="V3" s="85">
        <f>'Book Income Statement'!W3</f>
        <v>20</v>
      </c>
      <c r="W3" s="85">
        <f>'Book Income Statement'!X3</f>
        <v>21</v>
      </c>
      <c r="X3" s="85"/>
      <c r="Y3" s="85"/>
      <c r="Z3" s="85"/>
      <c r="AA3" s="86"/>
      <c r="AB3" s="85"/>
      <c r="AC3" s="159"/>
      <c r="AD3" s="60"/>
    </row>
    <row r="4" spans="1:52" s="1" customFormat="1" ht="12.6" customHeight="1">
      <c r="A4" s="609"/>
      <c r="B4" s="610"/>
      <c r="C4" s="531">
        <f>'Book Income Statement'!D4</f>
        <v>2000</v>
      </c>
      <c r="D4" s="531">
        <f>'Book Income Statement'!E4</f>
        <v>2001</v>
      </c>
      <c r="E4" s="531">
        <f>'Book Income Statement'!F4</f>
        <v>2002</v>
      </c>
      <c r="F4" s="531">
        <f>'Book Income Statement'!G4</f>
        <v>2003</v>
      </c>
      <c r="G4" s="531">
        <f>'Book Income Statement'!H4</f>
        <v>2004</v>
      </c>
      <c r="H4" s="531">
        <f>'Book Income Statement'!I4</f>
        <v>2005</v>
      </c>
      <c r="I4" s="531">
        <f>'Book Income Statement'!J4</f>
        <v>2006</v>
      </c>
      <c r="J4" s="531">
        <f>'Book Income Statement'!K4</f>
        <v>2007</v>
      </c>
      <c r="K4" s="531">
        <f>'Book Income Statement'!L4</f>
        <v>2008</v>
      </c>
      <c r="L4" s="531">
        <f>'Book Income Statement'!M4</f>
        <v>2009</v>
      </c>
      <c r="M4" s="531">
        <f>'Book Income Statement'!N4</f>
        <v>2010</v>
      </c>
      <c r="N4" s="531">
        <f>'Book Income Statement'!O4</f>
        <v>2011</v>
      </c>
      <c r="O4" s="531">
        <f>'Book Income Statement'!P4</f>
        <v>2012</v>
      </c>
      <c r="P4" s="531">
        <f>'Book Income Statement'!Q4</f>
        <v>2013</v>
      </c>
      <c r="Q4" s="531">
        <f>'Book Income Statement'!R4</f>
        <v>2014</v>
      </c>
      <c r="R4" s="531">
        <f>'Book Income Statement'!S4</f>
        <v>2015</v>
      </c>
      <c r="S4" s="531">
        <f>'Book Income Statement'!T4</f>
        <v>2016</v>
      </c>
      <c r="T4" s="531">
        <f>'Book Income Statement'!U4</f>
        <v>2017</v>
      </c>
      <c r="U4" s="531">
        <f>'Book Income Statement'!V4</f>
        <v>2018</v>
      </c>
      <c r="V4" s="531">
        <f>'Book Income Statement'!W4</f>
        <v>2019</v>
      </c>
      <c r="W4" s="532">
        <f>'Book Income Statement'!X4</f>
        <v>2020</v>
      </c>
      <c r="X4" s="87"/>
      <c r="Y4" s="87"/>
      <c r="Z4" s="87"/>
      <c r="AA4" s="87"/>
      <c r="AB4" s="87"/>
      <c r="AC4" s="87"/>
      <c r="AD4" s="60"/>
      <c r="AE4" s="31"/>
      <c r="AF4" s="31"/>
      <c r="AG4" s="31"/>
      <c r="AH4" s="31"/>
      <c r="AI4" s="31"/>
      <c r="AJ4" s="31"/>
      <c r="AK4" s="31"/>
      <c r="AL4" s="31"/>
      <c r="AM4" s="31"/>
      <c r="AN4" s="31"/>
      <c r="AO4" s="31"/>
      <c r="AP4" s="31"/>
      <c r="AQ4" s="31"/>
      <c r="AR4" s="31"/>
      <c r="AS4" s="31"/>
      <c r="AT4" s="31"/>
      <c r="AU4" s="31"/>
      <c r="AV4" s="31"/>
      <c r="AW4" s="31"/>
      <c r="AX4" s="31"/>
      <c r="AY4" s="31"/>
      <c r="AZ4" s="31"/>
    </row>
    <row r="5" spans="1:52" s="44" customFormat="1" ht="15.6">
      <c r="A5" s="555" t="s">
        <v>635</v>
      </c>
      <c r="B5" s="179"/>
      <c r="C5" s="179"/>
      <c r="D5" s="179"/>
      <c r="E5" s="179"/>
      <c r="F5" s="179"/>
      <c r="G5" s="179"/>
      <c r="H5" s="179"/>
      <c r="I5" s="179"/>
      <c r="J5" s="179"/>
      <c r="K5" s="179"/>
      <c r="L5" s="179"/>
      <c r="M5" s="179"/>
      <c r="N5" s="179"/>
      <c r="O5" s="179"/>
      <c r="P5" s="179"/>
      <c r="Q5" s="179"/>
      <c r="R5" s="179"/>
      <c r="S5" s="179"/>
      <c r="T5" s="179"/>
      <c r="U5" s="179"/>
      <c r="V5" s="179"/>
      <c r="W5" s="572"/>
      <c r="X5" s="179"/>
      <c r="Y5" s="179"/>
      <c r="Z5" s="179"/>
      <c r="AA5" s="179"/>
      <c r="AB5" s="79"/>
      <c r="AC5" s="79"/>
      <c r="AD5" s="79"/>
    </row>
    <row r="6" spans="1:52" s="3" customFormat="1" ht="12.6" customHeight="1">
      <c r="A6" s="522" t="s">
        <v>94</v>
      </c>
      <c r="B6" s="611"/>
      <c r="C6" s="612">
        <v>0</v>
      </c>
      <c r="D6" s="612">
        <v>0</v>
      </c>
      <c r="E6" s="612">
        <v>0</v>
      </c>
      <c r="F6" s="612">
        <v>0</v>
      </c>
      <c r="G6" s="612">
        <v>0</v>
      </c>
      <c r="H6" s="612">
        <v>0</v>
      </c>
      <c r="I6" s="612">
        <v>0</v>
      </c>
      <c r="J6" s="612">
        <v>0</v>
      </c>
      <c r="K6" s="612">
        <v>0</v>
      </c>
      <c r="L6" s="612">
        <v>0</v>
      </c>
      <c r="M6" s="612">
        <v>0</v>
      </c>
      <c r="N6" s="612">
        <v>0</v>
      </c>
      <c r="O6" s="612">
        <v>0</v>
      </c>
      <c r="P6" s="612">
        <v>0</v>
      </c>
      <c r="Q6" s="612">
        <v>0</v>
      </c>
      <c r="R6" s="612">
        <v>0</v>
      </c>
      <c r="S6" s="612">
        <v>0</v>
      </c>
      <c r="T6" s="612">
        <v>0</v>
      </c>
      <c r="U6" s="612">
        <v>0</v>
      </c>
      <c r="V6" s="612">
        <v>0</v>
      </c>
      <c r="W6" s="613">
        <v>0</v>
      </c>
      <c r="X6" s="217"/>
      <c r="Y6" s="217"/>
      <c r="Z6" s="217"/>
      <c r="AA6" s="217"/>
      <c r="AB6" s="85"/>
      <c r="AC6" s="85"/>
      <c r="AD6" s="85"/>
    </row>
    <row r="7" spans="1:52" s="3" customFormat="1" ht="12.6" customHeight="1">
      <c r="A7" s="522" t="s">
        <v>95</v>
      </c>
      <c r="B7" s="611"/>
      <c r="C7" s="612">
        <v>0</v>
      </c>
      <c r="D7" s="612">
        <v>0</v>
      </c>
      <c r="E7" s="612">
        <v>0</v>
      </c>
      <c r="F7" s="612">
        <v>0</v>
      </c>
      <c r="G7" s="612">
        <v>0</v>
      </c>
      <c r="H7" s="612">
        <v>0</v>
      </c>
      <c r="I7" s="612">
        <v>0</v>
      </c>
      <c r="J7" s="612">
        <v>0</v>
      </c>
      <c r="K7" s="612">
        <v>0</v>
      </c>
      <c r="L7" s="612">
        <v>0</v>
      </c>
      <c r="M7" s="612">
        <v>0</v>
      </c>
      <c r="N7" s="612">
        <v>0</v>
      </c>
      <c r="O7" s="612">
        <v>0</v>
      </c>
      <c r="P7" s="612">
        <v>0</v>
      </c>
      <c r="Q7" s="612">
        <v>0</v>
      </c>
      <c r="R7" s="612">
        <v>0</v>
      </c>
      <c r="S7" s="612">
        <v>0</v>
      </c>
      <c r="T7" s="612">
        <v>0</v>
      </c>
      <c r="U7" s="612">
        <v>0</v>
      </c>
      <c r="V7" s="612">
        <v>0</v>
      </c>
      <c r="W7" s="613">
        <v>0</v>
      </c>
      <c r="X7" s="217"/>
      <c r="Y7" s="217"/>
      <c r="Z7" s="217"/>
      <c r="AA7" s="217"/>
      <c r="AB7" s="85"/>
      <c r="AC7" s="85"/>
      <c r="AD7" s="85"/>
    </row>
    <row r="8" spans="1:52" s="3" customFormat="1" ht="12.6" customHeight="1">
      <c r="A8" s="522" t="s">
        <v>85</v>
      </c>
      <c r="B8" s="611"/>
      <c r="C8" s="557">
        <f>'Project Assumtions'!$I$10*(1-C6)</f>
        <v>470</v>
      </c>
      <c r="D8" s="557">
        <f>'Project Assumtions'!$I$10*(1-D6)*'PPA Assumptions &amp;Summary'!D6/12</f>
        <v>470</v>
      </c>
      <c r="E8" s="557">
        <f>'Project Assumtions'!$I$10*(1-E6)*'PPA Assumptions &amp;Summary'!E6/12</f>
        <v>470</v>
      </c>
      <c r="F8" s="557">
        <f>'Project Assumtions'!$I$10*(1-F6)*'PPA Assumptions &amp;Summary'!F6/12</f>
        <v>195.83333333333334</v>
      </c>
      <c r="G8" s="557">
        <f>'Project Assumtions'!$I$10*(1-G6)*'PPA Assumptions &amp;Summary'!G6/12</f>
        <v>0</v>
      </c>
      <c r="H8" s="557">
        <f>'Project Assumtions'!$I$10*(1-H6)*'PPA Assumptions &amp;Summary'!H6/12</f>
        <v>0</v>
      </c>
      <c r="I8" s="557">
        <f>'Project Assumtions'!$I$10*(1-I6)*'PPA Assumptions &amp;Summary'!I6/12</f>
        <v>0</v>
      </c>
      <c r="J8" s="557">
        <f>'Project Assumtions'!$I$10*(1-J6)*'PPA Assumptions &amp;Summary'!J6/12</f>
        <v>0</v>
      </c>
      <c r="K8" s="557">
        <f>'Project Assumtions'!$I$10*(1-K6)*'PPA Assumptions &amp;Summary'!K6/12</f>
        <v>0</v>
      </c>
      <c r="L8" s="557">
        <f>'Project Assumtions'!$I$10*(1-L6)*'PPA Assumptions &amp;Summary'!L6/12</f>
        <v>0</v>
      </c>
      <c r="M8" s="557">
        <f>'Project Assumtions'!$I$10*(1-M6)*'PPA Assumptions &amp;Summary'!M6/12</f>
        <v>0</v>
      </c>
      <c r="N8" s="557">
        <f>'Project Assumtions'!$I$10*(1-N6)*'PPA Assumptions &amp;Summary'!N6/12</f>
        <v>0</v>
      </c>
      <c r="O8" s="557">
        <f>'Project Assumtions'!$I$10*(1-O6)*'PPA Assumptions &amp;Summary'!O6/12</f>
        <v>0</v>
      </c>
      <c r="P8" s="557">
        <f>'Project Assumtions'!$I$10*(1-P6)*'PPA Assumptions &amp;Summary'!P6/12</f>
        <v>0</v>
      </c>
      <c r="Q8" s="557">
        <f>'Project Assumtions'!$I$10*(1-Q6)*'PPA Assumptions &amp;Summary'!Q6/12</f>
        <v>0</v>
      </c>
      <c r="R8" s="557">
        <f>'Project Assumtions'!$I$10*(1-R6)*'PPA Assumptions &amp;Summary'!R6/12</f>
        <v>0</v>
      </c>
      <c r="S8" s="557">
        <f>'Project Assumtions'!$I$10*(1-S6)*'PPA Assumptions &amp;Summary'!S6/12</f>
        <v>0</v>
      </c>
      <c r="T8" s="557">
        <f>'Project Assumtions'!$I$10*(1-T6)*'PPA Assumptions &amp;Summary'!T6/12</f>
        <v>0</v>
      </c>
      <c r="U8" s="557">
        <f>'Project Assumtions'!$I$10*(1-U6)*'PPA Assumptions &amp;Summary'!U6/12</f>
        <v>0</v>
      </c>
      <c r="V8" s="557">
        <f>'Project Assumtions'!$I$10*(1-V6)*'PPA Assumptions &amp;Summary'!V6/12</f>
        <v>0</v>
      </c>
      <c r="W8" s="614">
        <f>'Project Assumtions'!$I$10*(1-W6)*'PPA Assumptions &amp;Summary'!W6/12</f>
        <v>0</v>
      </c>
      <c r="X8" s="147"/>
      <c r="Y8" s="147"/>
      <c r="Z8" s="147"/>
      <c r="AA8" s="147"/>
      <c r="AB8" s="85"/>
      <c r="AC8" s="85"/>
      <c r="AD8" s="85"/>
    </row>
    <row r="9" spans="1:52" s="3" customFormat="1" ht="12.6" customHeight="1">
      <c r="A9" s="522"/>
      <c r="B9" s="611"/>
      <c r="C9" s="557"/>
      <c r="D9" s="557"/>
      <c r="E9" s="557"/>
      <c r="F9" s="557"/>
      <c r="G9" s="557"/>
      <c r="H9" s="557"/>
      <c r="I9" s="557"/>
      <c r="J9" s="557"/>
      <c r="K9" s="557"/>
      <c r="L9" s="557"/>
      <c r="M9" s="557"/>
      <c r="N9" s="557"/>
      <c r="O9" s="557"/>
      <c r="P9" s="557"/>
      <c r="Q9" s="557"/>
      <c r="R9" s="557"/>
      <c r="S9" s="557"/>
      <c r="T9" s="557"/>
      <c r="U9" s="557"/>
      <c r="V9" s="557"/>
      <c r="W9" s="614"/>
      <c r="X9" s="147"/>
      <c r="Y9" s="147"/>
      <c r="Z9" s="147"/>
      <c r="AA9" s="147"/>
      <c r="AB9" s="85"/>
      <c r="AC9" s="85"/>
      <c r="AD9" s="85"/>
    </row>
    <row r="10" spans="1:52" s="3" customFormat="1" ht="12.6" customHeight="1">
      <c r="A10" s="522" t="s">
        <v>624</v>
      </c>
      <c r="B10" s="611"/>
      <c r="C10" s="557">
        <f>IF(C3&gt;ProjectLife+1,0,C8)</f>
        <v>470</v>
      </c>
      <c r="D10" s="557">
        <f t="shared" ref="D10:W10" si="0">IF(D3&gt;ProjectLife+1,0,D8)</f>
        <v>470</v>
      </c>
      <c r="E10" s="557">
        <f t="shared" si="0"/>
        <v>470</v>
      </c>
      <c r="F10" s="557">
        <f t="shared" si="0"/>
        <v>195.83333333333334</v>
      </c>
      <c r="G10" s="557">
        <f t="shared" si="0"/>
        <v>0</v>
      </c>
      <c r="H10" s="557">
        <f t="shared" si="0"/>
        <v>0</v>
      </c>
      <c r="I10" s="557">
        <f t="shared" si="0"/>
        <v>0</v>
      </c>
      <c r="J10" s="557">
        <f t="shared" si="0"/>
        <v>0</v>
      </c>
      <c r="K10" s="557">
        <f t="shared" si="0"/>
        <v>0</v>
      </c>
      <c r="L10" s="557">
        <f t="shared" si="0"/>
        <v>0</v>
      </c>
      <c r="M10" s="557">
        <f t="shared" si="0"/>
        <v>0</v>
      </c>
      <c r="N10" s="557">
        <f t="shared" si="0"/>
        <v>0</v>
      </c>
      <c r="O10" s="557">
        <f t="shared" si="0"/>
        <v>0</v>
      </c>
      <c r="P10" s="557">
        <f t="shared" si="0"/>
        <v>0</v>
      </c>
      <c r="Q10" s="557">
        <f t="shared" si="0"/>
        <v>0</v>
      </c>
      <c r="R10" s="557">
        <f t="shared" si="0"/>
        <v>0</v>
      </c>
      <c r="S10" s="557">
        <f t="shared" si="0"/>
        <v>0</v>
      </c>
      <c r="T10" s="557">
        <f t="shared" si="0"/>
        <v>0</v>
      </c>
      <c r="U10" s="557">
        <f t="shared" si="0"/>
        <v>0</v>
      </c>
      <c r="V10" s="557">
        <f t="shared" si="0"/>
        <v>0</v>
      </c>
      <c r="W10" s="614">
        <f t="shared" si="0"/>
        <v>0</v>
      </c>
      <c r="X10" s="147"/>
      <c r="Y10" s="147"/>
      <c r="Z10" s="147"/>
      <c r="AA10" s="147"/>
      <c r="AB10" s="85"/>
      <c r="AC10" s="85"/>
      <c r="AD10" s="85"/>
    </row>
    <row r="11" spans="1:52" s="3" customFormat="1" ht="12.6" customHeight="1">
      <c r="A11" s="522" t="s">
        <v>86</v>
      </c>
      <c r="B11" s="611"/>
      <c r="C11" s="577">
        <f>IF(C3&gt;'Project Assumtions'!$I$15+1,0,'Project Assumtions'!$G$14)</f>
        <v>1200</v>
      </c>
      <c r="D11" s="577">
        <f>IF(D3&gt;'Project Assumtions'!$I$15+1,0,'Project Assumtions'!$G$14)</f>
        <v>1200</v>
      </c>
      <c r="E11" s="577">
        <f>IF(E3&gt;'Project Assumtions'!$I$15+1,0,'Project Assumtions'!$G$14)</f>
        <v>1200</v>
      </c>
      <c r="F11" s="577">
        <f>IF(F3&gt;'Project Assumtions'!$I$15+1,0,'Project Assumtions'!$G$14)</f>
        <v>1200</v>
      </c>
      <c r="G11" s="577">
        <f>IF(G3&gt;'Project Assumtions'!$I$15+1,0,'Project Assumtions'!$G$14)</f>
        <v>1200</v>
      </c>
      <c r="H11" s="577">
        <f>IF(H3&gt;'Project Assumtions'!$I$15+1,0,'Project Assumtions'!$G$14)</f>
        <v>1200</v>
      </c>
      <c r="I11" s="577">
        <f>IF(I3&gt;'Project Assumtions'!$I$15+1,0,'Project Assumtions'!$G$14)</f>
        <v>1200</v>
      </c>
      <c r="J11" s="577">
        <f>IF(J3&gt;'Project Assumtions'!$I$15+1,0,'Project Assumtions'!$G$14)</f>
        <v>1200</v>
      </c>
      <c r="K11" s="577">
        <f>IF(K3&gt;'Project Assumtions'!$I$15+1,0,'Project Assumtions'!$G$14)</f>
        <v>1200</v>
      </c>
      <c r="L11" s="577">
        <f>IF(L3&gt;'Project Assumtions'!$I$15+1,0,'Project Assumtions'!$G$14)</f>
        <v>1200</v>
      </c>
      <c r="M11" s="577">
        <f>IF(M3&gt;'Project Assumtions'!$I$15+1,0,'Project Assumtions'!$G$14)</f>
        <v>1200</v>
      </c>
      <c r="N11" s="577">
        <f>IF(N3&gt;'Project Assumtions'!$I$15+1,0,'Project Assumtions'!$G$14)</f>
        <v>1200</v>
      </c>
      <c r="O11" s="577">
        <f>IF(O3&gt;'Project Assumtions'!$I$15+1,0,'Project Assumtions'!$G$14)</f>
        <v>1200</v>
      </c>
      <c r="P11" s="577">
        <f>IF(P3&gt;'Project Assumtions'!$I$15+1,0,'Project Assumtions'!$G$14)</f>
        <v>1200</v>
      </c>
      <c r="Q11" s="577">
        <f>IF(Q3&gt;'Project Assumtions'!$I$15+1,0,'Project Assumtions'!$G$14)</f>
        <v>1200</v>
      </c>
      <c r="R11" s="577">
        <f>IF(R3&gt;'Project Assumtions'!$I$15+1,0,'Project Assumtions'!$G$14)</f>
        <v>1200</v>
      </c>
      <c r="S11" s="577">
        <f>IF(S3&gt;'Project Assumtions'!$I$15+1,0,'Project Assumtions'!$G$14)</f>
        <v>1200</v>
      </c>
      <c r="T11" s="577">
        <f>IF(T3&gt;'Project Assumtions'!$I$15+1,0,'Project Assumtions'!$G$14)</f>
        <v>1200</v>
      </c>
      <c r="U11" s="577">
        <f>IF(U3&gt;'Project Assumtions'!$I$15+1,0,'Project Assumtions'!$G$14)</f>
        <v>1200</v>
      </c>
      <c r="V11" s="577">
        <f>IF(V3&gt;'Project Assumtions'!$I$15+1,0,'Project Assumtions'!$G$14)</f>
        <v>1200</v>
      </c>
      <c r="W11" s="578">
        <f>IF(W3&gt;'Project Assumtions'!$I$15+1,0,'Project Assumtions'!$G$14)</f>
        <v>1200</v>
      </c>
      <c r="X11" s="189"/>
      <c r="Y11" s="189"/>
      <c r="Z11" s="189"/>
      <c r="AA11" s="189"/>
      <c r="AB11" s="85"/>
      <c r="AC11" s="85"/>
      <c r="AD11" s="85"/>
    </row>
    <row r="12" spans="1:52" s="3" customFormat="1" ht="12.6" customHeight="1">
      <c r="A12" s="564" t="s">
        <v>136</v>
      </c>
      <c r="B12" s="615"/>
      <c r="C12" s="616">
        <f>IF(C3&gt;'Project Assumtions'!$I$15+1,0,C11*C10*'PPA Assumptions &amp;Summary'!C5/12)</f>
        <v>329000</v>
      </c>
      <c r="D12" s="616">
        <f>IF(D3&gt;'Project Assumtions'!$I$15+1,0,D11*D10*'PPA Assumptions &amp;Summary'!D5/12)</f>
        <v>564000</v>
      </c>
      <c r="E12" s="616">
        <f>IF(E3&gt;'Project Assumtions'!$I$15+1,0,E11*E10*'PPA Assumptions &amp;Summary'!E5/12)</f>
        <v>564000</v>
      </c>
      <c r="F12" s="616">
        <f>IF(F3&gt;'Project Assumtions'!$I$15+1,0,F11*F10*'PPA Assumptions &amp;Summary'!F5/12)</f>
        <v>235000</v>
      </c>
      <c r="G12" s="616">
        <f>IF(G3&gt;'Project Assumtions'!$I$15+1,0,G11*G10*'PPA Assumptions &amp;Summary'!G5/12)</f>
        <v>0</v>
      </c>
      <c r="H12" s="616">
        <f>IF(H3&gt;'Project Assumtions'!$I$15+1,0,H11*H10*'PPA Assumptions &amp;Summary'!H5/12)</f>
        <v>0</v>
      </c>
      <c r="I12" s="616">
        <f>IF(I3&gt;'Project Assumtions'!$I$15+1,0,I11*I10*'PPA Assumptions &amp;Summary'!I5/12)</f>
        <v>0</v>
      </c>
      <c r="J12" s="616">
        <f>IF(J3&gt;'Project Assumtions'!$I$15+1,0,J11*J10*'PPA Assumptions &amp;Summary'!J5/12)</f>
        <v>0</v>
      </c>
      <c r="K12" s="616">
        <f>IF(K3&gt;'Project Assumtions'!$I$15+1,0,K11*K10*'PPA Assumptions &amp;Summary'!K5/12)</f>
        <v>0</v>
      </c>
      <c r="L12" s="616">
        <f>IF(L3&gt;'Project Assumtions'!$I$15+1,0,L11*L10*'PPA Assumptions &amp;Summary'!L5/12)</f>
        <v>0</v>
      </c>
      <c r="M12" s="616">
        <f>IF(M3&gt;'Project Assumtions'!$I$15+1,0,M11*M10*'PPA Assumptions &amp;Summary'!M5/12)</f>
        <v>0</v>
      </c>
      <c r="N12" s="616">
        <f>IF(N3&gt;'Project Assumtions'!$I$15+1,0,N11*N10*'PPA Assumptions &amp;Summary'!N5/12)</f>
        <v>0</v>
      </c>
      <c r="O12" s="616">
        <f>IF(O3&gt;'Project Assumtions'!$I$15+1,0,O11*O10*'PPA Assumptions &amp;Summary'!O5/12)</f>
        <v>0</v>
      </c>
      <c r="P12" s="616">
        <f>IF(P3&gt;'Project Assumtions'!$I$15+1,0,P11*P10*'PPA Assumptions &amp;Summary'!P5/12)</f>
        <v>0</v>
      </c>
      <c r="Q12" s="616">
        <f>IF(Q3&gt;'Project Assumtions'!$I$15+1,0,Q11*Q10*'PPA Assumptions &amp;Summary'!Q5/12)</f>
        <v>0</v>
      </c>
      <c r="R12" s="616">
        <f>IF(R3&gt;'Project Assumtions'!$I$15+1,0,R11*R10*'PPA Assumptions &amp;Summary'!R5/12)</f>
        <v>0</v>
      </c>
      <c r="S12" s="616">
        <f>IF(S3&gt;'Project Assumtions'!$I$15+1,0,S11*S10*'PPA Assumptions &amp;Summary'!S5/12)</f>
        <v>0</v>
      </c>
      <c r="T12" s="616">
        <f>IF(T3&gt;'Project Assumtions'!$I$15+1,0,T11*T10*'PPA Assumptions &amp;Summary'!T5/12)</f>
        <v>0</v>
      </c>
      <c r="U12" s="616">
        <f>IF(U3&gt;'Project Assumtions'!$I$15+1,0,U11*U10*'PPA Assumptions &amp;Summary'!U5/12)</f>
        <v>0</v>
      </c>
      <c r="V12" s="616">
        <f>IF(V3&gt;'Project Assumtions'!$I$15+1,0,V11*V10*'PPA Assumptions &amp;Summary'!V5/12)</f>
        <v>0</v>
      </c>
      <c r="W12" s="1034">
        <f>IF(W3&gt;'Project Assumtions'!$I$15+1,0,W11*W10*'PPA Assumptions &amp;Summary'!W5/12)</f>
        <v>0</v>
      </c>
      <c r="X12" s="146"/>
      <c r="Y12" s="146"/>
      <c r="Z12" s="146"/>
      <c r="AA12" s="146"/>
      <c r="AB12" s="85"/>
      <c r="AC12" s="85"/>
      <c r="AD12" s="85"/>
    </row>
    <row r="13" spans="1:52" s="3" customFormat="1" ht="12.6" customHeight="1">
      <c r="A13" s="1029"/>
      <c r="B13" s="611"/>
      <c r="C13" s="575"/>
      <c r="D13" s="575"/>
      <c r="E13" s="575"/>
      <c r="F13" s="575"/>
      <c r="G13" s="575"/>
      <c r="H13" s="575"/>
      <c r="I13" s="575"/>
      <c r="J13" s="575"/>
      <c r="K13" s="575"/>
      <c r="L13" s="575"/>
      <c r="M13" s="575"/>
      <c r="N13" s="575"/>
      <c r="O13" s="575"/>
      <c r="P13" s="575"/>
      <c r="Q13" s="575"/>
      <c r="R13" s="575"/>
      <c r="S13" s="575"/>
      <c r="T13" s="575"/>
      <c r="U13" s="575"/>
      <c r="V13" s="575"/>
      <c r="W13" s="575"/>
      <c r="X13" s="146"/>
      <c r="Y13" s="146"/>
      <c r="Z13" s="146"/>
      <c r="AA13" s="146"/>
      <c r="AB13" s="85"/>
      <c r="AC13" s="85"/>
      <c r="AD13" s="85"/>
    </row>
    <row r="14" spans="1:52" s="3" customFormat="1" ht="12.6" customHeight="1">
      <c r="A14" s="555" t="s">
        <v>636</v>
      </c>
      <c r="B14" s="179"/>
      <c r="C14" s="179"/>
      <c r="D14" s="179"/>
      <c r="E14" s="179"/>
      <c r="F14" s="179"/>
      <c r="G14" s="179"/>
      <c r="H14" s="179"/>
      <c r="I14" s="179"/>
      <c r="J14" s="179"/>
      <c r="K14" s="179"/>
      <c r="L14" s="179"/>
      <c r="M14" s="179"/>
      <c r="N14" s="179"/>
      <c r="O14" s="179"/>
      <c r="P14" s="179"/>
      <c r="Q14" s="179"/>
      <c r="R14" s="179"/>
      <c r="S14" s="179"/>
      <c r="T14" s="179"/>
      <c r="U14" s="179"/>
      <c r="V14" s="179"/>
      <c r="W14" s="572"/>
      <c r="X14" s="146"/>
      <c r="Y14" s="146"/>
      <c r="Z14" s="146"/>
      <c r="AA14" s="146"/>
      <c r="AB14" s="85"/>
      <c r="AC14" s="85"/>
      <c r="AD14" s="85"/>
    </row>
    <row r="15" spans="1:52" s="3" customFormat="1" ht="12.6" customHeight="1">
      <c r="A15" s="522" t="s">
        <v>94</v>
      </c>
      <c r="B15" s="611"/>
      <c r="C15" s="1005">
        <f>Deg_Rate*(1-'PPA Assumptions &amp;Summary'!C19)</f>
        <v>0.02</v>
      </c>
      <c r="D15" s="1005">
        <f>Deg_Rate*(1-'PPA Assumptions &amp;Summary'!D19)</f>
        <v>0.02</v>
      </c>
      <c r="E15" s="1005">
        <f>Deg_Rate*(1-'PPA Assumptions &amp;Summary'!E19)</f>
        <v>0.02</v>
      </c>
      <c r="F15" s="1005">
        <f>Deg_Rate*(1-'PPA Assumptions &amp;Summary'!F19)</f>
        <v>0.02</v>
      </c>
      <c r="G15" s="1005">
        <f>Deg_Rate*(1-'PPA Assumptions &amp;Summary'!G19)</f>
        <v>0.02</v>
      </c>
      <c r="H15" s="1005">
        <f>Deg_Rate*(1-'PPA Assumptions &amp;Summary'!H19)</f>
        <v>0.02</v>
      </c>
      <c r="I15" s="1005">
        <f>Deg_Rate*(1-'PPA Assumptions &amp;Summary'!I19)</f>
        <v>0.02</v>
      </c>
      <c r="J15" s="1005">
        <f>Deg_Rate*(1-'PPA Assumptions &amp;Summary'!J19)</f>
        <v>0.02</v>
      </c>
      <c r="K15" s="1005">
        <f>Deg_Rate*(1-'PPA Assumptions &amp;Summary'!K19)</f>
        <v>0.02</v>
      </c>
      <c r="L15" s="1005">
        <f>Deg_Rate*(1-'PPA Assumptions &amp;Summary'!L19)</f>
        <v>0.02</v>
      </c>
      <c r="M15" s="1005">
        <f>Deg_Rate*(1-'PPA Assumptions &amp;Summary'!M19)</f>
        <v>0.02</v>
      </c>
      <c r="N15" s="1005">
        <f>Deg_Rate*(1-'PPA Assumptions &amp;Summary'!N19)</f>
        <v>0.02</v>
      </c>
      <c r="O15" s="1005">
        <f>Deg_Rate*(1-'PPA Assumptions &amp;Summary'!O19)</f>
        <v>0.02</v>
      </c>
      <c r="P15" s="1005">
        <f>Deg_Rate*(1-'PPA Assumptions &amp;Summary'!P19)</f>
        <v>0.02</v>
      </c>
      <c r="Q15" s="1005">
        <f>Deg_Rate*(1-'PPA Assumptions &amp;Summary'!Q19)</f>
        <v>0.02</v>
      </c>
      <c r="R15" s="1005">
        <f>Deg_Rate*(1-'PPA Assumptions &amp;Summary'!R19)</f>
        <v>0.02</v>
      </c>
      <c r="S15" s="1005">
        <f>Deg_Rate*(1-'PPA Assumptions &amp;Summary'!S19)</f>
        <v>0.02</v>
      </c>
      <c r="T15" s="1005">
        <f>Deg_Rate*(1-'PPA Assumptions &amp;Summary'!T19)</f>
        <v>0.02</v>
      </c>
      <c r="U15" s="1005">
        <f>Deg_Rate*(1-'PPA Assumptions &amp;Summary'!U19)</f>
        <v>0.02</v>
      </c>
      <c r="V15" s="1005">
        <f>Deg_Rate*(1-'PPA Assumptions &amp;Summary'!V19)</f>
        <v>0.02</v>
      </c>
      <c r="W15" s="1006">
        <f>Deg_Rate*(1-'PPA Assumptions &amp;Summary'!W19)</f>
        <v>0.02</v>
      </c>
      <c r="X15" s="146"/>
      <c r="Y15" s="146"/>
      <c r="Z15" s="146"/>
      <c r="AA15" s="146"/>
      <c r="AB15" s="85"/>
      <c r="AC15" s="85"/>
      <c r="AD15" s="85"/>
    </row>
    <row r="16" spans="1:52" s="3" customFormat="1" ht="12.6" customHeight="1">
      <c r="A16" s="522" t="s">
        <v>95</v>
      </c>
      <c r="B16" s="611"/>
      <c r="C16" s="612">
        <v>0</v>
      </c>
      <c r="D16" s="612">
        <v>0</v>
      </c>
      <c r="E16" s="612">
        <v>0</v>
      </c>
      <c r="F16" s="612">
        <v>0</v>
      </c>
      <c r="G16" s="612">
        <v>0</v>
      </c>
      <c r="H16" s="612">
        <v>0</v>
      </c>
      <c r="I16" s="612">
        <v>0</v>
      </c>
      <c r="J16" s="612">
        <v>0</v>
      </c>
      <c r="K16" s="612">
        <v>0</v>
      </c>
      <c r="L16" s="612">
        <v>0</v>
      </c>
      <c r="M16" s="612">
        <v>0</v>
      </c>
      <c r="N16" s="612">
        <v>0</v>
      </c>
      <c r="O16" s="612">
        <v>0</v>
      </c>
      <c r="P16" s="612">
        <v>0</v>
      </c>
      <c r="Q16" s="612">
        <v>0</v>
      </c>
      <c r="R16" s="612">
        <v>0</v>
      </c>
      <c r="S16" s="612">
        <v>0</v>
      </c>
      <c r="T16" s="612">
        <v>0</v>
      </c>
      <c r="U16" s="612">
        <v>0</v>
      </c>
      <c r="V16" s="612">
        <v>0</v>
      </c>
      <c r="W16" s="613">
        <v>0</v>
      </c>
      <c r="X16" s="146"/>
      <c r="Y16" s="146"/>
      <c r="Z16" s="146"/>
      <c r="AA16" s="146"/>
      <c r="AB16" s="85"/>
      <c r="AC16" s="85"/>
      <c r="AD16" s="85"/>
    </row>
    <row r="17" spans="1:30" s="3" customFormat="1" ht="12.6" customHeight="1">
      <c r="A17" s="522" t="s">
        <v>85</v>
      </c>
      <c r="B17" s="611"/>
      <c r="C17" s="557">
        <f>ISO_NetMW*(1-C15)</f>
        <v>504.30799999999999</v>
      </c>
      <c r="D17" s="557">
        <f t="shared" ref="D17:W17" si="1">ISO_NetMW*(1-D15)</f>
        <v>504.30799999999999</v>
      </c>
      <c r="E17" s="557">
        <f t="shared" si="1"/>
        <v>504.30799999999999</v>
      </c>
      <c r="F17" s="557">
        <f t="shared" si="1"/>
        <v>504.30799999999999</v>
      </c>
      <c r="G17" s="557">
        <f t="shared" si="1"/>
        <v>504.30799999999999</v>
      </c>
      <c r="H17" s="557">
        <f t="shared" si="1"/>
        <v>504.30799999999999</v>
      </c>
      <c r="I17" s="557">
        <f t="shared" si="1"/>
        <v>504.30799999999999</v>
      </c>
      <c r="J17" s="557">
        <f t="shared" si="1"/>
        <v>504.30799999999999</v>
      </c>
      <c r="K17" s="557">
        <f t="shared" si="1"/>
        <v>504.30799999999999</v>
      </c>
      <c r="L17" s="557">
        <f t="shared" si="1"/>
        <v>504.30799999999999</v>
      </c>
      <c r="M17" s="557">
        <f t="shared" si="1"/>
        <v>504.30799999999999</v>
      </c>
      <c r="N17" s="557">
        <f t="shared" si="1"/>
        <v>504.30799999999999</v>
      </c>
      <c r="O17" s="557">
        <f t="shared" si="1"/>
        <v>504.30799999999999</v>
      </c>
      <c r="P17" s="557">
        <f t="shared" si="1"/>
        <v>504.30799999999999</v>
      </c>
      <c r="Q17" s="557">
        <f t="shared" si="1"/>
        <v>504.30799999999999</v>
      </c>
      <c r="R17" s="557">
        <f t="shared" si="1"/>
        <v>504.30799999999999</v>
      </c>
      <c r="S17" s="557">
        <f t="shared" si="1"/>
        <v>504.30799999999999</v>
      </c>
      <c r="T17" s="557">
        <f t="shared" si="1"/>
        <v>504.30799999999999</v>
      </c>
      <c r="U17" s="557">
        <f t="shared" si="1"/>
        <v>504.30799999999999</v>
      </c>
      <c r="V17" s="557">
        <f t="shared" si="1"/>
        <v>504.30799999999999</v>
      </c>
      <c r="W17" s="614">
        <f t="shared" si="1"/>
        <v>504.30799999999999</v>
      </c>
      <c r="X17" s="146"/>
      <c r="Y17" s="146"/>
      <c r="Z17" s="146"/>
      <c r="AA17" s="146"/>
      <c r="AB17" s="85"/>
      <c r="AC17" s="85"/>
      <c r="AD17" s="85"/>
    </row>
    <row r="18" spans="1:30" s="3" customFormat="1" ht="12.6" customHeight="1">
      <c r="A18" s="522"/>
      <c r="B18" s="611"/>
      <c r="C18" s="557"/>
      <c r="D18" s="557"/>
      <c r="E18" s="557"/>
      <c r="F18" s="557"/>
      <c r="G18" s="557"/>
      <c r="H18" s="557"/>
      <c r="I18" s="557"/>
      <c r="J18" s="557"/>
      <c r="K18" s="557"/>
      <c r="L18" s="557"/>
      <c r="M18" s="557"/>
      <c r="N18" s="557"/>
      <c r="O18" s="557"/>
      <c r="P18" s="557"/>
      <c r="Q18" s="557"/>
      <c r="R18" s="557"/>
      <c r="S18" s="557"/>
      <c r="T18" s="557"/>
      <c r="U18" s="557"/>
      <c r="V18" s="557"/>
      <c r="W18" s="614"/>
      <c r="X18" s="146"/>
      <c r="Y18" s="146"/>
      <c r="Z18" s="146"/>
      <c r="AA18" s="146"/>
      <c r="AB18" s="85"/>
      <c r="AC18" s="85"/>
      <c r="AD18" s="85"/>
    </row>
    <row r="19" spans="1:30" s="3" customFormat="1" ht="12.6" customHeight="1">
      <c r="A19" s="522" t="s">
        <v>624</v>
      </c>
      <c r="B19" s="611"/>
      <c r="C19" s="557">
        <f>IF(C3&gt;ProjectLife+1,0,(C17-C20)*'PPA Assumptions &amp;Summary'!C7/12)</f>
        <v>0</v>
      </c>
      <c r="D19" s="557">
        <f>IF(D3&gt;ProjectLife+1,0,(D17-D20)*'PPA Assumptions &amp;Summary'!D7/12)</f>
        <v>0</v>
      </c>
      <c r="E19" s="557">
        <f>IF(E3&gt;ProjectLife+1,0,(E17-E20)*'PPA Assumptions &amp;Summary'!E7/12)</f>
        <v>0</v>
      </c>
      <c r="F19" s="557">
        <f>IF(F3&gt;ProjectLife+1,0,(F17-F20)*'PPA Assumptions &amp;Summary'!F7/12)</f>
        <v>290.74757055555557</v>
      </c>
      <c r="G19" s="557">
        <f>IF(G3&gt;ProjectLife+1,0,(G17-G20)*'PPA Assumptions &amp;Summary'!G7/12)</f>
        <v>494.22183999999999</v>
      </c>
      <c r="H19" s="557">
        <f>IF(H3&gt;ProjectLife+1,0,(H17-H20)*'PPA Assumptions &amp;Summary'!H7/12)</f>
        <v>494.22183999999999</v>
      </c>
      <c r="I19" s="557">
        <f>IF(I3&gt;ProjectLife+1,0,(I17-I20)*'PPA Assumptions &amp;Summary'!I7/12)</f>
        <v>494.22183999999999</v>
      </c>
      <c r="J19" s="557">
        <f>IF(J3&gt;ProjectLife+1,0,(J17-J20)*'PPA Assumptions &amp;Summary'!J7/12)</f>
        <v>494.22183999999999</v>
      </c>
      <c r="K19" s="557">
        <f>IF(K3&gt;ProjectLife+1,0,(K17-K20)*'PPA Assumptions &amp;Summary'!K7/12)</f>
        <v>494.22183999999999</v>
      </c>
      <c r="L19" s="557">
        <f>IF(L3&gt;ProjectLife+1,0,(L17-L20)*'PPA Assumptions &amp;Summary'!L7/12)</f>
        <v>494.22183999999999</v>
      </c>
      <c r="M19" s="557">
        <f>IF(M3&gt;ProjectLife+1,0,(M17-M20)*'PPA Assumptions &amp;Summary'!M7/12)</f>
        <v>494.22183999999999</v>
      </c>
      <c r="N19" s="557">
        <f>IF(N3&gt;ProjectLife+1,0,(N17-N20)*'PPA Assumptions &amp;Summary'!N7/12)</f>
        <v>494.22183999999999</v>
      </c>
      <c r="O19" s="557">
        <f>IF(O3&gt;ProjectLife+1,0,(O17-O20)*'PPA Assumptions &amp;Summary'!O7/12)</f>
        <v>494.22183999999999</v>
      </c>
      <c r="P19" s="557">
        <f>IF(P3&gt;ProjectLife+1,0,(P17-P20)*'PPA Assumptions &amp;Summary'!P7/12)</f>
        <v>494.22183999999999</v>
      </c>
      <c r="Q19" s="557">
        <f>IF(Q3&gt;ProjectLife+1,0,(Q17-Q20)*'PPA Assumptions &amp;Summary'!Q7/12)</f>
        <v>494.22183999999999</v>
      </c>
      <c r="R19" s="557">
        <f>IF(R3&gt;ProjectLife+1,0,(R17-R20)*'PPA Assumptions &amp;Summary'!R7/12)</f>
        <v>494.22183999999999</v>
      </c>
      <c r="S19" s="557">
        <f>IF(S3&gt;ProjectLife+1,0,(S17-S20)*'PPA Assumptions &amp;Summary'!S7/12)</f>
        <v>494.22183999999999</v>
      </c>
      <c r="T19" s="557">
        <f>IF(T3&gt;ProjectLife+1,0,(T17-T20)*'PPA Assumptions &amp;Summary'!T7/12)</f>
        <v>494.22183999999999</v>
      </c>
      <c r="U19" s="557">
        <f>IF(U3&gt;ProjectLife+1,0,(U17-U20)*'PPA Assumptions &amp;Summary'!U7/12)</f>
        <v>494.22183999999999</v>
      </c>
      <c r="V19" s="557">
        <f>IF(V3&gt;ProjectLife+1,0,(V17-V20)*'PPA Assumptions &amp;Summary'!V7/12)</f>
        <v>494.22183999999999</v>
      </c>
      <c r="W19" s="614">
        <f>IF(W3&gt;ProjectLife+1,0,(W17-W20))</f>
        <v>500.10543333333334</v>
      </c>
      <c r="X19" s="146"/>
      <c r="Y19" s="146"/>
      <c r="Z19" s="146"/>
      <c r="AA19" s="146"/>
      <c r="AB19" s="85"/>
      <c r="AC19" s="85"/>
      <c r="AD19" s="85"/>
    </row>
    <row r="20" spans="1:30" s="3" customFormat="1" ht="12.6" customHeight="1">
      <c r="A20" s="522" t="s">
        <v>625</v>
      </c>
      <c r="B20" s="611"/>
      <c r="C20" s="557">
        <f>C17*Cap_Factor_Energy*'PPA Assumptions &amp;Summary'!C7/12</f>
        <v>0</v>
      </c>
      <c r="D20" s="557">
        <f>D17*Cap_Factor_Energy*'PPA Assumptions &amp;Summary'!D7/12</f>
        <v>0</v>
      </c>
      <c r="E20" s="557">
        <f>E17*Cap_Factor_Energy*'PPA Assumptions &amp;Summary'!E7/12</f>
        <v>0</v>
      </c>
      <c r="F20" s="557">
        <f>F17*Cap_Factor_Energy*'PPA Assumptions &amp;Summary'!F7/12</f>
        <v>5.8835933333333328</v>
      </c>
      <c r="G20" s="557">
        <f>G17*Cap_Factor_Energy*'PPA Assumptions &amp;Summary'!G7/12</f>
        <v>10.08616</v>
      </c>
      <c r="H20" s="557">
        <f>H17*Cap_Factor_Energy*'PPA Assumptions &amp;Summary'!H7/12</f>
        <v>10.08616</v>
      </c>
      <c r="I20" s="557">
        <f>I17*Cap_Factor_Energy*'PPA Assumptions &amp;Summary'!I7/12</f>
        <v>10.08616</v>
      </c>
      <c r="J20" s="557">
        <f>J17*Cap_Factor_Energy*'PPA Assumptions &amp;Summary'!J7/12</f>
        <v>10.08616</v>
      </c>
      <c r="K20" s="557">
        <f>K17*Cap_Factor_Energy*'PPA Assumptions &amp;Summary'!K7/12</f>
        <v>10.08616</v>
      </c>
      <c r="L20" s="557">
        <f>L17*Cap_Factor_Energy*'PPA Assumptions &amp;Summary'!L7/12</f>
        <v>10.08616</v>
      </c>
      <c r="M20" s="557">
        <f>M17*Cap_Factor_Energy*'PPA Assumptions &amp;Summary'!M7/12</f>
        <v>10.08616</v>
      </c>
      <c r="N20" s="557">
        <f>N17*Cap_Factor_Energy*'PPA Assumptions &amp;Summary'!N7/12</f>
        <v>10.08616</v>
      </c>
      <c r="O20" s="557">
        <f>O17*Cap_Factor_Energy*'PPA Assumptions &amp;Summary'!O7/12</f>
        <v>10.08616</v>
      </c>
      <c r="P20" s="557">
        <f>P17*Cap_Factor_Energy*'PPA Assumptions &amp;Summary'!P7/12</f>
        <v>10.08616</v>
      </c>
      <c r="Q20" s="557">
        <f>Q17*Cap_Factor_Energy*'PPA Assumptions &amp;Summary'!Q7/12</f>
        <v>10.08616</v>
      </c>
      <c r="R20" s="557">
        <f>R17*Cap_Factor_Energy*'PPA Assumptions &amp;Summary'!R7/12</f>
        <v>10.08616</v>
      </c>
      <c r="S20" s="557">
        <f>S17*Cap_Factor_Energy*'PPA Assumptions &amp;Summary'!S7/12</f>
        <v>10.08616</v>
      </c>
      <c r="T20" s="557">
        <f>T17*Cap_Factor_Energy*'PPA Assumptions &amp;Summary'!T7/12</f>
        <v>10.08616</v>
      </c>
      <c r="U20" s="557">
        <f>U17*Cap_Factor_Energy*'PPA Assumptions &amp;Summary'!U7/12</f>
        <v>10.08616</v>
      </c>
      <c r="V20" s="557">
        <f>V17*Cap_Factor_Energy*'PPA Assumptions &amp;Summary'!V7/12</f>
        <v>10.08616</v>
      </c>
      <c r="W20" s="614">
        <f>W17*Cap_Factor_Energy*'PPA Assumptions &amp;Summary'!W7/12</f>
        <v>4.2025666666666668</v>
      </c>
      <c r="X20" s="146"/>
      <c r="Y20" s="146"/>
      <c r="Z20" s="146"/>
      <c r="AA20" s="146"/>
      <c r="AB20" s="85"/>
      <c r="AC20" s="85"/>
      <c r="AD20" s="85"/>
    </row>
    <row r="21" spans="1:30" s="3" customFormat="1" ht="12.6" customHeight="1">
      <c r="A21" s="522" t="s">
        <v>86</v>
      </c>
      <c r="B21" s="611"/>
      <c r="C21" s="577">
        <f>IF(C3&gt;'Project Assumtions'!$I$15+1,0,'Project Assumtions'!$G$14)</f>
        <v>1200</v>
      </c>
      <c r="D21" s="577">
        <f>IF(D3&gt;'Project Assumtions'!$I$15+1,0,'Project Assumtions'!$G$14)</f>
        <v>1200</v>
      </c>
      <c r="E21" s="577">
        <f>IF(E3&gt;'Project Assumtions'!$I$15+1,0,'Project Assumtions'!$G$14)</f>
        <v>1200</v>
      </c>
      <c r="F21" s="577">
        <f>IF(F3&gt;'Project Assumtions'!$I$15+1,0,'Project Assumtions'!$G$14)</f>
        <v>1200</v>
      </c>
      <c r="G21" s="577">
        <f>IF(G3&gt;'Project Assumtions'!$I$15+1,0,'Project Assumtions'!$G$14)</f>
        <v>1200</v>
      </c>
      <c r="H21" s="577">
        <f>IF(H3&gt;'Project Assumtions'!$I$15+1,0,'Project Assumtions'!$G$14)</f>
        <v>1200</v>
      </c>
      <c r="I21" s="577">
        <f>IF(I3&gt;'Project Assumtions'!$I$15+1,0,'Project Assumtions'!$G$14)</f>
        <v>1200</v>
      </c>
      <c r="J21" s="577">
        <f>IF(J3&gt;'Project Assumtions'!$I$15+1,0,'Project Assumtions'!$G$14)</f>
        <v>1200</v>
      </c>
      <c r="K21" s="577">
        <f>IF(K3&gt;'Project Assumtions'!$I$15+1,0,'Project Assumtions'!$G$14)</f>
        <v>1200</v>
      </c>
      <c r="L21" s="577">
        <f>IF(L3&gt;'Project Assumtions'!$I$15+1,0,'Project Assumtions'!$G$14)</f>
        <v>1200</v>
      </c>
      <c r="M21" s="577">
        <f>IF(M3&gt;'Project Assumtions'!$I$15+1,0,'Project Assumtions'!$G$14)</f>
        <v>1200</v>
      </c>
      <c r="N21" s="577">
        <f>IF(N3&gt;'Project Assumtions'!$I$15+1,0,'Project Assumtions'!$G$14)</f>
        <v>1200</v>
      </c>
      <c r="O21" s="577">
        <f>IF(O3&gt;'Project Assumtions'!$I$15+1,0,'Project Assumtions'!$G$14)</f>
        <v>1200</v>
      </c>
      <c r="P21" s="577">
        <f>IF(P3&gt;'Project Assumtions'!$I$15+1,0,'Project Assumtions'!$G$14)</f>
        <v>1200</v>
      </c>
      <c r="Q21" s="577">
        <f>IF(Q3&gt;'Project Assumtions'!$I$15+1,0,'Project Assumtions'!$G$14)</f>
        <v>1200</v>
      </c>
      <c r="R21" s="577">
        <f>IF(R3&gt;'Project Assumtions'!$I$15+1,0,'Project Assumtions'!$G$14)</f>
        <v>1200</v>
      </c>
      <c r="S21" s="577">
        <f>IF(S3&gt;'Project Assumtions'!$I$15+1,0,'Project Assumtions'!$G$14)</f>
        <v>1200</v>
      </c>
      <c r="T21" s="577">
        <f>IF(T3&gt;'Project Assumtions'!$I$15+1,0,'Project Assumtions'!$G$14)</f>
        <v>1200</v>
      </c>
      <c r="U21" s="577">
        <f>IF(U3&gt;'Project Assumtions'!$I$15+1,0,'Project Assumtions'!$G$14)</f>
        <v>1200</v>
      </c>
      <c r="V21" s="577">
        <f>IF(V3&gt;'Project Assumtions'!$I$15+1,0,'Project Assumtions'!$G$14)</f>
        <v>1200</v>
      </c>
      <c r="W21" s="578">
        <f>IF(W3&gt;'Project Assumtions'!$I$15+1,0,'Project Assumtions'!$G$14)</f>
        <v>1200</v>
      </c>
      <c r="X21" s="146"/>
      <c r="Y21" s="146"/>
      <c r="Z21" s="146"/>
      <c r="AA21" s="146"/>
      <c r="AB21" s="85"/>
      <c r="AC21" s="85"/>
      <c r="AD21" s="85"/>
    </row>
    <row r="22" spans="1:30" s="3" customFormat="1" ht="12.6" customHeight="1">
      <c r="A22" s="564" t="s">
        <v>136</v>
      </c>
      <c r="B22" s="615"/>
      <c r="C22" s="616">
        <f>IF(C3&gt;'Project Assumtions'!$I$15+1,0,C21*(C20+C19)*'PPA Assumptions &amp;Summary'!C7/12)</f>
        <v>0</v>
      </c>
      <c r="D22" s="616">
        <f>IF(D3&gt;'Project Assumtions'!$I$15+1,0,D21*(D20+D19)*'PPA Assumptions &amp;Summary'!D7/12)</f>
        <v>0</v>
      </c>
      <c r="E22" s="616">
        <f>IF(E3&gt;'Project Assumtions'!$I$15+1,0,E21*(E20+E19)*'PPA Assumptions &amp;Summary'!E7/12)</f>
        <v>0</v>
      </c>
      <c r="F22" s="616">
        <f>IF(F3&gt;'Project Assumtions'!$I$15+1,0,F21*(F20+F19))</f>
        <v>355957.39666666673</v>
      </c>
      <c r="G22" s="616">
        <f>IF(G3&gt;'Project Assumtions'!$I$15+1,0,G21*(G20+G19))</f>
        <v>605169.6</v>
      </c>
      <c r="H22" s="616">
        <f>IF(H3&gt;'Project Assumtions'!$I$15+1,0,H21*(H20+H19))</f>
        <v>605169.6</v>
      </c>
      <c r="I22" s="616">
        <f>IF(I3&gt;'Project Assumtions'!$I$15+1,0,I21*(I20+I19))</f>
        <v>605169.6</v>
      </c>
      <c r="J22" s="616">
        <f>IF(J3&gt;'Project Assumtions'!$I$15+1,0,J21*(J20+J19))</f>
        <v>605169.6</v>
      </c>
      <c r="K22" s="616">
        <f>IF(K3&gt;'Project Assumtions'!$I$15+1,0,K21*(K20+K19))</f>
        <v>605169.6</v>
      </c>
      <c r="L22" s="616">
        <f>IF(L3&gt;'Project Assumtions'!$I$15+1,0,L21*(L20+L19))</f>
        <v>605169.6</v>
      </c>
      <c r="M22" s="616">
        <f>IF(M3&gt;'Project Assumtions'!$I$15+1,0,M21*(M20+M19))</f>
        <v>605169.6</v>
      </c>
      <c r="N22" s="616">
        <f>IF(N3&gt;'Project Assumtions'!$I$15+1,0,N21*(N20+N19))</f>
        <v>605169.6</v>
      </c>
      <c r="O22" s="616">
        <f>IF(O3&gt;'Project Assumtions'!$I$15+1,0,O21*(O20+O19))</f>
        <v>605169.6</v>
      </c>
      <c r="P22" s="616">
        <f>IF(P3&gt;'Project Assumtions'!$I$15+1,0,P21*(P20+P19))</f>
        <v>605169.6</v>
      </c>
      <c r="Q22" s="616">
        <f>IF(Q3&gt;'Project Assumtions'!$I$15+1,0,Q21*(Q20+Q19))</f>
        <v>605169.6</v>
      </c>
      <c r="R22" s="616">
        <f>IF(R3&gt;'Project Assumtions'!$I$15+1,0,R21*(R20+R19))</f>
        <v>605169.6</v>
      </c>
      <c r="S22" s="616">
        <f>IF(S3&gt;'Project Assumtions'!$I$15+1,0,S21*(S20+S19))</f>
        <v>605169.6</v>
      </c>
      <c r="T22" s="616">
        <f>IF(T3&gt;'Project Assumtions'!$I$15+1,0,T21*(T20+T19))</f>
        <v>605169.6</v>
      </c>
      <c r="U22" s="616">
        <f>IF(U3&gt;'Project Assumtions'!$I$15+1,0,U21*(U20+U19))</f>
        <v>605169.6</v>
      </c>
      <c r="V22" s="616">
        <f>IF(V3&gt;'Project Assumtions'!$I$15+1,0,V21*(V20+V19))</f>
        <v>605169.6</v>
      </c>
      <c r="W22" s="1034">
        <f>IF(W3&gt;'Project Assumtions'!$I$15+1,0,W21*(W20+W19))</f>
        <v>605169.6</v>
      </c>
      <c r="X22" s="146"/>
      <c r="Y22" s="146"/>
      <c r="Z22" s="146"/>
      <c r="AA22" s="146"/>
      <c r="AB22" s="85"/>
      <c r="AC22" s="85"/>
      <c r="AD22" s="85"/>
    </row>
    <row r="23" spans="1:30" s="3" customFormat="1" ht="12.6" customHeight="1">
      <c r="A23" s="185"/>
      <c r="B23" s="85"/>
      <c r="C23" s="147"/>
      <c r="D23" s="147"/>
      <c r="E23" s="147"/>
      <c r="F23" s="147"/>
      <c r="G23" s="147"/>
      <c r="H23" s="147"/>
      <c r="I23" s="147"/>
      <c r="J23" s="147"/>
      <c r="K23" s="147"/>
      <c r="L23" s="147"/>
      <c r="M23" s="147"/>
      <c r="N23" s="147"/>
      <c r="O23" s="147"/>
      <c r="P23" s="147"/>
      <c r="Q23" s="147"/>
      <c r="R23" s="147"/>
      <c r="S23" s="147"/>
      <c r="T23" s="147"/>
      <c r="U23" s="147"/>
      <c r="V23" s="147"/>
      <c r="W23" s="147"/>
      <c r="X23" s="147"/>
      <c r="Y23" s="147"/>
      <c r="Z23" s="147"/>
      <c r="AA23" s="147"/>
      <c r="AB23" s="85"/>
      <c r="AC23" s="85"/>
      <c r="AD23" s="85"/>
    </row>
    <row r="24" spans="1:30" s="3" customFormat="1" ht="15.6">
      <c r="A24" s="568" t="s">
        <v>161</v>
      </c>
      <c r="B24" s="610"/>
      <c r="C24" s="617"/>
      <c r="D24" s="617"/>
      <c r="E24" s="617"/>
      <c r="F24" s="617"/>
      <c r="G24" s="617"/>
      <c r="H24" s="617"/>
      <c r="I24" s="617"/>
      <c r="J24" s="617"/>
      <c r="K24" s="617"/>
      <c r="L24" s="617"/>
      <c r="M24" s="617"/>
      <c r="N24" s="617"/>
      <c r="O24" s="617"/>
      <c r="P24" s="617"/>
      <c r="Q24" s="617"/>
      <c r="R24" s="617"/>
      <c r="S24" s="617"/>
      <c r="T24" s="617"/>
      <c r="U24" s="617"/>
      <c r="V24" s="617"/>
      <c r="W24" s="618"/>
      <c r="X24" s="186"/>
      <c r="Y24" s="186"/>
      <c r="Z24" s="186"/>
      <c r="AA24" s="186"/>
      <c r="AB24" s="85"/>
      <c r="AC24" s="85"/>
      <c r="AD24" s="85"/>
    </row>
    <row r="25" spans="1:30" s="41" customFormat="1" ht="12.6" customHeight="1">
      <c r="A25" s="553" t="s">
        <v>157</v>
      </c>
      <c r="B25" s="79"/>
      <c r="C25" s="585">
        <f>IF(C3&lt;=ProjectLife+1,IF('Project Assumtions'!$C$69="Assumed",(NetMW*AnnualHours)*'PPA Assumptions &amp;Summary'!C6/12,0),0)</f>
        <v>329000</v>
      </c>
      <c r="D25" s="585">
        <f>IF(D3&lt;=ProjectLife+1,IF('Project Assumtions'!$C$69="Assumed",(NetMW*AnnualHours)*'PPA Assumptions &amp;Summary'!D6/12,0),0)</f>
        <v>564000</v>
      </c>
      <c r="E25" s="585">
        <f>IF(E3&lt;=ProjectLife+1,IF('Project Assumtions'!$C$69="Assumed",(NetMW*AnnualHours)*'PPA Assumptions &amp;Summary'!E6/12,0),0)</f>
        <v>564000</v>
      </c>
      <c r="F25" s="585">
        <f>IF(F3&lt;=ProjectLife+1,IF('Project Assumtions'!$C$69="Assumed",(NetMW*AnnualHours)*'PPA Assumptions &amp;Summary'!F6/12,0),0)</f>
        <v>235000</v>
      </c>
      <c r="G25" s="585">
        <f>IF(G3&lt;=ProjectLife+1,IF('Project Assumtions'!$C$69="Assumed",(NetMW*AnnualHours)*'PPA Assumptions &amp;Summary'!G6/12,0),0)</f>
        <v>0</v>
      </c>
      <c r="H25" s="585">
        <f>IF(H3&lt;=ProjectLife+1,IF('Project Assumtions'!$C$69="Assumed",(NetMW*AnnualHours)*'PPA Assumptions &amp;Summary'!H6/12,0),0)</f>
        <v>0</v>
      </c>
      <c r="I25" s="585">
        <f>IF(I3&lt;=ProjectLife+1,IF('Project Assumtions'!$C$69="Assumed",(NetMW*AnnualHours)*'PPA Assumptions &amp;Summary'!I6/12,0),0)</f>
        <v>0</v>
      </c>
      <c r="J25" s="585">
        <f>IF(J3&lt;=ProjectLife+1,IF('Project Assumtions'!$C$69="Assumed",(NetMW*AnnualHours)*'PPA Assumptions &amp;Summary'!J6/12,0),0)</f>
        <v>0</v>
      </c>
      <c r="K25" s="585">
        <f>IF(K3&lt;=ProjectLife+1,IF('Project Assumtions'!$C$69="Assumed",(NetMW*AnnualHours)*'PPA Assumptions &amp;Summary'!K6/12,0),0)</f>
        <v>0</v>
      </c>
      <c r="L25" s="585">
        <f>IF(L3&lt;=ProjectLife+1,IF('Project Assumtions'!$C$69="Assumed",(NetMW*AnnualHours)*'PPA Assumptions &amp;Summary'!L6/12,0),0)</f>
        <v>0</v>
      </c>
      <c r="M25" s="585">
        <f>IF(M3&lt;=ProjectLife+1,IF('Project Assumtions'!$C$69="Assumed",(NetMW*AnnualHours)*'PPA Assumptions &amp;Summary'!M6/12,0),0)</f>
        <v>0</v>
      </c>
      <c r="N25" s="585">
        <f>IF(N3&lt;=ProjectLife+1,IF('Project Assumtions'!$C$69="Assumed",(NetMW*AnnualHours)*'PPA Assumptions &amp;Summary'!N6/12,0),0)</f>
        <v>0</v>
      </c>
      <c r="O25" s="585">
        <f>IF(O3&lt;=ProjectLife+1,IF('Project Assumtions'!$C$69="Assumed",(NetMW*AnnualHours)*'PPA Assumptions &amp;Summary'!O6/12,0),0)</f>
        <v>0</v>
      </c>
      <c r="P25" s="585">
        <f>IF(P3&lt;=ProjectLife+1,IF('Project Assumtions'!$C$69="Assumed",(NetMW*AnnualHours)*'PPA Assumptions &amp;Summary'!P6/12,0),0)</f>
        <v>0</v>
      </c>
      <c r="Q25" s="585">
        <f>IF(Q3&lt;=ProjectLife+1,IF('Project Assumtions'!$C$69="Assumed",(NetMW*AnnualHours)*'PPA Assumptions &amp;Summary'!Q6/12,0),0)</f>
        <v>0</v>
      </c>
      <c r="R25" s="585">
        <f>IF(R3&lt;=ProjectLife+1,IF('Project Assumtions'!$C$69="Assumed",(NetMW*AnnualHours)*'PPA Assumptions &amp;Summary'!R6/12,0),0)</f>
        <v>0</v>
      </c>
      <c r="S25" s="585">
        <f>IF(S3&lt;=ProjectLife+1,IF('Project Assumtions'!$C$69="Assumed",(NetMW*AnnualHours)*'PPA Assumptions &amp;Summary'!S6/12,0),0)</f>
        <v>0</v>
      </c>
      <c r="T25" s="585">
        <f>IF(T3&lt;=ProjectLife+1,IF('Project Assumtions'!$C$69="Assumed",(NetMW*AnnualHours)*'PPA Assumptions &amp;Summary'!T6/12,0),0)</f>
        <v>0</v>
      </c>
      <c r="U25" s="585">
        <f>IF(U3&lt;=ProjectLife+1,IF('Project Assumtions'!$C$69="Assumed",(NetMW*AnnualHours)*'PPA Assumptions &amp;Summary'!U6/12,0),0)</f>
        <v>0</v>
      </c>
      <c r="V25" s="585">
        <f>IF(V3&lt;=ProjectLife+1,IF('Project Assumtions'!$C$69="Assumed",(NetMW*AnnualHours)*'PPA Assumptions &amp;Summary'!V6/12,0),0)</f>
        <v>0</v>
      </c>
      <c r="W25" s="586">
        <f>IF(W3&lt;=ProjectLife+1,IF('Project Assumtions'!$C$69="Assumed",(NetMW*AnnualHours)*'PPA Assumptions &amp;Summary'!W6/12,0),0)</f>
        <v>0</v>
      </c>
      <c r="X25" s="218"/>
      <c r="Y25" s="218"/>
      <c r="Z25" s="218"/>
      <c r="AA25" s="218"/>
      <c r="AB25" s="72"/>
      <c r="AC25" s="72"/>
      <c r="AD25" s="72"/>
    </row>
    <row r="26" spans="1:30" s="41" customFormat="1" ht="12.6" customHeight="1">
      <c r="A26" s="553" t="s">
        <v>158</v>
      </c>
      <c r="B26" s="79"/>
      <c r="C26" s="619">
        <f>IF(C3&gt;'Project Assumtions'!$I$15+1,0,C25/C30)</f>
        <v>1</v>
      </c>
      <c r="D26" s="619">
        <f>IF(D3&gt;'Project Assumtions'!$I$15+1,0,D25/D30)</f>
        <v>1</v>
      </c>
      <c r="E26" s="619">
        <f>IF(E3&gt;'Project Assumtions'!$I$15+1,0,E25/E30)</f>
        <v>1</v>
      </c>
      <c r="F26" s="619">
        <f>IF(F3&gt;'Project Assumtions'!$I$15+1,0,F25/F30)</f>
        <v>0.3976597997174291</v>
      </c>
      <c r="G26" s="619">
        <f>IF(G3&gt;'Project Assumtions'!$I$15+1,0,G25/G30)</f>
        <v>0</v>
      </c>
      <c r="H26" s="619">
        <f>IF(H3&gt;'Project Assumtions'!$I$15+1,0,H25/H30)</f>
        <v>0</v>
      </c>
      <c r="I26" s="619">
        <f>IF(I3&gt;'Project Assumtions'!$I$15+1,0,I25/I30)</f>
        <v>0</v>
      </c>
      <c r="J26" s="619">
        <f>IF(J3&gt;'Project Assumtions'!$I$15+1,0,J25/J30)</f>
        <v>0</v>
      </c>
      <c r="K26" s="619">
        <f>IF(K3&gt;'Project Assumtions'!$I$15+1,0,K25/K30)</f>
        <v>0</v>
      </c>
      <c r="L26" s="619">
        <f>IF(L3&gt;'Project Assumtions'!$I$15+1,0,L25/L30)</f>
        <v>0</v>
      </c>
      <c r="M26" s="619">
        <f>IF(M3&gt;'Project Assumtions'!$I$15+1,0,M25/M30)</f>
        <v>0</v>
      </c>
      <c r="N26" s="619">
        <f>IF(N3&gt;'Project Assumtions'!$I$15+1,0,N25/N30)</f>
        <v>0</v>
      </c>
      <c r="O26" s="619">
        <f>IF(O3&gt;'Project Assumtions'!$I$15+1,0,O25/O30)</f>
        <v>0</v>
      </c>
      <c r="P26" s="619">
        <f>IF(P3&gt;'Project Assumtions'!$I$15+1,0,P25/P30)</f>
        <v>0</v>
      </c>
      <c r="Q26" s="619">
        <f>IF(Q3&gt;'Project Assumtions'!$I$15+1,0,Q25/Q30)</f>
        <v>0</v>
      </c>
      <c r="R26" s="619">
        <f>IF(R3&gt;'Project Assumtions'!$I$15+1,0,R25/R30)</f>
        <v>0</v>
      </c>
      <c r="S26" s="619">
        <f>IF(S3&gt;'Project Assumtions'!$I$15+1,0,S25/S30)</f>
        <v>0</v>
      </c>
      <c r="T26" s="619">
        <f>IF(T3&gt;'Project Assumtions'!$I$15+1,0,T25/T30)</f>
        <v>0</v>
      </c>
      <c r="U26" s="619">
        <f>IF(U3&gt;'Project Assumtions'!$I$15+1,0,U25/U30)</f>
        <v>0</v>
      </c>
      <c r="V26" s="619">
        <f>IF(V3&gt;'Project Assumtions'!$I$15+1,0,V25/V30)</f>
        <v>0</v>
      </c>
      <c r="W26" s="620">
        <f>IF(W3&gt;'Project Assumtions'!$I$15+1,0,W25/W30)</f>
        <v>0</v>
      </c>
      <c r="X26" s="195"/>
      <c r="Y26" s="195"/>
      <c r="Z26" s="195"/>
      <c r="AA26" s="195"/>
      <c r="AB26" s="72"/>
      <c r="AC26" s="72"/>
      <c r="AD26" s="72"/>
    </row>
    <row r="27" spans="1:30" s="41" customFormat="1" ht="12.6" customHeight="1">
      <c r="A27" s="553" t="s">
        <v>159</v>
      </c>
      <c r="B27" s="79"/>
      <c r="C27" s="585">
        <f>IF(C3&gt;'Project Assumtions'!$I$15+1,0,IF('Project Assumtions'!$C$69="Assumed",C22,0))</f>
        <v>0</v>
      </c>
      <c r="D27" s="585">
        <f>IF(D3&gt;'Project Assumtions'!$I$15+1,0,IF('Project Assumtions'!$C$69="Assumed",D22,0))</f>
        <v>0</v>
      </c>
      <c r="E27" s="585">
        <f>IF(E3&gt;'Project Assumtions'!$I$15+1,0,IF('Project Assumtions'!$C$69="Assumed",E22,0))</f>
        <v>0</v>
      </c>
      <c r="F27" s="585">
        <f>IF(F3&gt;'Project Assumtions'!$I$15+1,0,IF('Project Assumtions'!$C$69="Assumed",F22,0))</f>
        <v>355957.39666666673</v>
      </c>
      <c r="G27" s="585">
        <f>IF(G3&gt;'Project Assumtions'!$I$15+1,0,IF('Project Assumtions'!$C$69="Assumed",G22,0))</f>
        <v>605169.6</v>
      </c>
      <c r="H27" s="585">
        <f>IF(H3&gt;'Project Assumtions'!$I$15+1,0,IF('Project Assumtions'!$C$69="Assumed",H22,0))</f>
        <v>605169.6</v>
      </c>
      <c r="I27" s="585">
        <f>IF(I3&gt;'Project Assumtions'!$I$15+1,0,IF('Project Assumtions'!$C$69="Assumed",I22,0))</f>
        <v>605169.6</v>
      </c>
      <c r="J27" s="585">
        <f>IF(J3&gt;'Project Assumtions'!$I$15+1,0,IF('Project Assumtions'!$C$69="Assumed",J22,0))</f>
        <v>605169.6</v>
      </c>
      <c r="K27" s="585">
        <f>IF(K3&gt;'Project Assumtions'!$I$15+1,0,IF('Project Assumtions'!$C$69="Assumed",K22,0))</f>
        <v>605169.6</v>
      </c>
      <c r="L27" s="585">
        <f>IF(L3&gt;'Project Assumtions'!$I$15+1,0,IF('Project Assumtions'!$C$69="Assumed",L22,0))</f>
        <v>605169.6</v>
      </c>
      <c r="M27" s="585">
        <f>IF(M3&gt;'Project Assumtions'!$I$15+1,0,IF('Project Assumtions'!$C$69="Assumed",M22,0))</f>
        <v>605169.6</v>
      </c>
      <c r="N27" s="585">
        <f>IF(N3&gt;'Project Assumtions'!$I$15+1,0,IF('Project Assumtions'!$C$69="Assumed",N22,0))</f>
        <v>605169.6</v>
      </c>
      <c r="O27" s="585">
        <f>IF(O3&gt;'Project Assumtions'!$I$15+1,0,IF('Project Assumtions'!$C$69="Assumed",O22,0))</f>
        <v>605169.6</v>
      </c>
      <c r="P27" s="585">
        <f>IF(P3&gt;'Project Assumtions'!$I$15+1,0,IF('Project Assumtions'!$C$69="Assumed",P22,0))</f>
        <v>605169.6</v>
      </c>
      <c r="Q27" s="585">
        <f>IF(Q3&gt;'Project Assumtions'!$I$15+1,0,IF('Project Assumtions'!$C$69="Assumed",Q22,0))</f>
        <v>605169.6</v>
      </c>
      <c r="R27" s="585">
        <f>IF(R3&gt;'Project Assumtions'!$I$15+1,0,IF('Project Assumtions'!$C$69="Assumed",R22,0))</f>
        <v>605169.6</v>
      </c>
      <c r="S27" s="585">
        <f>IF(S3&gt;'Project Assumtions'!$I$15+1,0,IF('Project Assumtions'!$C$69="Assumed",S22,0))</f>
        <v>605169.6</v>
      </c>
      <c r="T27" s="585">
        <f>IF(T3&gt;'Project Assumtions'!$I$15+1,0,IF('Project Assumtions'!$C$69="Assumed",T22,0))</f>
        <v>605169.6</v>
      </c>
      <c r="U27" s="585">
        <f>IF(U3&gt;'Project Assumtions'!$I$15+1,0,IF('Project Assumtions'!$C$69="Assumed",U22,0))</f>
        <v>605169.6</v>
      </c>
      <c r="V27" s="585">
        <f>IF(V3&gt;'Project Assumtions'!$I$15+1,0,IF('Project Assumtions'!$C$69="Assumed",V22,0))</f>
        <v>605169.6</v>
      </c>
      <c r="W27" s="586">
        <f>IF(W3&gt;'Project Assumtions'!$I$15+1,0,IF('Project Assumtions'!$C$69="Assumed",W22,0))</f>
        <v>605169.6</v>
      </c>
      <c r="X27" s="219"/>
      <c r="Y27" s="219"/>
      <c r="Z27" s="219"/>
      <c r="AA27" s="219"/>
      <c r="AB27" s="72"/>
      <c r="AC27" s="72"/>
      <c r="AD27" s="72"/>
    </row>
    <row r="28" spans="1:30" s="41" customFormat="1" ht="12.6" customHeight="1">
      <c r="A28" s="553" t="s">
        <v>158</v>
      </c>
      <c r="B28" s="79"/>
      <c r="C28" s="621">
        <f>IF(C3&gt;'Project Assumtions'!$I$15+1,0,C27/C30)</f>
        <v>0</v>
      </c>
      <c r="D28" s="621">
        <f>IF(D3&gt;'Project Assumtions'!$I$15+1,0,D27/D30)</f>
        <v>0</v>
      </c>
      <c r="E28" s="621">
        <f>IF(E3&gt;'Project Assumtions'!$I$15+1,0,E27/E30)</f>
        <v>0</v>
      </c>
      <c r="F28" s="621">
        <f>IF(F3&gt;'Project Assumtions'!$I$15+1,0,F27/F30)</f>
        <v>0.60234020028257085</v>
      </c>
      <c r="G28" s="621">
        <f>IF(G3&gt;'Project Assumtions'!$I$15+1,0,G27/G30)</f>
        <v>1</v>
      </c>
      <c r="H28" s="621">
        <f>IF(H3&gt;'Project Assumtions'!$I$15+1,0,H27/H30)</f>
        <v>1</v>
      </c>
      <c r="I28" s="621">
        <f>IF(I3&gt;'Project Assumtions'!$I$15+1,0,I27/I30)</f>
        <v>1</v>
      </c>
      <c r="J28" s="621">
        <f>IF(J3&gt;'Project Assumtions'!$I$15+1,0,J27/J30)</f>
        <v>1</v>
      </c>
      <c r="K28" s="621">
        <f>IF(K3&gt;'Project Assumtions'!$I$15+1,0,K27/K30)</f>
        <v>1</v>
      </c>
      <c r="L28" s="621">
        <f>IF(L3&gt;'Project Assumtions'!$I$15+1,0,L27/L30)</f>
        <v>1</v>
      </c>
      <c r="M28" s="621">
        <f>IF(M3&gt;'Project Assumtions'!$I$15+1,0,M27/M30)</f>
        <v>1</v>
      </c>
      <c r="N28" s="621">
        <f>IF(N3&gt;'Project Assumtions'!$I$15+1,0,N27/N30)</f>
        <v>1</v>
      </c>
      <c r="O28" s="621">
        <f>IF(O3&gt;'Project Assumtions'!$I$15+1,0,O27/O30)</f>
        <v>1</v>
      </c>
      <c r="P28" s="621">
        <f>IF(P3&gt;'Project Assumtions'!$I$15+1,0,P27/P30)</f>
        <v>1</v>
      </c>
      <c r="Q28" s="621">
        <f>IF(Q3&gt;'Project Assumtions'!$I$15+1,0,Q27/Q30)</f>
        <v>1</v>
      </c>
      <c r="R28" s="621">
        <f>IF(R3&gt;'Project Assumtions'!$I$15+1,0,R27/R30)</f>
        <v>1</v>
      </c>
      <c r="S28" s="621">
        <f>IF(S3&gt;'Project Assumtions'!$I$15+1,0,S27/S30)</f>
        <v>1</v>
      </c>
      <c r="T28" s="621">
        <f>IF(T3&gt;'Project Assumtions'!$I$15+1,0,T27/T30)</f>
        <v>1</v>
      </c>
      <c r="U28" s="621">
        <f>IF(U3&gt;'Project Assumtions'!$I$15+1,0,U27/U30)</f>
        <v>1</v>
      </c>
      <c r="V28" s="621">
        <f>IF(V3&gt;'Project Assumtions'!$I$15+1,0,V27/V30)</f>
        <v>1</v>
      </c>
      <c r="W28" s="622">
        <f>IF(W3&gt;'Project Assumtions'!$I$15+1,0,W27/W30)</f>
        <v>1</v>
      </c>
      <c r="X28" s="220"/>
      <c r="Y28" s="220"/>
      <c r="Z28" s="220"/>
      <c r="AA28" s="220"/>
      <c r="AB28" s="72"/>
      <c r="AC28" s="72"/>
      <c r="AD28" s="72"/>
    </row>
    <row r="29" spans="1:30" s="3" customFormat="1" ht="12.6" customHeight="1">
      <c r="A29" s="522"/>
      <c r="B29" s="611"/>
      <c r="C29" s="575"/>
      <c r="D29" s="575"/>
      <c r="E29" s="575"/>
      <c r="F29" s="575"/>
      <c r="G29" s="575"/>
      <c r="H29" s="575"/>
      <c r="I29" s="575"/>
      <c r="J29" s="575"/>
      <c r="K29" s="575"/>
      <c r="L29" s="575"/>
      <c r="M29" s="575"/>
      <c r="N29" s="575"/>
      <c r="O29" s="575"/>
      <c r="P29" s="575"/>
      <c r="Q29" s="575"/>
      <c r="R29" s="575"/>
      <c r="S29" s="575"/>
      <c r="T29" s="575"/>
      <c r="U29" s="575"/>
      <c r="V29" s="575"/>
      <c r="W29" s="576"/>
      <c r="X29" s="146"/>
      <c r="Y29" s="146"/>
      <c r="Z29" s="146"/>
      <c r="AA29" s="146"/>
      <c r="AB29" s="85"/>
      <c r="AC29" s="85"/>
      <c r="AD29" s="85"/>
    </row>
    <row r="30" spans="1:30" s="41" customFormat="1" ht="12.6" customHeight="1">
      <c r="A30" s="553" t="s">
        <v>155</v>
      </c>
      <c r="B30" s="79"/>
      <c r="C30" s="585">
        <f>IF(C3&gt;'Project Assumtions'!$I$15+1,0,IF('Project Assumtions'!$C$69="Assumed",C25+C27,C25+C27))</f>
        <v>329000</v>
      </c>
      <c r="D30" s="585">
        <f>IF(D3&gt;'Project Assumtions'!$I$15+1,0,IF('Project Assumtions'!$C$69="Assumed",D25+D27,D25+D27))</f>
        <v>564000</v>
      </c>
      <c r="E30" s="585">
        <f>IF(E3&gt;'Project Assumtions'!$I$15+1,0,IF('Project Assumtions'!$C$69="Assumed",E25+E27,E25+E27))</f>
        <v>564000</v>
      </c>
      <c r="F30" s="585">
        <f>IF(F3&gt;'Project Assumtions'!$I$15+1,0,IF('Project Assumtions'!$C$69="Assumed",F25+F27,F25+F27))</f>
        <v>590957.39666666673</v>
      </c>
      <c r="G30" s="585">
        <f>IF(G3&gt;'Project Assumtions'!$I$15+1,0,IF('Project Assumtions'!$C$69="Assumed",G25+G27,G25+G27))</f>
        <v>605169.6</v>
      </c>
      <c r="H30" s="585">
        <f>IF(H3&gt;'Project Assumtions'!$I$15+1,0,IF('Project Assumtions'!$C$69="Assumed",H25+H27,H25+H27))</f>
        <v>605169.6</v>
      </c>
      <c r="I30" s="585">
        <f>IF(I3&gt;'Project Assumtions'!$I$15+1,0,IF('Project Assumtions'!$C$69="Assumed",I25+I27,I25+I27))</f>
        <v>605169.6</v>
      </c>
      <c r="J30" s="585">
        <f>IF(J3&gt;'Project Assumtions'!$I$15+1,0,IF('Project Assumtions'!$C$69="Assumed",J25+J27,J25+J27))</f>
        <v>605169.6</v>
      </c>
      <c r="K30" s="585">
        <f>IF(K3&gt;'Project Assumtions'!$I$15+1,0,IF('Project Assumtions'!$C$69="Assumed",K25+K27,K25+K27))</f>
        <v>605169.6</v>
      </c>
      <c r="L30" s="585">
        <f>IF(L3&gt;'Project Assumtions'!$I$15+1,0,IF('Project Assumtions'!$C$69="Assumed",L25+L27,L25+L27))</f>
        <v>605169.6</v>
      </c>
      <c r="M30" s="585">
        <f>IF(M3&gt;'Project Assumtions'!$I$15+1,0,IF('Project Assumtions'!$C$69="Assumed",M25+M27,M25+M27))</f>
        <v>605169.6</v>
      </c>
      <c r="N30" s="585">
        <f>IF(N3&gt;'Project Assumtions'!$I$15+1,0,IF('Project Assumtions'!$C$69="Assumed",N25+N27,N25+N27))</f>
        <v>605169.6</v>
      </c>
      <c r="O30" s="585">
        <f>IF(O3&gt;'Project Assumtions'!$I$15+1,0,IF('Project Assumtions'!$C$69="Assumed",O25+O27,O25+O27))</f>
        <v>605169.6</v>
      </c>
      <c r="P30" s="585">
        <f>IF(P3&gt;'Project Assumtions'!$I$15+1,0,IF('Project Assumtions'!$C$69="Assumed",P25+P27,P25+P27))</f>
        <v>605169.6</v>
      </c>
      <c r="Q30" s="585">
        <f>IF(Q3&gt;'Project Assumtions'!$I$15+1,0,IF('Project Assumtions'!$C$69="Assumed",Q25+Q27,Q25+Q27))</f>
        <v>605169.6</v>
      </c>
      <c r="R30" s="585">
        <f>IF(R3&gt;'Project Assumtions'!$I$15+1,0,IF('Project Assumtions'!$C$69="Assumed",R25+R27,R25+R27))</f>
        <v>605169.6</v>
      </c>
      <c r="S30" s="585">
        <f>IF(S3&gt;'Project Assumtions'!$I$15+1,0,IF('Project Assumtions'!$C$69="Assumed",S25+S27,S25+S27))</f>
        <v>605169.6</v>
      </c>
      <c r="T30" s="585">
        <f>IF(T3&gt;'Project Assumtions'!$I$15+1,0,IF('Project Assumtions'!$C$69="Assumed",T25+T27,T25+T27))</f>
        <v>605169.6</v>
      </c>
      <c r="U30" s="585">
        <f>IF(U3&gt;'Project Assumtions'!$I$15+1,0,IF('Project Assumtions'!$C$69="Assumed",U25+U27,U25+U27))</f>
        <v>605169.6</v>
      </c>
      <c r="V30" s="585">
        <f>IF(V3&gt;'Project Assumtions'!$I$15+1,0,IF('Project Assumtions'!$C$69="Assumed",V25+V27,V25+V27))</f>
        <v>605169.6</v>
      </c>
      <c r="W30" s="586">
        <f>IF(W3&gt;'Project Assumtions'!$I$15+1,0,IF('Project Assumtions'!$C$69="Assumed",W25+W27,W25+W27))</f>
        <v>605169.6</v>
      </c>
      <c r="X30" s="219"/>
      <c r="Y30" s="219"/>
      <c r="Z30" s="219"/>
      <c r="AA30" s="219"/>
      <c r="AB30" s="72"/>
      <c r="AC30" s="72"/>
      <c r="AD30" s="72"/>
    </row>
    <row r="31" spans="1:30" s="41" customFormat="1" ht="12.6" customHeight="1">
      <c r="A31" s="553" t="s">
        <v>107</v>
      </c>
      <c r="B31" s="79"/>
      <c r="C31" s="619">
        <f>IF(C3&gt;'Project Assumtions'!$I$15+1,0,C26+C28)</f>
        <v>1</v>
      </c>
      <c r="D31" s="619">
        <f>IF(D3&gt;'Project Assumtions'!$I$15+1,0,D26+D28)</f>
        <v>1</v>
      </c>
      <c r="E31" s="619">
        <f>IF(E3&gt;'Project Assumtions'!$I$15+1,0,E26+E28)</f>
        <v>1</v>
      </c>
      <c r="F31" s="619">
        <f>IF(F3&gt;'Project Assumtions'!$I$15+1,0,F26+F28)</f>
        <v>1</v>
      </c>
      <c r="G31" s="619">
        <f>IF(G3&gt;'Project Assumtions'!$I$15+1,0,G26+G28)</f>
        <v>1</v>
      </c>
      <c r="H31" s="619">
        <f>IF(H3&gt;'Project Assumtions'!$I$15+1,0,H26+H28)</f>
        <v>1</v>
      </c>
      <c r="I31" s="619">
        <f>IF(I3&gt;'Project Assumtions'!$I$15+1,0,I26+I28)</f>
        <v>1</v>
      </c>
      <c r="J31" s="619">
        <f>IF(J3&gt;'Project Assumtions'!$I$15+1,0,J26+J28)</f>
        <v>1</v>
      </c>
      <c r="K31" s="619">
        <f>IF(K3&gt;'Project Assumtions'!$I$15+1,0,K26+K28)</f>
        <v>1</v>
      </c>
      <c r="L31" s="619">
        <f>IF(L3&gt;'Project Assumtions'!$I$15+1,0,L26+L28)</f>
        <v>1</v>
      </c>
      <c r="M31" s="619">
        <f>IF(M3&gt;'Project Assumtions'!$I$15+1,0,M26+M28)</f>
        <v>1</v>
      </c>
      <c r="N31" s="619">
        <f>IF(N3&gt;'Project Assumtions'!$I$15+1,0,N26+N28)</f>
        <v>1</v>
      </c>
      <c r="O31" s="619">
        <f>IF(O3&gt;'Project Assumtions'!$I$15+1,0,O26+O28)</f>
        <v>1</v>
      </c>
      <c r="P31" s="619">
        <f>IF(P3&gt;'Project Assumtions'!$I$15+1,0,P26+P28)</f>
        <v>1</v>
      </c>
      <c r="Q31" s="619">
        <f>IF(Q3&gt;'Project Assumtions'!$I$15+1,0,Q26+Q28)</f>
        <v>1</v>
      </c>
      <c r="R31" s="619">
        <f>IF(R3&gt;'Project Assumtions'!$I$15+1,0,R26+R28)</f>
        <v>1</v>
      </c>
      <c r="S31" s="619">
        <f>IF(S3&gt;'Project Assumtions'!$I$15+1,0,S26+S28)</f>
        <v>1</v>
      </c>
      <c r="T31" s="619">
        <f>IF(T3&gt;'Project Assumtions'!$I$15+1,0,T26+T28)</f>
        <v>1</v>
      </c>
      <c r="U31" s="619">
        <f>IF(U3&gt;'Project Assumtions'!$I$15+1,0,U26+U28)</f>
        <v>1</v>
      </c>
      <c r="V31" s="619">
        <f>IF(V3&gt;'Project Assumtions'!$I$15+1,0,V26+V28)</f>
        <v>1</v>
      </c>
      <c r="W31" s="620">
        <f>IF(W3&gt;'Project Assumtions'!$I$15+1,0,W26+W28)</f>
        <v>1</v>
      </c>
      <c r="X31" s="195"/>
      <c r="Y31" s="195"/>
      <c r="Z31" s="195"/>
      <c r="AA31" s="195"/>
      <c r="AB31" s="72"/>
      <c r="AC31" s="72"/>
      <c r="AD31" s="72"/>
    </row>
    <row r="32" spans="1:30" s="3" customFormat="1" ht="12.6" customHeight="1">
      <c r="A32" s="522" t="s">
        <v>156</v>
      </c>
      <c r="B32" s="611"/>
      <c r="C32" s="623">
        <f>IF(C3&gt;'Project Assumtions'!$I$15+1,0,'Project Assumtions'!$I$12*(1+C7))</f>
        <v>11735</v>
      </c>
      <c r="D32" s="623">
        <f>IF(D3&gt;'Project Assumtions'!$I$15+1,0,'Project Assumtions'!$I$12*(1+D7))</f>
        <v>11735</v>
      </c>
      <c r="E32" s="623">
        <f>IF(E3&gt;'Project Assumtions'!$I$15+1,0,'Project Assumtions'!$I$12*(1+E7))</f>
        <v>11735</v>
      </c>
      <c r="F32" s="623">
        <f>IF(F3&gt;'Project Assumtions'!$I$15+1,0,'Project Assumtions'!$I$12*(1+F7))</f>
        <v>11735</v>
      </c>
      <c r="G32" s="623">
        <f>IF(G3&gt;'Project Assumtions'!$I$15+1,0,'Project Assumtions'!$I$12*(1+G7))</f>
        <v>11735</v>
      </c>
      <c r="H32" s="623">
        <f>IF(H3&gt;'Project Assumtions'!$I$15+1,0,'Project Assumtions'!$I$12*(1+H7))</f>
        <v>11735</v>
      </c>
      <c r="I32" s="623">
        <f>IF(I3&gt;'Project Assumtions'!$I$15+1,0,'Project Assumtions'!$I$12*(1+I7))</f>
        <v>11735</v>
      </c>
      <c r="J32" s="623">
        <f>IF(J3&gt;'Project Assumtions'!$I$15+1,0,'Project Assumtions'!$I$12*(1+J7))</f>
        <v>11735</v>
      </c>
      <c r="K32" s="623">
        <f>IF(K3&gt;'Project Assumtions'!$I$15+1,0,'Project Assumtions'!$I$12*(1+K7))</f>
        <v>11735</v>
      </c>
      <c r="L32" s="623">
        <f>IF(L3&gt;'Project Assumtions'!$I$15+1,0,'Project Assumtions'!$I$12*(1+L7))</f>
        <v>11735</v>
      </c>
      <c r="M32" s="623">
        <f>IF(M3&gt;'Project Assumtions'!$I$15+1,0,'Project Assumtions'!$I$12*(1+M7))</f>
        <v>11735</v>
      </c>
      <c r="N32" s="623">
        <f>IF(N3&gt;'Project Assumtions'!$I$15+1,0,'Project Assumtions'!$I$12*(1+N7))</f>
        <v>11735</v>
      </c>
      <c r="O32" s="623">
        <f>IF(O3&gt;'Project Assumtions'!$I$15+1,0,'Project Assumtions'!$I$12*(1+O7))</f>
        <v>11735</v>
      </c>
      <c r="P32" s="623">
        <f>IF(P3&gt;'Project Assumtions'!$I$15+1,0,'Project Assumtions'!$I$12*(1+P7))</f>
        <v>11735</v>
      </c>
      <c r="Q32" s="623">
        <f>IF(Q3&gt;'Project Assumtions'!$I$15+1,0,'Project Assumtions'!$I$12*(1+Q7))</f>
        <v>11735</v>
      </c>
      <c r="R32" s="623">
        <f>IF(R3&gt;'Project Assumtions'!$I$15+1,0,'Project Assumtions'!$I$12*(1+R7))</f>
        <v>11735</v>
      </c>
      <c r="S32" s="623">
        <f>IF(S3&gt;'Project Assumtions'!$I$15+1,0,'Project Assumtions'!$I$12*(1+S7))</f>
        <v>11735</v>
      </c>
      <c r="T32" s="623">
        <f>IF(T3&gt;'Project Assumtions'!$I$15+1,0,'Project Assumtions'!$I$12*(1+T7))</f>
        <v>11735</v>
      </c>
      <c r="U32" s="623">
        <f>IF(U3&gt;'Project Assumtions'!$I$15+1,0,'Project Assumtions'!$I$12*(1+U7))</f>
        <v>11735</v>
      </c>
      <c r="V32" s="623">
        <f>IF(V3&gt;'Project Assumtions'!$I$15+1,0,'Project Assumtions'!$I$12*(1+V7))</f>
        <v>11735</v>
      </c>
      <c r="W32" s="624">
        <f>IF(W3&gt;'Project Assumtions'!$I$15+1,0,'Project Assumtions'!$I$12*(1+W7))</f>
        <v>11735</v>
      </c>
      <c r="X32" s="221"/>
      <c r="Y32" s="221"/>
      <c r="Z32" s="221"/>
      <c r="AA32" s="221"/>
      <c r="AB32" s="85"/>
      <c r="AC32" s="85"/>
      <c r="AD32" s="85"/>
    </row>
    <row r="33" spans="1:30" s="3" customFormat="1" ht="12.6" customHeight="1">
      <c r="A33" s="522" t="s">
        <v>87</v>
      </c>
      <c r="B33" s="611"/>
      <c r="C33" s="575">
        <f>IF(C3&gt;'Project Assumtions'!$I$15+1,0,C32*C30/1000000)</f>
        <v>3860.8150000000001</v>
      </c>
      <c r="D33" s="575">
        <f>IF(D3&gt;'Project Assumtions'!$I$15+1,0,D32*D30/1000000)</f>
        <v>6618.54</v>
      </c>
      <c r="E33" s="575">
        <f>IF(E3&gt;'Project Assumtions'!$I$15+1,0,E32*E30/1000000)</f>
        <v>6618.54</v>
      </c>
      <c r="F33" s="575">
        <f>IF(F3&gt;'Project Assumtions'!$I$15+1,0,F32*F30/1000000)</f>
        <v>6934.8850498833344</v>
      </c>
      <c r="G33" s="575">
        <f>IF(G3&gt;'Project Assumtions'!$I$15+1,0,G32*G30/1000000)</f>
        <v>7101.6652560000002</v>
      </c>
      <c r="H33" s="575">
        <f>IF(H3&gt;'Project Assumtions'!$I$15+1,0,H32*H30/1000000)</f>
        <v>7101.6652560000002</v>
      </c>
      <c r="I33" s="575">
        <f>IF(I3&gt;'Project Assumtions'!$I$15+1,0,I32*I30/1000000)</f>
        <v>7101.6652560000002</v>
      </c>
      <c r="J33" s="575">
        <f>IF(J3&gt;'Project Assumtions'!$I$15+1,0,J32*J30/1000000)</f>
        <v>7101.6652560000002</v>
      </c>
      <c r="K33" s="575">
        <f>IF(K3&gt;'Project Assumtions'!$I$15+1,0,K32*K30/1000000)</f>
        <v>7101.6652560000002</v>
      </c>
      <c r="L33" s="575">
        <f>IF(L3&gt;'Project Assumtions'!$I$15+1,0,L32*L30/1000000)</f>
        <v>7101.6652560000002</v>
      </c>
      <c r="M33" s="575">
        <f>IF(M3&gt;'Project Assumtions'!$I$15+1,0,M32*M30/1000000)</f>
        <v>7101.6652560000002</v>
      </c>
      <c r="N33" s="575">
        <f>IF(N3&gt;'Project Assumtions'!$I$15+1,0,N32*N30/1000000)</f>
        <v>7101.6652560000002</v>
      </c>
      <c r="O33" s="575">
        <f>IF(O3&gt;'Project Assumtions'!$I$15+1,0,O32*O30/1000000)</f>
        <v>7101.6652560000002</v>
      </c>
      <c r="P33" s="575">
        <f>IF(P3&gt;'Project Assumtions'!$I$15+1,0,P32*P30/1000000)</f>
        <v>7101.6652560000002</v>
      </c>
      <c r="Q33" s="575">
        <f>IF(Q3&gt;'Project Assumtions'!$I$15+1,0,Q32*Q30/1000000)</f>
        <v>7101.6652560000002</v>
      </c>
      <c r="R33" s="575">
        <f>IF(R3&gt;'Project Assumtions'!$I$15+1,0,R32*R30/1000000)</f>
        <v>7101.6652560000002</v>
      </c>
      <c r="S33" s="575">
        <f>IF(S3&gt;'Project Assumtions'!$I$15+1,0,S32*S30/1000000)</f>
        <v>7101.6652560000002</v>
      </c>
      <c r="T33" s="575">
        <f>IF(T3&gt;'Project Assumtions'!$I$15+1,0,T32*T30/1000000)</f>
        <v>7101.6652560000002</v>
      </c>
      <c r="U33" s="575">
        <f>IF(U3&gt;'Project Assumtions'!$I$15+1,0,U32*U30/1000000)</f>
        <v>7101.6652560000002</v>
      </c>
      <c r="V33" s="575">
        <f>IF(V3&gt;'Project Assumtions'!$I$15+1,0,V32*V30/1000000)</f>
        <v>7101.6652560000002</v>
      </c>
      <c r="W33" s="576">
        <f>IF(W3&gt;'Project Assumtions'!$I$15+1,0,W32*W30/1000000)</f>
        <v>7101.6652560000002</v>
      </c>
      <c r="X33" s="146"/>
      <c r="Y33" s="146"/>
      <c r="Z33" s="146"/>
      <c r="AA33" s="146"/>
      <c r="AB33" s="85"/>
      <c r="AC33" s="85"/>
      <c r="AD33" s="85"/>
    </row>
    <row r="34" spans="1:30" s="3" customFormat="1" ht="12.6" customHeight="1">
      <c r="A34" s="522"/>
      <c r="B34" s="611"/>
      <c r="C34" s="557"/>
      <c r="D34" s="557"/>
      <c r="E34" s="557"/>
      <c r="F34" s="557"/>
      <c r="G34" s="557"/>
      <c r="H34" s="557"/>
      <c r="I34" s="557"/>
      <c r="J34" s="557"/>
      <c r="K34" s="557"/>
      <c r="L34" s="557"/>
      <c r="M34" s="557"/>
      <c r="N34" s="557"/>
      <c r="O34" s="557"/>
      <c r="P34" s="557"/>
      <c r="Q34" s="557"/>
      <c r="R34" s="557"/>
      <c r="S34" s="557"/>
      <c r="T34" s="557"/>
      <c r="U34" s="557"/>
      <c r="V34" s="557"/>
      <c r="W34" s="614"/>
      <c r="X34" s="147"/>
      <c r="Y34" s="147"/>
      <c r="Z34" s="147"/>
      <c r="AA34" s="147"/>
      <c r="AB34" s="147"/>
      <c r="AC34" s="85"/>
      <c r="AD34" s="85"/>
    </row>
    <row r="35" spans="1:30" s="3" customFormat="1" ht="12.6" customHeight="1">
      <c r="A35" s="522" t="s">
        <v>160</v>
      </c>
      <c r="B35" s="611"/>
      <c r="C35" s="573">
        <f>IF(C3&gt;'Project Assumtions'!$I$15+1,0,IF(AND('Project Assumtions'!$C$70="No",Operations!C3&gt;ProjectLife+1),0,Operations!C$43*C33))</f>
        <v>9652.0375000000004</v>
      </c>
      <c r="D35" s="573">
        <f>IF(D3&gt;'Project Assumtions'!$I$15+1,0,IF(AND('Project Assumtions'!$C$70="No",Operations!D3&gt;ProjectLife+1),0,Operations!D$43*D33))</f>
        <v>16546.349999999999</v>
      </c>
      <c r="E35" s="573">
        <f>IF(E3&gt;'Project Assumtions'!$I$15+1,0,IF(AND('Project Assumtions'!$C$70="No",Operations!E3&gt;ProjectLife+1),0,Operations!E$43*E33))</f>
        <v>16546.349999999999</v>
      </c>
      <c r="F35" s="573">
        <f>IF(F3&gt;'Project Assumtions'!$I$15+1,0,IF(AND('Project Assumtions'!$C$70="No",Operations!F3&gt;ProjectLife+1),0,Operations!F$43*F33))</f>
        <v>17337.212624708336</v>
      </c>
      <c r="G35" s="573">
        <f>IF(G3&gt;'Project Assumtions'!$I$15+1,0,IF(AND('Project Assumtions'!$C$70="No",Operations!G3&gt;ProjectLife+1),0,Operations!G$43*G33))</f>
        <v>17754.163140000001</v>
      </c>
      <c r="H35" s="573">
        <f>IF(H3&gt;'Project Assumtions'!$I$15+1,0,IF(AND('Project Assumtions'!$C$70="No",Operations!H3&gt;ProjectLife+1),0,Operations!H$43*H33))</f>
        <v>17754.163140000001</v>
      </c>
      <c r="I35" s="573">
        <f>IF(I3&gt;'Project Assumtions'!$I$15+1,0,IF(AND('Project Assumtions'!$C$70="No",Operations!I3&gt;ProjectLife+1),0,Operations!I$43*I33))</f>
        <v>17754.163140000001</v>
      </c>
      <c r="J35" s="573">
        <f>IF(J3&gt;'Project Assumtions'!$I$15+1,0,IF(AND('Project Assumtions'!$C$70="No",Operations!J3&gt;ProjectLife+1),0,Operations!J$43*J33))</f>
        <v>17754.163140000001</v>
      </c>
      <c r="K35" s="573">
        <f>IF(K3&gt;'Project Assumtions'!$I$15+1,0,IF(AND('Project Assumtions'!$C$70="No",Operations!K3&gt;ProjectLife+1),0,Operations!K$43*K33))</f>
        <v>17754.163140000001</v>
      </c>
      <c r="L35" s="573">
        <f>IF(L3&gt;'Project Assumtions'!$I$15+1,0,IF(AND('Project Assumtions'!$C$70="No",Operations!L3&gt;ProjectLife+1),0,Operations!L$43*L33))</f>
        <v>17754.163140000001</v>
      </c>
      <c r="M35" s="573">
        <f>IF(M3&gt;'Project Assumtions'!$I$15+1,0,IF(AND('Project Assumtions'!$C$70="No",Operations!M3&gt;ProjectLife+1),0,Operations!M$43*M33))</f>
        <v>17754.163140000001</v>
      </c>
      <c r="N35" s="573">
        <f>IF(N3&gt;'Project Assumtions'!$I$15+1,0,IF(AND('Project Assumtions'!$C$70="No",Operations!N3&gt;ProjectLife+1),0,Operations!N$43*N33))</f>
        <v>17754.163140000001</v>
      </c>
      <c r="O35" s="573">
        <f>IF(O3&gt;'Project Assumtions'!$I$15+1,0,IF(AND('Project Assumtions'!$C$70="No",Operations!O3&gt;ProjectLife+1),0,Operations!O$43*O33))</f>
        <v>17754.163140000001</v>
      </c>
      <c r="P35" s="573">
        <f>IF(P3&gt;'Project Assumtions'!$I$15+1,0,IF(AND('Project Assumtions'!$C$70="No",Operations!P3&gt;ProjectLife+1),0,Operations!P$43*P33))</f>
        <v>17754.163140000001</v>
      </c>
      <c r="Q35" s="573">
        <f>IF(Q3&gt;'Project Assumtions'!$I$15+1,0,IF(AND('Project Assumtions'!$C$70="No",Operations!Q3&gt;ProjectLife+1),0,Operations!Q$43*Q33))</f>
        <v>17754.163140000001</v>
      </c>
      <c r="R35" s="573">
        <f>IF(R3&gt;'Project Assumtions'!$I$15+1,0,IF(AND('Project Assumtions'!$C$70="No",Operations!R3&gt;ProjectLife+1),0,Operations!R$43*R33))</f>
        <v>17754.163140000001</v>
      </c>
      <c r="S35" s="573">
        <f>IF(S3&gt;'Project Assumtions'!$I$15+1,0,IF(AND('Project Assumtions'!$C$70="No",Operations!S3&gt;ProjectLife+1),0,Operations!S$43*S33))</f>
        <v>17754.163140000001</v>
      </c>
      <c r="T35" s="573">
        <f>IF(T3&gt;'Project Assumtions'!$I$15+1,0,IF(AND('Project Assumtions'!$C$70="No",Operations!T3&gt;ProjectLife+1),0,Operations!T$43*T33))</f>
        <v>17754.163140000001</v>
      </c>
      <c r="U35" s="573">
        <f>IF(U3&gt;'Project Assumtions'!$I$15+1,0,IF(AND('Project Assumtions'!$C$70="No",Operations!U3&gt;ProjectLife+1),0,Operations!U$43*U33))</f>
        <v>17754.163140000001</v>
      </c>
      <c r="V35" s="573">
        <f>IF(V3&gt;'Project Assumtions'!$I$15+1,0,IF(AND('Project Assumtions'!$C$70="No",Operations!V3&gt;ProjectLife+1),0,Operations!V$43*V33))</f>
        <v>17754.163140000001</v>
      </c>
      <c r="W35" s="574">
        <f>IF(W3&gt;'Project Assumtions'!$I$15+1,0,IF(AND('Project Assumtions'!$C$70="No",Operations!W3&gt;ProjectLife+1),0,Operations!W$43*W33))</f>
        <v>17754.163140000001</v>
      </c>
      <c r="X35" s="186"/>
      <c r="Y35" s="186"/>
      <c r="Z35" s="186"/>
      <c r="AA35" s="186"/>
      <c r="AB35" s="85"/>
      <c r="AC35" s="85"/>
      <c r="AD35" s="85"/>
    </row>
    <row r="36" spans="1:30" s="41" customFormat="1" ht="10.199999999999999">
      <c r="A36" s="553" t="s">
        <v>361</v>
      </c>
      <c r="B36" s="79"/>
      <c r="C36" s="625">
        <f>C43*'Maintenance Reserves'!D7*'Project Assumtions'!$I$8*'Project Assumtions'!$N$61/1000</f>
        <v>0</v>
      </c>
      <c r="D36" s="625">
        <f>D43*'Maintenance Reserves'!E7*'Project Assumtions'!$I$8*'Project Assumtions'!$N$61/1000</f>
        <v>0</v>
      </c>
      <c r="E36" s="625">
        <f>E43*'Maintenance Reserves'!F7*'Project Assumtions'!$I$8*'Project Assumtions'!$N$61/1000</f>
        <v>0</v>
      </c>
      <c r="F36" s="625">
        <f>F43*'Maintenance Reserves'!G7*'Project Assumtions'!$I$8*'Project Assumtions'!$N$61/1000</f>
        <v>0</v>
      </c>
      <c r="G36" s="625">
        <f>G43*'Maintenance Reserves'!H7*'Project Assumtions'!$I$8*'Project Assumtions'!$N$61/1000</f>
        <v>0</v>
      </c>
      <c r="H36" s="625">
        <f>H43*'Maintenance Reserves'!I7*'Project Assumtions'!$I$8*'Project Assumtions'!$N$61/1000</f>
        <v>0</v>
      </c>
      <c r="I36" s="625">
        <f>I43*'Maintenance Reserves'!J7*'Project Assumtions'!$I$8*'Project Assumtions'!$N$61/1000</f>
        <v>0</v>
      </c>
      <c r="J36" s="625">
        <f>J43*'Maintenance Reserves'!K7*'Project Assumtions'!$I$8*'Project Assumtions'!$N$61/1000</f>
        <v>0</v>
      </c>
      <c r="K36" s="625">
        <f>K43*'Maintenance Reserves'!L7*'Project Assumtions'!$I$8*'Project Assumtions'!$N$61/1000</f>
        <v>0</v>
      </c>
      <c r="L36" s="625">
        <f>L43*'Maintenance Reserves'!M7*'Project Assumtions'!$I$8*'Project Assumtions'!$N$61/1000</f>
        <v>0</v>
      </c>
      <c r="M36" s="625">
        <f>M43*'Maintenance Reserves'!N7*'Project Assumtions'!$I$8*'Project Assumtions'!$N$61/1000</f>
        <v>0</v>
      </c>
      <c r="N36" s="625">
        <f>N43*'Maintenance Reserves'!O7*'Project Assumtions'!$I$8*'Project Assumtions'!$N$61/1000</f>
        <v>0</v>
      </c>
      <c r="O36" s="625">
        <f>O43*'Maintenance Reserves'!P7*'Project Assumtions'!$I$8*'Project Assumtions'!$N$61/1000</f>
        <v>0</v>
      </c>
      <c r="P36" s="625">
        <f>P43*'Maintenance Reserves'!Q7*'Project Assumtions'!$I$8*'Project Assumtions'!$N$61/1000</f>
        <v>0</v>
      </c>
      <c r="Q36" s="625">
        <f>Q43*'Maintenance Reserves'!R7*'Project Assumtions'!$I$8*'Project Assumtions'!$N$61/1000</f>
        <v>0</v>
      </c>
      <c r="R36" s="625">
        <f>R43*'Maintenance Reserves'!S7*'Project Assumtions'!$I$8*'Project Assumtions'!$N$61/1000</f>
        <v>0</v>
      </c>
      <c r="S36" s="625">
        <f>S43*'Maintenance Reserves'!T7*'Project Assumtions'!$I$8*'Project Assumtions'!$N$61/1000</f>
        <v>0</v>
      </c>
      <c r="T36" s="625">
        <f>T43*'Maintenance Reserves'!U7*'Project Assumtions'!$I$8*'Project Assumtions'!$N$61/1000</f>
        <v>0</v>
      </c>
      <c r="U36" s="625">
        <f>U43*'Maintenance Reserves'!V7*'Project Assumtions'!$I$8*'Project Assumtions'!$N$61/1000</f>
        <v>0</v>
      </c>
      <c r="V36" s="625">
        <f>V43*'Maintenance Reserves'!W7*'Project Assumtions'!$I$8*'Project Assumtions'!$N$61/1000</f>
        <v>0</v>
      </c>
      <c r="W36" s="626">
        <f>W43*'Maintenance Reserves'!X7*'Project Assumtions'!$I$8*'Project Assumtions'!$N$61/1000</f>
        <v>0</v>
      </c>
      <c r="X36" s="77"/>
      <c r="Y36" s="77"/>
      <c r="Z36" s="77"/>
      <c r="AA36" s="77"/>
      <c r="AB36" s="72"/>
      <c r="AC36" s="72"/>
      <c r="AD36" s="72"/>
    </row>
    <row r="37" spans="1:30">
      <c r="A37" s="589" t="s">
        <v>362</v>
      </c>
      <c r="B37" s="605"/>
      <c r="C37" s="627">
        <f>SUM(C35:C36)</f>
        <v>9652.0375000000004</v>
      </c>
      <c r="D37" s="627">
        <f t="shared" ref="D37:W37" si="2">SUM(D35:D36)</f>
        <v>16546.349999999999</v>
      </c>
      <c r="E37" s="627">
        <f t="shared" si="2"/>
        <v>16546.349999999999</v>
      </c>
      <c r="F37" s="627">
        <f t="shared" si="2"/>
        <v>17337.212624708336</v>
      </c>
      <c r="G37" s="627">
        <f t="shared" si="2"/>
        <v>17754.163140000001</v>
      </c>
      <c r="H37" s="627">
        <f t="shared" si="2"/>
        <v>17754.163140000001</v>
      </c>
      <c r="I37" s="627">
        <f t="shared" si="2"/>
        <v>17754.163140000001</v>
      </c>
      <c r="J37" s="627">
        <f t="shared" si="2"/>
        <v>17754.163140000001</v>
      </c>
      <c r="K37" s="627">
        <f t="shared" si="2"/>
        <v>17754.163140000001</v>
      </c>
      <c r="L37" s="627">
        <f t="shared" si="2"/>
        <v>17754.163140000001</v>
      </c>
      <c r="M37" s="627">
        <f t="shared" si="2"/>
        <v>17754.163140000001</v>
      </c>
      <c r="N37" s="627">
        <f t="shared" si="2"/>
        <v>17754.163140000001</v>
      </c>
      <c r="O37" s="627">
        <f t="shared" si="2"/>
        <v>17754.163140000001</v>
      </c>
      <c r="P37" s="627">
        <f t="shared" si="2"/>
        <v>17754.163140000001</v>
      </c>
      <c r="Q37" s="627">
        <f t="shared" si="2"/>
        <v>17754.163140000001</v>
      </c>
      <c r="R37" s="627">
        <f t="shared" si="2"/>
        <v>17754.163140000001</v>
      </c>
      <c r="S37" s="627">
        <f t="shared" si="2"/>
        <v>17754.163140000001</v>
      </c>
      <c r="T37" s="627">
        <f t="shared" si="2"/>
        <v>17754.163140000001</v>
      </c>
      <c r="U37" s="627">
        <f t="shared" si="2"/>
        <v>17754.163140000001</v>
      </c>
      <c r="V37" s="627">
        <f t="shared" si="2"/>
        <v>17754.163140000001</v>
      </c>
      <c r="W37" s="628">
        <f t="shared" si="2"/>
        <v>17754.163140000001</v>
      </c>
      <c r="X37" s="207"/>
      <c r="Y37" s="207"/>
      <c r="Z37" s="207"/>
      <c r="AA37" s="207"/>
    </row>
    <row r="38" spans="1:30" s="41" customFormat="1" ht="12.6" customHeight="1">
      <c r="A38" s="72"/>
      <c r="B38" s="72"/>
      <c r="C38" s="72"/>
      <c r="D38" s="72"/>
      <c r="E38" s="72"/>
      <c r="F38" s="72"/>
      <c r="G38" s="72"/>
      <c r="H38" s="72"/>
      <c r="I38" s="72"/>
      <c r="J38" s="72"/>
      <c r="K38" s="72"/>
      <c r="L38" s="72"/>
      <c r="M38" s="72"/>
      <c r="N38" s="72"/>
      <c r="O38" s="72"/>
      <c r="P38" s="72"/>
      <c r="Q38" s="72"/>
      <c r="R38" s="72"/>
      <c r="S38" s="72"/>
      <c r="T38" s="72"/>
      <c r="U38" s="72"/>
      <c r="V38" s="72"/>
      <c r="W38" s="72"/>
      <c r="X38" s="72"/>
      <c r="Y38" s="72"/>
      <c r="Z38" s="72"/>
      <c r="AA38" s="72"/>
      <c r="AB38" s="72"/>
      <c r="AC38" s="72"/>
      <c r="AD38" s="72"/>
    </row>
    <row r="39" spans="1:30" s="58" customFormat="1" ht="15.6">
      <c r="A39" s="568" t="s">
        <v>77</v>
      </c>
      <c r="B39" s="530"/>
      <c r="C39" s="530"/>
      <c r="D39" s="530"/>
      <c r="E39" s="530"/>
      <c r="F39" s="530"/>
      <c r="G39" s="530"/>
      <c r="H39" s="530"/>
      <c r="I39" s="530"/>
      <c r="J39" s="530"/>
      <c r="K39" s="530"/>
      <c r="L39" s="530"/>
      <c r="M39" s="530"/>
      <c r="N39" s="530"/>
      <c r="O39" s="530"/>
      <c r="P39" s="530"/>
      <c r="Q39" s="530"/>
      <c r="R39" s="530"/>
      <c r="S39" s="530"/>
      <c r="T39" s="530"/>
      <c r="U39" s="530"/>
      <c r="V39" s="530"/>
      <c r="W39" s="629"/>
      <c r="X39" s="222"/>
      <c r="Y39" s="222"/>
      <c r="Z39" s="222"/>
      <c r="AA39" s="222"/>
      <c r="AB39" s="222"/>
      <c r="AC39" s="222"/>
      <c r="AD39" s="222"/>
    </row>
    <row r="40" spans="1:30" s="5" customFormat="1" ht="12.6" customHeight="1">
      <c r="A40" s="522" t="s">
        <v>216</v>
      </c>
      <c r="B40" s="611"/>
      <c r="C40" s="630">
        <v>2.0071320833333335</v>
      </c>
      <c r="D40" s="630">
        <v>2.3047591666666665</v>
      </c>
      <c r="E40" s="630">
        <v>2.343126666666667</v>
      </c>
      <c r="F40" s="630">
        <v>2.3712799999999996</v>
      </c>
      <c r="G40" s="630">
        <v>2.4088749999999997</v>
      </c>
      <c r="H40" s="630">
        <v>2.4571133333333335</v>
      </c>
      <c r="I40" s="630">
        <v>2.5153083333333335</v>
      </c>
      <c r="J40" s="630">
        <v>2.5888675000000001</v>
      </c>
      <c r="K40" s="630">
        <v>2.6775333333333329</v>
      </c>
      <c r="L40" s="630">
        <v>2.7819925000000003</v>
      </c>
      <c r="M40" s="630">
        <v>2.9063650000000005</v>
      </c>
      <c r="N40" s="630">
        <v>3.0519383333333341</v>
      </c>
      <c r="O40" s="630">
        <v>3.2181116666666676</v>
      </c>
      <c r="P40" s="630">
        <v>3.3954433333333331</v>
      </c>
      <c r="Q40" s="630">
        <v>3.5830750000000005</v>
      </c>
      <c r="R40" s="630">
        <v>3.7762858333333331</v>
      </c>
      <c r="S40" s="630">
        <v>3.9770499999999998</v>
      </c>
      <c r="T40" s="630">
        <v>4.2069974999999991</v>
      </c>
      <c r="U40" s="630">
        <v>4.404585833333333</v>
      </c>
      <c r="V40" s="630">
        <v>4.6051783333333329</v>
      </c>
      <c r="W40" s="631">
        <v>4.7124658666666663</v>
      </c>
      <c r="X40" s="223"/>
      <c r="Y40" s="223"/>
      <c r="Z40" s="223"/>
      <c r="AA40" s="223"/>
      <c r="AB40" s="147"/>
      <c r="AC40" s="147"/>
      <c r="AD40" s="147"/>
    </row>
    <row r="41" spans="1:30" s="3" customFormat="1" ht="12.6" customHeight="1">
      <c r="A41" s="522" t="s">
        <v>232</v>
      </c>
      <c r="B41" s="611"/>
      <c r="C41" s="632">
        <f>IF('PPA Assumptions &amp;Summary'!C3&gt;'Project Assumtions'!$I$15+1,0,'Project Assumtions'!$C$65)</f>
        <v>2.5</v>
      </c>
      <c r="D41" s="632">
        <f>IF('PPA Assumptions &amp;Summary'!D3&gt;'Project Assumtions'!$I$15+1,0,'Project Assumtions'!$C$65)</f>
        <v>2.5</v>
      </c>
      <c r="E41" s="632">
        <f>IF('PPA Assumptions &amp;Summary'!E3&gt;'Project Assumtions'!$I$15+1,0,'Project Assumtions'!$C$65)</f>
        <v>2.5</v>
      </c>
      <c r="F41" s="632">
        <f>IF('PPA Assumptions &amp;Summary'!F3&gt;'Project Assumtions'!$I$15+1,0,'Project Assumtions'!$C$65)</f>
        <v>2.5</v>
      </c>
      <c r="G41" s="632">
        <f>IF('PPA Assumptions &amp;Summary'!G3&gt;'Project Assumtions'!$I$15+1,0,'Project Assumtions'!$C$65)</f>
        <v>2.5</v>
      </c>
      <c r="H41" s="632">
        <f>IF('PPA Assumptions &amp;Summary'!H3&gt;'Project Assumtions'!$I$15+1,0,'Project Assumtions'!$C$65)</f>
        <v>2.5</v>
      </c>
      <c r="I41" s="632">
        <f>IF('PPA Assumptions &amp;Summary'!I3&gt;'Project Assumtions'!$I$15+1,0,'Project Assumtions'!$C$65)</f>
        <v>2.5</v>
      </c>
      <c r="J41" s="632">
        <f>IF('PPA Assumptions &amp;Summary'!J3&gt;'Project Assumtions'!$I$15+1,0,'Project Assumtions'!$C$65)</f>
        <v>2.5</v>
      </c>
      <c r="K41" s="632">
        <f>IF('PPA Assumptions &amp;Summary'!K3&gt;'Project Assumtions'!$I$15+1,0,'Project Assumtions'!$C$65)</f>
        <v>2.5</v>
      </c>
      <c r="L41" s="632">
        <f>IF('PPA Assumptions &amp;Summary'!L3&gt;'Project Assumtions'!$I$15+1,0,'Project Assumtions'!$C$65)</f>
        <v>2.5</v>
      </c>
      <c r="M41" s="632">
        <f>IF('PPA Assumptions &amp;Summary'!M3&gt;'Project Assumtions'!$I$15+1,0,'Project Assumtions'!$C$65)</f>
        <v>2.5</v>
      </c>
      <c r="N41" s="632">
        <f>IF('PPA Assumptions &amp;Summary'!N3&gt;'Project Assumtions'!$I$15+1,0,'Project Assumtions'!$C$65)</f>
        <v>2.5</v>
      </c>
      <c r="O41" s="632">
        <f>IF('PPA Assumptions &amp;Summary'!O3&gt;'Project Assumtions'!$I$15+1,0,'Project Assumtions'!$C$65)</f>
        <v>2.5</v>
      </c>
      <c r="P41" s="632">
        <f>IF('PPA Assumptions &amp;Summary'!P3&gt;'Project Assumtions'!$I$15+1,0,'Project Assumtions'!$C$65)</f>
        <v>2.5</v>
      </c>
      <c r="Q41" s="632">
        <f>IF('PPA Assumptions &amp;Summary'!Q3&gt;'Project Assumtions'!$I$15+1,0,'Project Assumtions'!$C$65)</f>
        <v>2.5</v>
      </c>
      <c r="R41" s="632">
        <f>IF('PPA Assumptions &amp;Summary'!R3&gt;'Project Assumtions'!$I$15+1,0,'Project Assumtions'!$C$65)</f>
        <v>2.5</v>
      </c>
      <c r="S41" s="632">
        <f>IF('PPA Assumptions &amp;Summary'!S3&gt;'Project Assumtions'!$I$15+1,0,'Project Assumtions'!$C$65)</f>
        <v>2.5</v>
      </c>
      <c r="T41" s="632">
        <f>IF('PPA Assumptions &amp;Summary'!T3&gt;'Project Assumtions'!$I$15+1,0,'Project Assumtions'!$C$65)</f>
        <v>2.5</v>
      </c>
      <c r="U41" s="632">
        <f>IF('PPA Assumptions &amp;Summary'!U3&gt;'Project Assumtions'!$I$15+1,0,'Project Assumtions'!$C$65)</f>
        <v>2.5</v>
      </c>
      <c r="V41" s="632">
        <f>IF('PPA Assumptions &amp;Summary'!V3&gt;'Project Assumtions'!$I$15+1,0,'Project Assumtions'!$C$65)</f>
        <v>2.5</v>
      </c>
      <c r="W41" s="633">
        <f>IF('PPA Assumptions &amp;Summary'!W3&gt;'Project Assumtions'!$I$15+1,0,'Project Assumtions'!$C$65)</f>
        <v>2.5</v>
      </c>
      <c r="X41" s="223"/>
      <c r="Y41" s="223"/>
      <c r="Z41" s="223"/>
      <c r="AA41" s="223"/>
      <c r="AB41" s="85"/>
      <c r="AC41" s="72"/>
      <c r="AD41" s="85"/>
    </row>
    <row r="42" spans="1:30" s="5" customFormat="1" ht="12.6" customHeight="1">
      <c r="A42" s="560" t="s">
        <v>230</v>
      </c>
      <c r="B42" s="557"/>
      <c r="C42" s="594">
        <f>IF('PPA Assumptions &amp;Summary'!C3&gt;'Project Assumtions'!$I$15+1,0,IF('Project Assumtions'!$N$71&gt;0,'Project Assumtions'!$N$71,0))</f>
        <v>0</v>
      </c>
      <c r="D42" s="594">
        <f>IF('PPA Assumptions &amp;Summary'!D3&gt;'Project Assumtions'!$I$15+1,0,IF('Project Assumtions'!$N$71&gt;0,'Project Assumtions'!$N$71,0))</f>
        <v>0</v>
      </c>
      <c r="E42" s="594">
        <f>IF('PPA Assumptions &amp;Summary'!E3&gt;'Project Assumtions'!$I$15+1,0,IF('Project Assumtions'!$N$71&gt;0,'Project Assumtions'!$N$71,0))</f>
        <v>0</v>
      </c>
      <c r="F42" s="594">
        <f>IF('PPA Assumptions &amp;Summary'!F3&gt;'Project Assumtions'!$I$15+1,0,IF('Project Assumtions'!$N$71&gt;0,'Project Assumtions'!$N$71,0))</f>
        <v>0</v>
      </c>
      <c r="G42" s="594">
        <f>IF('PPA Assumptions &amp;Summary'!G3&gt;'Project Assumtions'!$I$15+1,0,IF('Project Assumtions'!$N$71&gt;0,'Project Assumtions'!$N$71,0))</f>
        <v>0</v>
      </c>
      <c r="H42" s="594">
        <f>IF('PPA Assumptions &amp;Summary'!H3&gt;'Project Assumtions'!$I$15+1,0,IF('Project Assumtions'!$N$71&gt;0,'Project Assumtions'!$N$71,0))</f>
        <v>0</v>
      </c>
      <c r="I42" s="594">
        <f>IF('PPA Assumptions &amp;Summary'!I3&gt;'Project Assumtions'!$I$15+1,0,IF('Project Assumtions'!$N$71&gt;0,'Project Assumtions'!$N$71,0))</f>
        <v>0</v>
      </c>
      <c r="J42" s="594">
        <f>IF('PPA Assumptions &amp;Summary'!J3&gt;'Project Assumtions'!$I$15+1,0,IF('Project Assumtions'!$N$71&gt;0,'Project Assumtions'!$N$71,0))</f>
        <v>0</v>
      </c>
      <c r="K42" s="594">
        <f>IF('PPA Assumptions &amp;Summary'!K3&gt;'Project Assumtions'!$I$15+1,0,IF('Project Assumtions'!$N$71&gt;0,'Project Assumtions'!$N$71,0))</f>
        <v>0</v>
      </c>
      <c r="L42" s="594">
        <f>IF('PPA Assumptions &amp;Summary'!L3&gt;'Project Assumtions'!$I$15+1,0,IF('Project Assumtions'!$N$71&gt;0,'Project Assumtions'!$N$71,0))</f>
        <v>0</v>
      </c>
      <c r="M42" s="594">
        <f>IF('PPA Assumptions &amp;Summary'!M3&gt;'Project Assumtions'!$I$15+1,0,IF('Project Assumtions'!$N$71&gt;0,'Project Assumtions'!$N$71,0))</f>
        <v>0</v>
      </c>
      <c r="N42" s="594">
        <f>IF('PPA Assumptions &amp;Summary'!N3&gt;'Project Assumtions'!$I$15+1,0,IF('Project Assumtions'!$N$71&gt;0,'Project Assumtions'!$N$71,0))</f>
        <v>0</v>
      </c>
      <c r="O42" s="594">
        <f>IF('PPA Assumptions &amp;Summary'!O3&gt;'Project Assumtions'!$I$15+1,0,IF('Project Assumtions'!$N$71&gt;0,'Project Assumtions'!$N$71,0))</f>
        <v>0</v>
      </c>
      <c r="P42" s="594">
        <f>IF('PPA Assumptions &amp;Summary'!P3&gt;'Project Assumtions'!$I$15+1,0,IF('Project Assumtions'!$N$71&gt;0,'Project Assumtions'!$N$71,0))</f>
        <v>0</v>
      </c>
      <c r="Q42" s="594">
        <f>IF('PPA Assumptions &amp;Summary'!Q3&gt;'Project Assumtions'!$I$15+1,0,IF('Project Assumtions'!$N$71&gt;0,'Project Assumtions'!$N$71,0))</f>
        <v>0</v>
      </c>
      <c r="R42" s="594">
        <f>IF('PPA Assumptions &amp;Summary'!R3&gt;'Project Assumtions'!$I$15+1,0,IF('Project Assumtions'!$N$71&gt;0,'Project Assumtions'!$N$71,0))</f>
        <v>0</v>
      </c>
      <c r="S42" s="594">
        <f>IF('PPA Assumptions &amp;Summary'!S3&gt;'Project Assumtions'!$I$15+1,0,IF('Project Assumtions'!$N$71&gt;0,'Project Assumtions'!$N$71,0))</f>
        <v>0</v>
      </c>
      <c r="T42" s="594">
        <f>IF('PPA Assumptions &amp;Summary'!T3&gt;'Project Assumtions'!$I$15+1,0,IF('Project Assumtions'!$N$71&gt;0,'Project Assumtions'!$N$71,0))</f>
        <v>0</v>
      </c>
      <c r="U42" s="594">
        <f>IF('PPA Assumptions &amp;Summary'!U3&gt;'Project Assumtions'!$I$15+1,0,IF('Project Assumtions'!$N$71&gt;0,'Project Assumtions'!$N$71,0))</f>
        <v>0</v>
      </c>
      <c r="V42" s="594">
        <f>IF('PPA Assumptions &amp;Summary'!V3&gt;'Project Assumtions'!$I$15+1,0,IF('Project Assumtions'!$N$71&gt;0,'Project Assumtions'!$N$71,0))</f>
        <v>0</v>
      </c>
      <c r="W42" s="634">
        <f>IF('PPA Assumptions &amp;Summary'!W3&gt;'Project Assumtions'!$I$15+1,0,IF('Project Assumtions'!$N$71&gt;0,'Project Assumtions'!$N$71,0))</f>
        <v>0</v>
      </c>
      <c r="X42" s="210"/>
      <c r="Y42" s="210"/>
      <c r="Z42" s="210"/>
      <c r="AA42" s="210"/>
      <c r="AB42" s="147"/>
      <c r="AC42" s="147"/>
      <c r="AD42" s="147"/>
    </row>
    <row r="43" spans="1:30" s="5" customFormat="1" ht="12.6" customHeight="1">
      <c r="A43" s="560" t="s">
        <v>231</v>
      </c>
      <c r="B43" s="557"/>
      <c r="C43" s="635">
        <f>IF(AND('Project Assumtions'!$C$64="Fixed",C42&gt;0),C41*(1+C42),IF(AND('Project Assumtions'!$C$64="Index",C42&gt;0),C40*(1+C42),IF('Project Assumtions'!$C$64="Fixed",C41,C40)))</f>
        <v>2.5</v>
      </c>
      <c r="D43" s="635">
        <f>IF(AND('Project Assumtions'!$C$64="Fixed",D42&gt;0),D41*(1+D42),IF(AND('Project Assumtions'!$C$64="Index",D42&gt;0),D40*(1+D42),IF('Project Assumtions'!$C$64="Fixed",D41,D40)))</f>
        <v>2.5</v>
      </c>
      <c r="E43" s="635">
        <f>IF(AND('Project Assumtions'!$C$64="Fixed",E42&gt;0),E41*(1+E42),IF(AND('Project Assumtions'!$C$64="Index",E42&gt;0),E40*(1+E42),IF('Project Assumtions'!$C$64="Fixed",E41,E40)))</f>
        <v>2.5</v>
      </c>
      <c r="F43" s="635">
        <f>IF(AND('Project Assumtions'!$C$64="Fixed",F42&gt;0),F41*(1+F42),IF(AND('Project Assumtions'!$C$64="Index",F42&gt;0),F40*(1+F42),IF('Project Assumtions'!$C$64="Fixed",F41,F40)))</f>
        <v>2.5</v>
      </c>
      <c r="G43" s="635">
        <f>IF(AND('Project Assumtions'!$C$64="Fixed",G42&gt;0),G41*(1+G42),IF(AND('Project Assumtions'!$C$64="Index",G42&gt;0),G40*(1+G42),IF('Project Assumtions'!$C$64="Fixed",G41,G40)))</f>
        <v>2.5</v>
      </c>
      <c r="H43" s="635">
        <f>IF(AND('Project Assumtions'!$C$64="Fixed",H42&gt;0),H41*(1+H42),IF(AND('Project Assumtions'!$C$64="Index",H42&gt;0),H40*(1+H42),IF('Project Assumtions'!$C$64="Fixed",H41,H40)))</f>
        <v>2.5</v>
      </c>
      <c r="I43" s="635">
        <f>IF(AND('Project Assumtions'!$C$64="Fixed",I42&gt;0),I41*(1+I42),IF(AND('Project Assumtions'!$C$64="Index",I42&gt;0),I40*(1+I42),IF('Project Assumtions'!$C$64="Fixed",I41,I40)))</f>
        <v>2.5</v>
      </c>
      <c r="J43" s="635">
        <f>IF(AND('Project Assumtions'!$C$64="Fixed",J42&gt;0),J41*(1+J42),IF(AND('Project Assumtions'!$C$64="Index",J42&gt;0),J40*(1+J42),IF('Project Assumtions'!$C$64="Fixed",J41,J40)))</f>
        <v>2.5</v>
      </c>
      <c r="K43" s="635">
        <f>IF(AND('Project Assumtions'!$C$64="Fixed",K42&gt;0),K41*(1+K42),IF(AND('Project Assumtions'!$C$64="Index",K42&gt;0),K40*(1+K42),IF('Project Assumtions'!$C$64="Fixed",K41,K40)))</f>
        <v>2.5</v>
      </c>
      <c r="L43" s="635">
        <f>IF(AND('Project Assumtions'!$C$64="Fixed",L42&gt;0),L41*(1+L42),IF(AND('Project Assumtions'!$C$64="Index",L42&gt;0),L40*(1+L42),IF('Project Assumtions'!$C$64="Fixed",L41,L40)))</f>
        <v>2.5</v>
      </c>
      <c r="M43" s="635">
        <f>IF(AND('Project Assumtions'!$C$64="Fixed",M42&gt;0),M41*(1+M42),IF(AND('Project Assumtions'!$C$64="Index",M42&gt;0),M40*(1+M42),IF('Project Assumtions'!$C$64="Fixed",M41,M40)))</f>
        <v>2.5</v>
      </c>
      <c r="N43" s="635">
        <f>IF(AND('Project Assumtions'!$C$64="Fixed",N42&gt;0),N41*(1+N42),IF(AND('Project Assumtions'!$C$64="Index",N42&gt;0),N40*(1+N42),IF('Project Assumtions'!$C$64="Fixed",N41,N40)))</f>
        <v>2.5</v>
      </c>
      <c r="O43" s="635">
        <f>IF(AND('Project Assumtions'!$C$64="Fixed",O42&gt;0),O41*(1+O42),IF(AND('Project Assumtions'!$C$64="Index",O42&gt;0),O40*(1+O42),IF('Project Assumtions'!$C$64="Fixed",O41,O40)))</f>
        <v>2.5</v>
      </c>
      <c r="P43" s="635">
        <f>IF(AND('Project Assumtions'!$C$64="Fixed",P42&gt;0),P41*(1+P42),IF(AND('Project Assumtions'!$C$64="Index",P42&gt;0),P40*(1+P42),IF('Project Assumtions'!$C$64="Fixed",P41,P40)))</f>
        <v>2.5</v>
      </c>
      <c r="Q43" s="635">
        <f>IF(AND('Project Assumtions'!$C$64="Fixed",Q42&gt;0),Q41*(1+Q42),IF(AND('Project Assumtions'!$C$64="Index",Q42&gt;0),Q40*(1+Q42),IF('Project Assumtions'!$C$64="Fixed",Q41,Q40)))</f>
        <v>2.5</v>
      </c>
      <c r="R43" s="635">
        <f>IF(AND('Project Assumtions'!$C$64="Fixed",R42&gt;0),R41*(1+R42),IF(AND('Project Assumtions'!$C$64="Index",R42&gt;0),R40*(1+R42),IF('Project Assumtions'!$C$64="Fixed",R41,R40)))</f>
        <v>2.5</v>
      </c>
      <c r="S43" s="635">
        <f>IF(AND('Project Assumtions'!$C$64="Fixed",S42&gt;0),S41*(1+S42),IF(AND('Project Assumtions'!$C$64="Index",S42&gt;0),S40*(1+S42),IF('Project Assumtions'!$C$64="Fixed",S41,S40)))</f>
        <v>2.5</v>
      </c>
      <c r="T43" s="635">
        <f>IF(AND('Project Assumtions'!$C$64="Fixed",T42&gt;0),T41*(1+T42),IF(AND('Project Assumtions'!$C$64="Index",T42&gt;0),T40*(1+T42),IF('Project Assumtions'!$C$64="Fixed",T41,T40)))</f>
        <v>2.5</v>
      </c>
      <c r="U43" s="635">
        <f>IF(AND('Project Assumtions'!$C$64="Fixed",U42&gt;0),U41*(1+U42),IF(AND('Project Assumtions'!$C$64="Index",U42&gt;0),U40*(1+U42),IF('Project Assumtions'!$C$64="Fixed",U41,U40)))</f>
        <v>2.5</v>
      </c>
      <c r="V43" s="635">
        <f>IF(AND('Project Assumtions'!$C$64="Fixed",V42&gt;0),V41*(1+V42),IF(AND('Project Assumtions'!$C$64="Index",V42&gt;0),V40*(1+V42),IF('Project Assumtions'!$C$64="Fixed",V41,V40)))</f>
        <v>2.5</v>
      </c>
      <c r="W43" s="636">
        <f>IF(AND('Project Assumtions'!$C$64="Fixed",W42&gt;0),W41*(1+W42),IF(AND('Project Assumtions'!$C$64="Index",W42&gt;0),W40*(1+W42),IF('Project Assumtions'!$C$64="Fixed",W41,W40)))</f>
        <v>2.5</v>
      </c>
      <c r="X43" s="224"/>
      <c r="Y43" s="224"/>
      <c r="Z43" s="224"/>
      <c r="AA43" s="224"/>
      <c r="AB43" s="147"/>
      <c r="AC43" s="147"/>
      <c r="AD43" s="147"/>
    </row>
    <row r="44" spans="1:30" s="5" customFormat="1" ht="12.6" customHeight="1">
      <c r="A44" s="560"/>
      <c r="B44" s="557"/>
      <c r="C44" s="635"/>
      <c r="D44" s="635"/>
      <c r="E44" s="635"/>
      <c r="F44" s="635"/>
      <c r="G44" s="635"/>
      <c r="H44" s="635"/>
      <c r="I44" s="635"/>
      <c r="J44" s="635"/>
      <c r="K44" s="635"/>
      <c r="L44" s="635"/>
      <c r="M44" s="635"/>
      <c r="N44" s="635"/>
      <c r="O44" s="635"/>
      <c r="P44" s="635"/>
      <c r="Q44" s="635"/>
      <c r="R44" s="635"/>
      <c r="S44" s="635"/>
      <c r="T44" s="635"/>
      <c r="U44" s="635"/>
      <c r="V44" s="635"/>
      <c r="W44" s="636"/>
      <c r="X44" s="224"/>
      <c r="Y44" s="224"/>
      <c r="Z44" s="224"/>
      <c r="AA44" s="224"/>
      <c r="AB44" s="147"/>
      <c r="AC44" s="147"/>
      <c r="AD44" s="147"/>
    </row>
    <row r="45" spans="1:30" s="3" customFormat="1" ht="12.6" customHeight="1">
      <c r="A45" s="522" t="s">
        <v>217</v>
      </c>
      <c r="B45" s="611"/>
      <c r="C45" s="632">
        <v>21.1797</v>
      </c>
      <c r="D45" s="632">
        <v>22.012950000000004</v>
      </c>
      <c r="E45" s="632">
        <v>23.558250000000001</v>
      </c>
      <c r="F45" s="632">
        <v>24.588449999999998</v>
      </c>
      <c r="G45" s="632">
        <v>26.462</v>
      </c>
      <c r="H45" s="632">
        <v>29.110725000000002</v>
      </c>
      <c r="I45" s="632">
        <v>31.221625000000003</v>
      </c>
      <c r="J45" s="632">
        <v>32.913375000000002</v>
      </c>
      <c r="K45" s="632">
        <v>31.893274999999999</v>
      </c>
      <c r="L45" s="632">
        <v>34.744</v>
      </c>
      <c r="M45" s="632">
        <v>38.104774999999997</v>
      </c>
      <c r="N45" s="632">
        <v>40.056599999999996</v>
      </c>
      <c r="O45" s="632">
        <v>39.882374999999996</v>
      </c>
      <c r="P45" s="632">
        <v>39.331925000000005</v>
      </c>
      <c r="Q45" s="632">
        <v>46.321124999999995</v>
      </c>
      <c r="R45" s="632">
        <v>44.642000000000003</v>
      </c>
      <c r="S45" s="632">
        <v>50.891375000000004</v>
      </c>
      <c r="T45" s="632">
        <v>50.096000000000004</v>
      </c>
      <c r="U45" s="632">
        <v>49.431925</v>
      </c>
      <c r="V45" s="632">
        <v>56.320125000000004</v>
      </c>
      <c r="W45" s="633">
        <v>52.045300000000005</v>
      </c>
      <c r="X45" s="223"/>
      <c r="Y45" s="223"/>
      <c r="Z45" s="223"/>
      <c r="AA45" s="223"/>
      <c r="AB45" s="85"/>
      <c r="AC45" s="85"/>
      <c r="AD45" s="85"/>
    </row>
    <row r="46" spans="1:30">
      <c r="A46" s="564" t="s">
        <v>218</v>
      </c>
      <c r="B46" s="605"/>
      <c r="C46" s="637" t="str">
        <f>IF('PPA Assumptions &amp;Summary'!C3&gt;ProjectLife+1,'Project Assumtions'!$C$72,"")</f>
        <v/>
      </c>
      <c r="D46" s="637" t="str">
        <f>IF('PPA Assumptions &amp;Summary'!D3&gt;ProjectLife+1,'Project Assumtions'!$C$72,"")</f>
        <v/>
      </c>
      <c r="E46" s="637" t="str">
        <f>IF('PPA Assumptions &amp;Summary'!E3&gt;ProjectLife+1,'Project Assumtions'!$C$72,"")</f>
        <v/>
      </c>
      <c r="F46" s="637" t="str">
        <f>IF('PPA Assumptions &amp;Summary'!F3&gt;ProjectLife+1,'Project Assumtions'!$C$72,"")</f>
        <v/>
      </c>
      <c r="G46" s="637" t="str">
        <f>IF('PPA Assumptions &amp;Summary'!G3&gt;ProjectLife+1,'Project Assumtions'!$C$72,"")</f>
        <v/>
      </c>
      <c r="H46" s="637" t="str">
        <f>IF('PPA Assumptions &amp;Summary'!H3&gt;ProjectLife+1,'Project Assumtions'!$C$72,"")</f>
        <v/>
      </c>
      <c r="I46" s="637" t="str">
        <f>IF('PPA Assumptions &amp;Summary'!I3&gt;ProjectLife+1,'Project Assumtions'!$C$72,"")</f>
        <v/>
      </c>
      <c r="J46" s="637" t="str">
        <f>IF('PPA Assumptions &amp;Summary'!J3&gt;ProjectLife+1,'Project Assumtions'!$C$72,"")</f>
        <v/>
      </c>
      <c r="K46" s="637" t="str">
        <f>IF('PPA Assumptions &amp;Summary'!K3&gt;ProjectLife+1,'Project Assumtions'!$C$72,"")</f>
        <v/>
      </c>
      <c r="L46" s="637" t="str">
        <f>IF('PPA Assumptions &amp;Summary'!L3&gt;ProjectLife+1,'Project Assumtions'!$C$72,"")</f>
        <v/>
      </c>
      <c r="M46" s="637" t="str">
        <f>IF('PPA Assumptions &amp;Summary'!M3&gt;ProjectLife+1,'Project Assumtions'!$C$72,"")</f>
        <v/>
      </c>
      <c r="N46" s="637" t="str">
        <f>IF('PPA Assumptions &amp;Summary'!N3&gt;ProjectLife+1,'Project Assumtions'!$C$72,"")</f>
        <v/>
      </c>
      <c r="O46" s="637" t="str">
        <f>IF('PPA Assumptions &amp;Summary'!O3&gt;ProjectLife+1,'Project Assumtions'!$C$72,"")</f>
        <v/>
      </c>
      <c r="P46" s="637" t="str">
        <f>IF('PPA Assumptions &amp;Summary'!P3&gt;ProjectLife+1,'Project Assumtions'!$C$72,"")</f>
        <v/>
      </c>
      <c r="Q46" s="637" t="str">
        <f>IF('PPA Assumptions &amp;Summary'!Q3&gt;ProjectLife+1,'Project Assumtions'!$C$72,"")</f>
        <v/>
      </c>
      <c r="R46" s="637" t="str">
        <f>IF('PPA Assumptions &amp;Summary'!R3&gt;ProjectLife+1,'Project Assumtions'!$C$72,"")</f>
        <v/>
      </c>
      <c r="S46" s="637" t="str">
        <f>IF('PPA Assumptions &amp;Summary'!S3&gt;ProjectLife+1,'Project Assumtions'!$C$72,"")</f>
        <v/>
      </c>
      <c r="T46" s="637" t="str">
        <f>IF('PPA Assumptions &amp;Summary'!T3&gt;ProjectLife+1,'Project Assumtions'!$C$72,"")</f>
        <v/>
      </c>
      <c r="U46" s="637" t="str">
        <f>IF('PPA Assumptions &amp;Summary'!U3&gt;ProjectLife+1,'Project Assumtions'!$C$72,"")</f>
        <v/>
      </c>
      <c r="V46" s="637" t="str">
        <f>IF('PPA Assumptions &amp;Summary'!V3&gt;ProjectLife+1,'Project Assumtions'!$C$72,"")</f>
        <v/>
      </c>
      <c r="W46" s="638" t="str">
        <f>IF('PPA Assumptions &amp;Summary'!W3&gt;ProjectLife+1,'Project Assumtions'!$C$72,"")</f>
        <v/>
      </c>
      <c r="X46" s="223"/>
      <c r="Y46" s="223"/>
      <c r="Z46" s="223"/>
      <c r="AA46" s="223"/>
    </row>
    <row r="69" spans="3:10">
      <c r="C69" s="225"/>
      <c r="D69" s="225"/>
      <c r="E69" s="225"/>
      <c r="F69" s="225"/>
      <c r="G69" s="225"/>
      <c r="H69" s="225"/>
      <c r="I69" s="225"/>
      <c r="J69" s="225"/>
    </row>
    <row r="71" spans="3:10" ht="12.6" customHeight="1"/>
  </sheetData>
  <customSheetViews>
    <customSheetView guid="{9D7575BF-255B-11D2-8267-00A0D1027254}" showPageBreaks="1" showRuler="0" topLeftCell="A23">
      <selection activeCell="B51" sqref="B51"/>
      <colBreaks count="3" manualBreakCount="3">
        <brk id="14" max="1048575" man="1"/>
        <brk id="31" max="1048575" man="1"/>
        <brk id="48" max="1048575" man="1"/>
      </colBreaks>
      <pageMargins left="0.75" right="0.75" top="1" bottom="1" header="0.5" footer="0.5"/>
      <pageSetup scale="78" orientation="landscape" r:id="rId1"/>
      <headerFooter alignWithMargins="0">
        <oddFooter>&amp;L&amp;D   &amp;T&amp;RO:\Naes\GenSvcs\TVA\TVA Model\&amp;F
&amp;A &amp;P</oddFooter>
      </headerFooter>
    </customSheetView>
    <customSheetView guid="{773475A7-2559-11D2-A5F6-0060080AEB13}" showPageBreaks="1" showRuler="0">
      <selection activeCell="B20" sqref="B20"/>
      <colBreaks count="2" manualBreakCount="2">
        <brk id="14" max="1048575" man="1"/>
        <brk id="27" max="1048575" man="1"/>
      </colBreaks>
      <pageMargins left="0.75" right="0.75" top="1" bottom="1" header="0.5" footer="0.5"/>
      <pageSetup scale="76" orientation="landscape" r:id="rId2"/>
      <headerFooter alignWithMargins="0">
        <oddFooter>&amp;L&amp;D   &amp;T&amp;RO:\Naes\GenSvcs\TVA\TVA Model\&amp;F
&amp;A &amp;P</oddFooter>
      </headerFooter>
    </customSheetView>
  </customSheetViews>
  <pageMargins left="0.25" right="0.25" top="0.25" bottom="0.5" header="0" footer="0"/>
  <pageSetup scale="49" orientation="landscape" r:id="rId3"/>
  <headerFooter alignWithMargins="0">
    <oddFooter>&amp;L&amp;D   &amp;T&amp;R&amp;F
&amp;A &amp;P</oddFooter>
  </headerFooter>
  <colBreaks count="3" manualBreakCount="3">
    <brk id="14" max="1048575" man="1"/>
    <brk id="31" max="1048575" man="1"/>
    <brk id="48" max="1048575" man="1"/>
  </colBreaks>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BA281"/>
  <sheetViews>
    <sheetView topLeftCell="A25" zoomScale="75" zoomScaleNormal="75" zoomScaleSheetLayoutView="85" workbookViewId="0">
      <selection activeCell="E56" sqref="E56"/>
    </sheetView>
  </sheetViews>
  <sheetFormatPr defaultRowHeight="13.2"/>
  <cols>
    <col min="1" max="1" width="36.33203125" style="60" bestFit="1" customWidth="1"/>
    <col min="2" max="3" width="12.44140625" style="60" bestFit="1" customWidth="1"/>
    <col min="4" max="4" width="9.109375" style="60" customWidth="1"/>
    <col min="5" max="12" width="11.44140625" style="60" bestFit="1" customWidth="1"/>
    <col min="13" max="13" width="9.88671875" style="60" customWidth="1"/>
    <col min="14" max="26" width="11.44140625" style="60" bestFit="1" customWidth="1"/>
    <col min="27" max="28" width="11.44140625" style="60" hidden="1" customWidth="1"/>
    <col min="29" max="29" width="11.44140625" style="60" bestFit="1" customWidth="1"/>
    <col min="30" max="32" width="9.109375" style="60" customWidth="1"/>
  </cols>
  <sheetData>
    <row r="1" spans="1:53" ht="20.399999999999999">
      <c r="A1" s="525" t="str">
        <f>'Project Assumtions'!$A$2</f>
        <v>WHEATLAND POWER IN, L.L.C.</v>
      </c>
      <c r="B1" s="607"/>
      <c r="C1" s="526"/>
    </row>
    <row r="2" spans="1:53" ht="15.6" customHeight="1">
      <c r="A2" s="527" t="s">
        <v>191</v>
      </c>
      <c r="B2" s="608"/>
      <c r="C2" s="528"/>
      <c r="E2" s="85"/>
    </row>
    <row r="3" spans="1:53" s="41" customFormat="1" ht="12.6" customHeight="1">
      <c r="A3" s="71"/>
      <c r="B3" s="72"/>
      <c r="C3" s="72"/>
      <c r="D3" s="72"/>
      <c r="E3" s="85"/>
      <c r="F3" s="72"/>
      <c r="G3" s="72"/>
      <c r="H3" s="72"/>
      <c r="I3" s="72"/>
      <c r="J3" s="72"/>
      <c r="K3" s="72"/>
      <c r="L3" s="72"/>
      <c r="M3" s="72"/>
      <c r="N3" s="72"/>
      <c r="O3" s="72"/>
      <c r="P3" s="72"/>
      <c r="Q3" s="72"/>
      <c r="R3" s="72"/>
      <c r="S3" s="72"/>
      <c r="T3" s="72"/>
      <c r="U3" s="72"/>
      <c r="V3" s="72"/>
      <c r="W3" s="72"/>
      <c r="X3" s="72"/>
      <c r="Y3" s="72"/>
      <c r="Z3" s="72"/>
      <c r="AA3" s="72"/>
      <c r="AB3" s="72"/>
      <c r="AC3" s="72"/>
      <c r="AD3" s="72"/>
      <c r="AE3" s="72"/>
      <c r="AF3" s="72"/>
    </row>
    <row r="4" spans="1:53" ht="12.6" customHeight="1">
      <c r="A4" s="72"/>
      <c r="B4" s="72"/>
      <c r="C4" s="72"/>
      <c r="D4" s="85"/>
      <c r="E4" s="85">
        <f>'Book Income Statement'!D3</f>
        <v>1</v>
      </c>
      <c r="F4" s="85">
        <f>'Book Income Statement'!E3</f>
        <v>2</v>
      </c>
      <c r="G4" s="85">
        <f>'Book Income Statement'!F3</f>
        <v>3</v>
      </c>
      <c r="H4" s="85">
        <f>'Book Income Statement'!G3</f>
        <v>4</v>
      </c>
      <c r="I4" s="85">
        <f>'Book Income Statement'!H3</f>
        <v>5</v>
      </c>
      <c r="J4" s="85">
        <f>'Book Income Statement'!I3</f>
        <v>6</v>
      </c>
      <c r="K4" s="85">
        <f>'Book Income Statement'!J3</f>
        <v>7</v>
      </c>
      <c r="L4" s="85">
        <f>'Book Income Statement'!K3</f>
        <v>8</v>
      </c>
      <c r="M4" s="85">
        <f>'Book Income Statement'!L3</f>
        <v>9</v>
      </c>
      <c r="N4" s="85">
        <f>'Book Income Statement'!M3</f>
        <v>10</v>
      </c>
      <c r="O4" s="85">
        <f>'Book Income Statement'!N3</f>
        <v>11</v>
      </c>
      <c r="P4" s="85">
        <f>'Book Income Statement'!O3</f>
        <v>12</v>
      </c>
      <c r="Q4" s="85">
        <f>'Book Income Statement'!P3</f>
        <v>13</v>
      </c>
      <c r="R4" s="85">
        <f>'Book Income Statement'!Q3</f>
        <v>14</v>
      </c>
      <c r="S4" s="85">
        <f>'Book Income Statement'!R3</f>
        <v>15</v>
      </c>
      <c r="T4" s="85">
        <f>'Book Income Statement'!S3</f>
        <v>16</v>
      </c>
      <c r="U4" s="85">
        <f>'Book Income Statement'!T3</f>
        <v>17</v>
      </c>
      <c r="V4" s="85">
        <f>'Book Income Statement'!U3</f>
        <v>18</v>
      </c>
      <c r="W4" s="85">
        <f>'Book Income Statement'!V3</f>
        <v>19</v>
      </c>
      <c r="X4" s="85">
        <f>'Book Income Statement'!W3</f>
        <v>20</v>
      </c>
      <c r="Y4" s="85">
        <f>'Book Income Statement'!X3</f>
        <v>21</v>
      </c>
      <c r="Z4" s="85">
        <f>'Book Income Statement'!Y3</f>
        <v>22</v>
      </c>
      <c r="AA4" s="85">
        <f>'Book Income Statement'!Z3</f>
        <v>23</v>
      </c>
      <c r="AB4" s="85">
        <f>'Book Income Statement'!AA3</f>
        <v>24</v>
      </c>
      <c r="AC4" s="85">
        <f>'Book Income Statement'!AB3</f>
        <v>25</v>
      </c>
    </row>
    <row r="5" spans="1:53" s="1" customFormat="1" ht="12.6" customHeight="1">
      <c r="A5" s="609"/>
      <c r="B5" s="639"/>
      <c r="C5" s="610"/>
      <c r="D5" s="610"/>
      <c r="E5" s="640">
        <f>YEAR('Project Assumtions'!$G$16)</f>
        <v>2000</v>
      </c>
      <c r="F5" s="640">
        <f>E5+1</f>
        <v>2001</v>
      </c>
      <c r="G5" s="640">
        <f t="shared" ref="G5:AC5" si="0">F5+1</f>
        <v>2002</v>
      </c>
      <c r="H5" s="640">
        <f t="shared" si="0"/>
        <v>2003</v>
      </c>
      <c r="I5" s="640">
        <f t="shared" si="0"/>
        <v>2004</v>
      </c>
      <c r="J5" s="640">
        <f t="shared" si="0"/>
        <v>2005</v>
      </c>
      <c r="K5" s="640">
        <f t="shared" si="0"/>
        <v>2006</v>
      </c>
      <c r="L5" s="640">
        <f t="shared" si="0"/>
        <v>2007</v>
      </c>
      <c r="M5" s="640">
        <f t="shared" si="0"/>
        <v>2008</v>
      </c>
      <c r="N5" s="640">
        <f t="shared" si="0"/>
        <v>2009</v>
      </c>
      <c r="O5" s="640">
        <f t="shared" si="0"/>
        <v>2010</v>
      </c>
      <c r="P5" s="640">
        <f t="shared" si="0"/>
        <v>2011</v>
      </c>
      <c r="Q5" s="640">
        <f t="shared" si="0"/>
        <v>2012</v>
      </c>
      <c r="R5" s="640">
        <f t="shared" si="0"/>
        <v>2013</v>
      </c>
      <c r="S5" s="640">
        <f t="shared" si="0"/>
        <v>2014</v>
      </c>
      <c r="T5" s="640">
        <f t="shared" si="0"/>
        <v>2015</v>
      </c>
      <c r="U5" s="640">
        <f t="shared" si="0"/>
        <v>2016</v>
      </c>
      <c r="V5" s="640">
        <f t="shared" si="0"/>
        <v>2017</v>
      </c>
      <c r="W5" s="640">
        <f t="shared" si="0"/>
        <v>2018</v>
      </c>
      <c r="X5" s="640">
        <f t="shared" si="0"/>
        <v>2019</v>
      </c>
      <c r="Y5" s="640">
        <f t="shared" si="0"/>
        <v>2020</v>
      </c>
      <c r="Z5" s="640">
        <f t="shared" si="0"/>
        <v>2021</v>
      </c>
      <c r="AA5" s="640">
        <f t="shared" si="0"/>
        <v>2022</v>
      </c>
      <c r="AB5" s="640">
        <f t="shared" si="0"/>
        <v>2023</v>
      </c>
      <c r="AC5" s="641">
        <f t="shared" si="0"/>
        <v>2024</v>
      </c>
      <c r="AD5" s="87"/>
      <c r="AE5" s="87"/>
      <c r="AF5" s="87"/>
      <c r="AG5" s="31"/>
      <c r="AH5" s="31"/>
      <c r="AI5" s="31"/>
      <c r="AJ5" s="31"/>
      <c r="AK5" s="31"/>
      <c r="AL5" s="31"/>
      <c r="AM5" s="31"/>
      <c r="AN5" s="31"/>
      <c r="AO5" s="31"/>
      <c r="AP5" s="31"/>
      <c r="AQ5" s="31"/>
      <c r="AR5" s="31"/>
      <c r="AS5" s="31"/>
      <c r="AT5" s="31"/>
      <c r="AU5" s="31"/>
      <c r="AV5" s="31"/>
      <c r="AW5" s="31"/>
      <c r="AX5" s="31"/>
      <c r="AY5" s="31"/>
      <c r="AZ5" s="31"/>
      <c r="BA5" s="31"/>
    </row>
    <row r="6" spans="1:53" s="50" customFormat="1" ht="12.6" customHeight="1">
      <c r="A6" s="533" t="s">
        <v>2</v>
      </c>
      <c r="B6" s="642"/>
      <c r="C6" s="642"/>
      <c r="D6" s="643"/>
      <c r="E6" s="644">
        <f>'Book Income Statement'!D63</f>
        <v>11611.784459200886</v>
      </c>
      <c r="F6" s="644">
        <f>'Book Income Statement'!E63</f>
        <v>20157.454289965397</v>
      </c>
      <c r="G6" s="644">
        <f>'Book Income Statement'!F63</f>
        <v>19997.988732606311</v>
      </c>
      <c r="H6" s="644">
        <f>'Book Income Statement'!G63</f>
        <v>27255.055919231749</v>
      </c>
      <c r="I6" s="644">
        <f>'Book Income Statement'!H63</f>
        <v>33472.1040708492</v>
      </c>
      <c r="J6" s="644">
        <f>'Book Income Statement'!I63</f>
        <v>34436.715508471534</v>
      </c>
      <c r="K6" s="644">
        <f>'Book Income Statement'!J63</f>
        <v>34765.164575134375</v>
      </c>
      <c r="L6" s="644">
        <f>'Book Income Statement'!K63</f>
        <v>35065.380562433609</v>
      </c>
      <c r="M6" s="644">
        <f>'Book Income Statement'!L63</f>
        <v>35398.156068630618</v>
      </c>
      <c r="N6" s="644">
        <f>'Book Income Statement'!M63</f>
        <v>35798.66783323494</v>
      </c>
      <c r="O6" s="644">
        <f>'Book Income Statement'!N63</f>
        <v>36188.621767606266</v>
      </c>
      <c r="P6" s="644">
        <f>'Book Income Statement'!O63</f>
        <v>36397.427236130192</v>
      </c>
      <c r="Q6" s="644">
        <f>'Book Income Statement'!P63</f>
        <v>36761.947479690192</v>
      </c>
      <c r="R6" s="644">
        <f>'Book Income Statement'!Q63</f>
        <v>36344.995160955033</v>
      </c>
      <c r="S6" s="644">
        <f>'Book Income Statement'!R63</f>
        <v>36662.416350251529</v>
      </c>
      <c r="T6" s="644">
        <f>'Book Income Statement'!S63</f>
        <v>36965.567746157169</v>
      </c>
      <c r="U6" s="644">
        <f>'Book Income Statement'!T63</f>
        <v>37253.307481998141</v>
      </c>
      <c r="V6" s="644">
        <f>'Book Income Statement'!U63</f>
        <v>37524.438021914277</v>
      </c>
      <c r="W6" s="644">
        <f>'Book Income Statement'!V63</f>
        <v>37777.703848387799</v>
      </c>
      <c r="X6" s="644">
        <f>'Book Income Statement'!W63</f>
        <v>37092.390854953963</v>
      </c>
      <c r="Y6" s="644">
        <f>'Book Income Statement'!X63</f>
        <v>13524.081601163027</v>
      </c>
      <c r="Z6" s="644">
        <f>'Book Income Statement'!Y63</f>
        <v>0</v>
      </c>
      <c r="AA6" s="644">
        <f>'Book Income Statement'!Z63</f>
        <v>0</v>
      </c>
      <c r="AB6" s="644">
        <f>'Book Income Statement'!AA63</f>
        <v>0</v>
      </c>
      <c r="AC6" s="645">
        <f>'Book Income Statement'!AB63</f>
        <v>0</v>
      </c>
      <c r="AD6" s="203"/>
      <c r="AE6" s="203"/>
      <c r="AF6" s="60"/>
    </row>
    <row r="7" spans="1:53" s="21" customFormat="1" ht="12.6" customHeight="1">
      <c r="A7" s="522"/>
      <c r="B7" s="646"/>
      <c r="C7" s="611"/>
      <c r="D7" s="557"/>
      <c r="E7" s="557"/>
      <c r="F7" s="557"/>
      <c r="G7" s="557"/>
      <c r="H7" s="557"/>
      <c r="I7" s="557"/>
      <c r="J7" s="557"/>
      <c r="K7" s="557"/>
      <c r="L7" s="557"/>
      <c r="M7" s="557"/>
      <c r="N7" s="557"/>
      <c r="O7" s="557"/>
      <c r="P7" s="557"/>
      <c r="Q7" s="557"/>
      <c r="R7" s="557"/>
      <c r="S7" s="557"/>
      <c r="T7" s="557"/>
      <c r="U7" s="557"/>
      <c r="V7" s="557"/>
      <c r="W7" s="557"/>
      <c r="X7" s="557"/>
      <c r="Y7" s="557"/>
      <c r="Z7" s="557"/>
      <c r="AA7" s="557"/>
      <c r="AB7" s="557"/>
      <c r="AC7" s="647"/>
      <c r="AD7" s="85"/>
      <c r="AE7" s="60"/>
      <c r="AF7" s="85"/>
    </row>
    <row r="8" spans="1:53" s="47" customFormat="1">
      <c r="A8" s="648" t="s">
        <v>192</v>
      </c>
      <c r="B8" s="649"/>
      <c r="C8" s="649"/>
      <c r="D8" s="649"/>
      <c r="E8" s="650">
        <f>IF(E4&lt;='Project Assumtions'!$F$39,'Project Assumtions'!$F$41,0)</f>
        <v>1.3</v>
      </c>
      <c r="F8" s="650">
        <f>IF(F4&lt;='Project Assumtions'!$F$39,'Project Assumtions'!$F$41,0)</f>
        <v>1.3</v>
      </c>
      <c r="G8" s="650">
        <f>IF(G4&lt;='Project Assumtions'!$F$39,'Project Assumtions'!$F$41,0)</f>
        <v>1.3</v>
      </c>
      <c r="H8" s="650">
        <f>IF(H4&lt;='Project Assumtions'!$F$39,'Project Assumtions'!$F$41,0)</f>
        <v>1.3</v>
      </c>
      <c r="I8" s="650">
        <f>IF(I4&lt;='Project Assumtions'!$F$39,'Project Assumtions'!$F$41,0)</f>
        <v>0</v>
      </c>
      <c r="J8" s="650">
        <f>IF(J4&lt;='Project Assumtions'!$F$39,'Project Assumtions'!$F$41,0)</f>
        <v>0</v>
      </c>
      <c r="K8" s="650">
        <f>IF(K4&lt;='Project Assumtions'!$F$39,'Project Assumtions'!$F$41,0)</f>
        <v>0</v>
      </c>
      <c r="L8" s="650">
        <f>IF(L4&lt;='Project Assumtions'!$F$39,'Project Assumtions'!$F$41,0)</f>
        <v>0</v>
      </c>
      <c r="M8" s="650">
        <f>IF(M4&lt;='Project Assumtions'!$F$39,'Project Assumtions'!$F$41,0)</f>
        <v>0</v>
      </c>
      <c r="N8" s="650">
        <f>IF(N4&lt;='Project Assumtions'!$F$39,'Project Assumtions'!$F$41,0)</f>
        <v>0</v>
      </c>
      <c r="O8" s="650">
        <f>IF(O4&lt;='Project Assumtions'!$F$39,'Project Assumtions'!$F$41,0)</f>
        <v>0</v>
      </c>
      <c r="P8" s="650">
        <f>IF(P4&lt;='Project Assumtions'!$F$39,'Project Assumtions'!$F$41,0)</f>
        <v>0</v>
      </c>
      <c r="Q8" s="650">
        <f>IF(Q4&lt;='Project Assumtions'!$F$39,'Project Assumtions'!$F$41,0)</f>
        <v>0</v>
      </c>
      <c r="R8" s="650">
        <f>IF(R4&lt;='Project Assumtions'!$F$39,'Project Assumtions'!$F$41,0)</f>
        <v>0</v>
      </c>
      <c r="S8" s="650">
        <f>IF(S4&lt;='Project Assumtions'!$F$39,'Project Assumtions'!$F$41,0)</f>
        <v>0</v>
      </c>
      <c r="T8" s="650">
        <f>IF(T4&lt;='Project Assumtions'!$F$39,'Project Assumtions'!$F$41,0)</f>
        <v>0</v>
      </c>
      <c r="U8" s="650">
        <f>IF(U4&lt;='Project Assumtions'!$F$39,'Project Assumtions'!$F$41,0)</f>
        <v>0</v>
      </c>
      <c r="V8" s="650">
        <f>IF(V4&lt;='Project Assumtions'!$F$39,'Project Assumtions'!$F$41,0)</f>
        <v>0</v>
      </c>
      <c r="W8" s="650">
        <f>IF(W4&lt;='Project Assumtions'!$F$39,'Project Assumtions'!$F$41,0)</f>
        <v>0</v>
      </c>
      <c r="X8" s="650">
        <f>IF(X4&lt;='Project Assumtions'!$F$39,'Project Assumtions'!$F$41,0)</f>
        <v>0</v>
      </c>
      <c r="Y8" s="650">
        <f>IF(Y4&lt;='Project Assumtions'!$F$39,'Project Assumtions'!$F$41,0)</f>
        <v>0</v>
      </c>
      <c r="Z8" s="650">
        <f>IF(Z4&lt;='Project Assumtions'!$F$39,'Project Assumtions'!$F$41,0)</f>
        <v>0</v>
      </c>
      <c r="AA8" s="650">
        <f>IF(AA4&lt;='Project Assumtions'!$F$39,'Project Assumtions'!$F$41,0)</f>
        <v>0</v>
      </c>
      <c r="AB8" s="650">
        <f>IF(AB4&lt;='Project Assumtions'!$F$39,'Project Assumtions'!$F$41,0)</f>
        <v>0</v>
      </c>
      <c r="AC8" s="651">
        <f>IF(AC4&lt;='Project Assumtions'!$F$39,'Project Assumtions'!$F$41,0)</f>
        <v>0</v>
      </c>
      <c r="AD8" s="205"/>
      <c r="AE8" s="204"/>
      <c r="AF8" s="204"/>
    </row>
    <row r="9" spans="1:53" s="47" customFormat="1">
      <c r="A9" s="648" t="s">
        <v>193</v>
      </c>
      <c r="B9" s="649"/>
      <c r="C9" s="649"/>
      <c r="D9" s="649"/>
      <c r="E9" s="650">
        <f>IF(AND(E4&gt;'Project Assumtions'!$F$39,E4&lt;='Project Assumtions'!$G$39),'Project Assumtions'!$G$41,0)</f>
        <v>0</v>
      </c>
      <c r="F9" s="650">
        <f>IF(AND(F4&gt;'Project Assumtions'!$F$39,F4&lt;='Project Assumtions'!$G$39),'Project Assumtions'!$G$41,0)</f>
        <v>0</v>
      </c>
      <c r="G9" s="650">
        <f>IF(AND(G4&gt;'Project Assumtions'!$F$39,G4&lt;='Project Assumtions'!$G$39),'Project Assumtions'!$G$41,0)</f>
        <v>0</v>
      </c>
      <c r="H9" s="650">
        <f>IF(AND(H4&gt;'Project Assumtions'!$F$39,H4&lt;='Project Assumtions'!$G$39),'Project Assumtions'!$G$41,0)</f>
        <v>0</v>
      </c>
      <c r="I9" s="650">
        <f>IF(AND(I4&gt;'Project Assumtions'!$F$39,I4&lt;='Project Assumtions'!$G$39),'Project Assumtions'!$G$41,0)</f>
        <v>2.5</v>
      </c>
      <c r="J9" s="650">
        <f>IF(AND(J4&gt;'Project Assumtions'!$F$39,J4&lt;='Project Assumtions'!$G$39),'Project Assumtions'!$G$41,0)</f>
        <v>2.5</v>
      </c>
      <c r="K9" s="650">
        <f>IF(AND(K4&gt;'Project Assumtions'!$F$39,K4&lt;='Project Assumtions'!$G$39),'Project Assumtions'!$G$41,0)</f>
        <v>2.5</v>
      </c>
      <c r="L9" s="650">
        <f>IF(AND(L4&gt;'Project Assumtions'!$F$39,L4&lt;='Project Assumtions'!$G$39),'Project Assumtions'!$G$41,0)</f>
        <v>2.5</v>
      </c>
      <c r="M9" s="650">
        <f>IF(AND(M4&gt;'Project Assumtions'!$F$39,M4&lt;='Project Assumtions'!$G$39),'Project Assumtions'!$G$41,0)</f>
        <v>2.5</v>
      </c>
      <c r="N9" s="650">
        <f>IF(AND(N4&gt;'Project Assumtions'!$F$39,N4&lt;='Project Assumtions'!$G$39),'Project Assumtions'!$G$41,0)</f>
        <v>2.5</v>
      </c>
      <c r="O9" s="650">
        <f>IF(AND(O4&gt;'Project Assumtions'!$F$39,O4&lt;='Project Assumtions'!$G$39),'Project Assumtions'!$G$41,0)</f>
        <v>0</v>
      </c>
      <c r="P9" s="650">
        <f>IF(AND(P4&gt;'Project Assumtions'!$F$39,P4&lt;='Project Assumtions'!$G$39),'Project Assumtions'!$G$41,0)</f>
        <v>0</v>
      </c>
      <c r="Q9" s="650">
        <f>IF(AND(Q4&gt;'Project Assumtions'!$F$39,Q4&lt;='Project Assumtions'!$G$39),'Project Assumtions'!$G$41,0)</f>
        <v>0</v>
      </c>
      <c r="R9" s="650">
        <f>IF(AND(R4&gt;'Project Assumtions'!$F$39,R4&lt;='Project Assumtions'!$G$39),'Project Assumtions'!$G$41,0)</f>
        <v>0</v>
      </c>
      <c r="S9" s="650">
        <f>IF(AND(S4&gt;'Project Assumtions'!$F$39,S4&lt;='Project Assumtions'!$G$39),'Project Assumtions'!$G$41,0)</f>
        <v>0</v>
      </c>
      <c r="T9" s="650">
        <f>IF(AND(T4&gt;'Project Assumtions'!$F$39,T4&lt;='Project Assumtions'!$G$39),'Project Assumtions'!$G$41,0)</f>
        <v>0</v>
      </c>
      <c r="U9" s="650">
        <f>IF(AND(U4&gt;'Project Assumtions'!$F$39,U4&lt;='Project Assumtions'!$G$39),'Project Assumtions'!$G$41,0)</f>
        <v>0</v>
      </c>
      <c r="V9" s="650">
        <f>IF(AND(V4&gt;'Project Assumtions'!$F$39,V4&lt;='Project Assumtions'!$G$39),'Project Assumtions'!$G$41,0)</f>
        <v>0</v>
      </c>
      <c r="W9" s="650">
        <f>IF(AND(W4&gt;'Project Assumtions'!$F$39,W4&lt;='Project Assumtions'!$G$39),'Project Assumtions'!$G$41,0)</f>
        <v>0</v>
      </c>
      <c r="X9" s="650">
        <f>IF(AND(X4&gt;'Project Assumtions'!$F$39,X4&lt;='Project Assumtions'!$G$39),'Project Assumtions'!$G$41,0)</f>
        <v>0</v>
      </c>
      <c r="Y9" s="650">
        <f>IF(AND(Y4&gt;'Project Assumtions'!$F$39,Y4&lt;='Project Assumtions'!$G$39),'Project Assumtions'!$G$41,0)</f>
        <v>0</v>
      </c>
      <c r="Z9" s="650">
        <f>IF(AND(Z4&gt;'Project Assumtions'!$F$39,Z4&lt;='Project Assumtions'!$G$39),'Project Assumtions'!$G$41,0)</f>
        <v>0</v>
      </c>
      <c r="AA9" s="650">
        <f>IF(AND(AA4&gt;'Project Assumtions'!$F$39,AA4&lt;='Project Assumtions'!$G$39),'Project Assumtions'!$G$41,0)</f>
        <v>0</v>
      </c>
      <c r="AB9" s="650">
        <f>IF(AND(AB4&gt;'Project Assumtions'!$F$39,AB4&lt;='Project Assumtions'!$G$39),'Project Assumtions'!$G$41,0)</f>
        <v>0</v>
      </c>
      <c r="AC9" s="651">
        <f>IF(AND(AC4&gt;'Project Assumtions'!$F$39,AC4&lt;='Project Assumtions'!$G$39),'Project Assumtions'!$G$41,0)</f>
        <v>0</v>
      </c>
      <c r="AD9" s="205"/>
      <c r="AE9" s="204"/>
      <c r="AF9" s="204"/>
    </row>
    <row r="10" spans="1:53" s="47" customFormat="1">
      <c r="A10" s="648" t="s">
        <v>194</v>
      </c>
      <c r="B10" s="649"/>
      <c r="C10" s="649"/>
      <c r="D10" s="649"/>
      <c r="E10" s="650">
        <f>IF(AND(E4&gt;'Project Assumtions'!$G$39,E4&lt;='Project Assumtions'!$H$39),'Project Assumtions'!$H$41,0)</f>
        <v>0</v>
      </c>
      <c r="F10" s="650">
        <f>IF(AND(F4&gt;'Project Assumtions'!$G$39,F4&lt;='Project Assumtions'!$H$39),'Project Assumtions'!$H$41,0)</f>
        <v>0</v>
      </c>
      <c r="G10" s="650">
        <f>IF(AND(G4&gt;'Project Assumtions'!$G$39,G4&lt;='Project Assumtions'!$H$39),'Project Assumtions'!$H$41,0)</f>
        <v>0</v>
      </c>
      <c r="H10" s="650">
        <f>IF(AND(H4&gt;'Project Assumtions'!$G$39,H4&lt;='Project Assumtions'!$H$39),'Project Assumtions'!$H$41,0)</f>
        <v>0</v>
      </c>
      <c r="I10" s="650">
        <f>IF(AND(I4&gt;'Project Assumtions'!$G$39,I4&lt;='Project Assumtions'!$H$39),'Project Assumtions'!$H$41,0)</f>
        <v>0</v>
      </c>
      <c r="J10" s="650">
        <f>IF(AND(J4&gt;'Project Assumtions'!$G$39,J4&lt;='Project Assumtions'!$H$39),'Project Assumtions'!$H$41,0)</f>
        <v>0</v>
      </c>
      <c r="K10" s="650">
        <f>IF(AND(K4&gt;'Project Assumtions'!$G$39,K4&lt;='Project Assumtions'!$H$39),'Project Assumtions'!$H$41,0)</f>
        <v>0</v>
      </c>
      <c r="L10" s="650">
        <f>IF(AND(L4&gt;'Project Assumtions'!$G$39,L4&lt;='Project Assumtions'!$H$39),'Project Assumtions'!$H$41,0)</f>
        <v>0</v>
      </c>
      <c r="M10" s="650">
        <f>IF(AND(M4&gt;'Project Assumtions'!$G$39,M4&lt;='Project Assumtions'!$H$39),'Project Assumtions'!$H$41,0)</f>
        <v>0</v>
      </c>
      <c r="N10" s="650">
        <f>IF(AND(N4&gt;'Project Assumtions'!$G$39,N4&lt;='Project Assumtions'!$H$39),'Project Assumtions'!$H$41,0)</f>
        <v>0</v>
      </c>
      <c r="O10" s="650">
        <f>IF(AND(O4&gt;'Project Assumtions'!$G$39,O4&lt;='Project Assumtions'!$H$39),'Project Assumtions'!$H$41,0)</f>
        <v>2.5</v>
      </c>
      <c r="P10" s="650">
        <f>IF(AND(P4&gt;'Project Assumtions'!$G$39,P4&lt;='Project Assumtions'!$H$39),'Project Assumtions'!$H$41,0)</f>
        <v>2.5</v>
      </c>
      <c r="Q10" s="650">
        <f>IF(AND(Q4&gt;'Project Assumtions'!$G$39,Q4&lt;='Project Assumtions'!$H$39),'Project Assumtions'!$H$41,0)</f>
        <v>2.5</v>
      </c>
      <c r="R10" s="650">
        <f>IF(AND(R4&gt;'Project Assumtions'!$G$39,R4&lt;='Project Assumtions'!$H$39),'Project Assumtions'!$H$41,0)</f>
        <v>2.5</v>
      </c>
      <c r="S10" s="650">
        <f>IF(AND(S4&gt;'Project Assumtions'!$G$39,S4&lt;='Project Assumtions'!$H$39),'Project Assumtions'!$H$41,0)</f>
        <v>2.5</v>
      </c>
      <c r="T10" s="650">
        <f>IF(AND(T4&gt;'Project Assumtions'!$G$39,T4&lt;='Project Assumtions'!$H$39),'Project Assumtions'!$H$41,0)</f>
        <v>2.5</v>
      </c>
      <c r="U10" s="650">
        <f>IF(AND(U4&gt;'Project Assumtions'!$G$39,U4&lt;='Project Assumtions'!$H$39),'Project Assumtions'!$H$41,0)</f>
        <v>2.5</v>
      </c>
      <c r="V10" s="650">
        <f>IF(AND(V4&gt;'Project Assumtions'!$G$39,V4&lt;='Project Assumtions'!$H$39),'Project Assumtions'!$H$41,0)</f>
        <v>2.5</v>
      </c>
      <c r="W10" s="650">
        <f>IF(AND(W4&gt;'Project Assumtions'!$G$39,W4&lt;='Project Assumtions'!$H$39),'Project Assumtions'!$H$41,0)</f>
        <v>2.5</v>
      </c>
      <c r="X10" s="650">
        <f>IF(AND(X4&gt;'Project Assumtions'!$G$39,X4&lt;='Project Assumtions'!$H$39),'Project Assumtions'!$H$41,0)</f>
        <v>2.5</v>
      </c>
      <c r="Y10" s="650">
        <f>IF(AND(Y4&gt;'Project Assumtions'!$G$39,Y4&lt;='Project Assumtions'!$H$39),'Project Assumtions'!$H$41,0)</f>
        <v>0</v>
      </c>
      <c r="Z10" s="650">
        <f>IF(AND(Z4&gt;'Project Assumtions'!$G$39,Z4&lt;='Project Assumtions'!$H$39),'Project Assumtions'!$H$41,0)</f>
        <v>0</v>
      </c>
      <c r="AA10" s="650">
        <f>IF(AND(AA4&gt;'Project Assumtions'!$G$39,AA4&lt;='Project Assumtions'!$H$39),'Project Assumtions'!$H$41,0)</f>
        <v>0</v>
      </c>
      <c r="AB10" s="650">
        <f>IF(AND(AB4&gt;'Project Assumtions'!$G$39,AB4&lt;='Project Assumtions'!$H$39),'Project Assumtions'!$H$41,0)</f>
        <v>0</v>
      </c>
      <c r="AC10" s="651">
        <f>IF(AND(AC4&gt;'Project Assumtions'!$G$39,AC4&lt;='Project Assumtions'!$H$39),'Project Assumtions'!$H$41,0)</f>
        <v>0</v>
      </c>
      <c r="AD10" s="205"/>
      <c r="AE10" s="204"/>
      <c r="AF10" s="204"/>
    </row>
    <row r="11" spans="1:53" s="47" customFormat="1">
      <c r="A11" s="648"/>
      <c r="B11" s="649"/>
      <c r="C11" s="649"/>
      <c r="D11" s="649"/>
      <c r="E11" s="650"/>
      <c r="F11" s="650"/>
      <c r="G11" s="650"/>
      <c r="H11" s="650"/>
      <c r="I11" s="650"/>
      <c r="J11" s="650"/>
      <c r="K11" s="650"/>
      <c r="L11" s="650"/>
      <c r="M11" s="650"/>
      <c r="N11" s="650"/>
      <c r="O11" s="650"/>
      <c r="P11" s="650"/>
      <c r="Q11" s="650"/>
      <c r="R11" s="650"/>
      <c r="S11" s="650"/>
      <c r="T11" s="650"/>
      <c r="U11" s="650"/>
      <c r="V11" s="650"/>
      <c r="W11" s="650"/>
      <c r="X11" s="650"/>
      <c r="Y11" s="650"/>
      <c r="Z11" s="650"/>
      <c r="AA11" s="650"/>
      <c r="AB11" s="650"/>
      <c r="AC11" s="651"/>
      <c r="AD11" s="205"/>
      <c r="AE11" s="204"/>
      <c r="AF11" s="204"/>
    </row>
    <row r="12" spans="1:53" s="47" customFormat="1">
      <c r="A12" s="648" t="s">
        <v>195</v>
      </c>
      <c r="B12" s="649"/>
      <c r="C12" s="649"/>
      <c r="D12" s="649"/>
      <c r="E12" s="652">
        <f>IF(E4&lt;='Project Assumtions'!$F$39,'Project Assumtions'!$F$40,0)</f>
        <v>6.7299999999999999E-2</v>
      </c>
      <c r="F12" s="652">
        <f>IF(F4&lt;='Project Assumtions'!$F$39,'Project Assumtions'!$F$40,0)</f>
        <v>6.7299999999999999E-2</v>
      </c>
      <c r="G12" s="652">
        <f>IF(G4&lt;='Project Assumtions'!$F$39,'Project Assumtions'!$F$40,0)</f>
        <v>6.7299999999999999E-2</v>
      </c>
      <c r="H12" s="652">
        <f>IF(H4&lt;='Project Assumtions'!$F$39,'Project Assumtions'!$F$40,0)</f>
        <v>6.7299999999999999E-2</v>
      </c>
      <c r="I12" s="652">
        <f>IF(I4&lt;='Project Assumtions'!$F$39,'Project Assumtions'!$F$40,0)</f>
        <v>0</v>
      </c>
      <c r="J12" s="652">
        <f>IF(J4&lt;='Project Assumtions'!$F$39,'Project Assumtions'!$F$40,0)</f>
        <v>0</v>
      </c>
      <c r="K12" s="652">
        <f>IF(K4&lt;='Project Assumtions'!$F$39,'Project Assumtions'!$F$40,0)</f>
        <v>0</v>
      </c>
      <c r="L12" s="652">
        <f>IF(L4&lt;='Project Assumtions'!$F$39,'Project Assumtions'!$F$40,0)</f>
        <v>0</v>
      </c>
      <c r="M12" s="652">
        <f>IF(M4&lt;='Project Assumtions'!$F$39,'Project Assumtions'!$F$40,0)</f>
        <v>0</v>
      </c>
      <c r="N12" s="652">
        <f>IF(N4&lt;='Project Assumtions'!$F$39,'Project Assumtions'!$F$40,0)</f>
        <v>0</v>
      </c>
      <c r="O12" s="652">
        <f>IF(O4&lt;='Project Assumtions'!$F$39,'Project Assumtions'!$F$40,0)</f>
        <v>0</v>
      </c>
      <c r="P12" s="652">
        <f>IF(P4&lt;='Project Assumtions'!$F$39,'Project Assumtions'!$F$40,0)</f>
        <v>0</v>
      </c>
      <c r="Q12" s="652">
        <f>IF(Q4&lt;='Project Assumtions'!$F$39,'Project Assumtions'!$F$40,0)</f>
        <v>0</v>
      </c>
      <c r="R12" s="652">
        <f>IF(R4&lt;='Project Assumtions'!$F$39,'Project Assumtions'!$F$40,0)</f>
        <v>0</v>
      </c>
      <c r="S12" s="652">
        <f>IF(S4&lt;='Project Assumtions'!$F$39,'Project Assumtions'!$F$40,0)</f>
        <v>0</v>
      </c>
      <c r="T12" s="652">
        <f>IF(T4&lt;='Project Assumtions'!$F$39,'Project Assumtions'!$F$40,0)</f>
        <v>0</v>
      </c>
      <c r="U12" s="652">
        <f>IF(U4&lt;='Project Assumtions'!$F$39,'Project Assumtions'!$F$40,0)</f>
        <v>0</v>
      </c>
      <c r="V12" s="652">
        <f>IF(V4&lt;='Project Assumtions'!$F$39,'Project Assumtions'!$F$40,0)</f>
        <v>0</v>
      </c>
      <c r="W12" s="652">
        <f>IF(W4&lt;='Project Assumtions'!$F$39,'Project Assumtions'!$F$40,0)</f>
        <v>0</v>
      </c>
      <c r="X12" s="652">
        <f>IF(X4&lt;='Project Assumtions'!$F$39,'Project Assumtions'!$F$40,0)</f>
        <v>0</v>
      </c>
      <c r="Y12" s="652">
        <f>IF(Y4&lt;='Project Assumtions'!$F$39,'Project Assumtions'!$F$40,0)</f>
        <v>0</v>
      </c>
      <c r="Z12" s="652">
        <f>IF(Z4&lt;='Project Assumtions'!$F$39,'Project Assumtions'!$F$40,0)</f>
        <v>0</v>
      </c>
      <c r="AA12" s="652">
        <f>IF(AA4&lt;='Project Assumtions'!$F$39,'Project Assumtions'!$F$40,0)</f>
        <v>0</v>
      </c>
      <c r="AB12" s="652">
        <f>IF(AB4&lt;='Project Assumtions'!$F$39,'Project Assumtions'!$F$40,0)</f>
        <v>0</v>
      </c>
      <c r="AC12" s="653">
        <f>IF(AC4&lt;='Project Assumtions'!$F$39,'Project Assumtions'!$F$40,0)</f>
        <v>0</v>
      </c>
      <c r="AD12" s="204"/>
      <c r="AE12" s="204"/>
      <c r="AF12" s="204"/>
    </row>
    <row r="13" spans="1:53" s="47" customFormat="1">
      <c r="A13" s="648" t="s">
        <v>196</v>
      </c>
      <c r="B13" s="649"/>
      <c r="C13" s="649"/>
      <c r="D13" s="649"/>
      <c r="E13" s="652">
        <f>IF('Project Assumtions'!$G$39=0,0,IF(E4&lt;='Project Assumtions'!$G$39,'Project Assumtions'!$G$40,0))</f>
        <v>7.5700000000000003E-2</v>
      </c>
      <c r="F13" s="652">
        <f>IF('Project Assumtions'!$G$39=0,0,IF(F4&lt;='Project Assumtions'!$G$39,'Project Assumtions'!$G$40,0))</f>
        <v>7.5700000000000003E-2</v>
      </c>
      <c r="G13" s="652">
        <f>IF('Project Assumtions'!$G$39=0,0,IF(G4&lt;='Project Assumtions'!$G$39,'Project Assumtions'!$G$40,0))</f>
        <v>7.5700000000000003E-2</v>
      </c>
      <c r="H13" s="652">
        <f>IF('Project Assumtions'!$G$39=0,0,IF(H4&lt;='Project Assumtions'!$G$39,'Project Assumtions'!$G$40,0))</f>
        <v>7.5700000000000003E-2</v>
      </c>
      <c r="I13" s="652">
        <f>IF('Project Assumtions'!$G$39=0,0,IF(I4&lt;='Project Assumtions'!$G$39,'Project Assumtions'!$G$40,0))</f>
        <v>7.5700000000000003E-2</v>
      </c>
      <c r="J13" s="652">
        <f>IF('Project Assumtions'!$G$39=0,0,IF(J4&lt;='Project Assumtions'!$G$39,'Project Assumtions'!$G$40,0))</f>
        <v>7.5700000000000003E-2</v>
      </c>
      <c r="K13" s="652">
        <f>IF('Project Assumtions'!$G$39=0,0,IF(K4&lt;='Project Assumtions'!$G$39,'Project Assumtions'!$G$40,0))</f>
        <v>7.5700000000000003E-2</v>
      </c>
      <c r="L13" s="652">
        <f>IF('Project Assumtions'!$G$39=0,0,IF(L4&lt;='Project Assumtions'!$G$39,'Project Assumtions'!$G$40,0))</f>
        <v>7.5700000000000003E-2</v>
      </c>
      <c r="M13" s="652">
        <f>IF('Project Assumtions'!$G$39=0,0,IF(M4&lt;='Project Assumtions'!$G$39,'Project Assumtions'!$G$40,0))</f>
        <v>7.5700000000000003E-2</v>
      </c>
      <c r="N13" s="652">
        <f>IF('Project Assumtions'!$G$39=0,0,IF(N4&lt;='Project Assumtions'!$G$39,'Project Assumtions'!$G$40,0))</f>
        <v>7.5700000000000003E-2</v>
      </c>
      <c r="O13" s="652">
        <f>IF('Project Assumtions'!$G$39=0,0,IF(O4&lt;='Project Assumtions'!$G$39,'Project Assumtions'!$G$40,0))</f>
        <v>0</v>
      </c>
      <c r="P13" s="652">
        <f>IF('Project Assumtions'!$G$39=0,0,IF(P4&lt;='Project Assumtions'!$G$39,'Project Assumtions'!$G$40,0))</f>
        <v>0</v>
      </c>
      <c r="Q13" s="652">
        <f>IF('Project Assumtions'!$G$39=0,0,IF(Q4&lt;='Project Assumtions'!$G$39,'Project Assumtions'!$G$40,0))</f>
        <v>0</v>
      </c>
      <c r="R13" s="652">
        <f>IF('Project Assumtions'!$G$39=0,0,IF(R4&lt;='Project Assumtions'!$G$39,'Project Assumtions'!$G$40,0))</f>
        <v>0</v>
      </c>
      <c r="S13" s="652">
        <f>IF('Project Assumtions'!$G$39=0,0,IF(S4&lt;='Project Assumtions'!$G$39,'Project Assumtions'!$G$40,0))</f>
        <v>0</v>
      </c>
      <c r="T13" s="652">
        <f>IF('Project Assumtions'!$G$39=0,0,IF(T4&lt;='Project Assumtions'!$G$39,'Project Assumtions'!$G$40,0))</f>
        <v>0</v>
      </c>
      <c r="U13" s="652">
        <f>IF('Project Assumtions'!$G$39=0,0,IF(U4&lt;='Project Assumtions'!$G$39,'Project Assumtions'!$G$40,0))</f>
        <v>0</v>
      </c>
      <c r="V13" s="652">
        <f>IF('Project Assumtions'!$G$39=0,0,IF(V4&lt;='Project Assumtions'!$G$39,'Project Assumtions'!$G$40,0))</f>
        <v>0</v>
      </c>
      <c r="W13" s="652">
        <f>IF('Project Assumtions'!$G$39=0,0,IF(W4&lt;='Project Assumtions'!$G$39,'Project Assumtions'!$G$40,0))</f>
        <v>0</v>
      </c>
      <c r="X13" s="652">
        <f>IF('Project Assumtions'!$G$39=0,0,IF(X4&lt;='Project Assumtions'!$G$39,'Project Assumtions'!$G$40,0))</f>
        <v>0</v>
      </c>
      <c r="Y13" s="652">
        <f>IF('Project Assumtions'!$G$39=0,0,IF(Y4&lt;='Project Assumtions'!$G$39,'Project Assumtions'!$G$40,0))</f>
        <v>0</v>
      </c>
      <c r="Z13" s="652">
        <f>IF('Project Assumtions'!$G$39=0,0,IF(Z4&lt;='Project Assumtions'!$G$39,'Project Assumtions'!$G$40,0))</f>
        <v>0</v>
      </c>
      <c r="AA13" s="652">
        <f>IF('Project Assumtions'!$G$39=0,0,IF(AA4&lt;='Project Assumtions'!$G$39,'Project Assumtions'!$G$40,0))</f>
        <v>0</v>
      </c>
      <c r="AB13" s="652">
        <f>IF('Project Assumtions'!$G$39=0,0,IF(AB4&lt;='Project Assumtions'!$G$39,'Project Assumtions'!$G$40,0))</f>
        <v>0</v>
      </c>
      <c r="AC13" s="653">
        <f>IF('Project Assumtions'!$G$39=0,0,IF(AC4&lt;='Project Assumtions'!$G$39,'Project Assumtions'!$G$40,0))</f>
        <v>0</v>
      </c>
      <c r="AD13" s="204"/>
      <c r="AE13" s="204"/>
      <c r="AF13" s="204"/>
    </row>
    <row r="14" spans="1:53" s="47" customFormat="1">
      <c r="A14" s="648" t="s">
        <v>197</v>
      </c>
      <c r="B14" s="649"/>
      <c r="C14" s="649"/>
      <c r="D14" s="649"/>
      <c r="E14" s="652">
        <f>IF('Project Assumtions'!$H$39=0,0,IF(E4&lt;='Project Assumtions'!$H$39,'Project Assumtions'!$H$40,0))</f>
        <v>8.1799999999999998E-2</v>
      </c>
      <c r="F14" s="652">
        <f>IF('Project Assumtions'!$H$39=0,0,IF(F4&lt;='Project Assumtions'!$H$39,'Project Assumtions'!$H$40,0))</f>
        <v>8.1799999999999998E-2</v>
      </c>
      <c r="G14" s="652">
        <f>IF('Project Assumtions'!$H$39=0,0,IF(G4&lt;='Project Assumtions'!$H$39,'Project Assumtions'!$H$40,0))</f>
        <v>8.1799999999999998E-2</v>
      </c>
      <c r="H14" s="652">
        <f>IF('Project Assumtions'!$H$39=0,0,IF(H4&lt;='Project Assumtions'!$H$39,'Project Assumtions'!$H$40,0))</f>
        <v>8.1799999999999998E-2</v>
      </c>
      <c r="I14" s="652">
        <f>IF('Project Assumtions'!$H$39=0,0,IF(I4&lt;='Project Assumtions'!$H$39,'Project Assumtions'!$H$40,0))</f>
        <v>8.1799999999999998E-2</v>
      </c>
      <c r="J14" s="652">
        <f>IF('Project Assumtions'!$H$39=0,0,IF(J4&lt;='Project Assumtions'!$H$39,'Project Assumtions'!$H$40,0))</f>
        <v>8.1799999999999998E-2</v>
      </c>
      <c r="K14" s="652">
        <f>IF('Project Assumtions'!$H$39=0,0,IF(K4&lt;='Project Assumtions'!$H$39,'Project Assumtions'!$H$40,0))</f>
        <v>8.1799999999999998E-2</v>
      </c>
      <c r="L14" s="652">
        <f>IF('Project Assumtions'!$H$39=0,0,IF(L4&lt;='Project Assumtions'!$H$39,'Project Assumtions'!$H$40,0))</f>
        <v>8.1799999999999998E-2</v>
      </c>
      <c r="M14" s="652">
        <f>IF('Project Assumtions'!$H$39=0,0,IF(M4&lt;='Project Assumtions'!$H$39,'Project Assumtions'!$H$40,0))</f>
        <v>8.1799999999999998E-2</v>
      </c>
      <c r="N14" s="652">
        <f>IF('Project Assumtions'!$H$39=0,0,IF(N4&lt;='Project Assumtions'!$H$39,'Project Assumtions'!$H$40,0))</f>
        <v>8.1799999999999998E-2</v>
      </c>
      <c r="O14" s="652">
        <f>IF('Project Assumtions'!$H$39=0,0,IF(O4&lt;='Project Assumtions'!$H$39,'Project Assumtions'!$H$40,0))</f>
        <v>8.1799999999999998E-2</v>
      </c>
      <c r="P14" s="652">
        <f>IF('Project Assumtions'!$H$39=0,0,IF(P4&lt;='Project Assumtions'!$H$39,'Project Assumtions'!$H$40,0))</f>
        <v>8.1799999999999998E-2</v>
      </c>
      <c r="Q14" s="652">
        <f>IF('Project Assumtions'!$H$39=0,0,IF(Q4&lt;='Project Assumtions'!$H$39,'Project Assumtions'!$H$40,0))</f>
        <v>8.1799999999999998E-2</v>
      </c>
      <c r="R14" s="652">
        <f>IF('Project Assumtions'!$H$39=0,0,IF(R4&lt;='Project Assumtions'!$H$39,'Project Assumtions'!$H$40,0))</f>
        <v>8.1799999999999998E-2</v>
      </c>
      <c r="S14" s="652">
        <f>IF('Project Assumtions'!$H$39=0,0,IF(S4&lt;='Project Assumtions'!$H$39,'Project Assumtions'!$H$40,0))</f>
        <v>8.1799999999999998E-2</v>
      </c>
      <c r="T14" s="652">
        <f>IF('Project Assumtions'!$H$39=0,0,IF(T4&lt;='Project Assumtions'!$H$39,'Project Assumtions'!$H$40,0))</f>
        <v>8.1799999999999998E-2</v>
      </c>
      <c r="U14" s="652">
        <f>IF('Project Assumtions'!$H$39=0,0,IF(U4&lt;='Project Assumtions'!$H$39,'Project Assumtions'!$H$40,0))</f>
        <v>8.1799999999999998E-2</v>
      </c>
      <c r="V14" s="652">
        <f>IF('Project Assumtions'!$H$39=0,0,IF(V4&lt;='Project Assumtions'!$H$39,'Project Assumtions'!$H$40,0))</f>
        <v>8.1799999999999998E-2</v>
      </c>
      <c r="W14" s="652">
        <f>IF('Project Assumtions'!$H$39=0,0,IF(W4&lt;='Project Assumtions'!$H$39,'Project Assumtions'!$H$40,0))</f>
        <v>8.1799999999999998E-2</v>
      </c>
      <c r="X14" s="652">
        <f>IF('Project Assumtions'!$H$39=0,0,IF(X4&lt;='Project Assumtions'!$H$39,'Project Assumtions'!$H$40,0))</f>
        <v>8.1799999999999998E-2</v>
      </c>
      <c r="Y14" s="652">
        <f>IF('Project Assumtions'!$H$39=0,0,IF(Y4&lt;='Project Assumtions'!$H$39,'Project Assumtions'!$H$40,0))</f>
        <v>0</v>
      </c>
      <c r="Z14" s="652">
        <f>IF('Project Assumtions'!$H$39=0,0,IF(Z4&lt;='Project Assumtions'!$H$39,'Project Assumtions'!$H$40,0))</f>
        <v>0</v>
      </c>
      <c r="AA14" s="652">
        <f>IF('Project Assumtions'!$H$39=0,0,IF(AA4&lt;='Project Assumtions'!$H$39,'Project Assumtions'!$H$40,0))</f>
        <v>0</v>
      </c>
      <c r="AB14" s="652">
        <f>IF('Project Assumtions'!$H$39=0,0,IF(AB4&lt;='Project Assumtions'!$H$39,'Project Assumtions'!$H$40,0))</f>
        <v>0</v>
      </c>
      <c r="AC14" s="653">
        <f>IF('Project Assumtions'!$H$39=0,0,IF(AC4&lt;='Project Assumtions'!$H$39,'Project Assumtions'!$H$40,0))</f>
        <v>0</v>
      </c>
      <c r="AD14" s="204"/>
      <c r="AE14" s="204"/>
      <c r="AF14" s="204"/>
    </row>
    <row r="15" spans="1:53" s="47" customFormat="1">
      <c r="A15" s="648"/>
      <c r="B15" s="649"/>
      <c r="C15" s="649"/>
      <c r="D15" s="654"/>
      <c r="E15" s="654"/>
      <c r="F15" s="654"/>
      <c r="G15" s="654"/>
      <c r="H15" s="654"/>
      <c r="I15" s="654"/>
      <c r="J15" s="654"/>
      <c r="K15" s="654"/>
      <c r="L15" s="654"/>
      <c r="M15" s="654"/>
      <c r="N15" s="654"/>
      <c r="O15" s="654"/>
      <c r="P15" s="654"/>
      <c r="Q15" s="654"/>
      <c r="R15" s="654"/>
      <c r="S15" s="654"/>
      <c r="T15" s="654"/>
      <c r="U15" s="654"/>
      <c r="V15" s="654"/>
      <c r="W15" s="654"/>
      <c r="X15" s="654"/>
      <c r="Y15" s="654"/>
      <c r="Z15" s="654"/>
      <c r="AA15" s="654"/>
      <c r="AB15" s="654"/>
      <c r="AC15" s="655"/>
      <c r="AD15" s="204"/>
      <c r="AE15" s="204"/>
      <c r="AF15" s="204"/>
    </row>
    <row r="16" spans="1:53" s="47" customFormat="1">
      <c r="A16" s="656" t="s">
        <v>229</v>
      </c>
      <c r="B16" s="649"/>
      <c r="C16" s="649"/>
      <c r="D16" s="649"/>
      <c r="E16" s="644">
        <f>IF(E4&gt;MAX('Project Assumtions'!$F$39,'Project Assumtions'!$G$39,'Project Assumtions'!$H$39),0,IF(E4&lt;='Project Assumtions'!$F$39,E6/E8,IF(E4&lt;='Project Assumtions'!$G$39,E6/E9,E6/E10)))</f>
        <v>8932.1418916929888</v>
      </c>
      <c r="F16" s="644">
        <f>IF(F4&gt;MAX('Project Assumtions'!$F$39,'Project Assumtions'!$G$39,'Project Assumtions'!$H$39),0,IF(F4&lt;='Project Assumtions'!$F$39,F6/F8,IF(F4&lt;='Project Assumtions'!$G$39,F6/F9,F6/F10)))</f>
        <v>15505.734069204151</v>
      </c>
      <c r="G16" s="644">
        <f>IF(G4&gt;MAX('Project Assumtions'!$F$39,'Project Assumtions'!$G$39,'Project Assumtions'!$H$39),0,IF(G4&lt;='Project Assumtions'!$F$39,G6/G8,IF(G4&lt;='Project Assumtions'!$G$39,G6/G9,G6/G10)))</f>
        <v>15383.068255851007</v>
      </c>
      <c r="H16" s="644">
        <f>IF(H4&gt;MAX('Project Assumtions'!$F$39,'Project Assumtions'!$G$39,'Project Assumtions'!$H$39),0,IF(H4&lt;='Project Assumtions'!$F$39,H6/H8,IF(H4&lt;='Project Assumtions'!$G$39,H6/H9,H6/H10)))</f>
        <v>20965.427630178267</v>
      </c>
      <c r="I16" s="644">
        <f>IF(I4&gt;MAX('Project Assumtions'!$F$39,'Project Assumtions'!$G$39,'Project Assumtions'!$H$39),0,IF(I4&lt;='Project Assumtions'!$F$39,I6/I8,IF(I4&lt;='Project Assumtions'!$G$39,I6/I9,I6/I10)))</f>
        <v>13388.84162833968</v>
      </c>
      <c r="J16" s="644">
        <f>IF(J4&gt;MAX('Project Assumtions'!$F$39,'Project Assumtions'!$G$39,'Project Assumtions'!$H$39),0,IF(J4&lt;='Project Assumtions'!$F$39,J6/J8,IF(J4&lt;='Project Assumtions'!$G$39,J6/J9,J6/J10)))</f>
        <v>13774.686203388614</v>
      </c>
      <c r="K16" s="644">
        <f>IF(K4&gt;MAX('Project Assumtions'!$F$39,'Project Assumtions'!$G$39,'Project Assumtions'!$H$39),0,IF(K4&lt;='Project Assumtions'!$F$39,K6/K8,IF(K4&lt;='Project Assumtions'!$G$39,K6/K9,K6/K10)))</f>
        <v>13906.065830053751</v>
      </c>
      <c r="L16" s="644">
        <f>IF(L4&gt;MAX('Project Assumtions'!$F$39,'Project Assumtions'!$G$39,'Project Assumtions'!$H$39),0,IF(L4&lt;='Project Assumtions'!$F$39,L6/L8,IF(L4&lt;='Project Assumtions'!$G$39,L6/L9,L6/L10)))</f>
        <v>14026.152224973444</v>
      </c>
      <c r="M16" s="644">
        <f>IF(M4&gt;MAX('Project Assumtions'!$F$39,'Project Assumtions'!$G$39,'Project Assumtions'!$H$39),0,IF(M4&lt;='Project Assumtions'!$F$39,M6/M8,IF(M4&lt;='Project Assumtions'!$G$39,M6/M9,M6/M10)))</f>
        <v>14159.262427452248</v>
      </c>
      <c r="N16" s="644">
        <f>IF(N4&gt;MAX('Project Assumtions'!$F$39,'Project Assumtions'!$G$39,'Project Assumtions'!$H$39),0,IF(N4&lt;='Project Assumtions'!$F$39,N6/N8,IF(N4&lt;='Project Assumtions'!$G$39,N6/N9,N6/N10)))</f>
        <v>14319.467133293976</v>
      </c>
      <c r="O16" s="644">
        <f>IF(O4&gt;MAX('Project Assumtions'!$F$39,'Project Assumtions'!$G$39,'Project Assumtions'!$H$39),0,IF(O4&lt;='Project Assumtions'!$F$39,O6/O8,IF(O4&lt;='Project Assumtions'!$G$39,O6/O9,O6/O10)))</f>
        <v>14475.448707042506</v>
      </c>
      <c r="P16" s="644">
        <f>IF(P4&gt;MAX('Project Assumtions'!$F$39,'Project Assumtions'!$G$39,'Project Assumtions'!$H$39),0,IF(P4&lt;='Project Assumtions'!$F$39,P6/P8,IF(P4&lt;='Project Assumtions'!$G$39,P6/P9,P6/P10)))</f>
        <v>14558.970894452077</v>
      </c>
      <c r="Q16" s="644">
        <f>IF(Q4&gt;MAX('Project Assumtions'!$F$39,'Project Assumtions'!$G$39,'Project Assumtions'!$H$39),0,IF(Q4&lt;='Project Assumtions'!$F$39,Q6/Q8,IF(Q4&lt;='Project Assumtions'!$G$39,Q6/Q9,Q6/Q10)))</f>
        <v>14704.778991876077</v>
      </c>
      <c r="R16" s="644">
        <f>IF(R4&gt;MAX('Project Assumtions'!$F$39,'Project Assumtions'!$G$39,'Project Assumtions'!$H$39),0,IF(R4&lt;='Project Assumtions'!$F$39,R6/R8,IF(R4&lt;='Project Assumtions'!$G$39,R6/R9,R6/R10)))</f>
        <v>14537.998064382013</v>
      </c>
      <c r="S16" s="644">
        <f>IF(S4&gt;MAX('Project Assumtions'!$F$39,'Project Assumtions'!$G$39,'Project Assumtions'!$H$39),0,IF(S4&lt;='Project Assumtions'!$F$39,S6/S8,IF(S4&lt;='Project Assumtions'!$G$39,S6/S9,S6/S10)))</f>
        <v>14664.966540100611</v>
      </c>
      <c r="T16" s="644">
        <f>IF(T4&gt;MAX('Project Assumtions'!$F$39,'Project Assumtions'!$G$39,'Project Assumtions'!$H$39),0,IF(T4&lt;='Project Assumtions'!$F$39,T6/T8,IF(T4&lt;='Project Assumtions'!$G$39,T6/T9,T6/T10)))</f>
        <v>14786.227098462867</v>
      </c>
      <c r="U16" s="644">
        <f>IF(U4&gt;MAX('Project Assumtions'!$F$39,'Project Assumtions'!$G$39,'Project Assumtions'!$H$39),0,IF(U4&lt;='Project Assumtions'!$F$39,U6/U8,IF(U4&lt;='Project Assumtions'!$G$39,U6/U9,U6/U10)))</f>
        <v>14901.322992799256</v>
      </c>
      <c r="V16" s="644">
        <f>IF(V4&gt;MAX('Project Assumtions'!$F$39,'Project Assumtions'!$G$39,'Project Assumtions'!$H$39),0,IF(V4&lt;='Project Assumtions'!$F$39,V6/V8,IF(V4&lt;='Project Assumtions'!$G$39,V6/V9,V6/V10)))</f>
        <v>15009.77520876571</v>
      </c>
      <c r="W16" s="644">
        <f>IF(W4&gt;MAX('Project Assumtions'!$F$39,'Project Assumtions'!$G$39,'Project Assumtions'!$H$39),0,IF(W4&lt;='Project Assumtions'!$F$39,W6/W8,IF(W4&lt;='Project Assumtions'!$G$39,W6/W9,W6/W10)))</f>
        <v>15111.08153935512</v>
      </c>
      <c r="X16" s="644">
        <f>IF(X4&gt;MAX('Project Assumtions'!$F$39,'Project Assumtions'!$G$39,'Project Assumtions'!$H$39),0,IF(X4&lt;='Project Assumtions'!$F$39,X6/X8,IF(X4&lt;='Project Assumtions'!$G$39,X6/X9,X6/X10)))</f>
        <v>14836.956341981586</v>
      </c>
      <c r="Y16" s="644">
        <f>IF(Y4&gt;MAX('Project Assumtions'!$F$39,'Project Assumtions'!$G$39,'Project Assumtions'!$H$39),0,IF(Y4&lt;='Project Assumtions'!$F$39,Y6/Y8,IF(Y4&lt;='Project Assumtions'!$G$39,Y6/Y9,Y6/Y10)))</f>
        <v>0</v>
      </c>
      <c r="Z16" s="644">
        <f>IF(Z4&gt;MAX('Project Assumtions'!$F$39,'Project Assumtions'!$G$39,'Project Assumtions'!$H$39),0,IF(Z4&lt;='Project Assumtions'!$F$39,Z6/Z8,IF(Z4&lt;='Project Assumtions'!$G$39,Z6/Z9,Z6/Z10)))</f>
        <v>0</v>
      </c>
      <c r="AA16" s="644">
        <f>IF(AA4&gt;MAX('Project Assumtions'!$F$39,'Project Assumtions'!$G$39,'Project Assumtions'!$H$39),0,IF(AA4&lt;='Project Assumtions'!$F$39,AA6/AA8,IF(AA4&lt;='Project Assumtions'!$G$39,AA6/AA9,AA6/AA10)))</f>
        <v>0</v>
      </c>
      <c r="AB16" s="644">
        <f>IF(AB4&gt;MAX('Project Assumtions'!$F$39,'Project Assumtions'!$G$39,'Project Assumtions'!$H$39),0,IF(AB4&lt;='Project Assumtions'!$F$39,AB6/AB8,IF(AB4&lt;='Project Assumtions'!$G$39,AB6/AB9,AB6/AB10)))</f>
        <v>0</v>
      </c>
      <c r="AC16" s="645">
        <f>IF(AC4&gt;MAX('Project Assumtions'!$F$39,'Project Assumtions'!$G$39,'Project Assumtions'!$H$39),0,IF(AC4&lt;='Project Assumtions'!$F$39,AC6/AC8,IF(AC4&lt;='Project Assumtions'!$G$39,AC6/AC9,AC6/AC10)))</f>
        <v>0</v>
      </c>
      <c r="AD16" s="206"/>
      <c r="AE16" s="204"/>
      <c r="AF16" s="204"/>
    </row>
    <row r="17" spans="1:32" s="47" customFormat="1">
      <c r="A17" s="656"/>
      <c r="B17" s="649"/>
      <c r="C17" s="649"/>
      <c r="D17" s="649"/>
      <c r="E17" s="654"/>
      <c r="F17" s="654"/>
      <c r="G17" s="654"/>
      <c r="H17" s="654"/>
      <c r="I17" s="654"/>
      <c r="J17" s="654"/>
      <c r="K17" s="654"/>
      <c r="L17" s="654"/>
      <c r="M17" s="654"/>
      <c r="N17" s="654"/>
      <c r="O17" s="654"/>
      <c r="P17" s="654"/>
      <c r="Q17" s="654"/>
      <c r="R17" s="654"/>
      <c r="S17" s="654"/>
      <c r="T17" s="654"/>
      <c r="U17" s="654"/>
      <c r="V17" s="654"/>
      <c r="W17" s="654"/>
      <c r="X17" s="654"/>
      <c r="Y17" s="654"/>
      <c r="Z17" s="654"/>
      <c r="AA17" s="654"/>
      <c r="AB17" s="654"/>
      <c r="AC17" s="657"/>
      <c r="AD17" s="206"/>
      <c r="AE17" s="204"/>
      <c r="AF17" s="204"/>
    </row>
    <row r="18" spans="1:32" s="47" customFormat="1">
      <c r="A18" s="648"/>
      <c r="B18" s="658">
        <f>'Project Assumtions'!$G$16</f>
        <v>36678</v>
      </c>
      <c r="C18" s="658">
        <f>DATE(YEAR('Project Assumtions'!$G$16),12,31)</f>
        <v>36891</v>
      </c>
      <c r="D18" s="649"/>
      <c r="E18" s="654"/>
      <c r="F18" s="654"/>
      <c r="G18" s="654"/>
      <c r="H18" s="654"/>
      <c r="I18" s="654"/>
      <c r="J18" s="654"/>
      <c r="K18" s="654"/>
      <c r="L18" s="654"/>
      <c r="M18" s="654"/>
      <c r="N18" s="654"/>
      <c r="O18" s="654"/>
      <c r="P18" s="654"/>
      <c r="Q18" s="654"/>
      <c r="R18" s="654"/>
      <c r="S18" s="654"/>
      <c r="T18" s="654"/>
      <c r="U18" s="654"/>
      <c r="V18" s="654"/>
      <c r="W18" s="654"/>
      <c r="X18" s="654"/>
      <c r="Y18" s="654"/>
      <c r="Z18" s="654"/>
      <c r="AA18" s="654"/>
      <c r="AB18" s="654"/>
      <c r="AC18" s="657"/>
      <c r="AD18" s="204"/>
      <c r="AE18" s="204"/>
      <c r="AF18" s="204"/>
    </row>
    <row r="19" spans="1:32" s="47" customFormat="1">
      <c r="A19" s="648" t="s">
        <v>198</v>
      </c>
      <c r="B19" s="659">
        <f>NPV(E12*(13-MONTH('Project Assumtions'!G16))/12,C19)</f>
        <v>36895.577962175055</v>
      </c>
      <c r="C19" s="659">
        <f>NPV(F12,F19:AC19)+E19</f>
        <v>38344.036860340115</v>
      </c>
      <c r="D19" s="649"/>
      <c r="E19" s="644">
        <f>IF(E4&gt;'Project Assumtions'!$F$39,0,E16-E35-E43)</f>
        <v>6058.7023305632047</v>
      </c>
      <c r="F19" s="644">
        <f>IF(F4&gt;'Project Assumtions'!$F$39,0,F16-F35-F43)</f>
        <v>10579.837678695949</v>
      </c>
      <c r="G19" s="644">
        <f>IF(G4&gt;'Project Assumtions'!$F$39,0,G16-G35-G43)</f>
        <v>10457.171865342805</v>
      </c>
      <c r="H19" s="644">
        <f>IF(H4&gt;'Project Assumtions'!$F$39,0,H16-H35-H43)</f>
        <v>16039.531239670065</v>
      </c>
      <c r="I19" s="644">
        <f>IF(I4&gt;'Project Assumtions'!$F$39,0,I16-I35-I43)</f>
        <v>0</v>
      </c>
      <c r="J19" s="644">
        <f>IF(J4&gt;'Project Assumtions'!$F$39,0,J16-J35-J43)</f>
        <v>0</v>
      </c>
      <c r="K19" s="644">
        <f>IF(K4&gt;'Project Assumtions'!$F$39,0,K16-K35-K43)</f>
        <v>0</v>
      </c>
      <c r="L19" s="644">
        <f>IF(L4&gt;'Project Assumtions'!$F$39,0,L16-L35-L43)</f>
        <v>0</v>
      </c>
      <c r="M19" s="644">
        <f>IF(M4&gt;'Project Assumtions'!$F$39,0,M16-M35-M43)</f>
        <v>0</v>
      </c>
      <c r="N19" s="644">
        <f>IF(N4&gt;'Project Assumtions'!$F$39,0,N16-N35-N43)</f>
        <v>0</v>
      </c>
      <c r="O19" s="644">
        <f>IF(O4&gt;'Project Assumtions'!$F$39,0,O16-O35-O43)</f>
        <v>0</v>
      </c>
      <c r="P19" s="644">
        <f>IF(P4&gt;'Project Assumtions'!$F$39,0,P16-P35-P43)</f>
        <v>0</v>
      </c>
      <c r="Q19" s="644">
        <f>IF(Q4&gt;'Project Assumtions'!$F$39,0,Q16-Q35-Q43)</f>
        <v>0</v>
      </c>
      <c r="R19" s="644">
        <f>IF(R4&gt;'Project Assumtions'!$F$39,0,R16-R35-R43)</f>
        <v>0</v>
      </c>
      <c r="S19" s="644">
        <f>IF(S4&gt;'Project Assumtions'!$F$39,0,S16-S35-S43)</f>
        <v>0</v>
      </c>
      <c r="T19" s="644">
        <f>IF(T4&gt;'Project Assumtions'!$F$39,0,T16-T35-T43)</f>
        <v>0</v>
      </c>
      <c r="U19" s="644">
        <f>IF(U4&gt;'Project Assumtions'!$F$39,0,U16-U35-U43)</f>
        <v>0</v>
      </c>
      <c r="V19" s="644">
        <f>IF(V4&gt;'Project Assumtions'!$F$39,0,V16-V35-V43)</f>
        <v>0</v>
      </c>
      <c r="W19" s="644">
        <f>IF(W4&gt;'Project Assumtions'!$F$39,0,W16-W35-W43)</f>
        <v>0</v>
      </c>
      <c r="X19" s="644">
        <f>IF(X4&gt;'Project Assumtions'!$F$39,0,X16-X35-X43)</f>
        <v>0</v>
      </c>
      <c r="Y19" s="644">
        <f>IF(Y4&gt;'Project Assumtions'!$F$39,0,Y16-Y35-Y43)</f>
        <v>0</v>
      </c>
      <c r="Z19" s="644">
        <f>IF(Z4&gt;'Project Assumtions'!$F$39,0,Z16-Z35-Z43)</f>
        <v>0</v>
      </c>
      <c r="AA19" s="644">
        <f>IF(AA4&gt;'Project Assumtions'!$F$39,0,AA16-AA35-AA43)</f>
        <v>0</v>
      </c>
      <c r="AB19" s="644">
        <f>IF(AB4&gt;'Project Assumtions'!$F$39,0,AB16-AB35-AB43)</f>
        <v>0</v>
      </c>
      <c r="AC19" s="645">
        <f>IF(AC4&gt;'Project Assumtions'!$F$39,0,AC16-AC35-AC43)</f>
        <v>0</v>
      </c>
      <c r="AD19" s="204"/>
      <c r="AE19" s="204"/>
      <c r="AF19" s="204"/>
    </row>
    <row r="20" spans="1:32" s="47" customFormat="1">
      <c r="A20" s="648" t="s">
        <v>199</v>
      </c>
      <c r="B20" s="654">
        <f>HLOOKUP('Project Assumtions'!$F$39,$E$4:$AC$20,17)</f>
        <v>65071.286532472936</v>
      </c>
      <c r="C20" s="654"/>
      <c r="D20" s="649"/>
      <c r="E20" s="644">
        <f>IF(E4&lt;'Project Assumtions'!$F$39,0,IF(E4='Project Assumtions'!$F$39,NPV(F13,F20:$AC$20),IF(E4&lt;='Project Assumtions'!$G$39,E16-E43,0)))</f>
        <v>0</v>
      </c>
      <c r="F20" s="644">
        <f>IF(F4&lt;'Project Assumtions'!$F$39,0,IF(F4='Project Assumtions'!$F$39,NPV(G13,G20:$AC$20),IF(F4&lt;='Project Assumtions'!$G$39,F16-F43,0)))</f>
        <v>0</v>
      </c>
      <c r="G20" s="644">
        <f>IF(G4&lt;'Project Assumtions'!$F$39,0,IF(G4='Project Assumtions'!$F$39,NPV(H13,H20:$AC$20),IF(G4&lt;='Project Assumtions'!$G$39,G16-G43,0)))</f>
        <v>0</v>
      </c>
      <c r="H20" s="644">
        <f>IF(H4&lt;'Project Assumtions'!$F$39,0,IF(H4='Project Assumtions'!$F$39,NPV(I13,I20:$AC$20),IF(H4&lt;='Project Assumtions'!$G$39,H16-H43,0)))</f>
        <v>65071.286532472936</v>
      </c>
      <c r="I20" s="644">
        <f>IF(I4&lt;'Project Assumtions'!$F$39,0,IF(I4='Project Assumtions'!$F$39,NPV(J13,J20:$AC$20),IF(I4&lt;='Project Assumtions'!$G$39,I16-I43,0)))</f>
        <v>13388.84162833968</v>
      </c>
      <c r="J20" s="644">
        <f>IF(J4&lt;'Project Assumtions'!$F$39,0,IF(J4='Project Assumtions'!$F$39,NPV(K13,K20:$AC$20),IF(J4&lt;='Project Assumtions'!$G$39,J16-J43,0)))</f>
        <v>13774.686203388614</v>
      </c>
      <c r="K20" s="644">
        <f>IF(K4&lt;'Project Assumtions'!$F$39,0,IF(K4='Project Assumtions'!$F$39,NPV(L13,L20:$AC$20),IF(K4&lt;='Project Assumtions'!$G$39,K16-K43,0)))</f>
        <v>13906.065830053751</v>
      </c>
      <c r="L20" s="644">
        <f>IF(L4&lt;'Project Assumtions'!$F$39,0,IF(L4='Project Assumtions'!$F$39,NPV(M13,M20:$AC$20),IF(L4&lt;='Project Assumtions'!$G$39,L16-L43,0)))</f>
        <v>14026.152224973444</v>
      </c>
      <c r="M20" s="644">
        <f>IF(M4&lt;'Project Assumtions'!$F$39,0,IF(M4='Project Assumtions'!$F$39,NPV(N13,N20:$AC$20),IF(M4&lt;='Project Assumtions'!$G$39,M16-M43,0)))</f>
        <v>14159.262427452248</v>
      </c>
      <c r="N20" s="644">
        <f>IF(N4&lt;'Project Assumtions'!$F$39,0,IF(N4='Project Assumtions'!$F$39,NPV(O13,O20:$AC$20),IF(N4&lt;='Project Assumtions'!$G$39,N16-N43,0)))</f>
        <v>14319.467133293976</v>
      </c>
      <c r="O20" s="644">
        <f>IF(O4&lt;'Project Assumtions'!$F$39,0,IF(O4='Project Assumtions'!$F$39,NPV(P13,P20:$AC$20),IF(O4&lt;='Project Assumtions'!$G$39,O16-O43,0)))</f>
        <v>0</v>
      </c>
      <c r="P20" s="644">
        <f>IF(P4&lt;'Project Assumtions'!$F$39,0,IF(P4='Project Assumtions'!$F$39,NPV(Q13,Q20:$AC$20),IF(P4&lt;='Project Assumtions'!$G$39,P16-P43,0)))</f>
        <v>0</v>
      </c>
      <c r="Q20" s="644">
        <f>IF(Q4&lt;'Project Assumtions'!$F$39,0,IF(Q4='Project Assumtions'!$F$39,NPV(R13,R20:$AC$20),IF(Q4&lt;='Project Assumtions'!$G$39,Q16-Q43,0)))</f>
        <v>0</v>
      </c>
      <c r="R20" s="644">
        <f>IF(R4&lt;'Project Assumtions'!$F$39,0,IF(R4='Project Assumtions'!$F$39,NPV(S13,S20:$AC$20),IF(R4&lt;='Project Assumtions'!$G$39,R16-R43,0)))</f>
        <v>0</v>
      </c>
      <c r="S20" s="644">
        <f>IF(S4&lt;'Project Assumtions'!$F$39,0,IF(S4='Project Assumtions'!$F$39,NPV(T13,T20:$AC$20),IF(S4&lt;='Project Assumtions'!$G$39,S16-S43,0)))</f>
        <v>0</v>
      </c>
      <c r="T20" s="644">
        <f>IF(T4&lt;'Project Assumtions'!$F$39,0,IF(T4='Project Assumtions'!$F$39,NPV(U13,U20:$AC$20),IF(T4&lt;='Project Assumtions'!$G$39,T16-T43,0)))</f>
        <v>0</v>
      </c>
      <c r="U20" s="644">
        <f>IF(U4&lt;'Project Assumtions'!$F$39,0,IF(U4='Project Assumtions'!$F$39,NPV(V13,V20:$AC$20),IF(U4&lt;='Project Assumtions'!$G$39,U16-U43,0)))</f>
        <v>0</v>
      </c>
      <c r="V20" s="644">
        <f>IF(V4&lt;'Project Assumtions'!$F$39,0,IF(V4='Project Assumtions'!$F$39,NPV(W13,W20:$AC$20),IF(V4&lt;='Project Assumtions'!$G$39,V16-V43,0)))</f>
        <v>0</v>
      </c>
      <c r="W20" s="644">
        <f>IF(W4&lt;'Project Assumtions'!$F$39,0,IF(W4='Project Assumtions'!$F$39,NPV(X13,X20:$AC$20),IF(W4&lt;='Project Assumtions'!$G$39,W16-W43,0)))</f>
        <v>0</v>
      </c>
      <c r="X20" s="644">
        <f>IF(X4&lt;'Project Assumtions'!$F$39,0,IF(X4='Project Assumtions'!$F$39,NPV(Y13,Y20:$AC$20),IF(X4&lt;='Project Assumtions'!$G$39,X16-X43,0)))</f>
        <v>0</v>
      </c>
      <c r="Y20" s="644">
        <f>IF(Y4&lt;'Project Assumtions'!$F$39,0,IF(Y4='Project Assumtions'!$F$39,NPV(Z13,Z20:$AC$20),IF(Y4&lt;='Project Assumtions'!$G$39,Y16-Y43,0)))</f>
        <v>0</v>
      </c>
      <c r="Z20" s="644">
        <f>IF(Z4&lt;'Project Assumtions'!$F$39,0,IF(Z4='Project Assumtions'!$F$39,NPV(AA13,AA20:$AC$20),IF(Z4&lt;='Project Assumtions'!$G$39,Z16-Z43,0)))</f>
        <v>0</v>
      </c>
      <c r="AA20" s="644">
        <f>IF(AA4&lt;'Project Assumtions'!$F$39,0,IF(AA4='Project Assumtions'!$F$39,NPV(AB13,AB20:$AC$20),IF(AA4&lt;='Project Assumtions'!$G$39,AA16-AA43,0)))</f>
        <v>0</v>
      </c>
      <c r="AB20" s="644">
        <f>IF(AB4&lt;'Project Assumtions'!$F$39,0,IF(AB4='Project Assumtions'!$F$39,NPV(AC13,AC20:$AC$20),IF(AB4&lt;='Project Assumtions'!$G$39,AB16-AB43,0)))</f>
        <v>0</v>
      </c>
      <c r="AC20" s="645">
        <f>IF(AC4&lt;'Project Assumtions'!$F$39,0,IF(AC4='Project Assumtions'!$F$39,NPV(AD13,$AC20:AD$20),IF(AC4&lt;='Project Assumtions'!$G$39,AC16-AC43,0)))</f>
        <v>0</v>
      </c>
      <c r="AD20" s="204"/>
      <c r="AE20" s="204"/>
      <c r="AF20" s="204"/>
    </row>
    <row r="21" spans="1:32" s="47" customFormat="1" ht="15">
      <c r="A21" s="648" t="s">
        <v>200</v>
      </c>
      <c r="B21" s="660">
        <f>IF('Project Assumtions'!$H$39=0,0,HLOOKUP('Project Assumtions'!$G$39,$E$4:$AC$21,18))</f>
        <v>97976.147451521843</v>
      </c>
      <c r="C21" s="660"/>
      <c r="D21" s="649"/>
      <c r="E21" s="644">
        <f>IF(OR(E4&lt;'Project Assumtions'!$G$39,'Project Assumtions'!$G$39=0,'Project Assumtions'!$H$39=0),0,IF(E4='Project Assumtions'!$G$39,NPV(F14,F21:$AC$21),IF(E4&lt;='Project Assumtions'!$H$39,E16,0)))</f>
        <v>0</v>
      </c>
      <c r="F21" s="644">
        <f>IF(OR(F4&lt;'Project Assumtions'!$G$39,'Project Assumtions'!$G$39=0,'Project Assumtions'!$H$39=0),0,IF(F4='Project Assumtions'!$G$39,NPV(G14,G21:$AC$21),IF(F4&lt;='Project Assumtions'!$H$39,F16,0)))</f>
        <v>0</v>
      </c>
      <c r="G21" s="644">
        <f>IF(OR(G4&lt;'Project Assumtions'!$G$39,'Project Assumtions'!$G$39=0,'Project Assumtions'!$H$39=0),0,IF(G4='Project Assumtions'!$G$39,NPV(H14,H21:$AC$21),IF(G4&lt;='Project Assumtions'!$H$39,G16,0)))</f>
        <v>0</v>
      </c>
      <c r="H21" s="644">
        <f>IF(OR(H4&lt;'Project Assumtions'!$G$39,'Project Assumtions'!$G$39=0,'Project Assumtions'!$H$39=0),0,IF(H4='Project Assumtions'!$G$39,NPV(I14,I21:$AC$21),IF(H4&lt;='Project Assumtions'!$H$39,H16,0)))</f>
        <v>0</v>
      </c>
      <c r="I21" s="644">
        <f>IF(OR(I4&lt;'Project Assumtions'!$G$39,'Project Assumtions'!$G$39=0,'Project Assumtions'!$H$39=0),0,IF(I4='Project Assumtions'!$G$39,NPV(J14,J21:$AC$21),IF(I4&lt;='Project Assumtions'!$H$39,I16,0)))</f>
        <v>0</v>
      </c>
      <c r="J21" s="644">
        <f>IF(OR(J4&lt;'Project Assumtions'!$G$39,'Project Assumtions'!$G$39=0,'Project Assumtions'!$H$39=0),0,IF(J4='Project Assumtions'!$G$39,NPV(K14,K21:$AC$21),IF(J4&lt;='Project Assumtions'!$H$39,J16,0)))</f>
        <v>0</v>
      </c>
      <c r="K21" s="644">
        <f>IF(OR(K4&lt;'Project Assumtions'!$G$39,'Project Assumtions'!$G$39=0,'Project Assumtions'!$H$39=0),0,IF(K4='Project Assumtions'!$G$39,NPV(L14,L21:$AC$21),IF(K4&lt;='Project Assumtions'!$H$39,K16,0)))</f>
        <v>0</v>
      </c>
      <c r="L21" s="644">
        <f>IF(OR(L4&lt;'Project Assumtions'!$G$39,'Project Assumtions'!$G$39=0,'Project Assumtions'!$H$39=0),0,IF(L4='Project Assumtions'!$G$39,NPV(M14,M21:$AC$21),IF(L4&lt;='Project Assumtions'!$H$39,L16,0)))</f>
        <v>0</v>
      </c>
      <c r="M21" s="644">
        <f>IF(OR(M4&lt;'Project Assumtions'!$G$39,'Project Assumtions'!$G$39=0,'Project Assumtions'!$H$39=0),0,IF(M4='Project Assumtions'!$G$39,NPV(N14,N21:$AC$21),IF(M4&lt;='Project Assumtions'!$H$39,M16,0)))</f>
        <v>0</v>
      </c>
      <c r="N21" s="644">
        <f>IF(OR(N4&lt;'Project Assumtions'!$G$39,'Project Assumtions'!$G$39=0,'Project Assumtions'!$H$39=0),0,IF(N4='Project Assumtions'!$G$39,NPV(O14,O21:$AC$21),IF(N4&lt;='Project Assumtions'!$H$39,N16,0)))</f>
        <v>97976.147451521843</v>
      </c>
      <c r="O21" s="644">
        <f>IF(OR(O4&lt;'Project Assumtions'!$G$39,'Project Assumtions'!$G$39=0,'Project Assumtions'!$H$39=0),0,IF(O4='Project Assumtions'!$G$39,NPV(P14,P21:$AC$21),IF(O4&lt;='Project Assumtions'!$H$39,O16,0)))</f>
        <v>14475.448707042506</v>
      </c>
      <c r="P21" s="644">
        <f>IF(OR(P4&lt;'Project Assumtions'!$G$39,'Project Assumtions'!$G$39=0,'Project Assumtions'!$H$39=0),0,IF(P4='Project Assumtions'!$G$39,NPV(Q14,Q21:$AC$21),IF(P4&lt;='Project Assumtions'!$H$39,P16,0)))</f>
        <v>14558.970894452077</v>
      </c>
      <c r="Q21" s="644">
        <f>IF(OR(Q4&lt;'Project Assumtions'!$G$39,'Project Assumtions'!$G$39=0,'Project Assumtions'!$H$39=0),0,IF(Q4='Project Assumtions'!$G$39,NPV(R14,R21:$AC$21),IF(Q4&lt;='Project Assumtions'!$H$39,Q16,0)))</f>
        <v>14704.778991876077</v>
      </c>
      <c r="R21" s="644">
        <f>IF(OR(R4&lt;'Project Assumtions'!$G$39,'Project Assumtions'!$G$39=0,'Project Assumtions'!$H$39=0),0,IF(R4='Project Assumtions'!$G$39,NPV(S14,S21:$AC$21),IF(R4&lt;='Project Assumtions'!$H$39,R16,0)))</f>
        <v>14537.998064382013</v>
      </c>
      <c r="S21" s="644">
        <f>IF(OR(S4&lt;'Project Assumtions'!$G$39,'Project Assumtions'!$G$39=0,'Project Assumtions'!$H$39=0),0,IF(S4='Project Assumtions'!$G$39,NPV(T14,T21:$AC$21),IF(S4&lt;='Project Assumtions'!$H$39,S16,0)))</f>
        <v>14664.966540100611</v>
      </c>
      <c r="T21" s="644">
        <f>IF(OR(T4&lt;'Project Assumtions'!$G$39,'Project Assumtions'!$G$39=0,'Project Assumtions'!$H$39=0),0,IF(T4='Project Assumtions'!$G$39,NPV(U14,U21:$AC$21),IF(T4&lt;='Project Assumtions'!$H$39,T16,0)))</f>
        <v>14786.227098462867</v>
      </c>
      <c r="U21" s="644">
        <f>IF(OR(U4&lt;'Project Assumtions'!$G$39,'Project Assumtions'!$G$39=0,'Project Assumtions'!$H$39=0),0,IF(U4='Project Assumtions'!$G$39,NPV(V14,V21:$AC$21),IF(U4&lt;='Project Assumtions'!$H$39,U16,0)))</f>
        <v>14901.322992799256</v>
      </c>
      <c r="V21" s="644">
        <f>IF(OR(V4&lt;'Project Assumtions'!$G$39,'Project Assumtions'!$G$39=0,'Project Assumtions'!$H$39=0),0,IF(V4='Project Assumtions'!$G$39,NPV(W14,W21:$AC$21),IF(V4&lt;='Project Assumtions'!$H$39,V16,0)))</f>
        <v>15009.77520876571</v>
      </c>
      <c r="W21" s="644">
        <f>IF(OR(W4&lt;'Project Assumtions'!$G$39,'Project Assumtions'!$G$39=0,'Project Assumtions'!$H$39=0),0,IF(W4='Project Assumtions'!$G$39,NPV(X14,X21:$AC$21),IF(W4&lt;='Project Assumtions'!$H$39,W16,0)))</f>
        <v>15111.08153935512</v>
      </c>
      <c r="X21" s="644">
        <f>IF(OR(X4&lt;'Project Assumtions'!$G$39,'Project Assumtions'!$G$39=0,'Project Assumtions'!$H$39=0),0,IF(X4='Project Assumtions'!$G$39,NPV(Y14,Y21:$AC$21),IF(X4&lt;='Project Assumtions'!$H$39,X16,0)))</f>
        <v>14836.956341981586</v>
      </c>
      <c r="Y21" s="644">
        <f>IF(OR(Y4&lt;'Project Assumtions'!$G$39,'Project Assumtions'!$G$39=0,'Project Assumtions'!$H$39=0),0,IF(Y4='Project Assumtions'!$G$39,NPV(Z14,Z21:$AC$21),IF(Y4&lt;='Project Assumtions'!$H$39,Y16,0)))</f>
        <v>0</v>
      </c>
      <c r="Z21" s="644">
        <f>IF(OR(Z4&lt;'Project Assumtions'!$G$39,'Project Assumtions'!$G$39=0,'Project Assumtions'!$H$39=0),0,IF(Z4='Project Assumtions'!$G$39,NPV(AA14,AA21:$AC$21),IF(Z4&lt;='Project Assumtions'!$H$39,Z16,0)))</f>
        <v>0</v>
      </c>
      <c r="AA21" s="644">
        <f>IF(OR(AA4&lt;'Project Assumtions'!$G$39,'Project Assumtions'!$G$39=0,'Project Assumtions'!$H$39=0),0,IF(AA4='Project Assumtions'!$G$39,NPV(AB14,AB21:$AC$21),IF(AA4&lt;='Project Assumtions'!$H$39,AA16,0)))</f>
        <v>0</v>
      </c>
      <c r="AB21" s="644">
        <f>IF(OR(AB4&lt;'Project Assumtions'!$G$39,'Project Assumtions'!$G$39=0,'Project Assumtions'!$H$39=0),0,IF(AB4='Project Assumtions'!$G$39,NPV(AC14,AC21:$AC$21),IF(AB4&lt;='Project Assumtions'!$H$39,AB16,0)))</f>
        <v>0</v>
      </c>
      <c r="AC21" s="645">
        <f>IF(OR(AC4&lt;'Project Assumtions'!$G$39,'Project Assumtions'!$G$39=0,'Project Assumtions'!$H$39=0),0,IF(AC4='Project Assumtions'!$G$39,NPV(AD14,$AC21:AD$21),IF(AC4&lt;='Project Assumtions'!$H$39,AC16,0)))</f>
        <v>0</v>
      </c>
      <c r="AD21" s="204"/>
      <c r="AE21" s="204"/>
      <c r="AF21" s="204"/>
    </row>
    <row r="22" spans="1:32" s="47" customFormat="1">
      <c r="A22" s="661" t="s">
        <v>203</v>
      </c>
      <c r="B22" s="662">
        <f>SUM(B19:B21)</f>
        <v>199943.01194616983</v>
      </c>
      <c r="C22" s="663"/>
      <c r="D22" s="664"/>
      <c r="E22" s="665"/>
      <c r="F22" s="665"/>
      <c r="G22" s="665"/>
      <c r="H22" s="665"/>
      <c r="I22" s="665"/>
      <c r="J22" s="665"/>
      <c r="K22" s="665"/>
      <c r="L22" s="665"/>
      <c r="M22" s="665"/>
      <c r="N22" s="665"/>
      <c r="O22" s="665"/>
      <c r="P22" s="665"/>
      <c r="Q22" s="665"/>
      <c r="R22" s="665"/>
      <c r="S22" s="665"/>
      <c r="T22" s="665"/>
      <c r="U22" s="665"/>
      <c r="V22" s="665"/>
      <c r="W22" s="665"/>
      <c r="X22" s="665"/>
      <c r="Y22" s="665"/>
      <c r="Z22" s="665"/>
      <c r="AA22" s="665"/>
      <c r="AB22" s="665"/>
      <c r="AC22" s="666"/>
      <c r="AD22" s="204"/>
      <c r="AE22" s="204"/>
      <c r="AF22" s="204"/>
    </row>
    <row r="23" spans="1:32" s="48" customFormat="1">
      <c r="A23" s="60"/>
      <c r="B23" s="194"/>
      <c r="C23" s="194"/>
      <c r="D23" s="207"/>
      <c r="E23" s="208"/>
      <c r="F23" s="208"/>
      <c r="G23" s="208"/>
      <c r="H23" s="208"/>
      <c r="I23" s="208"/>
      <c r="J23" s="208"/>
      <c r="K23" s="208"/>
      <c r="L23" s="208"/>
      <c r="M23" s="208"/>
      <c r="N23" s="208"/>
      <c r="O23" s="208"/>
      <c r="P23" s="208"/>
      <c r="Q23" s="208"/>
      <c r="R23" s="208"/>
      <c r="S23" s="208"/>
      <c r="T23" s="208"/>
      <c r="U23" s="208"/>
      <c r="V23" s="208"/>
      <c r="W23" s="208"/>
      <c r="X23" s="208"/>
      <c r="Y23" s="208"/>
      <c r="Z23" s="208"/>
      <c r="AA23" s="208"/>
      <c r="AB23" s="208"/>
      <c r="AC23" s="208"/>
      <c r="AD23" s="60"/>
      <c r="AE23" s="60"/>
      <c r="AF23" s="60"/>
    </row>
    <row r="24" spans="1:32" s="48" customFormat="1">
      <c r="A24" s="60"/>
      <c r="B24" s="194"/>
      <c r="C24" s="194"/>
      <c r="D24" s="207"/>
      <c r="E24" s="209"/>
      <c r="F24" s="209"/>
      <c r="G24" s="207"/>
      <c r="H24" s="207"/>
      <c r="I24" s="207"/>
      <c r="J24" s="207"/>
      <c r="K24" s="207"/>
      <c r="L24" s="207"/>
      <c r="M24" s="207"/>
      <c r="N24" s="207"/>
      <c r="O24" s="207"/>
      <c r="P24" s="207"/>
      <c r="Q24" s="207"/>
      <c r="R24" s="207"/>
      <c r="S24" s="207"/>
      <c r="T24" s="207"/>
      <c r="U24" s="207"/>
      <c r="V24" s="207"/>
      <c r="W24" s="207"/>
      <c r="X24" s="207"/>
      <c r="Y24" s="207"/>
      <c r="Z24" s="207"/>
      <c r="AA24" s="207"/>
      <c r="AB24" s="207"/>
      <c r="AC24" s="60"/>
      <c r="AD24" s="60"/>
      <c r="AE24" s="60"/>
      <c r="AF24" s="60"/>
    </row>
    <row r="25" spans="1:32" s="48" customFormat="1">
      <c r="A25" s="497" t="s">
        <v>108</v>
      </c>
      <c r="B25" s="667"/>
      <c r="C25" s="667"/>
      <c r="D25" s="668"/>
      <c r="E25" s="668"/>
      <c r="F25" s="668"/>
      <c r="G25" s="668"/>
      <c r="H25" s="668"/>
      <c r="I25" s="668"/>
      <c r="J25" s="668"/>
      <c r="K25" s="668"/>
      <c r="L25" s="668"/>
      <c r="M25" s="668"/>
      <c r="N25" s="668"/>
      <c r="O25" s="668"/>
      <c r="P25" s="668"/>
      <c r="Q25" s="668"/>
      <c r="R25" s="668"/>
      <c r="S25" s="668"/>
      <c r="T25" s="668"/>
      <c r="U25" s="668"/>
      <c r="V25" s="668"/>
      <c r="W25" s="668"/>
      <c r="X25" s="668"/>
      <c r="Y25" s="668"/>
      <c r="Z25" s="668"/>
      <c r="AA25" s="668"/>
      <c r="AB25" s="668"/>
      <c r="AC25" s="523"/>
      <c r="AD25" s="60"/>
      <c r="AE25" s="60"/>
      <c r="AF25" s="60"/>
    </row>
    <row r="26" spans="1:32" s="48" customFormat="1">
      <c r="A26" s="547" t="s">
        <v>97</v>
      </c>
      <c r="B26" s="669"/>
      <c r="C26" s="669"/>
      <c r="D26" s="175"/>
      <c r="E26" s="644">
        <f>IF(E4&gt;'Project Assumtions'!$F$39,0,B19)</f>
        <v>36895.577962175055</v>
      </c>
      <c r="F26" s="644">
        <f>IF(F4&gt;'Project Assumtions'!$F$39,0,E30)</f>
        <v>32285.334529776905</v>
      </c>
      <c r="G26" s="644">
        <f>IF(G4&gt;'Project Assumtions'!$F$39,0,F30)</f>
        <v>23878.299864934939</v>
      </c>
      <c r="H26" s="644">
        <f>IF(H4&gt;'Project Assumtions'!$F$39,0,G30)</f>
        <v>15028.137580502256</v>
      </c>
      <c r="I26" s="644">
        <f>IF(I4&gt;'Project Assumtions'!$F$39,0,H30)</f>
        <v>0</v>
      </c>
      <c r="J26" s="644">
        <f>IF(J4&gt;'Project Assumtions'!$F$39,0,I30)</f>
        <v>0</v>
      </c>
      <c r="K26" s="644">
        <f>IF(K4&gt;'Project Assumtions'!$F$39,0,J30)</f>
        <v>0</v>
      </c>
      <c r="L26" s="644">
        <f>IF(L4&gt;'Project Assumtions'!$F$39,0,K30)</f>
        <v>0</v>
      </c>
      <c r="M26" s="644">
        <f>IF(M4&gt;'Project Assumtions'!$F$39,0,L30)</f>
        <v>0</v>
      </c>
      <c r="N26" s="644">
        <f>IF(N4&gt;'Project Assumtions'!$F$39,0,M30)</f>
        <v>0</v>
      </c>
      <c r="O26" s="644">
        <f>IF(O4&gt;'Project Assumtions'!$F$39,0,N30)</f>
        <v>0</v>
      </c>
      <c r="P26" s="644">
        <f>IF(P4&gt;'Project Assumtions'!$F$39,0,O30)</f>
        <v>0</v>
      </c>
      <c r="Q26" s="644">
        <f>IF(Q4&gt;'Project Assumtions'!$F$39,0,P30)</f>
        <v>0</v>
      </c>
      <c r="R26" s="644">
        <f>IF(R4&gt;'Project Assumtions'!$F$39,0,Q30)</f>
        <v>0</v>
      </c>
      <c r="S26" s="644">
        <f>IF(S4&gt;'Project Assumtions'!$F$39,0,R30)</f>
        <v>0</v>
      </c>
      <c r="T26" s="644">
        <f>IF(T4&gt;'Project Assumtions'!$F$39,0,S30)</f>
        <v>0</v>
      </c>
      <c r="U26" s="644">
        <f>IF(U4&gt;'Project Assumtions'!$F$39,0,T30)</f>
        <v>0</v>
      </c>
      <c r="V26" s="644">
        <f>IF(V4&gt;'Project Assumtions'!$F$39,0,U30)</f>
        <v>0</v>
      </c>
      <c r="W26" s="644">
        <f>IF(W4&gt;'Project Assumtions'!$F$39,0,V30)</f>
        <v>0</v>
      </c>
      <c r="X26" s="644">
        <f>IF(X4&gt;'Project Assumtions'!$F$39,0,W30)</f>
        <v>0</v>
      </c>
      <c r="Y26" s="644">
        <f>IF(Y4&gt;'Project Assumtions'!$F$39,0,X30)</f>
        <v>0</v>
      </c>
      <c r="Z26" s="644">
        <f>IF(Z4&gt;'Project Assumtions'!$F$39,0,Y30)</f>
        <v>0</v>
      </c>
      <c r="AA26" s="644">
        <f>IF(AA4&gt;'Project Assumtions'!$F$39,0,Z30)</f>
        <v>0</v>
      </c>
      <c r="AB26" s="644">
        <f>IF(AB4&gt;'Project Assumtions'!$F$39,0,AA30)</f>
        <v>0</v>
      </c>
      <c r="AC26" s="645">
        <f>IF(AC4&gt;'Project Assumtions'!$F$39,0,AB30)</f>
        <v>0</v>
      </c>
      <c r="AD26" s="60"/>
      <c r="AE26" s="60"/>
      <c r="AF26" s="60"/>
    </row>
    <row r="27" spans="1:32" s="48" customFormat="1">
      <c r="A27" s="547" t="s">
        <v>98</v>
      </c>
      <c r="B27" s="670"/>
      <c r="C27" s="670"/>
      <c r="D27" s="175"/>
      <c r="E27" s="671">
        <f>E26*$E$12*(13-MONTH('Project Assumtions'!G16))/12</f>
        <v>1448.4588981650556</v>
      </c>
      <c r="F27" s="671">
        <f>F26*F$12</f>
        <v>2172.8030138539857</v>
      </c>
      <c r="G27" s="671">
        <f t="shared" ref="G27:AC27" si="1">G26*G$12</f>
        <v>1607.0095809101215</v>
      </c>
      <c r="H27" s="671">
        <f t="shared" si="1"/>
        <v>1011.3936591678018</v>
      </c>
      <c r="I27" s="671">
        <f t="shared" si="1"/>
        <v>0</v>
      </c>
      <c r="J27" s="671">
        <f t="shared" si="1"/>
        <v>0</v>
      </c>
      <c r="K27" s="671">
        <f t="shared" si="1"/>
        <v>0</v>
      </c>
      <c r="L27" s="671">
        <f t="shared" si="1"/>
        <v>0</v>
      </c>
      <c r="M27" s="671">
        <f t="shared" si="1"/>
        <v>0</v>
      </c>
      <c r="N27" s="671">
        <f t="shared" si="1"/>
        <v>0</v>
      </c>
      <c r="O27" s="671">
        <f t="shared" si="1"/>
        <v>0</v>
      </c>
      <c r="P27" s="671">
        <f t="shared" si="1"/>
        <v>0</v>
      </c>
      <c r="Q27" s="671">
        <f t="shared" si="1"/>
        <v>0</v>
      </c>
      <c r="R27" s="671">
        <f t="shared" si="1"/>
        <v>0</v>
      </c>
      <c r="S27" s="671">
        <f t="shared" si="1"/>
        <v>0</v>
      </c>
      <c r="T27" s="671">
        <f t="shared" si="1"/>
        <v>0</v>
      </c>
      <c r="U27" s="671">
        <f t="shared" si="1"/>
        <v>0</v>
      </c>
      <c r="V27" s="671">
        <f t="shared" si="1"/>
        <v>0</v>
      </c>
      <c r="W27" s="671">
        <f t="shared" si="1"/>
        <v>0</v>
      </c>
      <c r="X27" s="671">
        <f t="shared" si="1"/>
        <v>0</v>
      </c>
      <c r="Y27" s="671">
        <f t="shared" si="1"/>
        <v>0</v>
      </c>
      <c r="Z27" s="671">
        <f t="shared" si="1"/>
        <v>0</v>
      </c>
      <c r="AA27" s="671">
        <f t="shared" si="1"/>
        <v>0</v>
      </c>
      <c r="AB27" s="671">
        <f t="shared" si="1"/>
        <v>0</v>
      </c>
      <c r="AC27" s="672">
        <f t="shared" si="1"/>
        <v>0</v>
      </c>
      <c r="AD27" s="60"/>
      <c r="AE27" s="60"/>
      <c r="AF27" s="60"/>
    </row>
    <row r="28" spans="1:32" s="48" customFormat="1">
      <c r="A28" s="547" t="s">
        <v>99</v>
      </c>
      <c r="B28" s="175"/>
      <c r="C28" s="175"/>
      <c r="D28" s="175"/>
      <c r="E28" s="671">
        <f>IF(E4&gt;'Project Assumtions'!$F$39,0,E29-E27)</f>
        <v>4610.2434323981488</v>
      </c>
      <c r="F28" s="671">
        <f>IF(F4&gt;'Project Assumtions'!$F$39,0,F29-F27)</f>
        <v>8407.0346648419636</v>
      </c>
      <c r="G28" s="671">
        <f>IF(G4&gt;'Project Assumtions'!$F$39,0,G29-G27)</f>
        <v>8850.162284432683</v>
      </c>
      <c r="H28" s="671">
        <f>IF(H4&gt;'Project Assumtions'!$F$39,0,H29-H27)</f>
        <v>15028.137580502264</v>
      </c>
      <c r="I28" s="671">
        <f>IF(I4&gt;'Project Assumtions'!$F$39,0,I29-I27)</f>
        <v>0</v>
      </c>
      <c r="J28" s="671">
        <f>IF(J4&gt;'Project Assumtions'!$F$39,0,J29-J27)</f>
        <v>0</v>
      </c>
      <c r="K28" s="671">
        <f>IF(K4&gt;'Project Assumtions'!$F$39,0,K29-K27)</f>
        <v>0</v>
      </c>
      <c r="L28" s="671">
        <f>IF(L4&gt;'Project Assumtions'!$F$39,0,L29-L27)</f>
        <v>0</v>
      </c>
      <c r="M28" s="671">
        <f>IF(M4&gt;'Project Assumtions'!$F$39,0,M29-M27)</f>
        <v>0</v>
      </c>
      <c r="N28" s="671">
        <f>IF(N4&gt;'Project Assumtions'!$F$39,0,N29-N27)</f>
        <v>0</v>
      </c>
      <c r="O28" s="671">
        <f>IF(O4&gt;'Project Assumtions'!$F$39,0,O29-O27)</f>
        <v>0</v>
      </c>
      <c r="P28" s="671">
        <f>IF(P4&gt;'Project Assumtions'!$F$39,0,P29-P27)</f>
        <v>0</v>
      </c>
      <c r="Q28" s="671">
        <f>IF(Q4&gt;'Project Assumtions'!$F$39,0,Q29-Q27)</f>
        <v>0</v>
      </c>
      <c r="R28" s="671">
        <f>IF(R4&gt;'Project Assumtions'!$F$39,0,R29-R27)</f>
        <v>0</v>
      </c>
      <c r="S28" s="671">
        <f>IF(S4&gt;'Project Assumtions'!$F$39,0,S29-S27)</f>
        <v>0</v>
      </c>
      <c r="T28" s="671">
        <f>IF(T4&gt;'Project Assumtions'!$F$39,0,T29-T27)</f>
        <v>0</v>
      </c>
      <c r="U28" s="671">
        <f>IF(U4&gt;'Project Assumtions'!$F$39,0,U29-U27)</f>
        <v>0</v>
      </c>
      <c r="V28" s="671">
        <f>IF(V4&gt;'Project Assumtions'!$F$39,0,V29-V27)</f>
        <v>0</v>
      </c>
      <c r="W28" s="671">
        <f>IF(W4&gt;'Project Assumtions'!$F$39,0,W29-W27)</f>
        <v>0</v>
      </c>
      <c r="X28" s="671">
        <f>IF(X4&gt;'Project Assumtions'!$F$39,0,X29-X27)</f>
        <v>0</v>
      </c>
      <c r="Y28" s="671">
        <f>IF(Y4&gt;'Project Assumtions'!$F$39,0,Y29-Y27)</f>
        <v>0</v>
      </c>
      <c r="Z28" s="671">
        <f>IF(Z4&gt;'Project Assumtions'!$F$39,0,Z29-Z27)</f>
        <v>0</v>
      </c>
      <c r="AA28" s="671">
        <f>IF(AA4&gt;'Project Assumtions'!$F$39,0,AA29-AA27)</f>
        <v>0</v>
      </c>
      <c r="AB28" s="671">
        <f>IF(AB4&gt;'Project Assumtions'!$F$39,0,AB29-AB27)</f>
        <v>0</v>
      </c>
      <c r="AC28" s="672">
        <f>IF(AC4&gt;'Project Assumtions'!$F$39,0,AC29-AC27)</f>
        <v>0</v>
      </c>
      <c r="AD28" s="60"/>
      <c r="AE28" s="60"/>
      <c r="AF28" s="60"/>
    </row>
    <row r="29" spans="1:32" s="48" customFormat="1">
      <c r="A29" s="547" t="s">
        <v>100</v>
      </c>
      <c r="B29" s="175"/>
      <c r="C29" s="175"/>
      <c r="D29" s="175"/>
      <c r="E29" s="671">
        <f>IF(E4&gt;'Project Assumtions'!$F$39,0,E19)</f>
        <v>6058.7023305632047</v>
      </c>
      <c r="F29" s="671">
        <f>IF(F4&gt;'Project Assumtions'!$F$39,0,F19)</f>
        <v>10579.837678695949</v>
      </c>
      <c r="G29" s="671">
        <f>IF(G4&gt;'Project Assumtions'!$F$39,0,G19)</f>
        <v>10457.171865342805</v>
      </c>
      <c r="H29" s="671">
        <f>IF(H4&gt;'Project Assumtions'!$F$39,0,H19)</f>
        <v>16039.531239670065</v>
      </c>
      <c r="I29" s="671">
        <f>IF(I4&gt;'Project Assumtions'!$F$39,0,I19)</f>
        <v>0</v>
      </c>
      <c r="J29" s="671">
        <f>IF(J4&gt;'Project Assumtions'!$F$39,0,J19)</f>
        <v>0</v>
      </c>
      <c r="K29" s="671">
        <f>IF(K4&gt;'Project Assumtions'!$F$39,0,K19)</f>
        <v>0</v>
      </c>
      <c r="L29" s="671">
        <f>IF(L4&gt;'Project Assumtions'!$F$39,0,L19)</f>
        <v>0</v>
      </c>
      <c r="M29" s="671">
        <f>IF(M4&gt;'Project Assumtions'!$F$39,0,M19)</f>
        <v>0</v>
      </c>
      <c r="N29" s="671">
        <f>IF(N4&gt;'Project Assumtions'!$F$39,0,N19)</f>
        <v>0</v>
      </c>
      <c r="O29" s="671">
        <f>IF(O4&gt;'Project Assumtions'!$F$39,0,O19)</f>
        <v>0</v>
      </c>
      <c r="P29" s="671">
        <f>IF(P4&gt;'Project Assumtions'!$F$39,0,P19)</f>
        <v>0</v>
      </c>
      <c r="Q29" s="671">
        <f>IF(Q4&gt;'Project Assumtions'!$F$39,0,Q19)</f>
        <v>0</v>
      </c>
      <c r="R29" s="671">
        <f>IF(R4&gt;'Project Assumtions'!$F$39,0,R19)</f>
        <v>0</v>
      </c>
      <c r="S29" s="671">
        <f>IF(S4&gt;'Project Assumtions'!$F$39,0,S19)</f>
        <v>0</v>
      </c>
      <c r="T29" s="671">
        <f>IF(T4&gt;'Project Assumtions'!$F$39,0,T19)</f>
        <v>0</v>
      </c>
      <c r="U29" s="671">
        <f>IF(U4&gt;'Project Assumtions'!$F$39,0,U19)</f>
        <v>0</v>
      </c>
      <c r="V29" s="671">
        <f>IF(V4&gt;'Project Assumtions'!$F$39,0,V19)</f>
        <v>0</v>
      </c>
      <c r="W29" s="671">
        <f>IF(W4&gt;'Project Assumtions'!$F$39,0,W19)</f>
        <v>0</v>
      </c>
      <c r="X29" s="671">
        <f>IF(X4&gt;'Project Assumtions'!$F$39,0,X19)</f>
        <v>0</v>
      </c>
      <c r="Y29" s="671">
        <f>IF(Y4&gt;'Project Assumtions'!$F$39,0,Y19)</f>
        <v>0</v>
      </c>
      <c r="Z29" s="671">
        <f>IF(Z4&gt;'Project Assumtions'!$F$39,0,Z19)</f>
        <v>0</v>
      </c>
      <c r="AA29" s="671">
        <f>IF(AA4&gt;'Project Assumtions'!$F$39,0,AA19)</f>
        <v>0</v>
      </c>
      <c r="AB29" s="671">
        <f>IF(AB4&gt;'Project Assumtions'!$F$39,0,AB19)</f>
        <v>0</v>
      </c>
      <c r="AC29" s="672">
        <f>IF(AC4&gt;'Project Assumtions'!$F$39,0,AC19)</f>
        <v>0</v>
      </c>
      <c r="AD29" s="60"/>
      <c r="AE29" s="60"/>
      <c r="AF29" s="60"/>
    </row>
    <row r="30" spans="1:32" s="48" customFormat="1">
      <c r="A30" s="547" t="s">
        <v>101</v>
      </c>
      <c r="B30" s="175"/>
      <c r="C30" s="175"/>
      <c r="D30" s="175"/>
      <c r="E30" s="644">
        <f>IF(E4&lt;'Project Assumtions'!$F$39,E26-E28,IF(AND(E4='Project Assumtions'!$F$39,E26-E28&gt;1),"ERROR",IF(E4&gt;'Project Assumtions'!$F$39,0,E26-E28)))</f>
        <v>32285.334529776905</v>
      </c>
      <c r="F30" s="644">
        <f>IF(F4&lt;'Project Assumtions'!$F$39,F26-F28,IF(AND(F4='Project Assumtions'!$F$39,F26-F28&gt;1),"ERROR",IF(F4&gt;'Project Assumtions'!$F$39,0,F26-F28)))</f>
        <v>23878.299864934939</v>
      </c>
      <c r="G30" s="644">
        <f>IF(G4&lt;'Project Assumtions'!$F$39,G26-G28,IF(AND(G4='Project Assumtions'!$F$39,G26-G28&gt;1),"ERROR",IF(G4&gt;'Project Assumtions'!$F$39,0,G26-G28)))</f>
        <v>15028.137580502256</v>
      </c>
      <c r="H30" s="644">
        <f>IF(H4&lt;'Project Assumtions'!$F$39,H26-H28,IF(AND(H4='Project Assumtions'!$F$39,H26-H28&gt;1),"ERROR",IF(H4&gt;'Project Assumtions'!$F$39,0,H26-H28)))</f>
        <v>-7.2759576141834259E-12</v>
      </c>
      <c r="I30" s="644">
        <f>IF(I4&lt;'Project Assumtions'!$F$39,I26-I28,IF(AND(I4='Project Assumtions'!$F$39,I26-I28&gt;1),"ERROR",IF(I4&gt;'Project Assumtions'!$F$39,0,I26-I28)))</f>
        <v>0</v>
      </c>
      <c r="J30" s="644">
        <f>IF(J4&lt;'Project Assumtions'!$F$39,J26-J28,IF(AND(J4='Project Assumtions'!$F$39,J26-J28&gt;1),"ERROR",IF(J4&gt;'Project Assumtions'!$F$39,0,J26-J28)))</f>
        <v>0</v>
      </c>
      <c r="K30" s="644">
        <f>IF(K4&lt;'Project Assumtions'!$F$39,K26-K28,IF(AND(K4='Project Assumtions'!$F$39,K26-K28&gt;1),"ERROR",IF(K4&gt;'Project Assumtions'!$F$39,0,K26-K28)))</f>
        <v>0</v>
      </c>
      <c r="L30" s="644">
        <f>IF(L4&lt;'Project Assumtions'!$F$39,L26-L28,IF(AND(L4='Project Assumtions'!$F$39,L26-L28&gt;1),"ERROR",IF(L4&gt;'Project Assumtions'!$F$39,0,L26-L28)))</f>
        <v>0</v>
      </c>
      <c r="M30" s="644">
        <f>IF(M4&lt;'Project Assumtions'!$F$39,M26-M28,IF(AND(M4='Project Assumtions'!$F$39,M26-M28&gt;1),"ERROR",IF(M4&gt;'Project Assumtions'!$F$39,0,M26-M28)))</f>
        <v>0</v>
      </c>
      <c r="N30" s="644">
        <f>IF(N4&lt;'Project Assumtions'!$F$39,N26-N28,IF(AND(N4='Project Assumtions'!$F$39,N26-N28&gt;1),"ERROR",IF(N4&gt;'Project Assumtions'!$F$39,0,N26-N28)))</f>
        <v>0</v>
      </c>
      <c r="O30" s="644">
        <f>IF(O4&lt;'Project Assumtions'!$F$39,O26-O28,IF(AND(O4='Project Assumtions'!$F$39,O26-O28&gt;1),"ERROR",IF(O4&gt;'Project Assumtions'!$F$39,0,O26-O28)))</f>
        <v>0</v>
      </c>
      <c r="P30" s="644">
        <f>IF(P4&lt;'Project Assumtions'!$F$39,P26-P28,IF(AND(P4='Project Assumtions'!$F$39,P26-P28&gt;1),"ERROR",IF(P4&gt;'Project Assumtions'!$F$39,0,P26-P28)))</f>
        <v>0</v>
      </c>
      <c r="Q30" s="644">
        <f>IF(Q4&lt;'Project Assumtions'!$F$39,Q26-Q28,IF(AND(Q4='Project Assumtions'!$F$39,Q26-Q28&gt;1),"ERROR",IF(Q4&gt;'Project Assumtions'!$F$39,0,Q26-Q28)))</f>
        <v>0</v>
      </c>
      <c r="R30" s="644">
        <f>IF(R4&lt;'Project Assumtions'!$F$39,R26-R28,IF(AND(R4='Project Assumtions'!$F$39,R26-R28&gt;1),"ERROR",IF(R4&gt;'Project Assumtions'!$F$39,0,R26-R28)))</f>
        <v>0</v>
      </c>
      <c r="S30" s="644">
        <f>IF(S4&lt;'Project Assumtions'!$F$39,S26-S28,IF(AND(S4='Project Assumtions'!$F$39,S26-S28&gt;1),"ERROR",IF(S4&gt;'Project Assumtions'!$F$39,0,S26-S28)))</f>
        <v>0</v>
      </c>
      <c r="T30" s="644">
        <f>IF(T4&lt;'Project Assumtions'!$F$39,T26-T28,IF(AND(T4='Project Assumtions'!$F$39,T26-T28&gt;1),"ERROR",IF(T4&gt;'Project Assumtions'!$F$39,0,T26-T28)))</f>
        <v>0</v>
      </c>
      <c r="U30" s="644">
        <f>IF(U4&lt;'Project Assumtions'!$F$39,U26-U28,IF(AND(U4='Project Assumtions'!$F$39,U26-U28&gt;1),"ERROR",IF(U4&gt;'Project Assumtions'!$F$39,0,U26-U28)))</f>
        <v>0</v>
      </c>
      <c r="V30" s="644">
        <f>IF(V4&lt;'Project Assumtions'!$F$39,V26-V28,IF(AND(V4='Project Assumtions'!$F$39,V26-V28&gt;1),"ERROR",IF(V4&gt;'Project Assumtions'!$F$39,0,V26-V28)))</f>
        <v>0</v>
      </c>
      <c r="W30" s="644">
        <f>IF(W4&lt;'Project Assumtions'!$F$39,W26-W28,IF(AND(W4='Project Assumtions'!$F$39,W26-W28&gt;1),"ERROR",IF(W4&gt;'Project Assumtions'!$F$39,0,W26-W28)))</f>
        <v>0</v>
      </c>
      <c r="X30" s="644">
        <f>IF(X4&lt;'Project Assumtions'!$F$39,X26-X28,IF(AND(X4='Project Assumtions'!$F$39,X26-X28&gt;1),"ERROR",IF(X4&gt;'Project Assumtions'!$F$39,0,X26-X28)))</f>
        <v>0</v>
      </c>
      <c r="Y30" s="644">
        <f>IF(Y4&lt;'Project Assumtions'!$F$39,Y26-Y28,IF(AND(Y4='Project Assumtions'!$F$39,Y26-Y28&gt;1),"ERROR",IF(Y4&gt;'Project Assumtions'!$F$39,0,Y26-Y28)))</f>
        <v>0</v>
      </c>
      <c r="Z30" s="644">
        <f>IF(Z4&lt;'Project Assumtions'!$F$39,Z26-Z28,IF(AND(Z4='Project Assumtions'!$F$39,Z26-Z28&gt;1),"ERROR",IF(Z4&gt;'Project Assumtions'!$F$39,0,Z26-Z28)))</f>
        <v>0</v>
      </c>
      <c r="AA30" s="644">
        <f>IF(AA4&lt;'Project Assumtions'!$F$39,AA26-AA28,IF(AND(AA4='Project Assumtions'!$F$39,AA26-AA28&gt;1),"ERROR",IF(AA4&gt;'Project Assumtions'!$F$39,0,AA26-AA28)))</f>
        <v>0</v>
      </c>
      <c r="AB30" s="644">
        <f>IF(AB4&lt;'Project Assumtions'!$F$39,AB26-AB28,IF(AND(AB4='Project Assumtions'!$F$39,AB26-AB28&gt;1),"ERROR",IF(AB4&gt;'Project Assumtions'!$F$39,0,AB26-AB28)))</f>
        <v>0</v>
      </c>
      <c r="AC30" s="645">
        <f>IF(AC4&lt;'Project Assumtions'!$F$39,AC26-AC28,IF(AND(AC4='Project Assumtions'!$F$39,AC26-AC28&gt;1),"ERROR",IF(AC4&gt;'Project Assumtions'!$F$39,0,AC26-AC28)))</f>
        <v>0</v>
      </c>
      <c r="AD30" s="60"/>
      <c r="AE30" s="60"/>
      <c r="AF30" s="60"/>
    </row>
    <row r="31" spans="1:32" s="48" customFormat="1">
      <c r="A31" s="604" t="s">
        <v>205</v>
      </c>
      <c r="B31" s="605"/>
      <c r="C31" s="605"/>
      <c r="D31" s="605"/>
      <c r="E31" s="673">
        <f>SUMPRODUCT(E4:AC4,E28:AC28)/B19</f>
        <v>2.9295475476275001</v>
      </c>
      <c r="F31" s="627"/>
      <c r="G31" s="627"/>
      <c r="H31" s="627"/>
      <c r="I31" s="627"/>
      <c r="J31" s="627"/>
      <c r="K31" s="627"/>
      <c r="L31" s="627"/>
      <c r="M31" s="627"/>
      <c r="N31" s="627"/>
      <c r="O31" s="665"/>
      <c r="P31" s="627"/>
      <c r="Q31" s="627"/>
      <c r="R31" s="627"/>
      <c r="S31" s="627"/>
      <c r="T31" s="627"/>
      <c r="U31" s="627"/>
      <c r="V31" s="627"/>
      <c r="W31" s="627"/>
      <c r="X31" s="627"/>
      <c r="Y31" s="627"/>
      <c r="Z31" s="627"/>
      <c r="AA31" s="627"/>
      <c r="AB31" s="627"/>
      <c r="AC31" s="628"/>
      <c r="AD31" s="60"/>
      <c r="AE31" s="60"/>
      <c r="AF31" s="60"/>
    </row>
    <row r="32" spans="1:32" s="48" customFormat="1">
      <c r="A32" s="60"/>
      <c r="B32" s="60"/>
      <c r="C32" s="60"/>
      <c r="D32" s="207"/>
      <c r="E32" s="207"/>
      <c r="F32" s="207"/>
      <c r="G32" s="207"/>
      <c r="H32" s="207"/>
      <c r="I32" s="207"/>
      <c r="J32" s="207"/>
      <c r="K32" s="207"/>
      <c r="L32" s="207"/>
      <c r="M32" s="207"/>
      <c r="N32" s="207"/>
      <c r="O32" s="207"/>
      <c r="P32" s="207"/>
      <c r="Q32" s="207"/>
      <c r="R32" s="207"/>
      <c r="S32" s="207"/>
      <c r="T32" s="207"/>
      <c r="U32" s="207"/>
      <c r="V32" s="207"/>
      <c r="W32" s="207"/>
      <c r="X32" s="207"/>
      <c r="Y32" s="207"/>
      <c r="Z32" s="207"/>
      <c r="AA32" s="207"/>
      <c r="AB32" s="207"/>
      <c r="AC32" s="60"/>
      <c r="AD32" s="60"/>
      <c r="AE32" s="60"/>
      <c r="AF32" s="60"/>
    </row>
    <row r="33" spans="1:32" s="48" customFormat="1">
      <c r="A33" s="497" t="s">
        <v>111</v>
      </c>
      <c r="B33" s="667"/>
      <c r="C33" s="667"/>
      <c r="D33" s="668"/>
      <c r="E33" s="668"/>
      <c r="F33" s="668"/>
      <c r="G33" s="668"/>
      <c r="H33" s="668"/>
      <c r="I33" s="668"/>
      <c r="J33" s="668"/>
      <c r="K33" s="668"/>
      <c r="L33" s="668"/>
      <c r="M33" s="668"/>
      <c r="N33" s="668"/>
      <c r="O33" s="668"/>
      <c r="P33" s="668"/>
      <c r="Q33" s="668"/>
      <c r="R33" s="668"/>
      <c r="S33" s="668"/>
      <c r="T33" s="668"/>
      <c r="U33" s="668"/>
      <c r="V33" s="668"/>
      <c r="W33" s="668"/>
      <c r="X33" s="668"/>
      <c r="Y33" s="668"/>
      <c r="Z33" s="668"/>
      <c r="AA33" s="668"/>
      <c r="AB33" s="668"/>
      <c r="AC33" s="523"/>
      <c r="AD33" s="60"/>
      <c r="AE33" s="60"/>
      <c r="AF33" s="60"/>
    </row>
    <row r="34" spans="1:32" s="48" customFormat="1">
      <c r="A34" s="547" t="s">
        <v>97</v>
      </c>
      <c r="B34" s="669"/>
      <c r="C34" s="669"/>
      <c r="D34" s="175"/>
      <c r="E34" s="644">
        <f>B20</f>
        <v>65071.286532472936</v>
      </c>
      <c r="F34" s="644">
        <f>IF(F4&gt;'Project Assumtions'!$G$39,0,E38)</f>
        <v>65071.286532472936</v>
      </c>
      <c r="G34" s="644">
        <f>IF(G4&gt;'Project Assumtions'!$G$39,0,F38)</f>
        <v>65071.286532472936</v>
      </c>
      <c r="H34" s="644">
        <f>IF(H4&gt;'Project Assumtions'!$G$39,0,G38)</f>
        <v>65071.286532472936</v>
      </c>
      <c r="I34" s="644">
        <f>IF(I4&gt;'Project Assumtions'!$G$39,0,H38)</f>
        <v>65071.286532472936</v>
      </c>
      <c r="J34" s="644">
        <f>IF(J4&gt;'Project Assumtions'!$G$39,0,I38)</f>
        <v>56608.341294641461</v>
      </c>
      <c r="K34" s="644">
        <f>IF(K4&gt;'Project Assumtions'!$G$39,0,J38)</f>
        <v>47118.906527257204</v>
      </c>
      <c r="L34" s="644">
        <f>IF(L4&gt;'Project Assumtions'!$G$39,0,K38)</f>
        <v>36779.741921316825</v>
      </c>
      <c r="M34" s="644">
        <f>IF(M4&gt;'Project Assumtions'!$G$39,0,L38)</f>
        <v>25537.816159787064</v>
      </c>
      <c r="N34" s="644">
        <f>IF(N4&gt;'Project Assumtions'!$G$39,0,M38)</f>
        <v>13311.766415630696</v>
      </c>
      <c r="O34" s="644">
        <f>IF(O4&gt;'Project Assumtions'!$G$39,0,N38)</f>
        <v>0</v>
      </c>
      <c r="P34" s="644">
        <f>IF(P4&gt;'Project Assumtions'!$G$39,0,O38)</f>
        <v>0</v>
      </c>
      <c r="Q34" s="644">
        <f>IF(Q4&gt;'Project Assumtions'!$G$39,0,P38)</f>
        <v>0</v>
      </c>
      <c r="R34" s="644">
        <f>IF(R4&gt;'Project Assumtions'!$G$39,0,Q38)</f>
        <v>0</v>
      </c>
      <c r="S34" s="644">
        <f>IF(S4&gt;'Project Assumtions'!$G$39,0,R38)</f>
        <v>0</v>
      </c>
      <c r="T34" s="644">
        <f>IF(T4&gt;'Project Assumtions'!$G$39,0,S38)</f>
        <v>0</v>
      </c>
      <c r="U34" s="644">
        <f>IF(U4&gt;'Project Assumtions'!$G$39,0,T38)</f>
        <v>0</v>
      </c>
      <c r="V34" s="644">
        <f>IF(V4&gt;'Project Assumtions'!$G$39,0,U38)</f>
        <v>0</v>
      </c>
      <c r="W34" s="644">
        <f>IF(W4&gt;'Project Assumtions'!$G$39,0,V38)</f>
        <v>0</v>
      </c>
      <c r="X34" s="644">
        <f>IF(X4&gt;'Project Assumtions'!$G$39,0,W38)</f>
        <v>0</v>
      </c>
      <c r="Y34" s="644">
        <f>IF(Y4&gt;'Project Assumtions'!$G$39,0,X38)</f>
        <v>0</v>
      </c>
      <c r="Z34" s="644">
        <f>IF(Z4&gt;'Project Assumtions'!$G$39,0,Y38)</f>
        <v>0</v>
      </c>
      <c r="AA34" s="644">
        <f>IF(AA4&gt;'Project Assumtions'!$G$39,0,Z38)</f>
        <v>0</v>
      </c>
      <c r="AB34" s="644">
        <f>IF(AB4&gt;'Project Assumtions'!$G$39,0,AA38)</f>
        <v>0</v>
      </c>
      <c r="AC34" s="645">
        <f>IF(AC4&gt;'Project Assumtions'!$G$39,0,AB38)</f>
        <v>0</v>
      </c>
      <c r="AD34" s="60"/>
      <c r="AE34" s="60"/>
      <c r="AF34" s="60"/>
    </row>
    <row r="35" spans="1:32" s="48" customFormat="1">
      <c r="A35" s="547" t="s">
        <v>98</v>
      </c>
      <c r="B35" s="670"/>
      <c r="C35" s="670"/>
      <c r="D35" s="175"/>
      <c r="E35" s="671">
        <f>IF(E4&gt;'Project Assumtions'!$F$39,E34*E13,IF(AND(E4&lt;='Project Assumtions'!$F$39,'Project Assumtions'!$G$42="Interest Only"),E34*E13*(13-MONTH('Project Assumtions'!G16))/12,0))</f>
        <v>2873.4395611297841</v>
      </c>
      <c r="F35" s="671">
        <f>IF(F4&gt;'Project Assumtions'!$F$39,F34*F13,IF(AND(F4&lt;='Project Assumtions'!$F$39,'Project Assumtions'!$G$42="Interest Only"),F34*F13,0))</f>
        <v>4925.8963905082019</v>
      </c>
      <c r="G35" s="671">
        <f>IF(G4&gt;'Project Assumtions'!$F$39,G34*G13,IF(AND(G4&lt;='Project Assumtions'!$F$39,'Project Assumtions'!$G$42="Interest Only"),G34*G13,0))</f>
        <v>4925.8963905082019</v>
      </c>
      <c r="H35" s="671">
        <f>IF(H4&gt;'Project Assumtions'!$F$39,H34*H13,IF(AND(H4&lt;='Project Assumtions'!$F$39,'Project Assumtions'!$G$42="Interest Only"),H34*H13,0))</f>
        <v>4925.8963905082019</v>
      </c>
      <c r="I35" s="671">
        <f>IF(I4&gt;'Project Assumtions'!$F$39,I34*I13,IF(AND(I4&lt;='Project Assumtions'!$F$39,'Project Assumtions'!$G$42="Interest Only"),I34*I13,0))</f>
        <v>4925.8963905082019</v>
      </c>
      <c r="J35" s="671">
        <f>IF(J4&gt;'Project Assumtions'!$F$39,J34*J13,IF(AND(J4&lt;='Project Assumtions'!$F$39,'Project Assumtions'!$G$42="Interest Only"),J34*J13,0))</f>
        <v>4285.2514360043588</v>
      </c>
      <c r="K35" s="671">
        <f>IF(K4&gt;'Project Assumtions'!$F$39,K34*K13,IF(AND(K4&lt;='Project Assumtions'!$F$39,'Project Assumtions'!$G$42="Interest Only"),K34*K13,0))</f>
        <v>3566.9012241133705</v>
      </c>
      <c r="L35" s="671">
        <f>IF(L4&gt;'Project Assumtions'!$F$39,L34*L13,IF(AND(L4&lt;='Project Assumtions'!$F$39,'Project Assumtions'!$G$42="Interest Only"),L34*L13,0))</f>
        <v>2784.2264634436838</v>
      </c>
      <c r="M35" s="671">
        <f>IF(M4&gt;'Project Assumtions'!$F$39,M34*M13,IF(AND(M4&lt;='Project Assumtions'!$F$39,'Project Assumtions'!$G$42="Interest Only"),M34*M13,0))</f>
        <v>1933.2126832958809</v>
      </c>
      <c r="N35" s="671">
        <f>IF(N4&gt;'Project Assumtions'!$F$39,N34*N13,IF(AND(N4&lt;='Project Assumtions'!$F$39,'Project Assumtions'!$G$42="Interest Only"),N34*N13,0))</f>
        <v>1007.7007176632437</v>
      </c>
      <c r="O35" s="671">
        <f>IF(O4&gt;'Project Assumtions'!$F$39,O34*O13,IF(AND(O4&lt;='Project Assumtions'!$F$39,'Project Assumtions'!$G$42="Interest Only"),O34*O13,0))</f>
        <v>0</v>
      </c>
      <c r="P35" s="671">
        <f>IF(P4&gt;'Project Assumtions'!$F$39,P34*P13,IF(AND(P4&lt;='Project Assumtions'!$F$39,'Project Assumtions'!$G$42="Interest Only"),P34*P13,0))</f>
        <v>0</v>
      </c>
      <c r="Q35" s="671">
        <f>IF(Q4&gt;'Project Assumtions'!$F$39,Q34*Q13,IF(AND(Q4&lt;='Project Assumtions'!$F$39,'Project Assumtions'!$G$42="Interest Only"),Q34*Q13,0))</f>
        <v>0</v>
      </c>
      <c r="R35" s="671">
        <f>IF(R4&gt;'Project Assumtions'!$F$39,R34*R13,IF(AND(R4&lt;='Project Assumtions'!$F$39,'Project Assumtions'!$G$42="Interest Only"),R34*R13,0))</f>
        <v>0</v>
      </c>
      <c r="S35" s="671">
        <f>IF(S4&gt;'Project Assumtions'!$F$39,S34*S13,IF(AND(S4&lt;='Project Assumtions'!$F$39,'Project Assumtions'!$G$42="Interest Only"),S34*S13,0))</f>
        <v>0</v>
      </c>
      <c r="T35" s="671">
        <f>IF(T4&gt;'Project Assumtions'!$F$39,T34*T13,IF(AND(T4&lt;='Project Assumtions'!$F$39,'Project Assumtions'!$G$42="Interest Only"),T34*T13,0))</f>
        <v>0</v>
      </c>
      <c r="U35" s="671">
        <f>IF(U4&gt;'Project Assumtions'!$F$39,U34*U13,IF(AND(U4&lt;='Project Assumtions'!$F$39,'Project Assumtions'!$G$42="Interest Only"),U34*U13,0))</f>
        <v>0</v>
      </c>
      <c r="V35" s="671">
        <f>IF(V4&gt;'Project Assumtions'!$F$39,V34*V13,IF(AND(V4&lt;='Project Assumtions'!$F$39,'Project Assumtions'!$G$42="Interest Only"),V34*V13,0))</f>
        <v>0</v>
      </c>
      <c r="W35" s="671">
        <f>IF(W4&gt;'Project Assumtions'!$F$39,W34*W13,IF(AND(W4&lt;='Project Assumtions'!$F$39,'Project Assumtions'!$G$42="Interest Only"),W34*W13,0))</f>
        <v>0</v>
      </c>
      <c r="X35" s="671">
        <f>IF(X4&gt;'Project Assumtions'!$F$39,X34*X13,IF(AND(X4&lt;='Project Assumtions'!$F$39,'Project Assumtions'!$G$42="Interest Only"),X34*X13,0))</f>
        <v>0</v>
      </c>
      <c r="Y35" s="671">
        <f>IF(Y4&gt;'Project Assumtions'!$F$39,Y34*Y13,IF(AND(Y4&lt;='Project Assumtions'!$F$39,'Project Assumtions'!$G$42="Interest Only"),Y34*Y13,0))</f>
        <v>0</v>
      </c>
      <c r="Z35" s="671">
        <f>IF(Z4&gt;'Project Assumtions'!$F$39,Z34*Z13,IF(AND(Z4&lt;='Project Assumtions'!$F$39,'Project Assumtions'!$G$42="Interest Only"),Z34*Z13,0))</f>
        <v>0</v>
      </c>
      <c r="AA35" s="671">
        <f>IF(AA4&gt;'Project Assumtions'!$F$39,AA34*AA13,IF(AND(AA4&lt;='Project Assumtions'!$F$39,'Project Assumtions'!$G$42="Interest Only"),AA34*AA13,0))</f>
        <v>0</v>
      </c>
      <c r="AB35" s="671">
        <f>IF(AB4&gt;'Project Assumtions'!$F$39,AB34*AB13,IF(AND(AB4&lt;='Project Assumtions'!$F$39,'Project Assumtions'!$G$42="Interest Only"),AB34*AB13,0))</f>
        <v>0</v>
      </c>
      <c r="AC35" s="672">
        <f>IF(AC4&gt;'Project Assumtions'!$F$39,AC34*AC13,IF(AND(AC4&lt;='Project Assumtions'!$F$39,'Project Assumtions'!$G$42="Interest Only"),AC34*AC13,0))</f>
        <v>0</v>
      </c>
      <c r="AD35" s="60"/>
      <c r="AE35" s="60"/>
      <c r="AF35" s="60"/>
    </row>
    <row r="36" spans="1:32" s="48" customFormat="1">
      <c r="A36" s="547" t="s">
        <v>99</v>
      </c>
      <c r="B36" s="674"/>
      <c r="C36" s="674"/>
      <c r="D36" s="175"/>
      <c r="E36" s="671">
        <f>IF(OR(E4&lt;='Project Assumtions'!$F$39,E4&gt;'Project Assumtions'!$G$39),0,E37-E35)</f>
        <v>0</v>
      </c>
      <c r="F36" s="671">
        <f>IF(OR(F4&lt;='Project Assumtions'!$F$39,F4&gt;'Project Assumtions'!$G$39),0,F37-F35)</f>
        <v>0</v>
      </c>
      <c r="G36" s="671">
        <f>IF(OR(G4&lt;='Project Assumtions'!$F$39,G4&gt;'Project Assumtions'!$G$39),0,G37-G35)</f>
        <v>0</v>
      </c>
      <c r="H36" s="671">
        <f>IF(OR(H4&lt;='Project Assumtions'!$F$39,H4&gt;'Project Assumtions'!$G$39),0,H37-H35)</f>
        <v>0</v>
      </c>
      <c r="I36" s="671">
        <f>IF(OR(I4&lt;='Project Assumtions'!$F$39,I4&gt;'Project Assumtions'!$G$39),0,I37-I35)</f>
        <v>8462.9452378314782</v>
      </c>
      <c r="J36" s="671">
        <f>IF(OR(J4&lt;='Project Assumtions'!$F$39,J4&gt;'Project Assumtions'!$G$39),0,J37-J35)</f>
        <v>9489.4347673842549</v>
      </c>
      <c r="K36" s="671">
        <f>IF(OR(K4&lt;='Project Assumtions'!$F$39,K4&gt;'Project Assumtions'!$G$39),0,K37-K35)</f>
        <v>10339.164605940379</v>
      </c>
      <c r="L36" s="671">
        <f>IF(OR(L4&lt;='Project Assumtions'!$F$39,L4&gt;'Project Assumtions'!$G$39),0,L37-L35)</f>
        <v>11241.925761529761</v>
      </c>
      <c r="M36" s="671">
        <f>IF(OR(M4&lt;='Project Assumtions'!$F$39,M4&gt;'Project Assumtions'!$G$39),0,M37-M35)</f>
        <v>12226.049744156368</v>
      </c>
      <c r="N36" s="671">
        <f>IF(OR(N4&lt;='Project Assumtions'!$F$39,N4&gt;'Project Assumtions'!$G$39),0,N37-N35)</f>
        <v>13311.766415630733</v>
      </c>
      <c r="O36" s="671">
        <f>IF(OR(O4&lt;='Project Assumtions'!$F$39,O4&gt;'Project Assumtions'!$G$39),0,O37-O35)</f>
        <v>0</v>
      </c>
      <c r="P36" s="671">
        <f>IF(OR(P4&lt;='Project Assumtions'!$F$39,P4&gt;'Project Assumtions'!$G$39),0,P37-P35)</f>
        <v>0</v>
      </c>
      <c r="Q36" s="671">
        <f>IF(OR(Q4&lt;='Project Assumtions'!$F$39,Q4&gt;'Project Assumtions'!$G$39),0,Q37-Q35)</f>
        <v>0</v>
      </c>
      <c r="R36" s="671">
        <f>IF(OR(R4&lt;='Project Assumtions'!$F$39,R4&gt;'Project Assumtions'!$G$39),0,R37-R35)</f>
        <v>0</v>
      </c>
      <c r="S36" s="671">
        <f>IF(OR(S4&lt;='Project Assumtions'!$F$39,S4&gt;'Project Assumtions'!$G$39),0,S37-S35)</f>
        <v>0</v>
      </c>
      <c r="T36" s="671">
        <f>IF(OR(T4&lt;='Project Assumtions'!$F$39,T4&gt;'Project Assumtions'!$G$39),0,T37-T35)</f>
        <v>0</v>
      </c>
      <c r="U36" s="671">
        <f>IF(OR(U4&lt;='Project Assumtions'!$F$39,U4&gt;'Project Assumtions'!$G$39),0,U37-U35)</f>
        <v>0</v>
      </c>
      <c r="V36" s="671">
        <f>IF(OR(V4&lt;='Project Assumtions'!$F$39,V4&gt;'Project Assumtions'!$G$39),0,V37-V35)</f>
        <v>0</v>
      </c>
      <c r="W36" s="671">
        <f>IF(OR(W4&lt;='Project Assumtions'!$F$39,W4&gt;'Project Assumtions'!$G$39),0,W37-W35)</f>
        <v>0</v>
      </c>
      <c r="X36" s="671">
        <f>IF(OR(X4&lt;='Project Assumtions'!$F$39,X4&gt;'Project Assumtions'!$G$39),0,X37-X35)</f>
        <v>0</v>
      </c>
      <c r="Y36" s="671">
        <f>IF(OR(Y4&lt;='Project Assumtions'!$F$39,Y4&gt;'Project Assumtions'!$G$39),0,Y37-Y35)</f>
        <v>0</v>
      </c>
      <c r="Z36" s="671">
        <f>IF(OR(Z4&lt;='Project Assumtions'!$F$39,Z4&gt;'Project Assumtions'!$G$39),0,Z37-Z35)</f>
        <v>0</v>
      </c>
      <c r="AA36" s="671">
        <f>IF(OR(AA4&lt;='Project Assumtions'!$F$39,AA4&gt;'Project Assumtions'!$G$39),0,AA37-AA35)</f>
        <v>0</v>
      </c>
      <c r="AB36" s="671">
        <f>IF(OR(AB4&lt;='Project Assumtions'!$F$39,AB4&gt;'Project Assumtions'!$G$39),0,AB37-AB35)</f>
        <v>0</v>
      </c>
      <c r="AC36" s="672">
        <f>IF(OR(AC4&lt;='Project Assumtions'!$F$39,AC4&gt;'Project Assumtions'!$G$39),0,AC37-AC35)</f>
        <v>0</v>
      </c>
      <c r="AD36" s="60"/>
      <c r="AE36" s="60"/>
      <c r="AF36" s="60"/>
    </row>
    <row r="37" spans="1:32" s="47" customFormat="1">
      <c r="A37" s="648" t="s">
        <v>100</v>
      </c>
      <c r="B37" s="649"/>
      <c r="C37" s="649"/>
      <c r="D37" s="649"/>
      <c r="E37" s="654">
        <f>IF(E4&lt;='Project Assumtions'!$F$39,E35,E20)</f>
        <v>2873.4395611297841</v>
      </c>
      <c r="F37" s="654">
        <f>IF(F4&lt;='Project Assumtions'!$F$39,F35,F20)</f>
        <v>4925.8963905082019</v>
      </c>
      <c r="G37" s="654">
        <f>IF(G4&lt;='Project Assumtions'!$F$39,G35,G20)</f>
        <v>4925.8963905082019</v>
      </c>
      <c r="H37" s="654">
        <f>IF(H4&lt;='Project Assumtions'!$F$39,H35,H20)</f>
        <v>4925.8963905082019</v>
      </c>
      <c r="I37" s="654">
        <f>IF(I4&lt;='Project Assumtions'!$F$39,I35,I20)</f>
        <v>13388.84162833968</v>
      </c>
      <c r="J37" s="654">
        <f>IF(J4&lt;='Project Assumtions'!$F$39,J35,J20)</f>
        <v>13774.686203388614</v>
      </c>
      <c r="K37" s="654">
        <f>IF(K4&lt;='Project Assumtions'!$F$39,K35,K20)</f>
        <v>13906.065830053751</v>
      </c>
      <c r="L37" s="654">
        <f>IF(L4&lt;='Project Assumtions'!$F$39,L35,L20)</f>
        <v>14026.152224973444</v>
      </c>
      <c r="M37" s="654">
        <f>IF(M4&lt;='Project Assumtions'!$F$39,M35,M20)</f>
        <v>14159.262427452248</v>
      </c>
      <c r="N37" s="654">
        <f>IF(N4&lt;='Project Assumtions'!$F$39,N35,N20)</f>
        <v>14319.467133293976</v>
      </c>
      <c r="O37" s="654">
        <f>IF(O4&lt;='Project Assumtions'!$F$39,O35,O20)</f>
        <v>0</v>
      </c>
      <c r="P37" s="654">
        <f>IF(P4&lt;='Project Assumtions'!$F$39,P35,P20)</f>
        <v>0</v>
      </c>
      <c r="Q37" s="654">
        <f>IF(Q4&lt;='Project Assumtions'!$F$39,Q35,Q20)</f>
        <v>0</v>
      </c>
      <c r="R37" s="654">
        <f>IF(R4&lt;='Project Assumtions'!$F$39,R35,R20)</f>
        <v>0</v>
      </c>
      <c r="S37" s="654">
        <f>IF(S4&lt;='Project Assumtions'!$F$39,S35,S20)</f>
        <v>0</v>
      </c>
      <c r="T37" s="654">
        <f>IF(T4&lt;='Project Assumtions'!$F$39,T35,T20)</f>
        <v>0</v>
      </c>
      <c r="U37" s="654">
        <f>IF(U4&lt;='Project Assumtions'!$F$39,U35,U20)</f>
        <v>0</v>
      </c>
      <c r="V37" s="654">
        <f>IF(V4&lt;='Project Assumtions'!$F$39,V35,V20)</f>
        <v>0</v>
      </c>
      <c r="W37" s="654">
        <f>IF(W4&lt;='Project Assumtions'!$F$39,W35,W20)</f>
        <v>0</v>
      </c>
      <c r="X37" s="654">
        <f>IF(X4&lt;='Project Assumtions'!$F$39,X35,X20)</f>
        <v>0</v>
      </c>
      <c r="Y37" s="654">
        <f>IF(Y4&lt;='Project Assumtions'!$F$39,Y35,Y20)</f>
        <v>0</v>
      </c>
      <c r="Z37" s="654">
        <f>IF(Z4&lt;='Project Assumtions'!$F$39,Z35,Z20)</f>
        <v>0</v>
      </c>
      <c r="AA37" s="654">
        <f>IF(AA4&lt;='Project Assumtions'!$F$39,AA35,AA20)</f>
        <v>0</v>
      </c>
      <c r="AB37" s="654">
        <f>IF(AB4&lt;='Project Assumtions'!$F$39,AB35,AB20)</f>
        <v>0</v>
      </c>
      <c r="AC37" s="657">
        <f>IF(AC4&lt;='Project Assumtions'!$F$39,AC35,AC20)</f>
        <v>0</v>
      </c>
      <c r="AD37" s="204"/>
      <c r="AE37" s="204"/>
      <c r="AF37" s="204"/>
    </row>
    <row r="38" spans="1:32" s="47" customFormat="1" ht="12.6" customHeight="1">
      <c r="A38" s="648" t="s">
        <v>101</v>
      </c>
      <c r="B38" s="594"/>
      <c r="C38" s="594"/>
      <c r="D38" s="649"/>
      <c r="E38" s="644">
        <f>IF(E4&lt;'Project Assumtions'!$G$39,E34-E36,IF(E4&gt;'Project Assumtions'!$G$39,0,E34-E36))</f>
        <v>65071.286532472936</v>
      </c>
      <c r="F38" s="644">
        <f>IF(F4&lt;'Project Assumtions'!$G$39,F34-F36,IF(F4&gt;'Project Assumtions'!$G$39,0,F34-F36))</f>
        <v>65071.286532472936</v>
      </c>
      <c r="G38" s="644">
        <f>IF(G4&lt;'Project Assumtions'!$G$39,G34-G36,IF(G4&gt;'Project Assumtions'!$G$39,0,G34-G36))</f>
        <v>65071.286532472936</v>
      </c>
      <c r="H38" s="644">
        <f>IF(H4&lt;'Project Assumtions'!$G$39,H34-H36,IF(H4&gt;'Project Assumtions'!$G$39,0,H34-H36))</f>
        <v>65071.286532472936</v>
      </c>
      <c r="I38" s="644">
        <f>IF(I4&lt;'Project Assumtions'!$G$39,I34-I36,IF(I4&gt;'Project Assumtions'!$G$39,0,I34-I36))</f>
        <v>56608.341294641461</v>
      </c>
      <c r="J38" s="644">
        <f>IF(J4&lt;'Project Assumtions'!$G$39,J34-J36,IF(J4&gt;'Project Assumtions'!$G$39,0,J34-J36))</f>
        <v>47118.906527257204</v>
      </c>
      <c r="K38" s="644">
        <f>IF(K4&lt;'Project Assumtions'!$G$39,K34-K36,IF(K4&gt;'Project Assumtions'!$G$39,0,K34-K36))</f>
        <v>36779.741921316825</v>
      </c>
      <c r="L38" s="644">
        <f>IF(L4&lt;'Project Assumtions'!$G$39,L34-L36,IF(L4&gt;'Project Assumtions'!$G$39,0,L34-L36))</f>
        <v>25537.816159787064</v>
      </c>
      <c r="M38" s="644">
        <f>IF(M4&lt;'Project Assumtions'!$G$39,M34-M36,IF(M4&gt;'Project Assumtions'!$G$39,0,M34-M36))</f>
        <v>13311.766415630696</v>
      </c>
      <c r="N38" s="644">
        <f>IF(N4&lt;'Project Assumtions'!$G$39,N34-N36,IF(N4&gt;'Project Assumtions'!$G$39,0,N34-N36))</f>
        <v>-3.637978807091713E-11</v>
      </c>
      <c r="O38" s="644">
        <f>IF(O4&lt;'Project Assumtions'!$G$39,O34-O36,IF(O4&gt;'Project Assumtions'!$G$39,0,O34-O36))</f>
        <v>0</v>
      </c>
      <c r="P38" s="644">
        <f>IF(P4&lt;'Project Assumtions'!$G$39,P34-P36,IF(P4&gt;'Project Assumtions'!$G$39,0,P34-P36))</f>
        <v>0</v>
      </c>
      <c r="Q38" s="644">
        <f>IF(Q4&lt;'Project Assumtions'!$G$39,Q34-Q36,IF(Q4&gt;'Project Assumtions'!$G$39,0,Q34-Q36))</f>
        <v>0</v>
      </c>
      <c r="R38" s="644">
        <f>IF(R4&lt;'Project Assumtions'!$G$39,R34-R36,IF(R4&gt;'Project Assumtions'!$G$39,0,R34-R36))</f>
        <v>0</v>
      </c>
      <c r="S38" s="644">
        <f>IF(S4&lt;'Project Assumtions'!$G$39,S34-S36,IF(S4&gt;'Project Assumtions'!$G$39,0,S34-S36))</f>
        <v>0</v>
      </c>
      <c r="T38" s="644">
        <f>IF(T4&lt;'Project Assumtions'!$G$39,T34-T36,IF(T4&gt;'Project Assumtions'!$G$39,0,T34-T36))</f>
        <v>0</v>
      </c>
      <c r="U38" s="644">
        <f>IF(U4&lt;'Project Assumtions'!$G$39,U34-U36,IF(U4&gt;'Project Assumtions'!$G$39,0,U34-U36))</f>
        <v>0</v>
      </c>
      <c r="V38" s="644">
        <f>IF(V4&lt;'Project Assumtions'!$G$39,V34-V36,IF(V4&gt;'Project Assumtions'!$G$39,0,V34-V36))</f>
        <v>0</v>
      </c>
      <c r="W38" s="644">
        <f>IF(W4&lt;'Project Assumtions'!$G$39,W34-W36,IF(W4&gt;'Project Assumtions'!$G$39,0,W34-W36))</f>
        <v>0</v>
      </c>
      <c r="X38" s="644">
        <f>IF(X4&lt;'Project Assumtions'!$G$39,X34-X36,IF(X4&gt;'Project Assumtions'!$G$39,0,X34-X36))</f>
        <v>0</v>
      </c>
      <c r="Y38" s="644">
        <f>IF(Y4&lt;'Project Assumtions'!$G$39,Y34-Y36,IF(Y4&gt;'Project Assumtions'!$G$39,0,Y34-Y36))</f>
        <v>0</v>
      </c>
      <c r="Z38" s="644">
        <f>IF(Z4&lt;'Project Assumtions'!$G$39,Z34-Z36,IF(Z4&gt;'Project Assumtions'!$G$39,0,Z34-Z36))</f>
        <v>0</v>
      </c>
      <c r="AA38" s="644">
        <f>IF(AA4&lt;'Project Assumtions'!$G$39,AA34-AA36,IF(AA4&gt;'Project Assumtions'!$G$39,0,AA34-AA36))</f>
        <v>0</v>
      </c>
      <c r="AB38" s="644">
        <f>IF(AB4&lt;'Project Assumtions'!$G$39,AB34-AB36,IF(AB4&gt;'Project Assumtions'!$G$39,0,AB34-AB36))</f>
        <v>0</v>
      </c>
      <c r="AC38" s="645">
        <f>IF(AC4&lt;'Project Assumtions'!$G$39,AC34-AC36,IF(AC4&gt;'Project Assumtions'!$G$39,0,AC34-AC36))</f>
        <v>0</v>
      </c>
      <c r="AD38" s="204"/>
      <c r="AE38" s="204"/>
      <c r="AF38" s="204"/>
    </row>
    <row r="39" spans="1:32" s="47" customFormat="1" ht="12.6" customHeight="1">
      <c r="A39" s="675" t="s">
        <v>205</v>
      </c>
      <c r="B39" s="676"/>
      <c r="C39" s="676"/>
      <c r="D39" s="664"/>
      <c r="E39" s="677">
        <f>IF('Project Assumtions'!$G$39&gt;0,SUMPRODUCT(E4:AC4,E36:AC36)/B20,0)</f>
        <v>7.7563089939696859</v>
      </c>
      <c r="F39" s="665"/>
      <c r="G39" s="665"/>
      <c r="H39" s="665"/>
      <c r="I39" s="665"/>
      <c r="J39" s="665"/>
      <c r="K39" s="665"/>
      <c r="L39" s="665"/>
      <c r="M39" s="665"/>
      <c r="N39" s="665"/>
      <c r="O39" s="665"/>
      <c r="P39" s="665"/>
      <c r="Q39" s="665"/>
      <c r="R39" s="665"/>
      <c r="S39" s="665"/>
      <c r="T39" s="665"/>
      <c r="U39" s="665"/>
      <c r="V39" s="665"/>
      <c r="W39" s="665"/>
      <c r="X39" s="665"/>
      <c r="Y39" s="665"/>
      <c r="Z39" s="665"/>
      <c r="AA39" s="665"/>
      <c r="AB39" s="665"/>
      <c r="AC39" s="666"/>
      <c r="AD39" s="204"/>
      <c r="AE39" s="204"/>
      <c r="AF39" s="204"/>
    </row>
    <row r="40" spans="1:32" s="48" customFormat="1">
      <c r="A40" s="60"/>
      <c r="B40" s="60"/>
      <c r="C40" s="60"/>
      <c r="D40" s="60"/>
      <c r="E40" s="207"/>
      <c r="F40" s="207"/>
      <c r="G40" s="207"/>
      <c r="H40" s="207"/>
      <c r="I40" s="207"/>
      <c r="J40" s="207"/>
      <c r="K40" s="207"/>
      <c r="L40" s="207"/>
      <c r="M40" s="207"/>
      <c r="N40" s="207"/>
      <c r="O40" s="207"/>
      <c r="P40" s="207"/>
      <c r="Q40" s="207"/>
      <c r="R40" s="207"/>
      <c r="S40" s="212"/>
      <c r="T40" s="207"/>
      <c r="U40" s="207"/>
      <c r="V40" s="207"/>
      <c r="W40" s="207"/>
      <c r="X40" s="207"/>
      <c r="Y40" s="207"/>
      <c r="Z40" s="207"/>
      <c r="AA40" s="207"/>
      <c r="AB40" s="207"/>
      <c r="AC40" s="207"/>
      <c r="AD40" s="60"/>
      <c r="AE40" s="60"/>
      <c r="AF40" s="60"/>
    </row>
    <row r="41" spans="1:32" s="47" customFormat="1">
      <c r="A41" s="678" t="s">
        <v>181</v>
      </c>
      <c r="B41" s="679"/>
      <c r="C41" s="679"/>
      <c r="D41" s="680"/>
      <c r="E41" s="681"/>
      <c r="F41" s="680"/>
      <c r="G41" s="680"/>
      <c r="H41" s="680"/>
      <c r="I41" s="680"/>
      <c r="J41" s="680"/>
      <c r="K41" s="680"/>
      <c r="L41" s="680"/>
      <c r="M41" s="680"/>
      <c r="N41" s="680"/>
      <c r="O41" s="680"/>
      <c r="P41" s="680"/>
      <c r="Q41" s="680"/>
      <c r="R41" s="680"/>
      <c r="S41" s="682"/>
      <c r="T41" s="680"/>
      <c r="U41" s="680"/>
      <c r="V41" s="680"/>
      <c r="W41" s="680"/>
      <c r="X41" s="680"/>
      <c r="Y41" s="680"/>
      <c r="Z41" s="680"/>
      <c r="AA41" s="680"/>
      <c r="AB41" s="680"/>
      <c r="AC41" s="683"/>
      <c r="AD41" s="204"/>
      <c r="AE41" s="204"/>
      <c r="AF41" s="204"/>
    </row>
    <row r="42" spans="1:32" s="47" customFormat="1" ht="12.6" customHeight="1">
      <c r="A42" s="648" t="s">
        <v>97</v>
      </c>
      <c r="B42" s="684"/>
      <c r="C42" s="684"/>
      <c r="D42" s="649"/>
      <c r="E42" s="644">
        <f>B21</f>
        <v>97976.147451521843</v>
      </c>
      <c r="F42" s="644">
        <f>+IF(F4&gt;'Project Assumtions'!$H$39, 0, E46)</f>
        <v>97976.147451521843</v>
      </c>
      <c r="G42" s="644">
        <f>+IF(G4&gt;'Project Assumtions'!$H$39, 0, F46)</f>
        <v>97976.147451521843</v>
      </c>
      <c r="H42" s="644">
        <f>+IF(H4&gt;'Project Assumtions'!$H$39, 0, G46)</f>
        <v>97976.147451521843</v>
      </c>
      <c r="I42" s="644">
        <f>+IF(I4&gt;'Project Assumtions'!$H$39, 0, H46)</f>
        <v>97976.147451521843</v>
      </c>
      <c r="J42" s="644">
        <f>+IF(J4&gt;'Project Assumtions'!$H$39, 0, I46)</f>
        <v>97976.147451521843</v>
      </c>
      <c r="K42" s="644">
        <f>+IF(K4&gt;'Project Assumtions'!$H$39, 0, J46)</f>
        <v>97976.147451521843</v>
      </c>
      <c r="L42" s="644">
        <f>+IF(L4&gt;'Project Assumtions'!$H$39, 0, K46)</f>
        <v>97976.147451521843</v>
      </c>
      <c r="M42" s="644">
        <f>+IF(M4&gt;'Project Assumtions'!$H$39, 0, L46)</f>
        <v>97976.147451521843</v>
      </c>
      <c r="N42" s="644">
        <f>+IF(N4&gt;'Project Assumtions'!$H$39, 0, M46)</f>
        <v>97976.147451521843</v>
      </c>
      <c r="O42" s="644">
        <f>+IF(O4&gt;'Project Assumtions'!$H$39, 0, N46)</f>
        <v>97976.147451521843</v>
      </c>
      <c r="P42" s="644">
        <f>+IF(P4&gt;'Project Assumtions'!$H$39, 0, O46)</f>
        <v>91515.147606013823</v>
      </c>
      <c r="Q42" s="644">
        <f>+IF(Q4&gt;'Project Assumtions'!$H$39, 0, P46)</f>
        <v>84442.11578573368</v>
      </c>
      <c r="R42" s="644">
        <f>+IF(R4&gt;'Project Assumtions'!$H$39, 0, Q46)</f>
        <v>76644.701865130613</v>
      </c>
      <c r="S42" s="644">
        <f>+IF(S4&gt;'Project Assumtions'!$H$39, 0, R46)</f>
        <v>68376.240413316293</v>
      </c>
      <c r="T42" s="644">
        <f>+IF(T4&gt;'Project Assumtions'!$H$39, 0, S46)</f>
        <v>59304.450339024952</v>
      </c>
      <c r="U42" s="644">
        <f>+IF(U4&gt;'Project Assumtions'!$H$39, 0, T46)</f>
        <v>49369.327278294324</v>
      </c>
      <c r="V42" s="644">
        <f>+IF(V4&gt;'Project Assumtions'!$H$39, 0, U46)</f>
        <v>38506.415256859545</v>
      </c>
      <c r="W42" s="644">
        <f>+IF(W4&gt;'Project Assumtions'!$H$39, 0, V46)</f>
        <v>26646.464816104948</v>
      </c>
      <c r="X42" s="644">
        <f>+IF(X4&gt;'Project Assumtions'!$H$39, 0, W46)</f>
        <v>13715.064098707213</v>
      </c>
      <c r="Y42" s="644">
        <f>+IF(Y4&gt;'Project Assumtions'!$H$39, 0, X46)</f>
        <v>0</v>
      </c>
      <c r="Z42" s="644">
        <f>+IF(Z4&gt;'Project Assumtions'!$H$39, 0, Y46)</f>
        <v>0</v>
      </c>
      <c r="AA42" s="644">
        <f>+IF(AA4&gt;'Project Assumtions'!$H$39, 0, Z46)</f>
        <v>0</v>
      </c>
      <c r="AB42" s="644">
        <f>+IF(AB4&gt;'Project Assumtions'!$H$39, 0, AA46)</f>
        <v>0</v>
      </c>
      <c r="AC42" s="645">
        <f>+IF(AC4&gt;'Project Assumtions'!$H$39, 0, AB46)</f>
        <v>0</v>
      </c>
      <c r="AD42" s="204"/>
      <c r="AE42" s="204"/>
      <c r="AF42" s="204"/>
    </row>
    <row r="43" spans="1:32" s="47" customFormat="1" ht="12.6" customHeight="1">
      <c r="A43" s="648" t="s">
        <v>98</v>
      </c>
      <c r="B43" s="685"/>
      <c r="C43" s="685"/>
      <c r="D43" s="649"/>
      <c r="E43" s="671">
        <f>IF('Project Assumtions'!$H$39=0,0,IF(E4&gt;'Project Assumtions'!$G$39,E42*E14,IF(AND(E4&lt;='Project Assumtions'!$G$39,'Project Assumtions'!$H$42="Interest Only"),E42*E14*(13-MONTH('Project Assumtions'!G16))/12,0)))</f>
        <v>0</v>
      </c>
      <c r="F43" s="671">
        <f>IF('Project Assumtions'!$H$39=0,0,IF(F4&gt;'Project Assumtions'!$G$39,F42*F14,IF(AND(F4&lt;='Project Assumtions'!$G$39,'Project Assumtions'!$H$42="Interest Only"),F42*F14,0)))</f>
        <v>0</v>
      </c>
      <c r="G43" s="671">
        <f>IF('Project Assumtions'!$H$39=0,0,IF(G4&gt;'Project Assumtions'!$G$39,G42*G14,IF(AND(G4&lt;='Project Assumtions'!$G$39,'Project Assumtions'!$H$42="Interest Only"),G42*G14,0)))</f>
        <v>0</v>
      </c>
      <c r="H43" s="671">
        <f>IF('Project Assumtions'!$H$39=0,0,IF(H4&gt;'Project Assumtions'!$G$39,H42*H14,IF(AND(H4&lt;='Project Assumtions'!$G$39,'Project Assumtions'!$H$42="Interest Only"),H42*H14,0)))</f>
        <v>0</v>
      </c>
      <c r="I43" s="671">
        <f>IF('Project Assumtions'!$H$39=0,0,IF(I4&gt;'Project Assumtions'!$G$39,I42*I14,IF(AND(I4&lt;='Project Assumtions'!$G$39,'Project Assumtions'!$H$42="Interest Only"),I42*I14,0)))</f>
        <v>0</v>
      </c>
      <c r="J43" s="671">
        <f>IF('Project Assumtions'!$H$39=0,0,IF(J4&gt;'Project Assumtions'!$G$39,J42*J14,IF(AND(J4&lt;='Project Assumtions'!$G$39,'Project Assumtions'!$H$42="Interest Only"),J42*J14,0)))</f>
        <v>0</v>
      </c>
      <c r="K43" s="671">
        <f>IF('Project Assumtions'!$H$39=0,0,IF(K4&gt;'Project Assumtions'!$G$39,K42*K14,IF(AND(K4&lt;='Project Assumtions'!$G$39,'Project Assumtions'!$H$42="Interest Only"),K42*K14,0)))</f>
        <v>0</v>
      </c>
      <c r="L43" s="671">
        <f>IF('Project Assumtions'!$H$39=0,0,IF(L4&gt;'Project Assumtions'!$G$39,L42*L14,IF(AND(L4&lt;='Project Assumtions'!$G$39,'Project Assumtions'!$H$42="Interest Only"),L42*L14,0)))</f>
        <v>0</v>
      </c>
      <c r="M43" s="671">
        <f>IF('Project Assumtions'!$H$39=0,0,IF(M4&gt;'Project Assumtions'!$G$39,M42*M14,IF(AND(M4&lt;='Project Assumtions'!$G$39,'Project Assumtions'!$H$42="Interest Only"),M42*M14,0)))</f>
        <v>0</v>
      </c>
      <c r="N43" s="671">
        <f>IF('Project Assumtions'!$H$39=0,0,IF(N4&gt;'Project Assumtions'!$G$39,N42*N14,IF(AND(N4&lt;='Project Assumtions'!$G$39,'Project Assumtions'!$H$42="Interest Only"),N42*N14,0)))</f>
        <v>0</v>
      </c>
      <c r="O43" s="671">
        <f>IF('Project Assumtions'!$H$39=0,0,IF(O4&gt;'Project Assumtions'!$G$39,O42*O14,IF(AND(O4&lt;='Project Assumtions'!$G$39,'Project Assumtions'!$H$42="Interest Only"),O42*O14,0)))</f>
        <v>8014.4488615344862</v>
      </c>
      <c r="P43" s="671">
        <f>IF('Project Assumtions'!$H$39=0,0,IF(P4&gt;'Project Assumtions'!$G$39,P42*P14,IF(AND(P4&lt;='Project Assumtions'!$G$39,'Project Assumtions'!$H$42="Interest Only"),P42*P14,0)))</f>
        <v>7485.9390741719308</v>
      </c>
      <c r="Q43" s="671">
        <f>IF('Project Assumtions'!$H$39=0,0,IF(Q4&gt;'Project Assumtions'!$G$39,Q42*Q14,IF(AND(Q4&lt;='Project Assumtions'!$G$39,'Project Assumtions'!$H$42="Interest Only"),Q42*Q14,0)))</f>
        <v>6907.365071273015</v>
      </c>
      <c r="R43" s="671">
        <f>IF('Project Assumtions'!$H$39=0,0,IF(R4&gt;'Project Assumtions'!$G$39,R42*R14,IF(AND(R4&lt;='Project Assumtions'!$G$39,'Project Assumtions'!$H$42="Interest Only"),R42*R14,0)))</f>
        <v>6269.5366125676837</v>
      </c>
      <c r="S43" s="671">
        <f>IF('Project Assumtions'!$H$39=0,0,IF(S4&gt;'Project Assumtions'!$G$39,S42*S14,IF(AND(S4&lt;='Project Assumtions'!$G$39,'Project Assumtions'!$H$42="Interest Only"),S42*S14,0)))</f>
        <v>5593.1764658092725</v>
      </c>
      <c r="T43" s="671">
        <f>IF('Project Assumtions'!$H$39=0,0,IF(T4&gt;'Project Assumtions'!$G$39,T42*T14,IF(AND(T4&lt;='Project Assumtions'!$G$39,'Project Assumtions'!$H$42="Interest Only"),T42*T14,0)))</f>
        <v>4851.1040377322406</v>
      </c>
      <c r="U43" s="671">
        <f>IF('Project Assumtions'!$H$39=0,0,IF(U4&gt;'Project Assumtions'!$G$39,U42*U14,IF(AND(U4&lt;='Project Assumtions'!$G$39,'Project Assumtions'!$H$42="Interest Only"),U42*U14,0)))</f>
        <v>4038.4109713644757</v>
      </c>
      <c r="V43" s="671">
        <f>IF('Project Assumtions'!$H$39=0,0,IF(V4&gt;'Project Assumtions'!$G$39,V42*V14,IF(AND(V4&lt;='Project Assumtions'!$G$39,'Project Assumtions'!$H$42="Interest Only"),V42*V14,0)))</f>
        <v>3149.8247680111108</v>
      </c>
      <c r="W43" s="671">
        <f>IF('Project Assumtions'!$H$39=0,0,IF(W4&gt;'Project Assumtions'!$G$39,W42*W14,IF(AND(W4&lt;='Project Assumtions'!$G$39,'Project Assumtions'!$H$42="Interest Only"),W42*W14,0)))</f>
        <v>2179.6808219573845</v>
      </c>
      <c r="X43" s="671">
        <f>IF('Project Assumtions'!$H$39=0,0,IF(X4&gt;'Project Assumtions'!$G$39,X42*X14,IF(AND(X4&lt;='Project Assumtions'!$G$39,'Project Assumtions'!$H$42="Interest Only"),X42*X14,0)))</f>
        <v>1121.8922432742499</v>
      </c>
      <c r="Y43" s="671">
        <f>IF('Project Assumtions'!$H$39=0,0,IF(Y4&gt;'Project Assumtions'!$G$39,Y42*Y14,IF(AND(Y4&lt;='Project Assumtions'!$G$39,'Project Assumtions'!$H$42="Interest Only"),Y42*Y14,0)))</f>
        <v>0</v>
      </c>
      <c r="Z43" s="671">
        <f>IF('Project Assumtions'!$H$39=0,0,IF(Z4&gt;'Project Assumtions'!$G$39,Z42*Z14,IF(AND(Z4&lt;='Project Assumtions'!$G$39,'Project Assumtions'!$H$42="Interest Only"),Z42*Z14,0)))</f>
        <v>0</v>
      </c>
      <c r="AA43" s="671">
        <f>IF('Project Assumtions'!$H$39=0,0,IF(AA4&gt;'Project Assumtions'!$G$39,AA42*AA14,IF(AND(AA4&lt;='Project Assumtions'!$G$39,'Project Assumtions'!$H$42="Interest Only"),AA42*AA14,0)))</f>
        <v>0</v>
      </c>
      <c r="AB43" s="671">
        <f>IF('Project Assumtions'!$H$39=0,0,IF(AB4&gt;'Project Assumtions'!$G$39,AB42*AB14,IF(AND(AB4&lt;='Project Assumtions'!$G$39,'Project Assumtions'!$H$42="Interest Only"),AB42*AB14,0)))</f>
        <v>0</v>
      </c>
      <c r="AC43" s="672">
        <f>IF('Project Assumtions'!$H$39=0,0,IF(AC4&gt;'Project Assumtions'!$G$39,AC42*AC14,IF(AND(AC4&lt;='Project Assumtions'!$G$39,'Project Assumtions'!$H$42="Interest Only"),AC42*AC14,0)))</f>
        <v>0</v>
      </c>
      <c r="AD43" s="204"/>
      <c r="AE43" s="204"/>
      <c r="AF43" s="204"/>
    </row>
    <row r="44" spans="1:32" s="47" customFormat="1" ht="12.6" customHeight="1">
      <c r="A44" s="648" t="s">
        <v>99</v>
      </c>
      <c r="B44" s="686"/>
      <c r="C44" s="686"/>
      <c r="D44" s="649"/>
      <c r="E44" s="687">
        <f>+E45-E43</f>
        <v>0</v>
      </c>
      <c r="F44" s="687">
        <f t="shared" ref="F44:AC44" si="2">+F45-F43</f>
        <v>0</v>
      </c>
      <c r="G44" s="687">
        <f t="shared" si="2"/>
        <v>0</v>
      </c>
      <c r="H44" s="687">
        <f t="shared" si="2"/>
        <v>0</v>
      </c>
      <c r="I44" s="687">
        <f t="shared" si="2"/>
        <v>0</v>
      </c>
      <c r="J44" s="687">
        <f t="shared" si="2"/>
        <v>0</v>
      </c>
      <c r="K44" s="687">
        <f t="shared" si="2"/>
        <v>0</v>
      </c>
      <c r="L44" s="687">
        <f t="shared" si="2"/>
        <v>0</v>
      </c>
      <c r="M44" s="687">
        <f t="shared" si="2"/>
        <v>0</v>
      </c>
      <c r="N44" s="687">
        <f t="shared" si="2"/>
        <v>0</v>
      </c>
      <c r="O44" s="687">
        <f t="shared" si="2"/>
        <v>6460.9998455080195</v>
      </c>
      <c r="P44" s="687">
        <f t="shared" si="2"/>
        <v>7073.0318202801463</v>
      </c>
      <c r="Q44" s="687">
        <f t="shared" si="2"/>
        <v>7797.4139206030623</v>
      </c>
      <c r="R44" s="687">
        <f t="shared" si="2"/>
        <v>8268.461451814328</v>
      </c>
      <c r="S44" s="687">
        <f t="shared" si="2"/>
        <v>9071.7900742913389</v>
      </c>
      <c r="T44" s="687">
        <f t="shared" si="2"/>
        <v>9935.1230607306261</v>
      </c>
      <c r="U44" s="687">
        <f t="shared" si="2"/>
        <v>10862.91202143478</v>
      </c>
      <c r="V44" s="687">
        <f t="shared" si="2"/>
        <v>11859.950440754599</v>
      </c>
      <c r="W44" s="687">
        <f t="shared" si="2"/>
        <v>12931.400717397735</v>
      </c>
      <c r="X44" s="687">
        <f t="shared" si="2"/>
        <v>13715.064098707337</v>
      </c>
      <c r="Y44" s="687">
        <f t="shared" si="2"/>
        <v>0</v>
      </c>
      <c r="Z44" s="687">
        <f t="shared" si="2"/>
        <v>0</v>
      </c>
      <c r="AA44" s="687">
        <f t="shared" si="2"/>
        <v>0</v>
      </c>
      <c r="AB44" s="687">
        <f t="shared" si="2"/>
        <v>0</v>
      </c>
      <c r="AC44" s="688">
        <f t="shared" si="2"/>
        <v>0</v>
      </c>
      <c r="AD44" s="204"/>
      <c r="AE44" s="204"/>
      <c r="AF44" s="204"/>
    </row>
    <row r="45" spans="1:32" s="47" customFormat="1" ht="12.6" customHeight="1">
      <c r="A45" s="648" t="s">
        <v>100</v>
      </c>
      <c r="B45" s="175"/>
      <c r="C45" s="175"/>
      <c r="D45" s="649"/>
      <c r="E45" s="654">
        <f>IF(E4&lt;='Project Assumtions'!$F$39,E43,E21)</f>
        <v>0</v>
      </c>
      <c r="F45" s="654">
        <f>IF(F4&lt;='Project Assumtions'!$F$39,F43,F21)</f>
        <v>0</v>
      </c>
      <c r="G45" s="654">
        <f>IF(G4&lt;='Project Assumtions'!$F$39,G43,G21)</f>
        <v>0</v>
      </c>
      <c r="H45" s="654">
        <f>IF(H4&lt;='Project Assumtions'!$F$39,H43,H21)</f>
        <v>0</v>
      </c>
      <c r="I45" s="654">
        <f>IF(I4&lt;='Project Assumtions'!$F$39,I43,I21)</f>
        <v>0</v>
      </c>
      <c r="J45" s="654">
        <f>IF(J4&lt;='Project Assumtions'!$F$39,J43,J21)</f>
        <v>0</v>
      </c>
      <c r="K45" s="654">
        <f>IF(K4&lt;='Project Assumtions'!$F$39,K43,K21)</f>
        <v>0</v>
      </c>
      <c r="L45" s="654">
        <f>IF(L4&lt;='Project Assumtions'!$F$39,L43,L21)</f>
        <v>0</v>
      </c>
      <c r="M45" s="654">
        <f>IF(M4&lt;='Project Assumtions'!$G$39,M43,M21)</f>
        <v>0</v>
      </c>
      <c r="N45" s="654">
        <f>IF(N4&lt;='Project Assumtions'!$G$39,N43,N21)</f>
        <v>0</v>
      </c>
      <c r="O45" s="654">
        <f>IF(O4&lt;='Project Assumtions'!$G$39,O43,O21)</f>
        <v>14475.448707042506</v>
      </c>
      <c r="P45" s="654">
        <f>IF(P4&lt;='Project Assumtions'!$G$39,P43,P21)</f>
        <v>14558.970894452077</v>
      </c>
      <c r="Q45" s="654">
        <f>IF(Q4&lt;='Project Assumtions'!$G$39,Q43,Q21)</f>
        <v>14704.778991876077</v>
      </c>
      <c r="R45" s="654">
        <f>IF(R4&lt;='Project Assumtions'!$G$39,R43,R21)</f>
        <v>14537.998064382013</v>
      </c>
      <c r="S45" s="654">
        <f>IF(S4&lt;='Project Assumtions'!$G$39,S43,S21)</f>
        <v>14664.966540100611</v>
      </c>
      <c r="T45" s="654">
        <f>IF(T4&lt;='Project Assumtions'!$G$39,T43,T21)</f>
        <v>14786.227098462867</v>
      </c>
      <c r="U45" s="654">
        <f>IF(U4&lt;='Project Assumtions'!$G$39,U43,U21)</f>
        <v>14901.322992799256</v>
      </c>
      <c r="V45" s="654">
        <f>IF(V4&lt;='Project Assumtions'!$G$39,V43,V21)</f>
        <v>15009.77520876571</v>
      </c>
      <c r="W45" s="654">
        <f>IF(W4&lt;='Project Assumtions'!$G$39,W43,W21)</f>
        <v>15111.08153935512</v>
      </c>
      <c r="X45" s="654">
        <f>IF(X4&lt;='Project Assumtions'!$G$39,X43,X21)</f>
        <v>14836.956341981586</v>
      </c>
      <c r="Y45" s="654">
        <f>IF(Y4&lt;='Project Assumtions'!$G$39,Y43,Y21)</f>
        <v>0</v>
      </c>
      <c r="Z45" s="654">
        <f>IF(Z4&lt;='Project Assumtions'!$G$39,Z43,Z21)</f>
        <v>0</v>
      </c>
      <c r="AA45" s="654">
        <f>IF(AA4&lt;='Project Assumtions'!$G$39,AA43,AA21)</f>
        <v>0</v>
      </c>
      <c r="AB45" s="654">
        <f>IF(AB4&lt;='Project Assumtions'!$G$39,AB43,AB21)</f>
        <v>0</v>
      </c>
      <c r="AC45" s="657">
        <f>IF(AC4&lt;='Project Assumtions'!$G$39,AC43,AC21)</f>
        <v>0</v>
      </c>
      <c r="AD45" s="204"/>
      <c r="AE45" s="204"/>
      <c r="AF45" s="204"/>
    </row>
    <row r="46" spans="1:32" s="47" customFormat="1" ht="12.6" customHeight="1">
      <c r="A46" s="648" t="s">
        <v>101</v>
      </c>
      <c r="B46" s="594"/>
      <c r="C46" s="594"/>
      <c r="D46" s="649"/>
      <c r="E46" s="644">
        <f>IF('Project Assumtions'!$H$39=0,0,E42-E44)</f>
        <v>97976.147451521843</v>
      </c>
      <c r="F46" s="644">
        <f>IF('Project Assumtions'!$H$39=0,0,F42-F44)</f>
        <v>97976.147451521843</v>
      </c>
      <c r="G46" s="644">
        <f>IF('Project Assumtions'!$H$39=0,0,G42-G44)</f>
        <v>97976.147451521843</v>
      </c>
      <c r="H46" s="644">
        <f>IF('Project Assumtions'!$H$39=0,0,H42-H44)</f>
        <v>97976.147451521843</v>
      </c>
      <c r="I46" s="644">
        <f>IF('Project Assumtions'!$H$39=0,0,I42-I44)</f>
        <v>97976.147451521843</v>
      </c>
      <c r="J46" s="644">
        <f>IF('Project Assumtions'!$H$39=0,0,J42-J44)</f>
        <v>97976.147451521843</v>
      </c>
      <c r="K46" s="644">
        <f>IF('Project Assumtions'!$H$39=0,0,K42-K44)</f>
        <v>97976.147451521843</v>
      </c>
      <c r="L46" s="644">
        <f>IF('Project Assumtions'!$H$39=0,0,L42-L44)</f>
        <v>97976.147451521843</v>
      </c>
      <c r="M46" s="644">
        <f>IF('Project Assumtions'!$H$39=0,0,M42-M44)</f>
        <v>97976.147451521843</v>
      </c>
      <c r="N46" s="644">
        <f>IF('Project Assumtions'!$H$39=0,0,N42-N44)</f>
        <v>97976.147451521843</v>
      </c>
      <c r="O46" s="644">
        <f>IF('Project Assumtions'!$H$39=0,0,O42-O44)</f>
        <v>91515.147606013823</v>
      </c>
      <c r="P46" s="644">
        <f>IF('Project Assumtions'!$H$39=0,0,P42-P44)</f>
        <v>84442.11578573368</v>
      </c>
      <c r="Q46" s="644">
        <f>IF('Project Assumtions'!$H$39=0,0,Q42-Q44)</f>
        <v>76644.701865130613</v>
      </c>
      <c r="R46" s="644">
        <f>IF('Project Assumtions'!$H$39=0,0,R42-R44)</f>
        <v>68376.240413316293</v>
      </c>
      <c r="S46" s="644">
        <f>IF('Project Assumtions'!$H$39=0,0,S42-S44)</f>
        <v>59304.450339024952</v>
      </c>
      <c r="T46" s="644">
        <f>IF('Project Assumtions'!$H$39=0,0,T42-T44)</f>
        <v>49369.327278294324</v>
      </c>
      <c r="U46" s="644">
        <f>IF('Project Assumtions'!$H$39=0,0,U42-U44)</f>
        <v>38506.415256859545</v>
      </c>
      <c r="V46" s="644">
        <f>IF('Project Assumtions'!$H$39=0,0,V42-V44)</f>
        <v>26646.464816104948</v>
      </c>
      <c r="W46" s="644">
        <f>IF('Project Assumtions'!$H$39=0,0,W42-W44)</f>
        <v>13715.064098707213</v>
      </c>
      <c r="X46" s="644">
        <f>IF('Project Assumtions'!$H$39=0,0,X42-X44)</f>
        <v>-1.2369127944111824E-10</v>
      </c>
      <c r="Y46" s="644">
        <f>IF('Project Assumtions'!$H$39=0,0,Y42-Y44)</f>
        <v>0</v>
      </c>
      <c r="Z46" s="644">
        <f>IF('Project Assumtions'!$H$39=0,0,Z42-Z44)</f>
        <v>0</v>
      </c>
      <c r="AA46" s="644">
        <f>IF('Project Assumtions'!$H$39=0,0,AA42-AA44)</f>
        <v>0</v>
      </c>
      <c r="AB46" s="644">
        <f>IF('Project Assumtions'!$H$39=0,0,AB42-AB44)</f>
        <v>0</v>
      </c>
      <c r="AC46" s="645">
        <f>IF('Project Assumtions'!$H$39=0,0,AC42-AC44)</f>
        <v>0</v>
      </c>
      <c r="AD46" s="204"/>
      <c r="AE46" s="204"/>
      <c r="AF46" s="204"/>
    </row>
    <row r="47" spans="1:32" s="47" customFormat="1" ht="12.6" customHeight="1">
      <c r="A47" s="675" t="s">
        <v>205</v>
      </c>
      <c r="B47" s="676"/>
      <c r="C47" s="676"/>
      <c r="D47" s="664"/>
      <c r="E47" s="677">
        <f>IF('Project Assumtions'!H39&gt;0,SUMPRODUCT(E4:AC4,E44:AC44)/B21,0)</f>
        <v>16.190242122051203</v>
      </c>
      <c r="F47" s="665"/>
      <c r="G47" s="665"/>
      <c r="H47" s="665"/>
      <c r="I47" s="665"/>
      <c r="J47" s="665"/>
      <c r="K47" s="665"/>
      <c r="L47" s="665"/>
      <c r="M47" s="665"/>
      <c r="N47" s="665"/>
      <c r="O47" s="665"/>
      <c r="P47" s="665"/>
      <c r="Q47" s="665"/>
      <c r="R47" s="665"/>
      <c r="S47" s="665"/>
      <c r="T47" s="665"/>
      <c r="U47" s="665"/>
      <c r="V47" s="665"/>
      <c r="W47" s="665"/>
      <c r="X47" s="665"/>
      <c r="Y47" s="665"/>
      <c r="Z47" s="665"/>
      <c r="AA47" s="665"/>
      <c r="AB47" s="665"/>
      <c r="AC47" s="666"/>
      <c r="AD47" s="204"/>
      <c r="AE47" s="204"/>
      <c r="AF47" s="204"/>
    </row>
    <row r="48" spans="1:32" s="47" customFormat="1" ht="12.6" customHeight="1">
      <c r="A48" s="88"/>
      <c r="B48" s="210"/>
      <c r="C48" s="210"/>
      <c r="D48" s="204"/>
      <c r="E48" s="211"/>
      <c r="F48" s="211"/>
      <c r="G48" s="211"/>
      <c r="H48" s="211"/>
      <c r="I48" s="211"/>
      <c r="J48" s="211"/>
      <c r="K48" s="211"/>
      <c r="L48" s="211"/>
      <c r="M48" s="211"/>
      <c r="N48" s="211"/>
      <c r="O48" s="211"/>
      <c r="P48" s="211"/>
      <c r="Q48" s="211"/>
      <c r="R48" s="211"/>
      <c r="S48" s="211"/>
      <c r="T48" s="211"/>
      <c r="U48" s="211"/>
      <c r="V48" s="211"/>
      <c r="W48" s="211"/>
      <c r="X48" s="211"/>
      <c r="Y48" s="211"/>
      <c r="Z48" s="211"/>
      <c r="AA48" s="211"/>
      <c r="AB48" s="211"/>
      <c r="AC48" s="211"/>
      <c r="AD48" s="204"/>
      <c r="AE48" s="204"/>
      <c r="AF48" s="204"/>
    </row>
    <row r="49" spans="1:33" s="47" customFormat="1" ht="13.8" thickBot="1">
      <c r="A49" s="204"/>
      <c r="B49" s="204"/>
      <c r="C49" s="204"/>
      <c r="D49" s="204"/>
      <c r="E49" s="206"/>
      <c r="F49" s="206"/>
      <c r="G49" s="206"/>
      <c r="H49" s="206"/>
      <c r="I49" s="206"/>
      <c r="J49" s="206"/>
      <c r="K49" s="206"/>
      <c r="L49" s="206"/>
      <c r="M49" s="206"/>
      <c r="N49" s="206"/>
      <c r="O49" s="206"/>
      <c r="P49" s="206"/>
      <c r="Q49" s="206"/>
      <c r="R49" s="206"/>
      <c r="S49" s="206"/>
      <c r="T49" s="206"/>
      <c r="U49" s="206"/>
      <c r="V49" s="206"/>
      <c r="W49" s="206"/>
      <c r="X49" s="206"/>
      <c r="Y49" s="206"/>
      <c r="Z49" s="206"/>
      <c r="AA49" s="206"/>
      <c r="AB49" s="206"/>
      <c r="AC49" s="206"/>
      <c r="AD49" s="204"/>
      <c r="AE49" s="204"/>
      <c r="AF49" s="204"/>
    </row>
    <row r="50" spans="1:33" s="47" customFormat="1">
      <c r="A50" s="689" t="s">
        <v>202</v>
      </c>
      <c r="B50" s="690"/>
      <c r="C50" s="690"/>
      <c r="D50" s="690"/>
      <c r="E50" s="691"/>
      <c r="F50" s="691"/>
      <c r="G50" s="691"/>
      <c r="H50" s="691"/>
      <c r="I50" s="691"/>
      <c r="J50" s="691"/>
      <c r="K50" s="691"/>
      <c r="L50" s="691"/>
      <c r="M50" s="691"/>
      <c r="N50" s="691"/>
      <c r="O50" s="691"/>
      <c r="P50" s="691"/>
      <c r="Q50" s="691"/>
      <c r="R50" s="691"/>
      <c r="S50" s="691"/>
      <c r="T50" s="691"/>
      <c r="U50" s="691"/>
      <c r="V50" s="691"/>
      <c r="W50" s="691"/>
      <c r="X50" s="691"/>
      <c r="Y50" s="691"/>
      <c r="Z50" s="691"/>
      <c r="AA50" s="691"/>
      <c r="AB50" s="691"/>
      <c r="AC50" s="692"/>
      <c r="AD50" s="204"/>
      <c r="AE50" s="204"/>
      <c r="AF50" s="204"/>
    </row>
    <row r="51" spans="1:33" s="47" customFormat="1">
      <c r="A51" s="693" t="s">
        <v>97</v>
      </c>
      <c r="B51" s="649"/>
      <c r="C51" s="649"/>
      <c r="D51" s="649"/>
      <c r="E51" s="644">
        <f>IF('Project Assumtions'!$I$34="Normal",E26+E34+E42,E68+E82+E96)</f>
        <v>120586.8645</v>
      </c>
      <c r="F51" s="644">
        <f>IF('Project Assumtions'!$I$34="Normal",F26+F34+F42,F68+F82+F96)</f>
        <v>115763.38991999999</v>
      </c>
      <c r="G51" s="644">
        <f>IF('Project Assumtions'!$I$34="Normal",G26+G34+G42,G68+G82+G96)</f>
        <v>110939.91534000001</v>
      </c>
      <c r="H51" s="644">
        <f>IF('Project Assumtions'!$I$34="Normal",H26+H34+H42,H68+H82+H96)</f>
        <v>104307.6377925</v>
      </c>
      <c r="I51" s="644">
        <f>IF('Project Assumtions'!$I$34="Normal",I26+I34+I42,I68+I82+I96)</f>
        <v>95866.557277499989</v>
      </c>
      <c r="J51" s="644">
        <f>IF('Project Assumtions'!$I$34="Normal",J26+J34+J42,J68+J82+J96)</f>
        <v>90946.613205899994</v>
      </c>
      <c r="K51" s="644">
        <f>IF('Project Assumtions'!$I$34="Normal",K26+K34+K42,K68+K82+K96)</f>
        <v>86026.669134299998</v>
      </c>
      <c r="L51" s="644">
        <f>IF('Project Assumtions'!$I$34="Normal",L26+L34+L42,L68+L82+L96)</f>
        <v>80455.555994399998</v>
      </c>
      <c r="M51" s="644">
        <f>IF('Project Assumtions'!$I$34="Normal",M26+M34+M42,M68+M82+M96)</f>
        <v>74884.442854499997</v>
      </c>
      <c r="N51" s="644">
        <f>IF('Project Assumtions'!$I$34="Normal",N26+N34+N42,N68+N82+N96)</f>
        <v>65695.723779599997</v>
      </c>
      <c r="O51" s="644">
        <f>IF('Project Assumtions'!$I$34="Normal",O26+O34+O42,O68+O82+O96)</f>
        <v>54047.032668899992</v>
      </c>
      <c r="P51" s="644">
        <f>IF('Project Assumtions'!$I$34="Normal",P26+P34+P42,P68+P82+P96)</f>
        <v>51442.356395699993</v>
      </c>
      <c r="Q51" s="644">
        <f>IF('Project Assumtions'!$I$34="Normal",Q26+Q34+Q42,Q68+Q82+Q96)</f>
        <v>48186.511054199989</v>
      </c>
      <c r="R51" s="644">
        <f>IF('Project Assumtions'!$I$34="Normal",R26+R34+R42,R68+R82+R96)</f>
        <v>44930.665712699993</v>
      </c>
      <c r="S51" s="644">
        <f>IF('Project Assumtions'!$I$34="Normal",S26+S34+S42,S68+S82+S96)</f>
        <v>41674.820371199996</v>
      </c>
      <c r="T51" s="644">
        <f>IF('Project Assumtions'!$I$34="Normal",T26+T34+T42,T68+T82+T96)</f>
        <v>38418.975029699999</v>
      </c>
      <c r="U51" s="644">
        <f>IF('Project Assumtions'!$I$34="Normal",U26+U34+U42,U68+U82+U96)</f>
        <v>35163.129688200002</v>
      </c>
      <c r="V51" s="644">
        <f>IF('Project Assumtions'!$I$34="Normal",V26+V34+V42,V68+V82+V96)</f>
        <v>28651.439005200002</v>
      </c>
      <c r="W51" s="644">
        <f>IF('Project Assumtions'!$I$34="Normal",W26+W34+W42,W68+W82+W96)</f>
        <v>20837.410185600002</v>
      </c>
      <c r="X51" s="644">
        <f>IF('Project Assumtions'!$I$34="Normal",X26+X34+X42,X68+X82+X96)</f>
        <v>11069.874161100002</v>
      </c>
      <c r="Y51" s="644">
        <f>IF('Project Assumtions'!$I$34="Normal",Y26+Y34+Y42,Y68+Y82+Y96)</f>
        <v>0</v>
      </c>
      <c r="Z51" s="644">
        <f>IF('Project Assumtions'!$I$34="Normal",Z26+Z34+Z42,Z68+Z82+Z96)</f>
        <v>0</v>
      </c>
      <c r="AA51" s="644">
        <f>IF('Project Assumtions'!$I$34="Normal",AA26+AA34+AA42,AA68+AA82+AA96)</f>
        <v>0</v>
      </c>
      <c r="AB51" s="644">
        <f>IF('Project Assumtions'!$I$34="Normal",AB26+AB34+AB42,AB68+AB82+AB96)</f>
        <v>0</v>
      </c>
      <c r="AC51" s="694">
        <f>IF('Project Assumtions'!$I$34="Normal",AC26+AC34+AC42,AC68+AC82+AC96)</f>
        <v>0</v>
      </c>
      <c r="AD51" s="204"/>
      <c r="AE51" s="204"/>
      <c r="AF51" s="204"/>
    </row>
    <row r="52" spans="1:33" s="47" customFormat="1">
      <c r="A52" s="693" t="s">
        <v>98</v>
      </c>
      <c r="B52" s="649"/>
      <c r="C52" s="649"/>
      <c r="D52" s="649"/>
      <c r="E52" s="654">
        <f>IF('Project Assumtions'!$I$34="Normal",E27+E35+E43,E69+E83+E97)</f>
        <v>9363.5700284249997</v>
      </c>
      <c r="F52" s="654">
        <f>IF('Project Assumtions'!$I$34="Normal",F27+F35+F43,F69+F83+F97)</f>
        <v>9038.9501891910004</v>
      </c>
      <c r="G52" s="654">
        <f>IF('Project Assumtions'!$I$34="Normal",G27+G35+G43,G69+G83+G97)</f>
        <v>8714.3303499569993</v>
      </c>
      <c r="H52" s="654">
        <f>IF('Project Assumtions'!$I$34="Normal",H27+H35+H43,H69+H83+H97)</f>
        <v>8252.7841260832502</v>
      </c>
      <c r="I52" s="654">
        <f>IF('Project Assumtions'!$I$34="Normal",I27+I35+I43,I69+I83+I97)</f>
        <v>7654.3115175697494</v>
      </c>
      <c r="J52" s="654">
        <f>IF('Project Assumtions'!$I$34="Normal",J27+J35+J43,J69+J83+J97)</f>
        <v>7273.9274887163692</v>
      </c>
      <c r="K52" s="654">
        <f>IF('Project Assumtions'!$I$34="Normal",K27+K35+K43,K69+K83+K97)</f>
        <v>6893.543459862989</v>
      </c>
      <c r="L52" s="654">
        <f>IF('Project Assumtions'!$I$34="Normal",L27+L35+L43,L69+L83+L97)</f>
        <v>6459.893801222669</v>
      </c>
      <c r="M52" s="654">
        <f>IF('Project Assumtions'!$I$34="Normal",M27+M35+M43,M69+M83+M97)</f>
        <v>6026.244142582349</v>
      </c>
      <c r="N52" s="654">
        <f>IF('Project Assumtions'!$I$34="Normal",N27+N35+N43,N69+N83+N97)</f>
        <v>5318.7417146625294</v>
      </c>
      <c r="O52" s="654">
        <f>IF('Project Assumtions'!$I$34="Normal",O27+O35+O43,O69+O83+O97)</f>
        <v>4421.0472723160192</v>
      </c>
      <c r="P52" s="654">
        <f>IF('Project Assumtions'!$I$34="Normal",P27+P35+P43,P69+P83+P97)</f>
        <v>4207.984753168259</v>
      </c>
      <c r="Q52" s="654">
        <f>IF('Project Assumtions'!$I$34="Normal",Q27+Q35+Q43,Q69+Q83+Q97)</f>
        <v>3941.6566042335589</v>
      </c>
      <c r="R52" s="654">
        <f>IF('Project Assumtions'!$I$34="Normal",R27+R35+R43,R69+R83+R97)</f>
        <v>3675.3284552988594</v>
      </c>
      <c r="S52" s="654">
        <f>IF('Project Assumtions'!$I$34="Normal",S27+S35+S43,S69+S83+S97)</f>
        <v>3409.0003063641598</v>
      </c>
      <c r="T52" s="654">
        <f>IF('Project Assumtions'!$I$34="Normal",T27+T35+T43,T69+T83+T97)</f>
        <v>3142.6721574294597</v>
      </c>
      <c r="U52" s="654">
        <f>IF('Project Assumtions'!$I$34="Normal",U27+U35+U43,U69+U83+U97)</f>
        <v>2876.3440084947601</v>
      </c>
      <c r="V52" s="654">
        <f>IF('Project Assumtions'!$I$34="Normal",V27+V35+V43,V69+V83+V97)</f>
        <v>2343.6877106253601</v>
      </c>
      <c r="W52" s="654">
        <f>IF('Project Assumtions'!$I$34="Normal",W27+W35+W43,W69+W83+W97)</f>
        <v>1704.5001531820801</v>
      </c>
      <c r="X52" s="654">
        <f>IF('Project Assumtions'!$I$34="Normal",X27+X35+X43,X69+X83+X97)</f>
        <v>905.51570637798011</v>
      </c>
      <c r="Y52" s="654">
        <f>IF('Project Assumtions'!$I$34="Normal",Y27+Y35+Y43,Y69+Y83+Y97)</f>
        <v>0</v>
      </c>
      <c r="Z52" s="654">
        <f>IF('Project Assumtions'!$I$34="Normal",Z27+Z35+Z43,Z69+Z83+Z97)</f>
        <v>0</v>
      </c>
      <c r="AA52" s="654">
        <f>IF('Project Assumtions'!$I$34="Normal",AA27+AA35+AA43,AA69+AA83+AA97)</f>
        <v>0</v>
      </c>
      <c r="AB52" s="654">
        <f>IF('Project Assumtions'!$I$34="Normal",AB27+AB35+AB43,AB69+AB83+AB97)</f>
        <v>0</v>
      </c>
      <c r="AC52" s="695">
        <f>IF('Project Assumtions'!$I$34="Normal",AC27+AC35+AC43,AC69+AC83+AC97)</f>
        <v>0</v>
      </c>
      <c r="AD52" s="204"/>
      <c r="AE52" s="204"/>
      <c r="AF52" s="204"/>
    </row>
    <row r="53" spans="1:33" s="47" customFormat="1">
      <c r="A53" s="693" t="s">
        <v>99</v>
      </c>
      <c r="B53" s="649"/>
      <c r="C53" s="649"/>
      <c r="D53" s="649"/>
      <c r="E53" s="654">
        <f>IF('Project Assumtions'!$I$34="Normal",E28+E36+E44,E70+E84+E98)</f>
        <v>4823.4745800000001</v>
      </c>
      <c r="F53" s="654">
        <f>IF('Project Assumtions'!$I$34="Normal",F28+F36+F44,F70+F84+F98)</f>
        <v>4823.4745800000001</v>
      </c>
      <c r="G53" s="654">
        <f>IF('Project Assumtions'!$I$34="Normal",G28+G36+G44,G70+G84+G98)</f>
        <v>6632.2775474999999</v>
      </c>
      <c r="H53" s="654">
        <f>IF('Project Assumtions'!$I$34="Normal",H28+H36+H44,H70+H84+H98)</f>
        <v>8441.0805149999997</v>
      </c>
      <c r="I53" s="654">
        <f>IF('Project Assumtions'!$I$34="Normal",I28+I36+I44,I70+I84+I98)</f>
        <v>4919.9440715999999</v>
      </c>
      <c r="J53" s="654">
        <f>IF('Project Assumtions'!$I$34="Normal",J28+J36+J44,J70+J84+J98)</f>
        <v>4919.9440715999999</v>
      </c>
      <c r="K53" s="654">
        <f>IF('Project Assumtions'!$I$34="Normal",K28+K36+K44,K70+K84+K98)</f>
        <v>5571.1131398999996</v>
      </c>
      <c r="L53" s="654">
        <f>IF('Project Assumtions'!$I$34="Normal",L28+L36+L44,L70+L84+L98)</f>
        <v>5571.1131398999996</v>
      </c>
      <c r="M53" s="654">
        <f>IF('Project Assumtions'!$I$34="Normal",M28+M36+M44,M70+M84+M98)</f>
        <v>9188.7190749000001</v>
      </c>
      <c r="N53" s="654">
        <f>IF('Project Assumtions'!$I$34="Normal",N28+N36+N44,N70+N84+N98)</f>
        <v>11648.6911107</v>
      </c>
      <c r="O53" s="654">
        <f>IF('Project Assumtions'!$I$34="Normal",O28+O36+O44,O70+O84+O98)</f>
        <v>2604.6762732000002</v>
      </c>
      <c r="P53" s="654">
        <f>IF('Project Assumtions'!$I$34="Normal",P28+P36+P44,P70+P84+P98)</f>
        <v>3255.8453415000004</v>
      </c>
      <c r="Q53" s="654">
        <f>IF('Project Assumtions'!$I$34="Normal",Q28+Q36+Q44,Q70+Q84+Q98)</f>
        <v>3255.8453415000004</v>
      </c>
      <c r="R53" s="654">
        <f>IF('Project Assumtions'!$I$34="Normal",R28+R36+R44,R70+R84+R98)</f>
        <v>3255.8453415000004</v>
      </c>
      <c r="S53" s="654">
        <f>IF('Project Assumtions'!$I$34="Normal",S28+S36+S44,S70+S84+S98)</f>
        <v>3255.8453415000004</v>
      </c>
      <c r="T53" s="654">
        <f>IF('Project Assumtions'!$I$34="Normal",T28+T36+T44,T70+T84+T98)</f>
        <v>3255.8453415000004</v>
      </c>
      <c r="U53" s="654">
        <f>IF('Project Assumtions'!$I$34="Normal",U28+U36+U44,U70+U84+U98)</f>
        <v>6511.6906830000007</v>
      </c>
      <c r="V53" s="654">
        <f>IF('Project Assumtions'!$I$34="Normal",V28+V36+V44,V70+V84+V98)</f>
        <v>7814.0288196000001</v>
      </c>
      <c r="W53" s="654">
        <f>IF('Project Assumtions'!$I$34="Normal",W28+W36+W44,W70+W84+W98)</f>
        <v>9767.5360244999993</v>
      </c>
      <c r="X53" s="654">
        <f>IF('Project Assumtions'!$I$34="Normal",X28+X36+X44,X70+X84+X98)</f>
        <v>11069.8741611</v>
      </c>
      <c r="Y53" s="654">
        <f>IF('Project Assumtions'!$I$34="Normal",Y28+Y36+Y44,Y70+Y84+Y98)</f>
        <v>0</v>
      </c>
      <c r="Z53" s="654">
        <f>IF('Project Assumtions'!$I$34="Normal",Z28+Z36+Z44,Z70+Z84+Z98)</f>
        <v>0</v>
      </c>
      <c r="AA53" s="654">
        <f>IF('Project Assumtions'!$I$34="Normal",AA28+AA36+AA44,AA70+AA84+AA98)</f>
        <v>0</v>
      </c>
      <c r="AB53" s="654">
        <f>IF('Project Assumtions'!$I$34="Normal",AB28+AB36+AB44,AB70+AB84+AB98)</f>
        <v>0</v>
      </c>
      <c r="AC53" s="695">
        <f>IF('Project Assumtions'!$I$34="Normal",AC28+AC36+AC44,AC70+AC84+AC98)</f>
        <v>0</v>
      </c>
      <c r="AD53" s="204"/>
      <c r="AE53" s="204"/>
      <c r="AF53" s="204"/>
    </row>
    <row r="54" spans="1:33" s="47" customFormat="1">
      <c r="A54" s="693" t="s">
        <v>100</v>
      </c>
      <c r="B54" s="649"/>
      <c r="C54" s="649"/>
      <c r="D54" s="649"/>
      <c r="E54" s="654">
        <f>IF('Project Assumtions'!$I$34="Normal",E29+E37+E45,E71+E85+E99)</f>
        <v>14187.044608425</v>
      </c>
      <c r="F54" s="654">
        <f>IF('Project Assumtions'!$I$34="Normal",F29+F37+F45,F71+F85+F99)</f>
        <v>13862.424769190999</v>
      </c>
      <c r="G54" s="654">
        <f>IF('Project Assumtions'!$I$34="Normal",G29+G37+G45,G71+G85+G99)</f>
        <v>15346.607897457001</v>
      </c>
      <c r="H54" s="654">
        <f>IF('Project Assumtions'!$I$34="Normal",H29+H37+H45,H71+H85+H99)</f>
        <v>16693.864641083252</v>
      </c>
      <c r="I54" s="654">
        <f>IF('Project Assumtions'!$I$34="Normal",I29+I37+I45,I71+I85+I99)</f>
        <v>12574.25558916975</v>
      </c>
      <c r="J54" s="654">
        <f>IF('Project Assumtions'!$I$34="Normal",J29+J37+J45,J71+J85+J99)</f>
        <v>12193.871560316369</v>
      </c>
      <c r="K54" s="654">
        <f>IF('Project Assumtions'!$I$34="Normal",K29+K37+K45,K71+K85+K99)</f>
        <v>12464.656599762988</v>
      </c>
      <c r="L54" s="654">
        <f>IF('Project Assumtions'!$I$34="Normal",L29+L37+L45,L71+L85+L99)</f>
        <v>12031.006941122669</v>
      </c>
      <c r="M54" s="654">
        <f>IF('Project Assumtions'!$I$34="Normal",M29+M37+M45,M71+M85+M99)</f>
        <v>15214.963217482349</v>
      </c>
      <c r="N54" s="654">
        <f>IF('Project Assumtions'!$I$34="Normal",N29+N37+N45,N71+N85+N99)</f>
        <v>16967.432825362528</v>
      </c>
      <c r="O54" s="654">
        <f>IF('Project Assumtions'!$I$34="Normal",O29+O37+O45,O71+O85+O99)</f>
        <v>7025.7235455160189</v>
      </c>
      <c r="P54" s="654">
        <f>IF('Project Assumtions'!$I$34="Normal",P29+P37+P45,P71+P85+P99)</f>
        <v>7463.8300946682593</v>
      </c>
      <c r="Q54" s="654">
        <f>IF('Project Assumtions'!$I$34="Normal",Q29+Q37+Q45,Q71+Q85+Q99)</f>
        <v>7197.5019457335593</v>
      </c>
      <c r="R54" s="654">
        <f>IF('Project Assumtions'!$I$34="Normal",R29+R37+R45,R71+R85+R99)</f>
        <v>6931.1737967988593</v>
      </c>
      <c r="S54" s="654">
        <f>IF('Project Assumtions'!$I$34="Normal",S29+S37+S45,S71+S85+S99)</f>
        <v>6664.8456478641601</v>
      </c>
      <c r="T54" s="654">
        <f>IF('Project Assumtions'!$I$34="Normal",T29+T37+T45,T71+T85+T99)</f>
        <v>6398.5174989294601</v>
      </c>
      <c r="U54" s="654">
        <f>IF('Project Assumtions'!$I$34="Normal",U29+U37+U45,U71+U85+U99)</f>
        <v>9388.0346914947604</v>
      </c>
      <c r="V54" s="654">
        <f>IF('Project Assumtions'!$I$34="Normal",V29+V37+V45,V71+V85+V99)</f>
        <v>10157.71653022536</v>
      </c>
      <c r="W54" s="654">
        <f>IF('Project Assumtions'!$I$34="Normal",W29+W37+W45,W71+W85+W99)</f>
        <v>11472.036177682079</v>
      </c>
      <c r="X54" s="654">
        <f>IF('Project Assumtions'!$I$34="Normal",X29+X37+X45,X71+X85+X99)</f>
        <v>11975.389867477981</v>
      </c>
      <c r="Y54" s="654">
        <f>IF('Project Assumtions'!$I$34="Normal",Y29+Y37+Y45,Y71+Y85+Y99)</f>
        <v>0</v>
      </c>
      <c r="Z54" s="654">
        <f>IF('Project Assumtions'!$I$34="Normal",Z29+Z37+Z45,Z71+Z85+Z99)</f>
        <v>0</v>
      </c>
      <c r="AA54" s="654">
        <f>IF('Project Assumtions'!$I$34="Normal",AA29+AA37+AA45,AA71+AA85+AA99)</f>
        <v>0</v>
      </c>
      <c r="AB54" s="654">
        <f>IF('Project Assumtions'!$I$34="Normal",AB29+AB37+AB45,AB71+AB85+AB99)</f>
        <v>0</v>
      </c>
      <c r="AC54" s="695">
        <f>IF('Project Assumtions'!$I$34="Normal",AC29+AC37+AC45,AC71+AC85+AC99)</f>
        <v>0</v>
      </c>
      <c r="AD54" s="204"/>
      <c r="AE54" s="204"/>
      <c r="AF54" s="204"/>
    </row>
    <row r="55" spans="1:33" s="47" customFormat="1" ht="12.6" customHeight="1">
      <c r="A55" s="693" t="s">
        <v>101</v>
      </c>
      <c r="B55" s="696"/>
      <c r="C55" s="696"/>
      <c r="D55" s="649"/>
      <c r="E55" s="644">
        <f>IF('Project Assumtions'!$I$34="Normal",E30+E38+E46,E72+E86+E100)</f>
        <v>115763.38991999999</v>
      </c>
      <c r="F55" s="644">
        <f>IF('Project Assumtions'!$I$34="Normal",F30+F38+F46,F72+F86+F100)</f>
        <v>110939.91534000001</v>
      </c>
      <c r="G55" s="644">
        <f>IF('Project Assumtions'!$I$34="Normal",G30+G38+G46,G72+G86+G100)</f>
        <v>104307.6377925</v>
      </c>
      <c r="H55" s="644">
        <f>IF('Project Assumtions'!$I$34="Normal",H30+H38+H46,H72+H86+H100)</f>
        <v>95866.557277499989</v>
      </c>
      <c r="I55" s="644">
        <f>IF('Project Assumtions'!$I$34="Normal",I30+I38+I46,I72+I86+I100)</f>
        <v>90946.613205899994</v>
      </c>
      <c r="J55" s="644">
        <f>IF('Project Assumtions'!$I$34="Normal",J30+J38+J46,J72+J86+J100)</f>
        <v>86026.669134299998</v>
      </c>
      <c r="K55" s="644">
        <f>IF('Project Assumtions'!$I$34="Normal",K30+K38+K46,K72+K86+K100)</f>
        <v>80455.555994399998</v>
      </c>
      <c r="L55" s="644">
        <f>IF('Project Assumtions'!$I$34="Normal",L30+L38+L46,L72+L86+L100)</f>
        <v>74884.442854499997</v>
      </c>
      <c r="M55" s="644">
        <f>IF('Project Assumtions'!$I$34="Normal",M30+M38+M46,M72+M86+M100)</f>
        <v>65695.723779599997</v>
      </c>
      <c r="N55" s="644">
        <f>IF('Project Assumtions'!$I$34="Normal",N30+N38+N46,N72+N86+N100)</f>
        <v>54047.032668899992</v>
      </c>
      <c r="O55" s="644">
        <f>IF('Project Assumtions'!$I$34="Normal",O30+O38+O46,O72+O86+O100)</f>
        <v>51442.356395699993</v>
      </c>
      <c r="P55" s="644">
        <f>IF('Project Assumtions'!$I$34="Normal",P30+P38+P46,P72+P86+P100)</f>
        <v>48186.511054199989</v>
      </c>
      <c r="Q55" s="644">
        <f>IF('Project Assumtions'!$I$34="Normal",Q30+Q38+Q46,Q72+Q86+Q100)</f>
        <v>44930.665712699993</v>
      </c>
      <c r="R55" s="644">
        <f>IF('Project Assumtions'!$I$34="Normal",R30+R38+R46,R72+R86+R100)</f>
        <v>41674.820371199996</v>
      </c>
      <c r="S55" s="644">
        <f>IF('Project Assumtions'!$I$34="Normal",S30+S38+S46,S72+S86+S100)</f>
        <v>38418.975029699999</v>
      </c>
      <c r="T55" s="644">
        <f>IF('Project Assumtions'!$I$34="Normal",T30+T38+T46,T72+T86+T100)</f>
        <v>35163.129688200002</v>
      </c>
      <c r="U55" s="644">
        <f>IF('Project Assumtions'!$I$34="Normal",U30+U38+U46,U72+U86+U100)</f>
        <v>28651.439005200002</v>
      </c>
      <c r="V55" s="644">
        <f>IF('Project Assumtions'!$I$34="Normal",V30+V38+V46,V72+V86+V100)</f>
        <v>20837.410185600002</v>
      </c>
      <c r="W55" s="644">
        <f>IF('Project Assumtions'!$I$34="Normal",W30+W38+W46,W72+W86+W100)</f>
        <v>11069.874161100002</v>
      </c>
      <c r="X55" s="644">
        <f>IF('Project Assumtions'!$I$34="Normal",X30+X38+X46,X72+X86+X100)</f>
        <v>0</v>
      </c>
      <c r="Y55" s="644">
        <f>IF('Project Assumtions'!$I$34="Normal",Y30+Y38+Y46,Y72+Y86+Y100)</f>
        <v>0</v>
      </c>
      <c r="Z55" s="644">
        <f>IF('Project Assumtions'!$I$34="Normal",Z30+Z38+Z46,Z72+Z86+Z100)</f>
        <v>0</v>
      </c>
      <c r="AA55" s="644">
        <f>IF('Project Assumtions'!$I$34="Normal",AA30+AA38+AA46,AA72+AA86+AA100)</f>
        <v>0</v>
      </c>
      <c r="AB55" s="644">
        <f>IF('Project Assumtions'!$I$34="Normal",AB30+AB38+AB46,AB72+AB86+AB100)</f>
        <v>0</v>
      </c>
      <c r="AC55" s="694">
        <f>IF('Project Assumtions'!$I$34="Normal",AC30+AC38+AC46,AC72+AC86+AC100)</f>
        <v>0</v>
      </c>
      <c r="AD55" s="204"/>
      <c r="AE55" s="204"/>
      <c r="AF55" s="204"/>
    </row>
    <row r="56" spans="1:33" s="47" customFormat="1" ht="12.6" customHeight="1">
      <c r="A56" s="693" t="s">
        <v>205</v>
      </c>
      <c r="B56" s="696"/>
      <c r="C56" s="696"/>
      <c r="D56" s="649"/>
      <c r="E56" s="697">
        <f>SUMPRODUCT(E4:AC4,E53:AC53)/B22</f>
        <v>6.6013589133415289</v>
      </c>
      <c r="F56" s="654"/>
      <c r="G56" s="654"/>
      <c r="H56" s="654"/>
      <c r="I56" s="654"/>
      <c r="J56" s="654"/>
      <c r="K56" s="654"/>
      <c r="L56" s="654"/>
      <c r="M56" s="654"/>
      <c r="N56" s="654"/>
      <c r="O56" s="654"/>
      <c r="P56" s="654"/>
      <c r="Q56" s="654"/>
      <c r="R56" s="654"/>
      <c r="S56" s="654"/>
      <c r="T56" s="654"/>
      <c r="U56" s="654"/>
      <c r="V56" s="654"/>
      <c r="W56" s="654"/>
      <c r="X56" s="654"/>
      <c r="Y56" s="654"/>
      <c r="Z56" s="654"/>
      <c r="AA56" s="654"/>
      <c r="AB56" s="654"/>
      <c r="AC56" s="695"/>
      <c r="AD56" s="204"/>
      <c r="AE56" s="204"/>
      <c r="AF56" s="204"/>
    </row>
    <row r="57" spans="1:33" s="48" customFormat="1" ht="12.6" customHeight="1">
      <c r="A57" s="698"/>
      <c r="B57" s="699"/>
      <c r="C57" s="699"/>
      <c r="D57" s="175"/>
      <c r="E57" s="700"/>
      <c r="F57" s="700"/>
      <c r="G57" s="700"/>
      <c r="H57" s="700"/>
      <c r="I57" s="700"/>
      <c r="J57" s="700"/>
      <c r="K57" s="700"/>
      <c r="L57" s="700"/>
      <c r="M57" s="700"/>
      <c r="N57" s="700"/>
      <c r="O57" s="700"/>
      <c r="P57" s="700"/>
      <c r="Q57" s="700"/>
      <c r="R57" s="700"/>
      <c r="S57" s="700"/>
      <c r="T57" s="700"/>
      <c r="U57" s="700"/>
      <c r="V57" s="700"/>
      <c r="W57" s="700"/>
      <c r="X57" s="700"/>
      <c r="Y57" s="700"/>
      <c r="Z57" s="700"/>
      <c r="AA57" s="700"/>
      <c r="AB57" s="700"/>
      <c r="AC57" s="701"/>
      <c r="AD57" s="60"/>
      <c r="AE57" s="60"/>
      <c r="AF57" s="60"/>
    </row>
    <row r="58" spans="1:33" s="48" customFormat="1" ht="12.6" customHeight="1" thickBot="1">
      <c r="A58" s="702" t="s">
        <v>204</v>
      </c>
      <c r="B58" s="703"/>
      <c r="C58" s="703"/>
      <c r="D58" s="704"/>
      <c r="E58" s="705">
        <f t="shared" ref="E58:AC58" si="3">E45+E37+E29</f>
        <v>8932.1418916929888</v>
      </c>
      <c r="F58" s="705">
        <f t="shared" si="3"/>
        <v>15505.734069204151</v>
      </c>
      <c r="G58" s="705">
        <f t="shared" si="3"/>
        <v>15383.068255851007</v>
      </c>
      <c r="H58" s="705">
        <f t="shared" si="3"/>
        <v>20965.427630178267</v>
      </c>
      <c r="I58" s="705">
        <f t="shared" si="3"/>
        <v>13388.84162833968</v>
      </c>
      <c r="J58" s="705">
        <f t="shared" si="3"/>
        <v>13774.686203388614</v>
      </c>
      <c r="K58" s="705">
        <f t="shared" si="3"/>
        <v>13906.065830053751</v>
      </c>
      <c r="L58" s="705">
        <f t="shared" si="3"/>
        <v>14026.152224973444</v>
      </c>
      <c r="M58" s="705">
        <f t="shared" si="3"/>
        <v>14159.262427452248</v>
      </c>
      <c r="N58" s="705">
        <f t="shared" si="3"/>
        <v>14319.467133293976</v>
      </c>
      <c r="O58" s="705">
        <f t="shared" si="3"/>
        <v>14475.448707042506</v>
      </c>
      <c r="P58" s="705">
        <f t="shared" si="3"/>
        <v>14558.970894452077</v>
      </c>
      <c r="Q58" s="705">
        <f t="shared" si="3"/>
        <v>14704.778991876077</v>
      </c>
      <c r="R58" s="705">
        <f t="shared" si="3"/>
        <v>14537.998064382013</v>
      </c>
      <c r="S58" s="705">
        <f t="shared" si="3"/>
        <v>14664.966540100611</v>
      </c>
      <c r="T58" s="705">
        <f t="shared" si="3"/>
        <v>14786.227098462867</v>
      </c>
      <c r="U58" s="705">
        <f t="shared" si="3"/>
        <v>14901.322992799256</v>
      </c>
      <c r="V58" s="705">
        <f t="shared" si="3"/>
        <v>15009.77520876571</v>
      </c>
      <c r="W58" s="705">
        <f t="shared" si="3"/>
        <v>15111.08153935512</v>
      </c>
      <c r="X58" s="705">
        <f t="shared" si="3"/>
        <v>14836.956341981586</v>
      </c>
      <c r="Y58" s="705">
        <f t="shared" si="3"/>
        <v>0</v>
      </c>
      <c r="Z58" s="705">
        <f t="shared" si="3"/>
        <v>0</v>
      </c>
      <c r="AA58" s="705">
        <f t="shared" si="3"/>
        <v>0</v>
      </c>
      <c r="AB58" s="705">
        <f t="shared" si="3"/>
        <v>0</v>
      </c>
      <c r="AC58" s="706">
        <f t="shared" si="3"/>
        <v>0</v>
      </c>
      <c r="AD58" s="60"/>
      <c r="AE58" s="60"/>
      <c r="AF58" s="60"/>
    </row>
    <row r="59" spans="1:33" s="48" customFormat="1" ht="12.6" customHeight="1">
      <c r="A59" s="60"/>
      <c r="B59" s="157"/>
      <c r="C59" s="157"/>
      <c r="D59" s="60"/>
      <c r="E59" s="208"/>
      <c r="F59" s="208"/>
      <c r="G59" s="208"/>
      <c r="H59" s="208"/>
      <c r="I59" s="208"/>
      <c r="J59" s="208"/>
      <c r="K59" s="208"/>
      <c r="L59" s="208"/>
      <c r="M59" s="208"/>
      <c r="N59" s="208"/>
      <c r="O59" s="208"/>
      <c r="P59" s="208"/>
      <c r="Q59" s="208"/>
      <c r="R59" s="208"/>
      <c r="S59" s="208"/>
      <c r="T59" s="208"/>
      <c r="U59" s="208"/>
      <c r="V59" s="208"/>
      <c r="W59" s="208"/>
      <c r="X59" s="208"/>
      <c r="Y59" s="208"/>
      <c r="Z59" s="208"/>
      <c r="AA59" s="208"/>
      <c r="AB59" s="208"/>
      <c r="AC59" s="208"/>
      <c r="AD59" s="60"/>
      <c r="AE59" s="60"/>
      <c r="AF59" s="60"/>
    </row>
    <row r="60" spans="1:33" s="48" customFormat="1" ht="12.6" customHeight="1">
      <c r="A60" s="60"/>
      <c r="B60" s="157"/>
      <c r="C60" s="157"/>
      <c r="D60" s="60"/>
      <c r="E60" s="208"/>
      <c r="F60" s="208"/>
      <c r="G60" s="208"/>
      <c r="H60" s="208"/>
      <c r="I60" s="208"/>
      <c r="J60" s="208"/>
      <c r="K60" s="208"/>
      <c r="L60" s="208"/>
      <c r="M60" s="208"/>
      <c r="N60" s="208"/>
      <c r="O60" s="208"/>
      <c r="P60" s="208"/>
      <c r="Q60" s="208"/>
      <c r="R60" s="208"/>
      <c r="S60" s="208"/>
      <c r="T60" s="208"/>
      <c r="U60" s="208"/>
      <c r="V60" s="208"/>
      <c r="W60" s="208"/>
      <c r="X60" s="208"/>
      <c r="Y60" s="208"/>
      <c r="Z60" s="208"/>
      <c r="AA60" s="208"/>
      <c r="AB60" s="208"/>
      <c r="AC60" s="208"/>
      <c r="AD60" s="60"/>
      <c r="AE60" s="60"/>
      <c r="AF60" s="60"/>
    </row>
    <row r="61" spans="1:33" s="48" customFormat="1" ht="12.6" customHeight="1">
      <c r="A61" s="60"/>
      <c r="B61" s="157"/>
      <c r="C61" s="157"/>
      <c r="D61" s="60"/>
      <c r="E61" s="208"/>
      <c r="F61" s="208"/>
      <c r="G61" s="208"/>
      <c r="H61" s="208"/>
      <c r="I61" s="208"/>
      <c r="J61" s="208"/>
      <c r="K61" s="208"/>
      <c r="L61" s="208"/>
      <c r="M61" s="208"/>
      <c r="N61" s="208"/>
      <c r="O61" s="208"/>
      <c r="P61" s="208"/>
      <c r="Q61" s="208"/>
      <c r="R61" s="208"/>
      <c r="S61" s="208"/>
      <c r="T61" s="208"/>
      <c r="U61" s="208"/>
      <c r="V61" s="208"/>
      <c r="W61" s="208"/>
      <c r="X61" s="208"/>
      <c r="Y61" s="208"/>
      <c r="Z61" s="208"/>
      <c r="AA61" s="208"/>
      <c r="AB61" s="208"/>
      <c r="AC61" s="208"/>
      <c r="AD61" s="60"/>
      <c r="AE61" s="60"/>
      <c r="AF61" s="60"/>
    </row>
    <row r="62" spans="1:33" s="48" customFormat="1" ht="12.6" customHeight="1">
      <c r="A62" s="69" t="s">
        <v>592</v>
      </c>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0"/>
      <c r="AF62" s="60"/>
    </row>
    <row r="63" spans="1:33" s="48" customFormat="1" ht="12.6" customHeight="1">
      <c r="A63" s="529" t="s">
        <v>593</v>
      </c>
      <c r="B63" s="980">
        <f>Principal1</f>
        <v>19293.89832</v>
      </c>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c r="AE63"/>
      <c r="AF63"/>
      <c r="AG63"/>
    </row>
    <row r="64" spans="1:33">
      <c r="A64" s="547" t="s">
        <v>201</v>
      </c>
      <c r="B64" s="981">
        <f>_Int1</f>
        <v>6.7299999999999999E-2</v>
      </c>
      <c r="AD64"/>
      <c r="AE64"/>
      <c r="AF64"/>
    </row>
    <row r="65" spans="1:53">
      <c r="A65" s="547" t="s">
        <v>184</v>
      </c>
      <c r="B65" s="580">
        <f>Term1</f>
        <v>4</v>
      </c>
      <c r="E65" s="78">
        <f>E4</f>
        <v>1</v>
      </c>
      <c r="F65" s="78">
        <f t="shared" ref="F65:AC65" si="4">F4</f>
        <v>2</v>
      </c>
      <c r="G65" s="78">
        <f t="shared" si="4"/>
        <v>3</v>
      </c>
      <c r="H65" s="78">
        <f t="shared" si="4"/>
        <v>4</v>
      </c>
      <c r="I65" s="78">
        <f t="shared" si="4"/>
        <v>5</v>
      </c>
      <c r="J65" s="78">
        <f t="shared" si="4"/>
        <v>6</v>
      </c>
      <c r="K65" s="78">
        <f t="shared" si="4"/>
        <v>7</v>
      </c>
      <c r="L65" s="78">
        <f t="shared" si="4"/>
        <v>8</v>
      </c>
      <c r="M65" s="78">
        <f t="shared" si="4"/>
        <v>9</v>
      </c>
      <c r="N65" s="78">
        <f t="shared" si="4"/>
        <v>10</v>
      </c>
      <c r="O65" s="78">
        <f t="shared" si="4"/>
        <v>11</v>
      </c>
      <c r="P65" s="78">
        <f t="shared" si="4"/>
        <v>12</v>
      </c>
      <c r="Q65" s="78">
        <f t="shared" si="4"/>
        <v>13</v>
      </c>
      <c r="R65" s="78">
        <f t="shared" si="4"/>
        <v>14</v>
      </c>
      <c r="S65" s="78">
        <f t="shared" si="4"/>
        <v>15</v>
      </c>
      <c r="T65" s="78">
        <f t="shared" si="4"/>
        <v>16</v>
      </c>
      <c r="U65" s="78">
        <f t="shared" si="4"/>
        <v>17</v>
      </c>
      <c r="V65" s="78">
        <f t="shared" si="4"/>
        <v>18</v>
      </c>
      <c r="W65" s="78">
        <f t="shared" si="4"/>
        <v>19</v>
      </c>
      <c r="X65" s="78">
        <f t="shared" si="4"/>
        <v>20</v>
      </c>
      <c r="Y65" s="78">
        <f t="shared" si="4"/>
        <v>21</v>
      </c>
      <c r="Z65" s="78">
        <f t="shared" si="4"/>
        <v>22</v>
      </c>
      <c r="AA65" s="78">
        <f t="shared" si="4"/>
        <v>23</v>
      </c>
      <c r="AB65" s="78">
        <f t="shared" si="4"/>
        <v>24</v>
      </c>
      <c r="AC65" s="78">
        <f t="shared" si="4"/>
        <v>25</v>
      </c>
      <c r="AD65"/>
      <c r="AE65"/>
      <c r="AF65"/>
    </row>
    <row r="66" spans="1:53" s="1" customFormat="1" ht="12.6" customHeight="1">
      <c r="A66" s="175"/>
      <c r="B66" s="175"/>
      <c r="C66" s="69" t="s">
        <v>594</v>
      </c>
      <c r="D66" s="60"/>
      <c r="E66" s="982">
        <f>E5</f>
        <v>2000</v>
      </c>
      <c r="F66" s="982">
        <f t="shared" ref="F66:AC66" si="5">F5</f>
        <v>2001</v>
      </c>
      <c r="G66" s="982">
        <f t="shared" si="5"/>
        <v>2002</v>
      </c>
      <c r="H66" s="982">
        <f t="shared" si="5"/>
        <v>2003</v>
      </c>
      <c r="I66" s="982">
        <f t="shared" si="5"/>
        <v>2004</v>
      </c>
      <c r="J66" s="982">
        <f t="shared" si="5"/>
        <v>2005</v>
      </c>
      <c r="K66" s="982">
        <f t="shared" si="5"/>
        <v>2006</v>
      </c>
      <c r="L66" s="982">
        <f t="shared" si="5"/>
        <v>2007</v>
      </c>
      <c r="M66" s="982">
        <f t="shared" si="5"/>
        <v>2008</v>
      </c>
      <c r="N66" s="982">
        <f t="shared" si="5"/>
        <v>2009</v>
      </c>
      <c r="O66" s="982">
        <f t="shared" si="5"/>
        <v>2010</v>
      </c>
      <c r="P66" s="982">
        <f t="shared" si="5"/>
        <v>2011</v>
      </c>
      <c r="Q66" s="982">
        <f t="shared" si="5"/>
        <v>2012</v>
      </c>
      <c r="R66" s="982">
        <f t="shared" si="5"/>
        <v>2013</v>
      </c>
      <c r="S66" s="982">
        <f t="shared" si="5"/>
        <v>2014</v>
      </c>
      <c r="T66" s="982">
        <f t="shared" si="5"/>
        <v>2015</v>
      </c>
      <c r="U66" s="982">
        <f t="shared" si="5"/>
        <v>2016</v>
      </c>
      <c r="V66" s="982">
        <f t="shared" si="5"/>
        <v>2017</v>
      </c>
      <c r="W66" s="982">
        <f t="shared" si="5"/>
        <v>2018</v>
      </c>
      <c r="X66" s="982">
        <f t="shared" si="5"/>
        <v>2019</v>
      </c>
      <c r="Y66" s="982">
        <f t="shared" si="5"/>
        <v>2020</v>
      </c>
      <c r="Z66" s="982">
        <f t="shared" si="5"/>
        <v>2021</v>
      </c>
      <c r="AA66" s="982">
        <f t="shared" si="5"/>
        <v>2022</v>
      </c>
      <c r="AB66" s="982">
        <f t="shared" si="5"/>
        <v>2023</v>
      </c>
      <c r="AC66" s="982">
        <f t="shared" si="5"/>
        <v>2024</v>
      </c>
      <c r="AD66"/>
      <c r="AE66"/>
      <c r="AF66"/>
      <c r="AG66"/>
      <c r="AH66" s="31"/>
      <c r="AI66" s="31"/>
      <c r="AJ66" s="31"/>
      <c r="AK66" s="31"/>
      <c r="AL66" s="31"/>
      <c r="AM66" s="31"/>
      <c r="AN66" s="31"/>
      <c r="AO66" s="31"/>
      <c r="AP66" s="31"/>
      <c r="AQ66" s="31"/>
      <c r="AR66" s="31"/>
      <c r="AS66" s="31"/>
      <c r="AT66" s="31"/>
      <c r="AU66" s="31"/>
      <c r="AV66" s="31"/>
      <c r="AW66" s="31"/>
      <c r="AX66" s="31"/>
      <c r="AY66" s="31"/>
      <c r="AZ66" s="31"/>
      <c r="BA66" s="31"/>
    </row>
    <row r="67" spans="1:53" s="50" customFormat="1" ht="12.6" customHeight="1">
      <c r="A67" s="983"/>
      <c r="B67" s="984"/>
      <c r="C67" s="984"/>
      <c r="D67" s="984"/>
      <c r="E67" s="985"/>
      <c r="F67" s="985"/>
      <c r="G67" s="985"/>
      <c r="H67" s="985"/>
      <c r="I67" s="985"/>
      <c r="J67" s="985"/>
      <c r="K67" s="985"/>
      <c r="L67" s="985"/>
      <c r="M67" s="985"/>
      <c r="N67" s="985"/>
      <c r="O67" s="985"/>
      <c r="P67" s="985"/>
      <c r="Q67" s="985"/>
      <c r="R67" s="985"/>
      <c r="S67" s="985"/>
      <c r="T67" s="60"/>
      <c r="U67" s="60"/>
      <c r="V67" s="60"/>
      <c r="W67" s="60"/>
      <c r="X67" s="60"/>
      <c r="Y67" s="60"/>
      <c r="Z67" s="60"/>
      <c r="AA67" s="60"/>
      <c r="AB67" s="60"/>
      <c r="AC67" s="60"/>
      <c r="AD67"/>
      <c r="AE67"/>
      <c r="AF67"/>
      <c r="AG67"/>
    </row>
    <row r="68" spans="1:53" ht="12.6" customHeight="1">
      <c r="A68" s="986" t="s">
        <v>595</v>
      </c>
      <c r="B68" s="987"/>
      <c r="C68" s="988">
        <f>B63</f>
        <v>19293.89832</v>
      </c>
      <c r="E68" s="989">
        <f>C68</f>
        <v>19293.89832</v>
      </c>
      <c r="F68" s="989">
        <f t="shared" ref="F68:AC68" si="6">E72</f>
        <v>14470.42374</v>
      </c>
      <c r="G68" s="989">
        <f t="shared" si="6"/>
        <v>9646.9491600000001</v>
      </c>
      <c r="H68" s="989">
        <f t="shared" si="6"/>
        <v>4823.4745800000001</v>
      </c>
      <c r="I68" s="989">
        <f t="shared" si="6"/>
        <v>0</v>
      </c>
      <c r="J68" s="989">
        <f t="shared" si="6"/>
        <v>0</v>
      </c>
      <c r="K68" s="989">
        <f t="shared" si="6"/>
        <v>0</v>
      </c>
      <c r="L68" s="989">
        <f t="shared" si="6"/>
        <v>0</v>
      </c>
      <c r="M68" s="989">
        <f t="shared" si="6"/>
        <v>0</v>
      </c>
      <c r="N68" s="989">
        <f t="shared" si="6"/>
        <v>0</v>
      </c>
      <c r="O68" s="989">
        <f t="shared" si="6"/>
        <v>0</v>
      </c>
      <c r="P68" s="989">
        <f t="shared" si="6"/>
        <v>0</v>
      </c>
      <c r="Q68" s="989">
        <f t="shared" si="6"/>
        <v>0</v>
      </c>
      <c r="R68" s="989">
        <f t="shared" si="6"/>
        <v>0</v>
      </c>
      <c r="S68" s="989">
        <f t="shared" si="6"/>
        <v>0</v>
      </c>
      <c r="T68" s="989">
        <f t="shared" si="6"/>
        <v>0</v>
      </c>
      <c r="U68" s="989">
        <f t="shared" si="6"/>
        <v>0</v>
      </c>
      <c r="V68" s="989">
        <f t="shared" si="6"/>
        <v>0</v>
      </c>
      <c r="W68" s="989">
        <f t="shared" si="6"/>
        <v>0</v>
      </c>
      <c r="X68" s="989">
        <f t="shared" si="6"/>
        <v>0</v>
      </c>
      <c r="Y68" s="989">
        <f t="shared" si="6"/>
        <v>0</v>
      </c>
      <c r="Z68" s="989">
        <f t="shared" si="6"/>
        <v>0</v>
      </c>
      <c r="AA68" s="989">
        <f t="shared" si="6"/>
        <v>0</v>
      </c>
      <c r="AB68" s="989">
        <f t="shared" si="6"/>
        <v>0</v>
      </c>
      <c r="AC68" s="989">
        <f t="shared" si="6"/>
        <v>0</v>
      </c>
      <c r="AD68"/>
      <c r="AE68"/>
      <c r="AF68"/>
    </row>
    <row r="69" spans="1:53" ht="12.6" customHeight="1">
      <c r="A69" s="986" t="s">
        <v>596</v>
      </c>
      <c r="B69" s="990"/>
      <c r="C69" s="989"/>
      <c r="E69" s="989">
        <f>E68*$B$64</f>
        <v>1298.4793569359999</v>
      </c>
      <c r="F69" s="989">
        <f t="shared" ref="F69:AC69" si="7">F68*$B$64</f>
        <v>973.85951770199995</v>
      </c>
      <c r="G69" s="989">
        <f t="shared" si="7"/>
        <v>649.23967846799997</v>
      </c>
      <c r="H69" s="989">
        <f t="shared" si="7"/>
        <v>324.61983923399998</v>
      </c>
      <c r="I69" s="989">
        <f t="shared" si="7"/>
        <v>0</v>
      </c>
      <c r="J69" s="989">
        <f t="shared" si="7"/>
        <v>0</v>
      </c>
      <c r="K69" s="989">
        <f t="shared" si="7"/>
        <v>0</v>
      </c>
      <c r="L69" s="989">
        <f t="shared" si="7"/>
        <v>0</v>
      </c>
      <c r="M69" s="989">
        <f t="shared" si="7"/>
        <v>0</v>
      </c>
      <c r="N69" s="989">
        <f t="shared" si="7"/>
        <v>0</v>
      </c>
      <c r="O69" s="989">
        <f t="shared" si="7"/>
        <v>0</v>
      </c>
      <c r="P69" s="989">
        <f t="shared" si="7"/>
        <v>0</v>
      </c>
      <c r="Q69" s="989">
        <f t="shared" si="7"/>
        <v>0</v>
      </c>
      <c r="R69" s="989">
        <f t="shared" si="7"/>
        <v>0</v>
      </c>
      <c r="S69" s="989">
        <f t="shared" si="7"/>
        <v>0</v>
      </c>
      <c r="T69" s="989">
        <f t="shared" si="7"/>
        <v>0</v>
      </c>
      <c r="U69" s="989">
        <f t="shared" si="7"/>
        <v>0</v>
      </c>
      <c r="V69" s="989">
        <f t="shared" si="7"/>
        <v>0</v>
      </c>
      <c r="W69" s="989">
        <f t="shared" si="7"/>
        <v>0</v>
      </c>
      <c r="X69" s="989">
        <f t="shared" si="7"/>
        <v>0</v>
      </c>
      <c r="Y69" s="989">
        <f t="shared" si="7"/>
        <v>0</v>
      </c>
      <c r="Z69" s="989">
        <f t="shared" si="7"/>
        <v>0</v>
      </c>
      <c r="AA69" s="989">
        <f t="shared" si="7"/>
        <v>0</v>
      </c>
      <c r="AB69" s="989">
        <f t="shared" si="7"/>
        <v>0</v>
      </c>
      <c r="AC69" s="989">
        <f t="shared" si="7"/>
        <v>0</v>
      </c>
      <c r="AD69"/>
      <c r="AE69"/>
      <c r="AF69"/>
    </row>
    <row r="70" spans="1:53" ht="12.6" customHeight="1">
      <c r="A70" s="986" t="s">
        <v>597</v>
      </c>
      <c r="B70" s="987"/>
      <c r="C70" s="989"/>
      <c r="E70" s="991">
        <f>$C$68*E74</f>
        <v>4823.4745800000001</v>
      </c>
      <c r="F70" s="991">
        <f t="shared" ref="F70:AC70" si="8">$C$68*F74</f>
        <v>4823.4745800000001</v>
      </c>
      <c r="G70" s="991">
        <f t="shared" si="8"/>
        <v>4823.4745800000001</v>
      </c>
      <c r="H70" s="991">
        <f t="shared" si="8"/>
        <v>4823.4745800000001</v>
      </c>
      <c r="I70" s="991">
        <f t="shared" si="8"/>
        <v>0</v>
      </c>
      <c r="J70" s="991">
        <f t="shared" si="8"/>
        <v>0</v>
      </c>
      <c r="K70" s="991">
        <f t="shared" si="8"/>
        <v>0</v>
      </c>
      <c r="L70" s="991">
        <f t="shared" si="8"/>
        <v>0</v>
      </c>
      <c r="M70" s="991">
        <f t="shared" si="8"/>
        <v>0</v>
      </c>
      <c r="N70" s="991">
        <f t="shared" si="8"/>
        <v>0</v>
      </c>
      <c r="O70" s="991">
        <f t="shared" si="8"/>
        <v>0</v>
      </c>
      <c r="P70" s="991">
        <f t="shared" si="8"/>
        <v>0</v>
      </c>
      <c r="Q70" s="991">
        <f t="shared" si="8"/>
        <v>0</v>
      </c>
      <c r="R70" s="991">
        <f t="shared" si="8"/>
        <v>0</v>
      </c>
      <c r="S70" s="991">
        <f t="shared" si="8"/>
        <v>0</v>
      </c>
      <c r="T70" s="991">
        <f t="shared" si="8"/>
        <v>0</v>
      </c>
      <c r="U70" s="991">
        <f t="shared" si="8"/>
        <v>0</v>
      </c>
      <c r="V70" s="991">
        <f t="shared" si="8"/>
        <v>0</v>
      </c>
      <c r="W70" s="991">
        <f t="shared" si="8"/>
        <v>0</v>
      </c>
      <c r="X70" s="991">
        <f t="shared" si="8"/>
        <v>0</v>
      </c>
      <c r="Y70" s="991">
        <f t="shared" si="8"/>
        <v>0</v>
      </c>
      <c r="Z70" s="991">
        <f t="shared" si="8"/>
        <v>0</v>
      </c>
      <c r="AA70" s="991">
        <f t="shared" si="8"/>
        <v>0</v>
      </c>
      <c r="AB70" s="991">
        <f t="shared" si="8"/>
        <v>0</v>
      </c>
      <c r="AC70" s="991">
        <f t="shared" si="8"/>
        <v>0</v>
      </c>
      <c r="AD70"/>
      <c r="AE70"/>
      <c r="AF70"/>
    </row>
    <row r="71" spans="1:53" ht="12.6" customHeight="1">
      <c r="A71" s="986" t="s">
        <v>598</v>
      </c>
      <c r="B71" s="987"/>
      <c r="C71" s="992"/>
      <c r="E71" s="992">
        <f>E70+E69</f>
        <v>6121.953936936</v>
      </c>
      <c r="F71" s="992">
        <f t="shared" ref="F71:AC71" si="9">F70+F69</f>
        <v>5797.3340977019998</v>
      </c>
      <c r="G71" s="992">
        <f t="shared" si="9"/>
        <v>5472.7142584680005</v>
      </c>
      <c r="H71" s="992">
        <f t="shared" si="9"/>
        <v>5148.0944192340003</v>
      </c>
      <c r="I71" s="992">
        <f t="shared" si="9"/>
        <v>0</v>
      </c>
      <c r="J71" s="992">
        <f t="shared" si="9"/>
        <v>0</v>
      </c>
      <c r="K71" s="992">
        <f t="shared" si="9"/>
        <v>0</v>
      </c>
      <c r="L71" s="992">
        <f t="shared" si="9"/>
        <v>0</v>
      </c>
      <c r="M71" s="992">
        <f t="shared" si="9"/>
        <v>0</v>
      </c>
      <c r="N71" s="992">
        <f t="shared" si="9"/>
        <v>0</v>
      </c>
      <c r="O71" s="992">
        <f t="shared" si="9"/>
        <v>0</v>
      </c>
      <c r="P71" s="992">
        <f t="shared" si="9"/>
        <v>0</v>
      </c>
      <c r="Q71" s="992">
        <f t="shared" si="9"/>
        <v>0</v>
      </c>
      <c r="R71" s="992">
        <f t="shared" si="9"/>
        <v>0</v>
      </c>
      <c r="S71" s="992">
        <f t="shared" si="9"/>
        <v>0</v>
      </c>
      <c r="T71" s="992">
        <f t="shared" si="9"/>
        <v>0</v>
      </c>
      <c r="U71" s="992">
        <f t="shared" si="9"/>
        <v>0</v>
      </c>
      <c r="V71" s="992">
        <f t="shared" si="9"/>
        <v>0</v>
      </c>
      <c r="W71" s="992">
        <f t="shared" si="9"/>
        <v>0</v>
      </c>
      <c r="X71" s="992">
        <f t="shared" si="9"/>
        <v>0</v>
      </c>
      <c r="Y71" s="992">
        <f t="shared" si="9"/>
        <v>0</v>
      </c>
      <c r="Z71" s="992">
        <f t="shared" si="9"/>
        <v>0</v>
      </c>
      <c r="AA71" s="992">
        <f t="shared" si="9"/>
        <v>0</v>
      </c>
      <c r="AB71" s="992">
        <f t="shared" si="9"/>
        <v>0</v>
      </c>
      <c r="AC71" s="992">
        <f t="shared" si="9"/>
        <v>0</v>
      </c>
      <c r="AD71"/>
      <c r="AE71"/>
      <c r="AF71"/>
    </row>
    <row r="72" spans="1:53" ht="12.6" customHeight="1">
      <c r="A72" s="986" t="s">
        <v>599</v>
      </c>
      <c r="B72" s="987"/>
      <c r="C72" s="989"/>
      <c r="E72" s="989">
        <f t="shared" ref="E72:AC72" si="10">E68-E70</f>
        <v>14470.42374</v>
      </c>
      <c r="F72" s="989">
        <f t="shared" si="10"/>
        <v>9646.9491600000001</v>
      </c>
      <c r="G72" s="989">
        <f t="shared" si="10"/>
        <v>4823.4745800000001</v>
      </c>
      <c r="H72" s="989">
        <f t="shared" si="10"/>
        <v>0</v>
      </c>
      <c r="I72" s="989">
        <f t="shared" si="10"/>
        <v>0</v>
      </c>
      <c r="J72" s="989">
        <f t="shared" si="10"/>
        <v>0</v>
      </c>
      <c r="K72" s="989">
        <f t="shared" si="10"/>
        <v>0</v>
      </c>
      <c r="L72" s="989">
        <f t="shared" si="10"/>
        <v>0</v>
      </c>
      <c r="M72" s="989">
        <f t="shared" si="10"/>
        <v>0</v>
      </c>
      <c r="N72" s="989">
        <f t="shared" si="10"/>
        <v>0</v>
      </c>
      <c r="O72" s="989">
        <f t="shared" si="10"/>
        <v>0</v>
      </c>
      <c r="P72" s="989">
        <f t="shared" si="10"/>
        <v>0</v>
      </c>
      <c r="Q72" s="989">
        <f t="shared" si="10"/>
        <v>0</v>
      </c>
      <c r="R72" s="989">
        <f t="shared" si="10"/>
        <v>0</v>
      </c>
      <c r="S72" s="989">
        <f t="shared" si="10"/>
        <v>0</v>
      </c>
      <c r="T72" s="989">
        <f t="shared" si="10"/>
        <v>0</v>
      </c>
      <c r="U72" s="989">
        <f t="shared" si="10"/>
        <v>0</v>
      </c>
      <c r="V72" s="989">
        <f t="shared" si="10"/>
        <v>0</v>
      </c>
      <c r="W72" s="989">
        <f t="shared" si="10"/>
        <v>0</v>
      </c>
      <c r="X72" s="989">
        <f t="shared" si="10"/>
        <v>0</v>
      </c>
      <c r="Y72" s="989">
        <f t="shared" si="10"/>
        <v>0</v>
      </c>
      <c r="Z72" s="989">
        <f t="shared" si="10"/>
        <v>0</v>
      </c>
      <c r="AA72" s="989">
        <f t="shared" si="10"/>
        <v>0</v>
      </c>
      <c r="AB72" s="989">
        <f t="shared" si="10"/>
        <v>0</v>
      </c>
      <c r="AC72" s="989">
        <f t="shared" si="10"/>
        <v>0</v>
      </c>
      <c r="AD72"/>
      <c r="AE72"/>
      <c r="AF72"/>
    </row>
    <row r="73" spans="1:53" ht="12.6" customHeight="1">
      <c r="A73" s="986" t="s">
        <v>600</v>
      </c>
      <c r="B73" s="987"/>
      <c r="C73" s="993">
        <f>SUMPRODUCT(E70:AC70,E65:AC65)/SUM(E70:AC70)</f>
        <v>2.5</v>
      </c>
      <c r="D73" s="85"/>
      <c r="E73" s="994"/>
      <c r="F73" s="989"/>
      <c r="G73" s="989"/>
      <c r="H73" s="989"/>
      <c r="I73" s="989"/>
      <c r="J73" s="989"/>
      <c r="K73" s="989"/>
      <c r="L73" s="989"/>
      <c r="M73" s="989"/>
      <c r="N73" s="989"/>
      <c r="O73" s="989"/>
      <c r="P73" s="989"/>
      <c r="Q73" s="989"/>
      <c r="R73" s="989"/>
      <c r="S73" s="989"/>
      <c r="T73" s="989"/>
      <c r="U73" s="989"/>
      <c r="V73" s="989"/>
      <c r="W73" s="989"/>
      <c r="X73" s="989"/>
      <c r="Y73" s="989"/>
      <c r="Z73" s="989"/>
      <c r="AA73" s="989"/>
      <c r="AB73" s="989"/>
      <c r="AC73" s="989"/>
      <c r="AD73"/>
      <c r="AE73"/>
      <c r="AF73"/>
    </row>
    <row r="74" spans="1:53" ht="12.6" customHeight="1">
      <c r="B74" s="203"/>
      <c r="C74" s="995" t="s">
        <v>601</v>
      </c>
      <c r="D74" s="996">
        <f>SUM(E74:AC74)</f>
        <v>1</v>
      </c>
      <c r="E74" s="997">
        <v>0.25</v>
      </c>
      <c r="F74" s="997">
        <v>0.25</v>
      </c>
      <c r="G74" s="997">
        <v>0.25</v>
      </c>
      <c r="H74" s="997">
        <v>0.25</v>
      </c>
      <c r="I74" s="997">
        <v>0</v>
      </c>
      <c r="J74" s="997">
        <v>0</v>
      </c>
      <c r="K74" s="997">
        <v>0</v>
      </c>
      <c r="L74" s="997">
        <v>0</v>
      </c>
      <c r="M74" s="997">
        <v>0</v>
      </c>
      <c r="N74" s="997">
        <v>0</v>
      </c>
      <c r="O74" s="997">
        <v>0</v>
      </c>
      <c r="P74" s="997">
        <v>0</v>
      </c>
      <c r="Q74" s="997">
        <v>0</v>
      </c>
      <c r="R74" s="997">
        <v>0</v>
      </c>
      <c r="S74" s="997">
        <v>0</v>
      </c>
      <c r="T74" s="997">
        <v>0</v>
      </c>
      <c r="U74" s="997">
        <v>0</v>
      </c>
      <c r="V74" s="997">
        <v>0</v>
      </c>
      <c r="W74" s="997">
        <v>0</v>
      </c>
      <c r="X74" s="997">
        <v>0</v>
      </c>
      <c r="Y74" s="997">
        <v>0</v>
      </c>
      <c r="Z74" s="997">
        <v>0</v>
      </c>
      <c r="AA74" s="997">
        <v>0</v>
      </c>
      <c r="AB74" s="997">
        <v>0</v>
      </c>
      <c r="AC74" s="997">
        <v>0</v>
      </c>
      <c r="AD74"/>
      <c r="AE74"/>
      <c r="AF74"/>
    </row>
    <row r="75" spans="1:53" ht="12.6" customHeight="1">
      <c r="AD75"/>
      <c r="AE75"/>
      <c r="AF75"/>
    </row>
    <row r="76" spans="1:53" ht="12.6" customHeight="1">
      <c r="A76" s="69" t="s">
        <v>602</v>
      </c>
      <c r="AD76"/>
      <c r="AE76"/>
      <c r="AF76"/>
    </row>
    <row r="77" spans="1:53" ht="12.6" customHeight="1">
      <c r="A77" s="529" t="s">
        <v>593</v>
      </c>
      <c r="B77" s="980">
        <f>Principal2</f>
        <v>36176.059349999996</v>
      </c>
      <c r="AD77"/>
      <c r="AE77"/>
      <c r="AF77"/>
    </row>
    <row r="78" spans="1:53" s="48" customFormat="1">
      <c r="A78" s="547" t="s">
        <v>201</v>
      </c>
      <c r="B78" s="981">
        <f>_Int2</f>
        <v>7.5700000000000003E-2</v>
      </c>
      <c r="C78" s="60"/>
      <c r="D78" s="60"/>
      <c r="E78" s="60"/>
      <c r="F78" s="60"/>
      <c r="G78" s="60"/>
      <c r="H78" s="60"/>
      <c r="I78" s="60"/>
      <c r="J78" s="60"/>
      <c r="K78" s="60"/>
      <c r="L78" s="60"/>
      <c r="M78" s="60"/>
      <c r="N78" s="60"/>
      <c r="O78" s="60"/>
      <c r="P78" s="60"/>
      <c r="Q78" s="60"/>
      <c r="R78" s="60"/>
      <c r="S78" s="60"/>
      <c r="T78" s="60"/>
      <c r="U78" s="60"/>
      <c r="V78" s="60"/>
      <c r="W78" s="60"/>
      <c r="X78" s="60"/>
      <c r="Y78" s="60"/>
      <c r="Z78" s="60"/>
      <c r="AA78" s="60"/>
      <c r="AB78" s="60"/>
      <c r="AC78" s="60"/>
      <c r="AD78"/>
      <c r="AE78"/>
      <c r="AF78"/>
      <c r="AG78"/>
    </row>
    <row r="79" spans="1:53" s="48" customFormat="1">
      <c r="A79" s="547" t="s">
        <v>184</v>
      </c>
      <c r="B79" s="580">
        <f>Term2</f>
        <v>10</v>
      </c>
      <c r="C79" s="60"/>
      <c r="D79" s="60"/>
      <c r="E79" s="78">
        <f>E4</f>
        <v>1</v>
      </c>
      <c r="F79" s="78">
        <f t="shared" ref="F79:AC79" si="11">F4</f>
        <v>2</v>
      </c>
      <c r="G79" s="78">
        <f t="shared" si="11"/>
        <v>3</v>
      </c>
      <c r="H79" s="78">
        <f t="shared" si="11"/>
        <v>4</v>
      </c>
      <c r="I79" s="78">
        <f t="shared" si="11"/>
        <v>5</v>
      </c>
      <c r="J79" s="78">
        <f t="shared" si="11"/>
        <v>6</v>
      </c>
      <c r="K79" s="78">
        <f t="shared" si="11"/>
        <v>7</v>
      </c>
      <c r="L79" s="78">
        <f t="shared" si="11"/>
        <v>8</v>
      </c>
      <c r="M79" s="78">
        <f t="shared" si="11"/>
        <v>9</v>
      </c>
      <c r="N79" s="78">
        <f t="shared" si="11"/>
        <v>10</v>
      </c>
      <c r="O79" s="78">
        <f t="shared" si="11"/>
        <v>11</v>
      </c>
      <c r="P79" s="78">
        <f t="shared" si="11"/>
        <v>12</v>
      </c>
      <c r="Q79" s="78">
        <f t="shared" si="11"/>
        <v>13</v>
      </c>
      <c r="R79" s="78">
        <f t="shared" si="11"/>
        <v>14</v>
      </c>
      <c r="S79" s="78">
        <f t="shared" si="11"/>
        <v>15</v>
      </c>
      <c r="T79" s="78">
        <f t="shared" si="11"/>
        <v>16</v>
      </c>
      <c r="U79" s="78">
        <f t="shared" si="11"/>
        <v>17</v>
      </c>
      <c r="V79" s="78">
        <f t="shared" si="11"/>
        <v>18</v>
      </c>
      <c r="W79" s="78">
        <f t="shared" si="11"/>
        <v>19</v>
      </c>
      <c r="X79" s="78">
        <f t="shared" si="11"/>
        <v>20</v>
      </c>
      <c r="Y79" s="78">
        <f t="shared" si="11"/>
        <v>21</v>
      </c>
      <c r="Z79" s="78">
        <f t="shared" si="11"/>
        <v>22</v>
      </c>
      <c r="AA79" s="78">
        <f t="shared" si="11"/>
        <v>23</v>
      </c>
      <c r="AB79" s="78">
        <f t="shared" si="11"/>
        <v>24</v>
      </c>
      <c r="AC79" s="78">
        <f t="shared" si="11"/>
        <v>25</v>
      </c>
      <c r="AD79"/>
      <c r="AE79"/>
      <c r="AF79"/>
      <c r="AG79"/>
    </row>
    <row r="80" spans="1:53" s="48" customFormat="1">
      <c r="A80" s="175"/>
      <c r="B80" s="175"/>
      <c r="C80" s="69" t="s">
        <v>594</v>
      </c>
      <c r="D80" s="60"/>
      <c r="E80" s="982">
        <f>E5</f>
        <v>2000</v>
      </c>
      <c r="F80" s="982">
        <f t="shared" ref="F80:AC80" si="12">F5</f>
        <v>2001</v>
      </c>
      <c r="G80" s="982">
        <f t="shared" si="12"/>
        <v>2002</v>
      </c>
      <c r="H80" s="982">
        <f t="shared" si="12"/>
        <v>2003</v>
      </c>
      <c r="I80" s="982">
        <f t="shared" si="12"/>
        <v>2004</v>
      </c>
      <c r="J80" s="982">
        <f t="shared" si="12"/>
        <v>2005</v>
      </c>
      <c r="K80" s="982">
        <f t="shared" si="12"/>
        <v>2006</v>
      </c>
      <c r="L80" s="982">
        <f t="shared" si="12"/>
        <v>2007</v>
      </c>
      <c r="M80" s="982">
        <f t="shared" si="12"/>
        <v>2008</v>
      </c>
      <c r="N80" s="982">
        <f t="shared" si="12"/>
        <v>2009</v>
      </c>
      <c r="O80" s="982">
        <f t="shared" si="12"/>
        <v>2010</v>
      </c>
      <c r="P80" s="982">
        <f t="shared" si="12"/>
        <v>2011</v>
      </c>
      <c r="Q80" s="982">
        <f t="shared" si="12"/>
        <v>2012</v>
      </c>
      <c r="R80" s="982">
        <f t="shared" si="12"/>
        <v>2013</v>
      </c>
      <c r="S80" s="982">
        <f t="shared" si="12"/>
        <v>2014</v>
      </c>
      <c r="T80" s="982">
        <f t="shared" si="12"/>
        <v>2015</v>
      </c>
      <c r="U80" s="982">
        <f t="shared" si="12"/>
        <v>2016</v>
      </c>
      <c r="V80" s="982">
        <f t="shared" si="12"/>
        <v>2017</v>
      </c>
      <c r="W80" s="982">
        <f t="shared" si="12"/>
        <v>2018</v>
      </c>
      <c r="X80" s="982">
        <f t="shared" si="12"/>
        <v>2019</v>
      </c>
      <c r="Y80" s="982">
        <f t="shared" si="12"/>
        <v>2020</v>
      </c>
      <c r="Z80" s="982">
        <f t="shared" si="12"/>
        <v>2021</v>
      </c>
      <c r="AA80" s="982">
        <f t="shared" si="12"/>
        <v>2022</v>
      </c>
      <c r="AB80" s="982">
        <f t="shared" si="12"/>
        <v>2023</v>
      </c>
      <c r="AC80" s="982">
        <f t="shared" si="12"/>
        <v>2024</v>
      </c>
      <c r="AD80"/>
      <c r="AE80"/>
      <c r="AF80"/>
      <c r="AG80"/>
    </row>
    <row r="81" spans="1:33" s="48" customFormat="1">
      <c r="A81" s="983"/>
      <c r="B81" s="984"/>
      <c r="C81" s="984"/>
      <c r="D81" s="984"/>
      <c r="E81" s="985"/>
      <c r="F81" s="985"/>
      <c r="G81" s="985"/>
      <c r="H81" s="985"/>
      <c r="I81" s="985"/>
      <c r="J81" s="985"/>
      <c r="K81" s="985"/>
      <c r="L81" s="985"/>
      <c r="M81" s="985"/>
      <c r="N81" s="985"/>
      <c r="O81" s="985"/>
      <c r="P81" s="985"/>
      <c r="Q81" s="985"/>
      <c r="R81" s="985"/>
      <c r="S81" s="985"/>
      <c r="T81" s="60"/>
      <c r="U81" s="60"/>
      <c r="V81" s="60"/>
      <c r="W81" s="60"/>
      <c r="X81" s="60"/>
      <c r="Y81" s="60"/>
      <c r="Z81" s="60"/>
      <c r="AA81" s="60"/>
      <c r="AB81" s="60"/>
      <c r="AC81" s="60"/>
      <c r="AD81"/>
      <c r="AE81"/>
      <c r="AF81"/>
      <c r="AG81"/>
    </row>
    <row r="82" spans="1:33" s="48" customFormat="1">
      <c r="A82" s="986" t="s">
        <v>595</v>
      </c>
      <c r="B82" s="987"/>
      <c r="C82" s="988">
        <f>B77</f>
        <v>36176.059349999996</v>
      </c>
      <c r="D82" s="60"/>
      <c r="E82" s="989">
        <f>C82</f>
        <v>36176.059349999996</v>
      </c>
      <c r="F82" s="989">
        <f t="shared" ref="F82:AC82" si="13">E86</f>
        <v>36176.059349999996</v>
      </c>
      <c r="G82" s="989">
        <f t="shared" si="13"/>
        <v>36176.059349999996</v>
      </c>
      <c r="H82" s="989">
        <f t="shared" si="13"/>
        <v>34367.256382499996</v>
      </c>
      <c r="I82" s="989">
        <f t="shared" si="13"/>
        <v>30749.650447499997</v>
      </c>
      <c r="J82" s="989">
        <f t="shared" si="13"/>
        <v>27132.044512499997</v>
      </c>
      <c r="K82" s="989">
        <f t="shared" si="13"/>
        <v>23514.438577499997</v>
      </c>
      <c r="L82" s="989">
        <f t="shared" si="13"/>
        <v>19896.832642499998</v>
      </c>
      <c r="M82" s="989">
        <f t="shared" si="13"/>
        <v>16279.226707499998</v>
      </c>
      <c r="N82" s="989">
        <f t="shared" si="13"/>
        <v>9044.014837499999</v>
      </c>
      <c r="O82" s="989">
        <f t="shared" si="13"/>
        <v>0</v>
      </c>
      <c r="P82" s="989">
        <f t="shared" si="13"/>
        <v>0</v>
      </c>
      <c r="Q82" s="989">
        <f t="shared" si="13"/>
        <v>0</v>
      </c>
      <c r="R82" s="989">
        <f t="shared" si="13"/>
        <v>0</v>
      </c>
      <c r="S82" s="989">
        <f t="shared" si="13"/>
        <v>0</v>
      </c>
      <c r="T82" s="989">
        <f t="shared" si="13"/>
        <v>0</v>
      </c>
      <c r="U82" s="989">
        <f t="shared" si="13"/>
        <v>0</v>
      </c>
      <c r="V82" s="989">
        <f t="shared" si="13"/>
        <v>0</v>
      </c>
      <c r="W82" s="989">
        <f t="shared" si="13"/>
        <v>0</v>
      </c>
      <c r="X82" s="989">
        <f t="shared" si="13"/>
        <v>0</v>
      </c>
      <c r="Y82" s="989">
        <f t="shared" si="13"/>
        <v>0</v>
      </c>
      <c r="Z82" s="989">
        <f t="shared" si="13"/>
        <v>0</v>
      </c>
      <c r="AA82" s="989">
        <f t="shared" si="13"/>
        <v>0</v>
      </c>
      <c r="AB82" s="989">
        <f t="shared" si="13"/>
        <v>0</v>
      </c>
      <c r="AC82" s="989">
        <f t="shared" si="13"/>
        <v>0</v>
      </c>
      <c r="AD82"/>
      <c r="AE82"/>
      <c r="AF82"/>
      <c r="AG82"/>
    </row>
    <row r="83" spans="1:33" s="48" customFormat="1">
      <c r="A83" s="986" t="s">
        <v>596</v>
      </c>
      <c r="B83" s="990"/>
      <c r="C83" s="989"/>
      <c r="D83" s="60"/>
      <c r="E83" s="989">
        <f>E82*$B$78</f>
        <v>2738.5276927949999</v>
      </c>
      <c r="F83" s="989">
        <f t="shared" ref="F83:AC83" si="14">F82*$B$78</f>
        <v>2738.5276927949999</v>
      </c>
      <c r="G83" s="989">
        <f t="shared" si="14"/>
        <v>2738.5276927949999</v>
      </c>
      <c r="H83" s="989">
        <f t="shared" si="14"/>
        <v>2601.6013081552496</v>
      </c>
      <c r="I83" s="989">
        <f t="shared" si="14"/>
        <v>2327.74853887575</v>
      </c>
      <c r="J83" s="989">
        <f t="shared" si="14"/>
        <v>2053.8957695962499</v>
      </c>
      <c r="K83" s="989">
        <f t="shared" si="14"/>
        <v>1780.0430003167498</v>
      </c>
      <c r="L83" s="989">
        <f t="shared" si="14"/>
        <v>1506.19023103725</v>
      </c>
      <c r="M83" s="989">
        <f t="shared" si="14"/>
        <v>1232.3374617577499</v>
      </c>
      <c r="N83" s="989">
        <f t="shared" si="14"/>
        <v>684.63192319874997</v>
      </c>
      <c r="O83" s="989">
        <f t="shared" si="14"/>
        <v>0</v>
      </c>
      <c r="P83" s="989">
        <f t="shared" si="14"/>
        <v>0</v>
      </c>
      <c r="Q83" s="989">
        <f t="shared" si="14"/>
        <v>0</v>
      </c>
      <c r="R83" s="989">
        <f t="shared" si="14"/>
        <v>0</v>
      </c>
      <c r="S83" s="989">
        <f t="shared" si="14"/>
        <v>0</v>
      </c>
      <c r="T83" s="989">
        <f t="shared" si="14"/>
        <v>0</v>
      </c>
      <c r="U83" s="989">
        <f t="shared" si="14"/>
        <v>0</v>
      </c>
      <c r="V83" s="989">
        <f t="shared" si="14"/>
        <v>0</v>
      </c>
      <c r="W83" s="989">
        <f t="shared" si="14"/>
        <v>0</v>
      </c>
      <c r="X83" s="989">
        <f t="shared" si="14"/>
        <v>0</v>
      </c>
      <c r="Y83" s="989">
        <f t="shared" si="14"/>
        <v>0</v>
      </c>
      <c r="Z83" s="989">
        <f t="shared" si="14"/>
        <v>0</v>
      </c>
      <c r="AA83" s="989">
        <f t="shared" si="14"/>
        <v>0</v>
      </c>
      <c r="AB83" s="989">
        <f t="shared" si="14"/>
        <v>0</v>
      </c>
      <c r="AC83" s="989">
        <f t="shared" si="14"/>
        <v>0</v>
      </c>
      <c r="AD83"/>
      <c r="AE83"/>
      <c r="AF83"/>
      <c r="AG83"/>
    </row>
    <row r="84" spans="1:33" ht="12.6" customHeight="1">
      <c r="A84" s="986" t="s">
        <v>597</v>
      </c>
      <c r="B84" s="987"/>
      <c r="C84" s="989"/>
      <c r="E84" s="991">
        <f>$C$82*E88</f>
        <v>0</v>
      </c>
      <c r="F84" s="991">
        <f t="shared" ref="F84:AC84" si="15">$C$82*F88</f>
        <v>0</v>
      </c>
      <c r="G84" s="991">
        <f t="shared" si="15"/>
        <v>1808.8029674999998</v>
      </c>
      <c r="H84" s="991">
        <f t="shared" si="15"/>
        <v>3617.6059349999996</v>
      </c>
      <c r="I84" s="991">
        <f t="shared" si="15"/>
        <v>3617.6059349999996</v>
      </c>
      <c r="J84" s="991">
        <f t="shared" si="15"/>
        <v>3617.6059349999996</v>
      </c>
      <c r="K84" s="991">
        <f t="shared" si="15"/>
        <v>3617.6059349999996</v>
      </c>
      <c r="L84" s="991">
        <f t="shared" si="15"/>
        <v>3617.6059349999996</v>
      </c>
      <c r="M84" s="991">
        <f t="shared" si="15"/>
        <v>7235.2118699999992</v>
      </c>
      <c r="N84" s="991">
        <f t="shared" si="15"/>
        <v>9044.014837499999</v>
      </c>
      <c r="O84" s="991">
        <f t="shared" si="15"/>
        <v>0</v>
      </c>
      <c r="P84" s="991">
        <f t="shared" si="15"/>
        <v>0</v>
      </c>
      <c r="Q84" s="991">
        <f t="shared" si="15"/>
        <v>0</v>
      </c>
      <c r="R84" s="991">
        <f t="shared" si="15"/>
        <v>0</v>
      </c>
      <c r="S84" s="991">
        <f t="shared" si="15"/>
        <v>0</v>
      </c>
      <c r="T84" s="991">
        <f t="shared" si="15"/>
        <v>0</v>
      </c>
      <c r="U84" s="991">
        <f t="shared" si="15"/>
        <v>0</v>
      </c>
      <c r="V84" s="991">
        <f t="shared" si="15"/>
        <v>0</v>
      </c>
      <c r="W84" s="991">
        <f t="shared" si="15"/>
        <v>0</v>
      </c>
      <c r="X84" s="991">
        <f t="shared" si="15"/>
        <v>0</v>
      </c>
      <c r="Y84" s="991">
        <f t="shared" si="15"/>
        <v>0</v>
      </c>
      <c r="Z84" s="991">
        <f t="shared" si="15"/>
        <v>0</v>
      </c>
      <c r="AA84" s="991">
        <f t="shared" si="15"/>
        <v>0</v>
      </c>
      <c r="AB84" s="991">
        <f t="shared" si="15"/>
        <v>0</v>
      </c>
      <c r="AC84" s="991">
        <f t="shared" si="15"/>
        <v>0</v>
      </c>
      <c r="AD84"/>
      <c r="AE84"/>
      <c r="AF84"/>
    </row>
    <row r="85" spans="1:33" ht="12.6" customHeight="1">
      <c r="A85" s="986" t="s">
        <v>598</v>
      </c>
      <c r="B85" s="987"/>
      <c r="C85" s="992"/>
      <c r="E85" s="992">
        <f t="shared" ref="E85:AC85" si="16">E84+E83</f>
        <v>2738.5276927949999</v>
      </c>
      <c r="F85" s="992">
        <f t="shared" si="16"/>
        <v>2738.5276927949999</v>
      </c>
      <c r="G85" s="992">
        <f t="shared" si="16"/>
        <v>4547.3306602949997</v>
      </c>
      <c r="H85" s="992">
        <f t="shared" si="16"/>
        <v>6219.2072431552497</v>
      </c>
      <c r="I85" s="992">
        <f t="shared" si="16"/>
        <v>5945.35447387575</v>
      </c>
      <c r="J85" s="992">
        <f t="shared" si="16"/>
        <v>5671.5017045962495</v>
      </c>
      <c r="K85" s="992">
        <f t="shared" si="16"/>
        <v>5397.648935316749</v>
      </c>
      <c r="L85" s="992">
        <f t="shared" si="16"/>
        <v>5123.7961660372493</v>
      </c>
      <c r="M85" s="992">
        <f t="shared" si="16"/>
        <v>8467.5493317577493</v>
      </c>
      <c r="N85" s="992">
        <f t="shared" si="16"/>
        <v>9728.6467606987499</v>
      </c>
      <c r="O85" s="992">
        <f t="shared" si="16"/>
        <v>0</v>
      </c>
      <c r="P85" s="992">
        <f t="shared" si="16"/>
        <v>0</v>
      </c>
      <c r="Q85" s="992">
        <f t="shared" si="16"/>
        <v>0</v>
      </c>
      <c r="R85" s="992">
        <f t="shared" si="16"/>
        <v>0</v>
      </c>
      <c r="S85" s="992">
        <f t="shared" si="16"/>
        <v>0</v>
      </c>
      <c r="T85" s="992">
        <f t="shared" si="16"/>
        <v>0</v>
      </c>
      <c r="U85" s="992">
        <f t="shared" si="16"/>
        <v>0</v>
      </c>
      <c r="V85" s="992">
        <f t="shared" si="16"/>
        <v>0</v>
      </c>
      <c r="W85" s="992">
        <f t="shared" si="16"/>
        <v>0</v>
      </c>
      <c r="X85" s="992">
        <f t="shared" si="16"/>
        <v>0</v>
      </c>
      <c r="Y85" s="992">
        <f t="shared" si="16"/>
        <v>0</v>
      </c>
      <c r="Z85" s="992">
        <f t="shared" si="16"/>
        <v>0</v>
      </c>
      <c r="AA85" s="992">
        <f t="shared" si="16"/>
        <v>0</v>
      </c>
      <c r="AB85" s="992">
        <f t="shared" si="16"/>
        <v>0</v>
      </c>
      <c r="AC85" s="992">
        <f t="shared" si="16"/>
        <v>0</v>
      </c>
      <c r="AD85"/>
      <c r="AE85"/>
      <c r="AF85"/>
    </row>
    <row r="86" spans="1:33" ht="12.6" customHeight="1">
      <c r="A86" s="986" t="s">
        <v>599</v>
      </c>
      <c r="B86" s="987"/>
      <c r="C86" s="989"/>
      <c r="E86" s="989">
        <f t="shared" ref="E86:AC86" si="17">E82-E84</f>
        <v>36176.059349999996</v>
      </c>
      <c r="F86" s="989">
        <f t="shared" si="17"/>
        <v>36176.059349999996</v>
      </c>
      <c r="G86" s="989">
        <f t="shared" si="17"/>
        <v>34367.256382499996</v>
      </c>
      <c r="H86" s="989">
        <f t="shared" si="17"/>
        <v>30749.650447499997</v>
      </c>
      <c r="I86" s="989">
        <f t="shared" si="17"/>
        <v>27132.044512499997</v>
      </c>
      <c r="J86" s="989">
        <f t="shared" si="17"/>
        <v>23514.438577499997</v>
      </c>
      <c r="K86" s="989">
        <f t="shared" si="17"/>
        <v>19896.832642499998</v>
      </c>
      <c r="L86" s="989">
        <f t="shared" si="17"/>
        <v>16279.226707499998</v>
      </c>
      <c r="M86" s="989">
        <f t="shared" si="17"/>
        <v>9044.014837499999</v>
      </c>
      <c r="N86" s="989">
        <f t="shared" si="17"/>
        <v>0</v>
      </c>
      <c r="O86" s="989">
        <f t="shared" si="17"/>
        <v>0</v>
      </c>
      <c r="P86" s="989">
        <f t="shared" si="17"/>
        <v>0</v>
      </c>
      <c r="Q86" s="989">
        <f t="shared" si="17"/>
        <v>0</v>
      </c>
      <c r="R86" s="989">
        <f t="shared" si="17"/>
        <v>0</v>
      </c>
      <c r="S86" s="989">
        <f t="shared" si="17"/>
        <v>0</v>
      </c>
      <c r="T86" s="989">
        <f t="shared" si="17"/>
        <v>0</v>
      </c>
      <c r="U86" s="989">
        <f t="shared" si="17"/>
        <v>0</v>
      </c>
      <c r="V86" s="989">
        <f t="shared" si="17"/>
        <v>0</v>
      </c>
      <c r="W86" s="989">
        <f t="shared" si="17"/>
        <v>0</v>
      </c>
      <c r="X86" s="989">
        <f t="shared" si="17"/>
        <v>0</v>
      </c>
      <c r="Y86" s="989">
        <f t="shared" si="17"/>
        <v>0</v>
      </c>
      <c r="Z86" s="989">
        <f t="shared" si="17"/>
        <v>0</v>
      </c>
      <c r="AA86" s="989">
        <f t="shared" si="17"/>
        <v>0</v>
      </c>
      <c r="AB86" s="989">
        <f t="shared" si="17"/>
        <v>0</v>
      </c>
      <c r="AC86" s="989">
        <f t="shared" si="17"/>
        <v>0</v>
      </c>
      <c r="AD86"/>
      <c r="AE86"/>
      <c r="AF86"/>
    </row>
    <row r="87" spans="1:33" ht="12.6" customHeight="1">
      <c r="A87" s="986" t="s">
        <v>600</v>
      </c>
      <c r="B87" s="987"/>
      <c r="C87" s="998">
        <f>SUMPRODUCT(E84:AC84,E79:AC79)/SUM(E84:AC84)</f>
        <v>7.45</v>
      </c>
      <c r="E87" s="994"/>
      <c r="F87" s="989"/>
      <c r="G87" s="989"/>
      <c r="H87" s="989"/>
      <c r="I87" s="989"/>
      <c r="J87" s="989"/>
      <c r="K87" s="989"/>
      <c r="L87" s="989"/>
      <c r="M87" s="989"/>
      <c r="N87" s="989"/>
      <c r="O87" s="989"/>
      <c r="P87" s="989"/>
      <c r="Q87" s="989"/>
      <c r="R87" s="989"/>
      <c r="S87" s="989"/>
      <c r="T87" s="989"/>
      <c r="U87" s="989"/>
      <c r="V87" s="989"/>
      <c r="W87" s="989"/>
      <c r="X87" s="989"/>
      <c r="Y87" s="989"/>
      <c r="Z87" s="989"/>
      <c r="AA87" s="989"/>
      <c r="AB87" s="989"/>
      <c r="AC87" s="989"/>
      <c r="AD87"/>
      <c r="AE87"/>
      <c r="AF87"/>
    </row>
    <row r="88" spans="1:33" ht="12.6" customHeight="1">
      <c r="B88" s="203"/>
      <c r="C88" s="995" t="s">
        <v>601</v>
      </c>
      <c r="D88" s="996">
        <f>SUM(E88:AC88)</f>
        <v>1</v>
      </c>
      <c r="E88" s="997">
        <v>0</v>
      </c>
      <c r="F88" s="997">
        <v>0</v>
      </c>
      <c r="G88" s="997">
        <v>0.05</v>
      </c>
      <c r="H88" s="997">
        <v>0.1</v>
      </c>
      <c r="I88" s="997">
        <v>0.1</v>
      </c>
      <c r="J88" s="997">
        <v>0.1</v>
      </c>
      <c r="K88" s="997">
        <v>0.1</v>
      </c>
      <c r="L88" s="997">
        <v>0.1</v>
      </c>
      <c r="M88" s="997">
        <v>0.2</v>
      </c>
      <c r="N88" s="997">
        <v>0.25</v>
      </c>
      <c r="O88" s="997">
        <v>0</v>
      </c>
      <c r="P88" s="997">
        <v>0</v>
      </c>
      <c r="Q88" s="997">
        <v>0</v>
      </c>
      <c r="R88" s="997">
        <v>0</v>
      </c>
      <c r="S88" s="997">
        <v>0</v>
      </c>
      <c r="T88" s="997">
        <v>0</v>
      </c>
      <c r="U88" s="997">
        <v>0</v>
      </c>
      <c r="V88" s="997">
        <v>0</v>
      </c>
      <c r="W88" s="997">
        <v>0</v>
      </c>
      <c r="X88" s="997">
        <v>0</v>
      </c>
      <c r="Y88" s="997">
        <v>0</v>
      </c>
      <c r="Z88" s="997">
        <v>0</v>
      </c>
      <c r="AA88" s="997">
        <v>0</v>
      </c>
      <c r="AB88" s="997">
        <v>0</v>
      </c>
      <c r="AC88" s="997">
        <v>0</v>
      </c>
      <c r="AD88"/>
      <c r="AE88"/>
      <c r="AF88"/>
    </row>
    <row r="89" spans="1:33" ht="12.6" customHeight="1">
      <c r="AD89"/>
      <c r="AE89"/>
      <c r="AF89"/>
    </row>
    <row r="90" spans="1:33" ht="12.6" customHeight="1">
      <c r="A90" s="69" t="s">
        <v>603</v>
      </c>
      <c r="AD90"/>
      <c r="AE90"/>
      <c r="AF90"/>
    </row>
    <row r="91" spans="1:33" ht="12.6" customHeight="1">
      <c r="A91" s="529" t="s">
        <v>593</v>
      </c>
      <c r="B91" s="980">
        <f>Principal3</f>
        <v>65116.90683</v>
      </c>
      <c r="AD91"/>
      <c r="AE91"/>
      <c r="AF91"/>
    </row>
    <row r="92" spans="1:33" s="1" customFormat="1" ht="12.6" customHeight="1">
      <c r="A92" s="547" t="s">
        <v>201</v>
      </c>
      <c r="B92" s="981">
        <f>_Int3</f>
        <v>8.1799999999999998E-2</v>
      </c>
      <c r="C92" s="60"/>
      <c r="D92" s="60"/>
      <c r="E92" s="60"/>
      <c r="F92" s="60"/>
      <c r="G92" s="60"/>
      <c r="H92" s="60"/>
      <c r="I92" s="60"/>
      <c r="J92" s="60"/>
      <c r="K92" s="60"/>
      <c r="L92" s="60"/>
      <c r="M92" s="60"/>
      <c r="N92" s="60"/>
      <c r="O92" s="60"/>
      <c r="P92" s="60"/>
      <c r="Q92" s="60"/>
      <c r="R92" s="60"/>
      <c r="S92" s="60"/>
      <c r="T92" s="60"/>
      <c r="U92" s="60"/>
      <c r="V92" s="60"/>
      <c r="W92" s="60"/>
      <c r="X92" s="60"/>
      <c r="Y92" s="60"/>
      <c r="Z92" s="60"/>
      <c r="AA92" s="60"/>
      <c r="AB92" s="60"/>
      <c r="AC92" s="60"/>
      <c r="AD92"/>
      <c r="AE92"/>
      <c r="AF92"/>
      <c r="AG92"/>
    </row>
    <row r="93" spans="1:33" s="1" customFormat="1" ht="12.6" customHeight="1">
      <c r="A93" s="547" t="s">
        <v>184</v>
      </c>
      <c r="B93" s="580">
        <f>Term3</f>
        <v>20</v>
      </c>
      <c r="C93" s="60"/>
      <c r="D93" s="60"/>
      <c r="E93" s="78">
        <f>E4</f>
        <v>1</v>
      </c>
      <c r="F93" s="78">
        <f t="shared" ref="F93:AC93" si="18">F4</f>
        <v>2</v>
      </c>
      <c r="G93" s="78">
        <f t="shared" si="18"/>
        <v>3</v>
      </c>
      <c r="H93" s="78">
        <f t="shared" si="18"/>
        <v>4</v>
      </c>
      <c r="I93" s="78">
        <f t="shared" si="18"/>
        <v>5</v>
      </c>
      <c r="J93" s="78">
        <f t="shared" si="18"/>
        <v>6</v>
      </c>
      <c r="K93" s="78">
        <f t="shared" si="18"/>
        <v>7</v>
      </c>
      <c r="L93" s="78">
        <f t="shared" si="18"/>
        <v>8</v>
      </c>
      <c r="M93" s="78">
        <f t="shared" si="18"/>
        <v>9</v>
      </c>
      <c r="N93" s="78">
        <f t="shared" si="18"/>
        <v>10</v>
      </c>
      <c r="O93" s="78">
        <f t="shared" si="18"/>
        <v>11</v>
      </c>
      <c r="P93" s="78">
        <f t="shared" si="18"/>
        <v>12</v>
      </c>
      <c r="Q93" s="78">
        <f t="shared" si="18"/>
        <v>13</v>
      </c>
      <c r="R93" s="78">
        <f t="shared" si="18"/>
        <v>14</v>
      </c>
      <c r="S93" s="78">
        <f t="shared" si="18"/>
        <v>15</v>
      </c>
      <c r="T93" s="78">
        <f t="shared" si="18"/>
        <v>16</v>
      </c>
      <c r="U93" s="78">
        <f t="shared" si="18"/>
        <v>17</v>
      </c>
      <c r="V93" s="78">
        <f t="shared" si="18"/>
        <v>18</v>
      </c>
      <c r="W93" s="78">
        <f t="shared" si="18"/>
        <v>19</v>
      </c>
      <c r="X93" s="78">
        <f t="shared" si="18"/>
        <v>20</v>
      </c>
      <c r="Y93" s="78">
        <f t="shared" si="18"/>
        <v>21</v>
      </c>
      <c r="Z93" s="78">
        <f t="shared" si="18"/>
        <v>22</v>
      </c>
      <c r="AA93" s="78">
        <f t="shared" si="18"/>
        <v>23</v>
      </c>
      <c r="AB93" s="78">
        <f t="shared" si="18"/>
        <v>24</v>
      </c>
      <c r="AC93" s="78">
        <f t="shared" si="18"/>
        <v>25</v>
      </c>
      <c r="AD93"/>
      <c r="AE93"/>
      <c r="AF93"/>
      <c r="AG93"/>
    </row>
    <row r="94" spans="1:33">
      <c r="A94" s="175"/>
      <c r="B94" s="175"/>
      <c r="C94" s="69" t="s">
        <v>594</v>
      </c>
      <c r="E94" s="999">
        <f>E5</f>
        <v>2000</v>
      </c>
      <c r="F94" s="999">
        <f t="shared" ref="F94:AC94" si="19">F5</f>
        <v>2001</v>
      </c>
      <c r="G94" s="999">
        <f t="shared" si="19"/>
        <v>2002</v>
      </c>
      <c r="H94" s="999">
        <f t="shared" si="19"/>
        <v>2003</v>
      </c>
      <c r="I94" s="999">
        <f t="shared" si="19"/>
        <v>2004</v>
      </c>
      <c r="J94" s="999">
        <f t="shared" si="19"/>
        <v>2005</v>
      </c>
      <c r="K94" s="999">
        <f t="shared" si="19"/>
        <v>2006</v>
      </c>
      <c r="L94" s="999">
        <f t="shared" si="19"/>
        <v>2007</v>
      </c>
      <c r="M94" s="999">
        <f t="shared" si="19"/>
        <v>2008</v>
      </c>
      <c r="N94" s="999">
        <f t="shared" si="19"/>
        <v>2009</v>
      </c>
      <c r="O94" s="999">
        <f t="shared" si="19"/>
        <v>2010</v>
      </c>
      <c r="P94" s="999">
        <f t="shared" si="19"/>
        <v>2011</v>
      </c>
      <c r="Q94" s="999">
        <f t="shared" si="19"/>
        <v>2012</v>
      </c>
      <c r="R94" s="999">
        <f t="shared" si="19"/>
        <v>2013</v>
      </c>
      <c r="S94" s="999">
        <f t="shared" si="19"/>
        <v>2014</v>
      </c>
      <c r="T94" s="999">
        <f t="shared" si="19"/>
        <v>2015</v>
      </c>
      <c r="U94" s="999">
        <f t="shared" si="19"/>
        <v>2016</v>
      </c>
      <c r="V94" s="999">
        <f t="shared" si="19"/>
        <v>2017</v>
      </c>
      <c r="W94" s="999">
        <f t="shared" si="19"/>
        <v>2018</v>
      </c>
      <c r="X94" s="999">
        <f t="shared" si="19"/>
        <v>2019</v>
      </c>
      <c r="Y94" s="999">
        <f t="shared" si="19"/>
        <v>2020</v>
      </c>
      <c r="Z94" s="999">
        <f t="shared" si="19"/>
        <v>2021</v>
      </c>
      <c r="AA94" s="999">
        <f t="shared" si="19"/>
        <v>2022</v>
      </c>
      <c r="AB94" s="999">
        <f t="shared" si="19"/>
        <v>2023</v>
      </c>
      <c r="AC94" s="999">
        <f t="shared" si="19"/>
        <v>2024</v>
      </c>
      <c r="AD94"/>
      <c r="AE94"/>
      <c r="AF94"/>
    </row>
    <row r="95" spans="1:33">
      <c r="A95" s="983" t="s">
        <v>108</v>
      </c>
      <c r="B95" s="984"/>
      <c r="C95" s="984"/>
      <c r="E95" s="984"/>
      <c r="F95" s="985"/>
      <c r="G95" s="985"/>
      <c r="H95" s="985"/>
      <c r="I95" s="985"/>
      <c r="J95" s="985"/>
      <c r="K95" s="985"/>
      <c r="L95" s="985"/>
      <c r="M95" s="985"/>
      <c r="N95" s="985"/>
      <c r="O95" s="985"/>
      <c r="P95" s="985"/>
      <c r="Q95" s="985"/>
      <c r="R95" s="985"/>
      <c r="S95" s="985"/>
      <c r="T95" s="985"/>
      <c r="AD95"/>
      <c r="AE95"/>
      <c r="AF95"/>
    </row>
    <row r="96" spans="1:33">
      <c r="A96" s="986" t="s">
        <v>595</v>
      </c>
      <c r="B96" s="987"/>
      <c r="C96" s="988">
        <f>B91</f>
        <v>65116.90683</v>
      </c>
      <c r="D96" s="85"/>
      <c r="E96" s="989">
        <f>C96</f>
        <v>65116.90683</v>
      </c>
      <c r="F96" s="989">
        <f t="shared" ref="F96:AC96" si="20">E100</f>
        <v>65116.90683</v>
      </c>
      <c r="G96" s="989">
        <f t="shared" si="20"/>
        <v>65116.90683</v>
      </c>
      <c r="H96" s="989">
        <f t="shared" si="20"/>
        <v>65116.90683</v>
      </c>
      <c r="I96" s="989">
        <f t="shared" si="20"/>
        <v>65116.90683</v>
      </c>
      <c r="J96" s="989">
        <f t="shared" si="20"/>
        <v>63814.568693399997</v>
      </c>
      <c r="K96" s="989">
        <f t="shared" si="20"/>
        <v>62512.230556799994</v>
      </c>
      <c r="L96" s="989">
        <f t="shared" si="20"/>
        <v>60558.723351899993</v>
      </c>
      <c r="M96" s="989">
        <f t="shared" si="20"/>
        <v>58605.216146999992</v>
      </c>
      <c r="N96" s="989">
        <f t="shared" si="20"/>
        <v>56651.708942099991</v>
      </c>
      <c r="O96" s="989">
        <f t="shared" si="20"/>
        <v>54047.032668899992</v>
      </c>
      <c r="P96" s="989">
        <f t="shared" si="20"/>
        <v>51442.356395699993</v>
      </c>
      <c r="Q96" s="989">
        <f t="shared" si="20"/>
        <v>48186.511054199989</v>
      </c>
      <c r="R96" s="989">
        <f t="shared" si="20"/>
        <v>44930.665712699993</v>
      </c>
      <c r="S96" s="989">
        <f t="shared" si="20"/>
        <v>41674.820371199996</v>
      </c>
      <c r="T96" s="989">
        <f t="shared" si="20"/>
        <v>38418.975029699999</v>
      </c>
      <c r="U96" s="989">
        <f t="shared" si="20"/>
        <v>35163.129688200002</v>
      </c>
      <c r="V96" s="989">
        <f t="shared" si="20"/>
        <v>28651.439005200002</v>
      </c>
      <c r="W96" s="989">
        <f t="shared" si="20"/>
        <v>20837.410185600002</v>
      </c>
      <c r="X96" s="989">
        <f t="shared" si="20"/>
        <v>11069.874161100002</v>
      </c>
      <c r="Y96" s="989">
        <f t="shared" si="20"/>
        <v>0</v>
      </c>
      <c r="Z96" s="989">
        <f t="shared" si="20"/>
        <v>0</v>
      </c>
      <c r="AA96" s="989">
        <f t="shared" si="20"/>
        <v>0</v>
      </c>
      <c r="AB96" s="989">
        <f t="shared" si="20"/>
        <v>0</v>
      </c>
      <c r="AC96" s="989">
        <f t="shared" si="20"/>
        <v>0</v>
      </c>
      <c r="AD96"/>
      <c r="AE96"/>
      <c r="AF96"/>
    </row>
    <row r="97" spans="1:33">
      <c r="A97" s="986" t="s">
        <v>596</v>
      </c>
      <c r="B97" s="990" t="e">
        <f>'[3]Consolidated Model Assumptions'!I144</f>
        <v>#REF!</v>
      </c>
      <c r="C97" s="989"/>
      <c r="D97" s="85"/>
      <c r="E97" s="989">
        <f>E96*$B$92</f>
        <v>5326.5629786939999</v>
      </c>
      <c r="F97" s="989">
        <f t="shared" ref="F97:AC97" si="21">F96*$B$92</f>
        <v>5326.5629786939999</v>
      </c>
      <c r="G97" s="989">
        <f t="shared" si="21"/>
        <v>5326.5629786939999</v>
      </c>
      <c r="H97" s="989">
        <f t="shared" si="21"/>
        <v>5326.5629786939999</v>
      </c>
      <c r="I97" s="989">
        <f t="shared" si="21"/>
        <v>5326.5629786939999</v>
      </c>
      <c r="J97" s="989">
        <f t="shared" si="21"/>
        <v>5220.0317191201193</v>
      </c>
      <c r="K97" s="989">
        <f t="shared" si="21"/>
        <v>5113.5004595462397</v>
      </c>
      <c r="L97" s="989">
        <f t="shared" si="21"/>
        <v>4953.7035701854193</v>
      </c>
      <c r="M97" s="989">
        <f t="shared" si="21"/>
        <v>4793.9066808245989</v>
      </c>
      <c r="N97" s="989">
        <f t="shared" si="21"/>
        <v>4634.1097914637794</v>
      </c>
      <c r="O97" s="989">
        <f t="shared" si="21"/>
        <v>4421.0472723160192</v>
      </c>
      <c r="P97" s="989">
        <f t="shared" si="21"/>
        <v>4207.984753168259</v>
      </c>
      <c r="Q97" s="989">
        <f t="shared" si="21"/>
        <v>3941.6566042335589</v>
      </c>
      <c r="R97" s="989">
        <f t="shared" si="21"/>
        <v>3675.3284552988594</v>
      </c>
      <c r="S97" s="989">
        <f t="shared" si="21"/>
        <v>3409.0003063641598</v>
      </c>
      <c r="T97" s="989">
        <f t="shared" si="21"/>
        <v>3142.6721574294597</v>
      </c>
      <c r="U97" s="989">
        <f t="shared" si="21"/>
        <v>2876.3440084947601</v>
      </c>
      <c r="V97" s="989">
        <f t="shared" si="21"/>
        <v>2343.6877106253601</v>
      </c>
      <c r="W97" s="989">
        <f t="shared" si="21"/>
        <v>1704.5001531820801</v>
      </c>
      <c r="X97" s="989">
        <f t="shared" si="21"/>
        <v>905.51570637798011</v>
      </c>
      <c r="Y97" s="989">
        <f t="shared" si="21"/>
        <v>0</v>
      </c>
      <c r="Z97" s="989">
        <f t="shared" si="21"/>
        <v>0</v>
      </c>
      <c r="AA97" s="989">
        <f t="shared" si="21"/>
        <v>0</v>
      </c>
      <c r="AB97" s="989">
        <f t="shared" si="21"/>
        <v>0</v>
      </c>
      <c r="AC97" s="989">
        <f t="shared" si="21"/>
        <v>0</v>
      </c>
      <c r="AD97"/>
      <c r="AE97"/>
      <c r="AF97"/>
    </row>
    <row r="98" spans="1:33">
      <c r="A98" s="986" t="s">
        <v>597</v>
      </c>
      <c r="B98" s="987"/>
      <c r="C98" s="989"/>
      <c r="E98" s="991">
        <f>$C$96*E102</f>
        <v>0</v>
      </c>
      <c r="F98" s="991">
        <f t="shared" ref="F98:AC98" si="22">$C$96*F102</f>
        <v>0</v>
      </c>
      <c r="G98" s="991">
        <f t="shared" si="22"/>
        <v>0</v>
      </c>
      <c r="H98" s="991">
        <f t="shared" si="22"/>
        <v>0</v>
      </c>
      <c r="I98" s="991">
        <f t="shared" si="22"/>
        <v>1302.3381366000001</v>
      </c>
      <c r="J98" s="991">
        <f t="shared" si="22"/>
        <v>1302.3381366000001</v>
      </c>
      <c r="K98" s="991">
        <f t="shared" si="22"/>
        <v>1953.5072049</v>
      </c>
      <c r="L98" s="991">
        <f t="shared" si="22"/>
        <v>1953.5072049</v>
      </c>
      <c r="M98" s="991">
        <f t="shared" si="22"/>
        <v>1953.5072049</v>
      </c>
      <c r="N98" s="991">
        <f t="shared" si="22"/>
        <v>2604.6762732000002</v>
      </c>
      <c r="O98" s="991">
        <f t="shared" si="22"/>
        <v>2604.6762732000002</v>
      </c>
      <c r="P98" s="991">
        <f t="shared" si="22"/>
        <v>3255.8453415000004</v>
      </c>
      <c r="Q98" s="991">
        <f t="shared" si="22"/>
        <v>3255.8453415000004</v>
      </c>
      <c r="R98" s="991">
        <f t="shared" si="22"/>
        <v>3255.8453415000004</v>
      </c>
      <c r="S98" s="991">
        <f t="shared" si="22"/>
        <v>3255.8453415000004</v>
      </c>
      <c r="T98" s="991">
        <f t="shared" si="22"/>
        <v>3255.8453415000004</v>
      </c>
      <c r="U98" s="991">
        <f t="shared" si="22"/>
        <v>6511.6906830000007</v>
      </c>
      <c r="V98" s="991">
        <f t="shared" si="22"/>
        <v>7814.0288196000001</v>
      </c>
      <c r="W98" s="991">
        <f t="shared" si="22"/>
        <v>9767.5360244999993</v>
      </c>
      <c r="X98" s="991">
        <f t="shared" si="22"/>
        <v>11069.8741611</v>
      </c>
      <c r="Y98" s="991">
        <f t="shared" si="22"/>
        <v>0</v>
      </c>
      <c r="Z98" s="991">
        <f t="shared" si="22"/>
        <v>0</v>
      </c>
      <c r="AA98" s="991">
        <f t="shared" si="22"/>
        <v>0</v>
      </c>
      <c r="AB98" s="991">
        <f t="shared" si="22"/>
        <v>0</v>
      </c>
      <c r="AC98" s="991">
        <f t="shared" si="22"/>
        <v>0</v>
      </c>
      <c r="AD98"/>
      <c r="AE98"/>
      <c r="AF98"/>
    </row>
    <row r="99" spans="1:33">
      <c r="A99" s="986" t="s">
        <v>598</v>
      </c>
      <c r="B99" s="987"/>
      <c r="C99" s="992"/>
      <c r="E99" s="992">
        <f t="shared" ref="E99:AC99" si="23">E98+E97</f>
        <v>5326.5629786939999</v>
      </c>
      <c r="F99" s="992">
        <f t="shared" si="23"/>
        <v>5326.5629786939999</v>
      </c>
      <c r="G99" s="992">
        <f t="shared" si="23"/>
        <v>5326.5629786939999</v>
      </c>
      <c r="H99" s="992">
        <f t="shared" si="23"/>
        <v>5326.5629786939999</v>
      </c>
      <c r="I99" s="992">
        <f t="shared" si="23"/>
        <v>6628.9011152940002</v>
      </c>
      <c r="J99" s="992">
        <f t="shared" si="23"/>
        <v>6522.3698557201196</v>
      </c>
      <c r="K99" s="992">
        <f t="shared" si="23"/>
        <v>7067.0076644462397</v>
      </c>
      <c r="L99" s="992">
        <f t="shared" si="23"/>
        <v>6907.2107750854193</v>
      </c>
      <c r="M99" s="992">
        <f t="shared" si="23"/>
        <v>6747.4138857245989</v>
      </c>
      <c r="N99" s="992">
        <f t="shared" si="23"/>
        <v>7238.7860646637801</v>
      </c>
      <c r="O99" s="992">
        <f t="shared" si="23"/>
        <v>7025.7235455160189</v>
      </c>
      <c r="P99" s="992">
        <f t="shared" si="23"/>
        <v>7463.8300946682593</v>
      </c>
      <c r="Q99" s="992">
        <f t="shared" si="23"/>
        <v>7197.5019457335593</v>
      </c>
      <c r="R99" s="992">
        <f t="shared" si="23"/>
        <v>6931.1737967988593</v>
      </c>
      <c r="S99" s="992">
        <f t="shared" si="23"/>
        <v>6664.8456478641601</v>
      </c>
      <c r="T99" s="992">
        <f t="shared" si="23"/>
        <v>6398.5174989294601</v>
      </c>
      <c r="U99" s="992">
        <f t="shared" si="23"/>
        <v>9388.0346914947604</v>
      </c>
      <c r="V99" s="992">
        <f t="shared" si="23"/>
        <v>10157.71653022536</v>
      </c>
      <c r="W99" s="992">
        <f t="shared" si="23"/>
        <v>11472.036177682079</v>
      </c>
      <c r="X99" s="992">
        <f t="shared" si="23"/>
        <v>11975.389867477981</v>
      </c>
      <c r="Y99" s="992">
        <f t="shared" si="23"/>
        <v>0</v>
      </c>
      <c r="Z99" s="992">
        <f t="shared" si="23"/>
        <v>0</v>
      </c>
      <c r="AA99" s="992">
        <f t="shared" si="23"/>
        <v>0</v>
      </c>
      <c r="AB99" s="992">
        <f t="shared" si="23"/>
        <v>0</v>
      </c>
      <c r="AC99" s="992">
        <f t="shared" si="23"/>
        <v>0</v>
      </c>
      <c r="AD99"/>
      <c r="AE99"/>
      <c r="AF99"/>
    </row>
    <row r="100" spans="1:33">
      <c r="A100" s="986" t="s">
        <v>599</v>
      </c>
      <c r="B100" s="987"/>
      <c r="C100" s="989"/>
      <c r="E100" s="989">
        <f t="shared" ref="E100:AC100" si="24">E96-E98</f>
        <v>65116.90683</v>
      </c>
      <c r="F100" s="989">
        <f t="shared" si="24"/>
        <v>65116.90683</v>
      </c>
      <c r="G100" s="989">
        <f t="shared" si="24"/>
        <v>65116.90683</v>
      </c>
      <c r="H100" s="989">
        <f t="shared" si="24"/>
        <v>65116.90683</v>
      </c>
      <c r="I100" s="989">
        <f t="shared" si="24"/>
        <v>63814.568693399997</v>
      </c>
      <c r="J100" s="989">
        <f t="shared" si="24"/>
        <v>62512.230556799994</v>
      </c>
      <c r="K100" s="989">
        <f t="shared" si="24"/>
        <v>60558.723351899993</v>
      </c>
      <c r="L100" s="989">
        <f t="shared" si="24"/>
        <v>58605.216146999992</v>
      </c>
      <c r="M100" s="989">
        <f t="shared" si="24"/>
        <v>56651.708942099991</v>
      </c>
      <c r="N100" s="989">
        <f t="shared" si="24"/>
        <v>54047.032668899992</v>
      </c>
      <c r="O100" s="989">
        <f t="shared" si="24"/>
        <v>51442.356395699993</v>
      </c>
      <c r="P100" s="989">
        <f t="shared" si="24"/>
        <v>48186.511054199989</v>
      </c>
      <c r="Q100" s="989">
        <f t="shared" si="24"/>
        <v>44930.665712699993</v>
      </c>
      <c r="R100" s="989">
        <f t="shared" si="24"/>
        <v>41674.820371199996</v>
      </c>
      <c r="S100" s="989">
        <f t="shared" si="24"/>
        <v>38418.975029699999</v>
      </c>
      <c r="T100" s="989">
        <f t="shared" si="24"/>
        <v>35163.129688200002</v>
      </c>
      <c r="U100" s="989">
        <f t="shared" si="24"/>
        <v>28651.439005200002</v>
      </c>
      <c r="V100" s="989">
        <f t="shared" si="24"/>
        <v>20837.410185600002</v>
      </c>
      <c r="W100" s="989">
        <f t="shared" si="24"/>
        <v>11069.874161100002</v>
      </c>
      <c r="X100" s="989">
        <f t="shared" si="24"/>
        <v>0</v>
      </c>
      <c r="Y100" s="989">
        <f t="shared" si="24"/>
        <v>0</v>
      </c>
      <c r="Z100" s="989">
        <f t="shared" si="24"/>
        <v>0</v>
      </c>
      <c r="AA100" s="989">
        <f t="shared" si="24"/>
        <v>0</v>
      </c>
      <c r="AB100" s="989">
        <f t="shared" si="24"/>
        <v>0</v>
      </c>
      <c r="AC100" s="989">
        <f t="shared" si="24"/>
        <v>0</v>
      </c>
      <c r="AD100"/>
      <c r="AE100"/>
      <c r="AF100"/>
    </row>
    <row r="101" spans="1:33" s="1" customFormat="1" ht="12.6" customHeight="1">
      <c r="A101" s="986" t="s">
        <v>600</v>
      </c>
      <c r="B101" s="987"/>
      <c r="C101" s="1000">
        <f>SUMPRODUCT(E98:AC98,E93:AC93)/SUM(E98:AC98)</f>
        <v>15.389999999999997</v>
      </c>
      <c r="D101" s="60"/>
      <c r="E101" s="994"/>
      <c r="F101" s="989"/>
      <c r="G101" s="989"/>
      <c r="H101" s="989"/>
      <c r="I101" s="989"/>
      <c r="J101" s="989"/>
      <c r="K101" s="989"/>
      <c r="L101" s="989"/>
      <c r="M101" s="989"/>
      <c r="N101" s="989"/>
      <c r="O101" s="989"/>
      <c r="P101" s="989"/>
      <c r="Q101" s="989"/>
      <c r="R101" s="989"/>
      <c r="S101" s="989"/>
      <c r="T101" s="989"/>
      <c r="U101" s="989"/>
      <c r="V101" s="989"/>
      <c r="W101" s="989"/>
      <c r="X101" s="989"/>
      <c r="Y101" s="989"/>
      <c r="Z101" s="989"/>
      <c r="AA101" s="989"/>
      <c r="AB101" s="989"/>
      <c r="AC101" s="989"/>
      <c r="AD101"/>
      <c r="AE101"/>
      <c r="AF101"/>
      <c r="AG101"/>
    </row>
    <row r="102" spans="1:33" s="47" customFormat="1">
      <c r="A102" s="60"/>
      <c r="B102" s="203"/>
      <c r="C102" s="995" t="s">
        <v>601</v>
      </c>
      <c r="D102" s="996">
        <f>SUM(E102:AC102)</f>
        <v>1</v>
      </c>
      <c r="E102" s="997">
        <v>0</v>
      </c>
      <c r="F102" s="997">
        <v>0</v>
      </c>
      <c r="G102" s="997">
        <v>0</v>
      </c>
      <c r="H102" s="997">
        <v>0</v>
      </c>
      <c r="I102" s="997">
        <v>0.02</v>
      </c>
      <c r="J102" s="997">
        <v>0.02</v>
      </c>
      <c r="K102" s="997">
        <v>0.03</v>
      </c>
      <c r="L102" s="997">
        <v>0.03</v>
      </c>
      <c r="M102" s="997">
        <v>0.03</v>
      </c>
      <c r="N102" s="997">
        <v>0.04</v>
      </c>
      <c r="O102" s="997">
        <v>0.04</v>
      </c>
      <c r="P102" s="997">
        <v>0.05</v>
      </c>
      <c r="Q102" s="997">
        <v>0.05</v>
      </c>
      <c r="R102" s="997">
        <v>0.05</v>
      </c>
      <c r="S102" s="997">
        <v>0.05</v>
      </c>
      <c r="T102" s="997">
        <v>0.05</v>
      </c>
      <c r="U102" s="997">
        <v>0.1</v>
      </c>
      <c r="V102" s="997">
        <v>0.12</v>
      </c>
      <c r="W102" s="997">
        <v>0.15</v>
      </c>
      <c r="X102" s="997">
        <v>0.17</v>
      </c>
      <c r="Y102" s="997">
        <v>0</v>
      </c>
      <c r="Z102" s="997">
        <v>0</v>
      </c>
      <c r="AA102" s="997">
        <v>0</v>
      </c>
      <c r="AB102" s="997">
        <v>0</v>
      </c>
      <c r="AC102" s="997">
        <v>0</v>
      </c>
      <c r="AD102"/>
      <c r="AE102"/>
      <c r="AF102"/>
      <c r="AG102"/>
    </row>
    <row r="103" spans="1:33" s="47" customFormat="1">
      <c r="A103"/>
      <c r="B103"/>
      <c r="C103"/>
      <c r="D103"/>
      <c r="E103"/>
      <c r="F103"/>
      <c r="G103"/>
      <c r="H103"/>
      <c r="I103"/>
      <c r="J103"/>
      <c r="K103"/>
      <c r="L103"/>
      <c r="M103"/>
      <c r="N103"/>
      <c r="O103"/>
      <c r="P103"/>
      <c r="Q103"/>
      <c r="R103"/>
      <c r="S103"/>
      <c r="T103"/>
      <c r="U103"/>
      <c r="V103"/>
      <c r="W103"/>
      <c r="X103"/>
      <c r="Y103"/>
      <c r="Z103"/>
      <c r="AA103"/>
      <c r="AB103"/>
      <c r="AC103"/>
      <c r="AD103"/>
      <c r="AE103"/>
      <c r="AF103"/>
      <c r="AG103"/>
    </row>
    <row r="104" spans="1:33" s="47" customFormat="1">
      <c r="A104"/>
      <c r="B104"/>
      <c r="C104"/>
      <c r="D104"/>
      <c r="E104"/>
      <c r="F104"/>
      <c r="G104"/>
      <c r="H104"/>
      <c r="I104"/>
      <c r="J104"/>
      <c r="K104"/>
      <c r="L104"/>
      <c r="M104"/>
      <c r="N104"/>
      <c r="O104"/>
      <c r="P104"/>
      <c r="Q104"/>
      <c r="R104"/>
      <c r="S104"/>
      <c r="T104"/>
      <c r="U104"/>
      <c r="V104"/>
      <c r="W104"/>
      <c r="X104"/>
      <c r="Y104"/>
      <c r="Z104"/>
      <c r="AA104"/>
      <c r="AB104"/>
      <c r="AC104"/>
      <c r="AD104"/>
      <c r="AE104"/>
      <c r="AF104"/>
      <c r="AG104"/>
    </row>
    <row r="105" spans="1:33" s="47" customFormat="1">
      <c r="A105"/>
      <c r="B105"/>
      <c r="C105"/>
      <c r="D105"/>
      <c r="E105"/>
      <c r="F105"/>
      <c r="G105"/>
      <c r="H105"/>
      <c r="I105"/>
      <c r="J105"/>
      <c r="K105"/>
      <c r="L105"/>
      <c r="M105"/>
      <c r="N105"/>
      <c r="O105"/>
      <c r="P105"/>
      <c r="Q105"/>
      <c r="R105"/>
      <c r="S105"/>
      <c r="T105"/>
      <c r="U105"/>
      <c r="V105"/>
      <c r="W105"/>
      <c r="X105"/>
      <c r="Y105"/>
      <c r="Z105"/>
      <c r="AA105"/>
      <c r="AB105"/>
      <c r="AC105"/>
      <c r="AD105"/>
      <c r="AE105"/>
      <c r="AF105"/>
      <c r="AG105"/>
    </row>
    <row r="106" spans="1:33" s="47" customFormat="1">
      <c r="A106"/>
      <c r="B106"/>
      <c r="C106"/>
      <c r="D106"/>
      <c r="E106"/>
      <c r="F106"/>
      <c r="G106"/>
      <c r="H106"/>
      <c r="I106"/>
      <c r="J106"/>
      <c r="K106"/>
      <c r="L106"/>
      <c r="M106"/>
      <c r="N106"/>
      <c r="O106"/>
      <c r="P106"/>
      <c r="Q106"/>
      <c r="R106"/>
      <c r="S106"/>
      <c r="T106"/>
      <c r="U106"/>
      <c r="V106"/>
      <c r="W106"/>
      <c r="X106"/>
      <c r="Y106"/>
      <c r="Z106"/>
      <c r="AA106"/>
      <c r="AB106"/>
      <c r="AC106"/>
      <c r="AD106"/>
      <c r="AE106"/>
      <c r="AF106"/>
      <c r="AG106"/>
    </row>
    <row r="107" spans="1:33" s="47" customFormat="1" ht="12.6" customHeight="1">
      <c r="A107"/>
      <c r="B107"/>
      <c r="C107"/>
      <c r="D107"/>
      <c r="E107"/>
      <c r="F107"/>
      <c r="G107"/>
      <c r="H107"/>
      <c r="I107"/>
      <c r="J107"/>
      <c r="K107"/>
      <c r="L107"/>
      <c r="M107"/>
      <c r="N107"/>
      <c r="O107"/>
      <c r="P107"/>
      <c r="Q107"/>
      <c r="R107"/>
      <c r="S107"/>
      <c r="T107"/>
      <c r="U107"/>
      <c r="V107"/>
      <c r="W107"/>
      <c r="X107"/>
      <c r="Y107"/>
      <c r="Z107"/>
      <c r="AA107"/>
      <c r="AB107"/>
      <c r="AC107"/>
      <c r="AD107"/>
      <c r="AE107"/>
      <c r="AF107"/>
      <c r="AG107"/>
    </row>
    <row r="108" spans="1:33" s="47" customFormat="1" ht="12.6" customHeight="1">
      <c r="A108"/>
      <c r="B108"/>
      <c r="C108"/>
      <c r="D108"/>
      <c r="E108"/>
      <c r="F108"/>
      <c r="G108"/>
      <c r="H108"/>
      <c r="I108"/>
      <c r="J108"/>
      <c r="K108"/>
      <c r="L108"/>
      <c r="M108"/>
      <c r="N108"/>
      <c r="O108"/>
      <c r="P108"/>
      <c r="Q108"/>
      <c r="R108"/>
      <c r="S108"/>
      <c r="T108"/>
      <c r="U108"/>
      <c r="V108"/>
      <c r="W108"/>
      <c r="X108"/>
      <c r="Y108"/>
      <c r="Z108"/>
      <c r="AA108"/>
      <c r="AB108"/>
      <c r="AC108"/>
      <c r="AD108"/>
      <c r="AE108"/>
      <c r="AF108"/>
      <c r="AG108"/>
    </row>
    <row r="109" spans="1:33" ht="12.6" customHeight="1">
      <c r="A109"/>
      <c r="B109"/>
      <c r="C109"/>
      <c r="D109"/>
      <c r="E109"/>
      <c r="F109"/>
      <c r="G109"/>
      <c r="H109"/>
      <c r="I109"/>
      <c r="J109"/>
      <c r="K109"/>
      <c r="L109"/>
      <c r="M109"/>
      <c r="N109"/>
      <c r="O109"/>
      <c r="P109"/>
      <c r="Q109"/>
      <c r="R109"/>
      <c r="S109"/>
      <c r="T109"/>
      <c r="U109"/>
      <c r="V109"/>
      <c r="W109"/>
      <c r="X109"/>
      <c r="Y109"/>
      <c r="Z109"/>
      <c r="AA109"/>
      <c r="AB109"/>
      <c r="AC109"/>
      <c r="AD109"/>
      <c r="AE109"/>
      <c r="AF109"/>
    </row>
    <row r="110" spans="1:33" ht="12.6" customHeight="1">
      <c r="A110"/>
      <c r="B110"/>
      <c r="C110"/>
      <c r="D110"/>
      <c r="E110"/>
      <c r="F110"/>
      <c r="G110"/>
      <c r="H110"/>
      <c r="I110"/>
      <c r="J110"/>
      <c r="K110"/>
      <c r="L110"/>
      <c r="M110"/>
      <c r="N110"/>
      <c r="O110"/>
      <c r="P110"/>
      <c r="Q110"/>
      <c r="R110"/>
      <c r="S110"/>
      <c r="T110"/>
      <c r="U110"/>
      <c r="V110"/>
      <c r="W110"/>
      <c r="X110"/>
      <c r="Y110"/>
      <c r="Z110"/>
      <c r="AA110"/>
      <c r="AB110"/>
      <c r="AC110"/>
      <c r="AD110"/>
      <c r="AE110"/>
      <c r="AF110"/>
    </row>
    <row r="111" spans="1:33" ht="12.6" customHeight="1">
      <c r="A111"/>
      <c r="B111"/>
      <c r="C111"/>
      <c r="D111"/>
      <c r="E111"/>
      <c r="F111"/>
      <c r="G111"/>
      <c r="H111"/>
      <c r="I111"/>
      <c r="J111"/>
      <c r="K111"/>
      <c r="L111"/>
      <c r="M111"/>
      <c r="N111"/>
      <c r="O111"/>
      <c r="P111"/>
      <c r="Q111"/>
      <c r="R111"/>
      <c r="S111"/>
      <c r="T111"/>
      <c r="U111"/>
      <c r="V111"/>
      <c r="W111"/>
      <c r="X111"/>
      <c r="Y111"/>
      <c r="Z111"/>
      <c r="AA111"/>
      <c r="AB111"/>
      <c r="AC111"/>
      <c r="AD111"/>
      <c r="AE111"/>
      <c r="AF111"/>
    </row>
    <row r="112" spans="1:33" ht="12.6" customHeight="1">
      <c r="A112"/>
      <c r="B112"/>
      <c r="C112"/>
      <c r="D112"/>
      <c r="E112"/>
      <c r="F112"/>
      <c r="G112"/>
      <c r="H112"/>
      <c r="I112"/>
      <c r="J112"/>
      <c r="K112"/>
      <c r="L112"/>
      <c r="M112"/>
      <c r="N112"/>
      <c r="O112"/>
      <c r="P112"/>
      <c r="Q112"/>
      <c r="R112"/>
      <c r="S112"/>
      <c r="T112"/>
      <c r="U112"/>
      <c r="V112"/>
      <c r="W112"/>
      <c r="X112"/>
      <c r="Y112"/>
      <c r="Z112"/>
      <c r="AA112"/>
      <c r="AB112"/>
      <c r="AC112"/>
      <c r="AD112"/>
      <c r="AE112"/>
      <c r="AF112"/>
    </row>
    <row r="113" spans="1:45" ht="12.6" customHeight="1">
      <c r="A113"/>
      <c r="B113"/>
      <c r="C113"/>
      <c r="D113"/>
      <c r="E113"/>
      <c r="F113"/>
      <c r="G113"/>
      <c r="H113"/>
      <c r="I113"/>
      <c r="J113"/>
      <c r="K113"/>
      <c r="L113"/>
      <c r="M113"/>
      <c r="N113"/>
      <c r="O113"/>
      <c r="P113"/>
      <c r="Q113"/>
      <c r="R113"/>
      <c r="S113"/>
      <c r="T113"/>
      <c r="U113"/>
      <c r="V113"/>
      <c r="W113"/>
      <c r="X113"/>
      <c r="Y113"/>
      <c r="Z113"/>
      <c r="AA113"/>
      <c r="AB113"/>
      <c r="AC113"/>
      <c r="AD113"/>
      <c r="AE113"/>
      <c r="AF113"/>
    </row>
    <row r="114" spans="1:45" ht="12.6" customHeight="1"/>
    <row r="115" spans="1:45" ht="12.6" customHeight="1"/>
    <row r="116" spans="1:45" ht="12.6" customHeight="1"/>
    <row r="117" spans="1:45" s="1" customFormat="1" ht="12.6" customHeight="1">
      <c r="A117" s="160"/>
      <c r="B117" s="85"/>
      <c r="C117" s="85"/>
      <c r="D117" s="214"/>
      <c r="E117" s="147"/>
      <c r="F117" s="147"/>
      <c r="G117" s="147"/>
      <c r="H117" s="147"/>
      <c r="I117" s="147"/>
      <c r="J117" s="147"/>
      <c r="K117" s="147"/>
      <c r="L117" s="147"/>
      <c r="M117" s="147"/>
      <c r="N117" s="147"/>
      <c r="O117" s="147"/>
      <c r="P117" s="147"/>
      <c r="Q117" s="147"/>
      <c r="R117" s="147"/>
      <c r="S117" s="147"/>
      <c r="T117" s="147"/>
      <c r="U117" s="147"/>
      <c r="V117" s="147"/>
      <c r="W117" s="147"/>
      <c r="X117" s="147"/>
      <c r="Y117" s="147"/>
      <c r="Z117" s="147"/>
      <c r="AA117" s="147"/>
      <c r="AB117" s="147"/>
      <c r="AC117" s="147"/>
      <c r="AD117" s="85"/>
      <c r="AE117" s="85"/>
      <c r="AF117" s="85"/>
    </row>
    <row r="118" spans="1:45" s="1" customFormat="1" ht="12.6" customHeight="1">
      <c r="A118" s="72"/>
      <c r="B118" s="85"/>
      <c r="C118" s="85"/>
      <c r="D118" s="147"/>
      <c r="E118" s="147"/>
      <c r="F118" s="147"/>
      <c r="G118" s="147"/>
      <c r="H118" s="147"/>
      <c r="I118" s="147"/>
      <c r="J118" s="147"/>
      <c r="K118" s="147"/>
      <c r="L118" s="147"/>
      <c r="M118" s="147"/>
      <c r="N118" s="147"/>
      <c r="O118" s="147"/>
      <c r="P118" s="147"/>
      <c r="Q118" s="147"/>
      <c r="R118" s="147"/>
      <c r="S118" s="147"/>
      <c r="T118" s="147"/>
      <c r="U118" s="147"/>
      <c r="V118" s="147"/>
      <c r="W118" s="147"/>
      <c r="X118" s="147"/>
      <c r="Y118" s="147"/>
      <c r="Z118" s="147"/>
      <c r="AA118" s="147"/>
      <c r="AB118" s="147"/>
      <c r="AC118" s="147"/>
      <c r="AD118" s="85"/>
      <c r="AE118" s="85"/>
      <c r="AF118" s="85"/>
    </row>
    <row r="119" spans="1:45" s="1" customFormat="1" ht="12.6" customHeight="1">
      <c r="A119" s="160"/>
      <c r="B119" s="85"/>
      <c r="C119" s="85"/>
      <c r="D119" s="147"/>
      <c r="E119" s="213"/>
      <c r="F119" s="213"/>
      <c r="G119" s="213"/>
      <c r="H119" s="213"/>
      <c r="I119" s="213"/>
      <c r="J119" s="213"/>
      <c r="K119" s="213"/>
      <c r="L119" s="213"/>
      <c r="M119" s="213"/>
      <c r="N119" s="213"/>
      <c r="O119" s="213"/>
      <c r="P119" s="213"/>
      <c r="Q119" s="213"/>
      <c r="R119" s="213"/>
      <c r="S119" s="213"/>
      <c r="T119" s="213"/>
      <c r="U119" s="213"/>
      <c r="V119" s="213"/>
      <c r="W119" s="213"/>
      <c r="X119" s="213"/>
      <c r="Y119" s="213"/>
      <c r="Z119" s="213"/>
      <c r="AA119" s="213"/>
      <c r="AB119" s="213"/>
      <c r="AC119" s="213"/>
      <c r="AD119" s="213"/>
      <c r="AE119" s="213"/>
      <c r="AF119" s="213"/>
      <c r="AG119" s="7"/>
      <c r="AH119" s="7"/>
      <c r="AI119" s="7"/>
      <c r="AJ119" s="7"/>
      <c r="AK119" s="7"/>
      <c r="AL119" s="7"/>
      <c r="AM119" s="7"/>
      <c r="AN119" s="7"/>
      <c r="AO119" s="7"/>
      <c r="AP119" s="7"/>
      <c r="AQ119" s="7"/>
      <c r="AR119" s="7"/>
      <c r="AS119" s="7"/>
    </row>
    <row r="120" spans="1:45" s="1" customFormat="1" ht="12.6" customHeight="1">
      <c r="A120" s="160"/>
      <c r="B120" s="85"/>
      <c r="C120" s="85"/>
      <c r="D120" s="147"/>
      <c r="E120" s="215"/>
      <c r="F120" s="215"/>
      <c r="G120" s="215"/>
      <c r="H120" s="215"/>
      <c r="I120" s="215"/>
      <c r="J120" s="215"/>
      <c r="K120" s="215"/>
      <c r="L120" s="215"/>
      <c r="M120" s="215"/>
      <c r="N120" s="215"/>
      <c r="O120" s="215"/>
      <c r="P120" s="215"/>
      <c r="Q120" s="215"/>
      <c r="R120" s="215"/>
      <c r="S120" s="215"/>
      <c r="T120" s="215"/>
      <c r="U120" s="215"/>
      <c r="V120" s="215"/>
      <c r="W120" s="215"/>
      <c r="X120" s="215"/>
      <c r="Y120" s="215"/>
      <c r="Z120" s="215"/>
      <c r="AA120" s="215"/>
      <c r="AB120" s="215"/>
      <c r="AC120" s="215"/>
      <c r="AD120" s="215"/>
      <c r="AE120" s="215"/>
      <c r="AF120" s="215"/>
      <c r="AG120" s="49"/>
      <c r="AH120" s="49"/>
      <c r="AI120" s="49"/>
      <c r="AJ120" s="49"/>
      <c r="AK120" s="49"/>
      <c r="AL120" s="49"/>
      <c r="AM120" s="49"/>
      <c r="AN120" s="49"/>
      <c r="AO120" s="49"/>
      <c r="AP120" s="49"/>
      <c r="AQ120" s="49"/>
      <c r="AR120" s="49"/>
      <c r="AS120" s="49"/>
    </row>
    <row r="121" spans="1:45" s="1" customFormat="1" ht="12.6" customHeight="1">
      <c r="A121" s="160"/>
      <c r="B121" s="85"/>
      <c r="C121" s="85"/>
      <c r="D121" s="147"/>
      <c r="E121" s="147"/>
      <c r="F121" s="147"/>
      <c r="G121" s="147"/>
      <c r="H121" s="147"/>
      <c r="I121" s="147"/>
      <c r="J121" s="147"/>
      <c r="K121" s="147"/>
      <c r="L121" s="147"/>
      <c r="M121" s="147"/>
      <c r="N121" s="147"/>
      <c r="O121" s="147"/>
      <c r="P121" s="147"/>
      <c r="Q121" s="147"/>
      <c r="R121" s="147"/>
      <c r="S121" s="147"/>
      <c r="T121" s="147"/>
      <c r="U121" s="147"/>
      <c r="V121" s="147"/>
      <c r="W121" s="147"/>
      <c r="X121" s="147"/>
      <c r="Y121" s="147"/>
      <c r="Z121" s="147"/>
      <c r="AA121" s="147"/>
      <c r="AB121" s="147"/>
      <c r="AC121" s="147"/>
      <c r="AD121" s="147"/>
      <c r="AE121" s="147"/>
      <c r="AF121" s="147"/>
      <c r="AG121" s="4"/>
      <c r="AH121" s="4"/>
      <c r="AI121" s="4"/>
      <c r="AJ121" s="4"/>
      <c r="AK121" s="4"/>
      <c r="AL121" s="4"/>
      <c r="AM121" s="4"/>
      <c r="AN121" s="4"/>
      <c r="AO121" s="4"/>
      <c r="AP121" s="4"/>
      <c r="AQ121" s="4"/>
      <c r="AR121" s="4"/>
      <c r="AS121" s="4"/>
    </row>
    <row r="122" spans="1:45" s="1" customFormat="1" ht="12.6" customHeight="1">
      <c r="A122" s="160"/>
      <c r="B122" s="216"/>
      <c r="C122" s="216"/>
      <c r="D122" s="147"/>
      <c r="E122" s="147"/>
      <c r="F122" s="147"/>
      <c r="G122" s="147"/>
      <c r="H122" s="147"/>
      <c r="I122" s="147"/>
      <c r="J122" s="147"/>
      <c r="K122" s="147"/>
      <c r="L122" s="147"/>
      <c r="M122" s="147"/>
      <c r="N122" s="147"/>
      <c r="O122" s="147"/>
      <c r="P122" s="147"/>
      <c r="Q122" s="147"/>
      <c r="R122" s="147"/>
      <c r="S122" s="147"/>
      <c r="T122" s="147"/>
      <c r="U122" s="147"/>
      <c r="V122" s="147"/>
      <c r="W122" s="147"/>
      <c r="X122" s="147"/>
      <c r="Y122" s="147"/>
      <c r="Z122" s="147"/>
      <c r="AA122" s="147"/>
      <c r="AB122" s="147"/>
      <c r="AC122" s="147"/>
      <c r="AD122" s="147"/>
      <c r="AE122" s="147"/>
      <c r="AF122" s="147"/>
      <c r="AG122" s="4"/>
      <c r="AH122" s="4"/>
      <c r="AI122" s="4"/>
      <c r="AJ122" s="4"/>
      <c r="AK122" s="4"/>
      <c r="AL122" s="4"/>
      <c r="AM122" s="4"/>
      <c r="AN122" s="4"/>
      <c r="AO122" s="4"/>
      <c r="AP122" s="4"/>
      <c r="AQ122" s="4"/>
      <c r="AR122" s="4"/>
      <c r="AS122" s="4"/>
    </row>
    <row r="123" spans="1:45" s="1" customFormat="1" ht="12.6" customHeight="1">
      <c r="A123" s="160"/>
      <c r="B123" s="85"/>
      <c r="C123" s="85"/>
      <c r="D123" s="214"/>
      <c r="E123" s="215"/>
      <c r="F123" s="215"/>
      <c r="G123" s="215"/>
      <c r="H123" s="215"/>
      <c r="I123" s="215"/>
      <c r="J123" s="215"/>
      <c r="K123" s="215"/>
      <c r="L123" s="215"/>
      <c r="M123" s="215"/>
      <c r="N123" s="215"/>
      <c r="O123" s="215"/>
      <c r="P123" s="215"/>
      <c r="Q123" s="215"/>
      <c r="R123" s="215"/>
      <c r="S123" s="215"/>
      <c r="T123" s="215"/>
      <c r="U123" s="215"/>
      <c r="V123" s="215"/>
      <c r="W123" s="215"/>
      <c r="X123" s="215"/>
      <c r="Y123" s="215"/>
      <c r="Z123" s="215"/>
      <c r="AA123" s="215"/>
      <c r="AB123" s="215"/>
      <c r="AC123" s="215"/>
      <c r="AD123" s="215"/>
      <c r="AE123" s="215"/>
      <c r="AF123" s="215"/>
      <c r="AG123" s="49"/>
      <c r="AH123" s="49"/>
      <c r="AI123" s="49"/>
      <c r="AJ123" s="49"/>
      <c r="AK123" s="49"/>
      <c r="AL123" s="49"/>
      <c r="AM123" s="49"/>
      <c r="AN123" s="49"/>
      <c r="AO123" s="49"/>
      <c r="AP123" s="49"/>
      <c r="AQ123" s="49"/>
      <c r="AR123" s="49"/>
      <c r="AS123" s="49"/>
    </row>
    <row r="124" spans="1:45" s="1" customFormat="1" ht="12.6" customHeight="1">
      <c r="A124" s="160"/>
      <c r="B124" s="85"/>
      <c r="C124" s="85"/>
      <c r="D124" s="147"/>
      <c r="E124" s="147"/>
      <c r="F124" s="147"/>
      <c r="G124" s="147"/>
      <c r="H124" s="147"/>
      <c r="I124" s="147"/>
      <c r="J124" s="147"/>
      <c r="K124" s="147"/>
      <c r="L124" s="147"/>
      <c r="M124" s="147"/>
      <c r="N124" s="147"/>
      <c r="O124" s="147"/>
      <c r="P124" s="147"/>
      <c r="Q124" s="147"/>
      <c r="R124" s="147"/>
      <c r="S124" s="147"/>
      <c r="T124" s="147"/>
      <c r="U124" s="147"/>
      <c r="V124" s="147"/>
      <c r="W124" s="147"/>
      <c r="X124" s="147"/>
      <c r="Y124" s="147"/>
      <c r="Z124" s="147"/>
      <c r="AA124" s="147"/>
      <c r="AB124" s="147"/>
      <c r="AC124" s="147"/>
      <c r="AD124" s="85"/>
      <c r="AE124" s="85"/>
      <c r="AF124" s="85"/>
    </row>
    <row r="125" spans="1:45" s="1" customFormat="1" ht="12.6" customHeight="1">
      <c r="A125" s="85"/>
      <c r="B125" s="85"/>
      <c r="C125" s="85"/>
      <c r="D125" s="147"/>
      <c r="E125" s="147"/>
      <c r="F125" s="147"/>
      <c r="G125" s="147"/>
      <c r="H125" s="147"/>
      <c r="I125" s="147"/>
      <c r="J125" s="147"/>
      <c r="K125" s="147"/>
      <c r="L125" s="147"/>
      <c r="M125" s="147"/>
      <c r="N125" s="147"/>
      <c r="O125" s="147"/>
      <c r="P125" s="147"/>
      <c r="Q125" s="147"/>
      <c r="R125" s="147"/>
      <c r="S125" s="147"/>
      <c r="T125" s="147"/>
      <c r="U125" s="147"/>
      <c r="V125" s="147"/>
      <c r="W125" s="147"/>
      <c r="X125" s="147"/>
      <c r="Y125" s="147"/>
      <c r="Z125" s="147"/>
      <c r="AA125" s="147"/>
      <c r="AB125" s="147"/>
      <c r="AC125" s="147"/>
      <c r="AD125" s="85"/>
      <c r="AE125" s="85"/>
      <c r="AF125" s="85"/>
    </row>
    <row r="126" spans="1:45" s="1" customFormat="1" ht="12.6" customHeight="1">
      <c r="A126" s="85"/>
      <c r="B126" s="85"/>
      <c r="C126" s="85"/>
      <c r="D126" s="147"/>
      <c r="E126" s="147"/>
      <c r="F126" s="147"/>
      <c r="G126" s="147"/>
      <c r="H126" s="147"/>
      <c r="I126" s="147"/>
      <c r="J126" s="147"/>
      <c r="K126" s="147"/>
      <c r="L126" s="147"/>
      <c r="M126" s="147"/>
      <c r="N126" s="147"/>
      <c r="O126" s="147"/>
      <c r="P126" s="147"/>
      <c r="Q126" s="147"/>
      <c r="R126" s="147"/>
      <c r="S126" s="147"/>
      <c r="T126" s="147"/>
      <c r="U126" s="147"/>
      <c r="V126" s="147"/>
      <c r="W126" s="147"/>
      <c r="X126" s="147"/>
      <c r="Y126" s="147"/>
      <c r="Z126" s="147"/>
      <c r="AA126" s="147"/>
      <c r="AB126" s="147"/>
      <c r="AC126" s="147"/>
      <c r="AD126" s="85"/>
      <c r="AE126" s="85"/>
      <c r="AF126" s="85"/>
    </row>
    <row r="127" spans="1:45" s="1" customFormat="1" ht="12.6" customHeight="1">
      <c r="A127" s="85"/>
      <c r="B127" s="85"/>
      <c r="C127" s="85"/>
      <c r="D127" s="60"/>
      <c r="E127" s="60"/>
      <c r="F127" s="60"/>
      <c r="G127" s="60"/>
      <c r="H127" s="60"/>
      <c r="I127" s="60"/>
      <c r="J127" s="60"/>
      <c r="K127" s="60"/>
      <c r="L127" s="60"/>
      <c r="M127" s="60"/>
      <c r="N127" s="60"/>
      <c r="O127" s="60"/>
      <c r="P127" s="60"/>
      <c r="Q127" s="60"/>
      <c r="R127" s="60"/>
      <c r="S127" s="60"/>
      <c r="T127" s="60"/>
      <c r="U127" s="60"/>
      <c r="V127" s="60"/>
      <c r="W127" s="60"/>
      <c r="X127" s="60"/>
      <c r="Y127" s="60"/>
      <c r="Z127" s="60"/>
      <c r="AA127" s="60"/>
      <c r="AB127" s="60"/>
      <c r="AC127" s="60"/>
      <c r="AD127" s="85"/>
      <c r="AE127" s="85"/>
      <c r="AF127" s="85"/>
    </row>
    <row r="128" spans="1:45" ht="12.6" customHeight="1"/>
    <row r="129" ht="12.6" customHeight="1"/>
    <row r="130" ht="12.6" customHeight="1"/>
    <row r="131" ht="12.6" customHeight="1"/>
    <row r="132" ht="12.6" customHeight="1"/>
    <row r="133" ht="12.6" customHeight="1"/>
    <row r="134" ht="12.6" customHeight="1"/>
    <row r="135" ht="12.6" customHeight="1"/>
    <row r="136" ht="12.6" customHeight="1"/>
    <row r="137" ht="12.6" customHeight="1"/>
    <row r="138" ht="12.6" customHeight="1"/>
    <row r="139" ht="12.6" customHeight="1"/>
    <row r="140" ht="12.6" customHeight="1"/>
    <row r="141" ht="12.6" customHeight="1"/>
    <row r="142" ht="12.6" customHeight="1"/>
    <row r="143" ht="12.6" customHeight="1"/>
    <row r="144" ht="12.6" customHeight="1"/>
    <row r="145" ht="12.6" customHeight="1"/>
    <row r="146" ht="12.6" customHeight="1"/>
    <row r="147" ht="12.6" customHeight="1"/>
    <row r="148" ht="12.6" customHeight="1"/>
    <row r="149" ht="12.6" customHeight="1"/>
    <row r="150" ht="12.6" customHeight="1"/>
    <row r="151" ht="12.6" customHeight="1"/>
    <row r="152" ht="12.6" customHeight="1"/>
    <row r="153" ht="12.6" customHeight="1"/>
    <row r="154" ht="12.6" customHeight="1"/>
    <row r="155" ht="12.6" customHeight="1"/>
    <row r="156" ht="12.6" customHeight="1"/>
    <row r="157" ht="12.6" customHeight="1"/>
    <row r="158" ht="12.6" customHeight="1"/>
    <row r="159" ht="12.6" customHeight="1"/>
    <row r="160" ht="12.6" customHeight="1"/>
    <row r="161" ht="12.6" customHeight="1"/>
    <row r="162" ht="12.6" customHeight="1"/>
    <row r="163" ht="12.6" customHeight="1"/>
    <row r="164" ht="12.6" customHeight="1"/>
    <row r="165" ht="12.6" customHeight="1"/>
    <row r="166" ht="12.6" customHeight="1"/>
    <row r="167" ht="12.6" customHeight="1"/>
    <row r="168" ht="12.6" customHeight="1"/>
    <row r="169" ht="12.6" customHeight="1"/>
    <row r="170" ht="12.6" customHeight="1"/>
    <row r="171" ht="12.6" customHeight="1"/>
    <row r="172" ht="12.6" customHeight="1"/>
    <row r="173" ht="12.6" customHeight="1"/>
    <row r="174" ht="12.6" customHeight="1"/>
    <row r="175" ht="12.6" customHeight="1"/>
    <row r="176" ht="12.6" customHeight="1"/>
    <row r="177" ht="12.6" customHeight="1"/>
    <row r="178" ht="12.6" customHeight="1"/>
    <row r="179" ht="12.6" customHeight="1"/>
    <row r="180" ht="12.6" customHeight="1"/>
    <row r="181" ht="12.6" customHeight="1"/>
    <row r="182" ht="12.6" customHeight="1"/>
    <row r="183" ht="12.6" customHeight="1"/>
    <row r="184" ht="12.6" customHeight="1"/>
    <row r="185" ht="12.6" customHeight="1"/>
    <row r="186" ht="12.6" customHeight="1"/>
    <row r="187" ht="12.6" customHeight="1"/>
    <row r="188" ht="12.6" customHeight="1"/>
    <row r="189" ht="12.6" customHeight="1"/>
    <row r="190" ht="12.6" customHeight="1"/>
    <row r="191" ht="12.6" customHeight="1"/>
    <row r="192" ht="12.6" customHeight="1"/>
    <row r="193" ht="12.6" customHeight="1"/>
    <row r="194" ht="12.6" customHeight="1"/>
    <row r="195" ht="12.6" customHeight="1"/>
    <row r="196" ht="12.6" customHeight="1"/>
    <row r="197" ht="12.6" customHeight="1"/>
    <row r="198" ht="12.6" customHeight="1"/>
    <row r="199" ht="12.6" customHeight="1"/>
    <row r="200" ht="12.6" customHeight="1"/>
    <row r="201" ht="12.6" customHeight="1"/>
    <row r="202" ht="12.6" customHeight="1"/>
    <row r="203" ht="12.6" customHeight="1"/>
    <row r="204" ht="12.6" customHeight="1"/>
    <row r="205" ht="12.6" customHeight="1"/>
    <row r="206" ht="12.6" customHeight="1"/>
    <row r="207" ht="12.6" customHeight="1"/>
    <row r="208" ht="12.6" customHeight="1"/>
    <row r="209" ht="12.6" customHeight="1"/>
    <row r="210" ht="12.6" customHeight="1"/>
    <row r="211" ht="12.6" customHeight="1"/>
    <row r="212" ht="12.6" customHeight="1"/>
    <row r="213" ht="12.6" customHeight="1"/>
    <row r="214" ht="12.6" customHeight="1"/>
    <row r="215" ht="12.6" customHeight="1"/>
    <row r="216" ht="12.6" customHeight="1"/>
    <row r="217" ht="12.6" customHeight="1"/>
    <row r="218" ht="12.6" customHeight="1"/>
    <row r="219" ht="12.6" customHeight="1"/>
    <row r="220" ht="12.6" customHeight="1"/>
    <row r="221" ht="12.6" customHeight="1"/>
    <row r="222" ht="12.6" customHeight="1"/>
    <row r="223" ht="12.6" customHeight="1"/>
    <row r="224" ht="12.6" customHeight="1"/>
    <row r="225" ht="12.6" customHeight="1"/>
    <row r="226" ht="12.6" customHeight="1"/>
    <row r="227" ht="12.6" customHeight="1"/>
    <row r="228" ht="12.6" customHeight="1"/>
    <row r="229" ht="12.6" customHeight="1"/>
    <row r="230" ht="12.6" customHeight="1"/>
    <row r="231" ht="12.6" customHeight="1"/>
    <row r="232" ht="12.6" customHeight="1"/>
    <row r="233" ht="12.6" customHeight="1"/>
    <row r="234" ht="12.6" customHeight="1"/>
    <row r="235" ht="12.6" customHeight="1"/>
    <row r="236" ht="12.6" customHeight="1"/>
    <row r="237" ht="12.6" customHeight="1"/>
    <row r="238" ht="12.6" customHeight="1"/>
    <row r="239" ht="12.6" customHeight="1"/>
    <row r="240" ht="12.6" customHeight="1"/>
    <row r="241" ht="12.6" customHeight="1"/>
    <row r="242" ht="12.6" customHeight="1"/>
    <row r="243" ht="12.6" customHeight="1"/>
    <row r="244" ht="12.6" customHeight="1"/>
    <row r="245" ht="12.6" customHeight="1"/>
    <row r="246" ht="12.6" customHeight="1"/>
    <row r="247" ht="12.6" customHeight="1"/>
    <row r="248" ht="12.6" customHeight="1"/>
    <row r="249" ht="12.6" customHeight="1"/>
    <row r="250" ht="12.6" customHeight="1"/>
    <row r="251" ht="12.6" customHeight="1"/>
    <row r="252" ht="12.6" customHeight="1"/>
    <row r="253" ht="12.6" customHeight="1"/>
    <row r="254" ht="12.6" customHeight="1"/>
    <row r="255" ht="12.6" customHeight="1"/>
    <row r="256" ht="12.6" customHeight="1"/>
    <row r="257" ht="12.6" customHeight="1"/>
    <row r="258" ht="12.6" customHeight="1"/>
    <row r="259" ht="12.6" customHeight="1"/>
    <row r="260" ht="12.6" customHeight="1"/>
    <row r="261" ht="12.6" customHeight="1"/>
    <row r="262" ht="12.6" customHeight="1"/>
    <row r="263" ht="12.6" customHeight="1"/>
    <row r="264" ht="12.6" customHeight="1"/>
    <row r="265" ht="12.6" customHeight="1"/>
    <row r="266" ht="12.6" customHeight="1"/>
    <row r="267" ht="12.6" customHeight="1"/>
    <row r="268" ht="12.6" customHeight="1"/>
    <row r="269" ht="12.6" customHeight="1"/>
    <row r="270" ht="12.6" customHeight="1"/>
    <row r="271" ht="12.6" customHeight="1"/>
    <row r="272" ht="12.6" customHeight="1"/>
    <row r="273" ht="12.6" customHeight="1"/>
    <row r="274" ht="12.6" customHeight="1"/>
    <row r="275" ht="12.6" customHeight="1"/>
    <row r="276" ht="12.6" customHeight="1"/>
    <row r="277" ht="12.6" customHeight="1"/>
    <row r="278" ht="12.6" customHeight="1"/>
    <row r="279" ht="12.6" customHeight="1"/>
    <row r="280" ht="12.6" customHeight="1"/>
    <row r="281" ht="12.6" customHeight="1"/>
  </sheetData>
  <customSheetViews>
    <customSheetView guid="{9D7575BF-255B-11D2-8267-00A0D1027254}" scale="75" showPageBreaks="1" showRuler="0" topLeftCell="A13">
      <selection activeCell="D46" sqref="D46"/>
      <colBreaks count="4" manualBreakCount="4">
        <brk id="15" max="1048575" man="1"/>
        <brk id="28" max="1048575" man="1"/>
        <brk id="45" max="1048575" man="1"/>
        <brk id="62" max="1048575" man="1"/>
      </colBreaks>
      <pageMargins left="0.75" right="0.75" top="1" bottom="1" header="0.5" footer="0.5"/>
      <pageSetup scale="62" pageOrder="overThenDown" orientation="landscape" r:id="rId1"/>
      <headerFooter alignWithMargins="0">
        <oddFooter>&amp;L&amp;D   &amp;T&amp;RO:\Naes\GenSvcs\TVA\TVA Model\&amp;F
&amp;A &amp;P</oddFooter>
      </headerFooter>
    </customSheetView>
    <customSheetView guid="{773475A7-2559-11D2-A5F6-0060080AEB13}" scale="75" showPageBreaks="1" fitToPage="1" showRuler="0" topLeftCell="A13">
      <selection activeCell="D27" sqref="D27"/>
      <colBreaks count="2" manualBreakCount="2">
        <brk id="19" max="44" man="1"/>
        <brk id="28" max="1048575" man="1"/>
      </colBreaks>
      <pageMargins left="0.75" right="0.75" top="1" bottom="1" header="0.5" footer="0.5"/>
      <pageSetup paperSize="5" scale="47" orientation="landscape" r:id="rId2"/>
      <headerFooter alignWithMargins="0"/>
    </customSheetView>
  </customSheetViews>
  <pageMargins left="0.25" right="0.25" top="0.25" bottom="0.5" header="0" footer="0"/>
  <pageSetup scale="36" orientation="landscape" r:id="rId3"/>
  <headerFooter alignWithMargins="0">
    <oddFooter>&amp;L&amp;D   &amp;T&amp;R&amp;F
&amp;A &amp;P</oddFooter>
  </headerFooter>
  <rowBreaks count="1" manualBreakCount="1">
    <brk id="62" max="16383" man="1"/>
  </rowBreaks>
  <colBreaks count="4" manualBreakCount="4">
    <brk id="16" max="1048575" man="1"/>
    <brk id="29" max="1048575" man="1"/>
    <brk id="46" max="1048575" man="1"/>
    <brk id="63"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HU179"/>
  <sheetViews>
    <sheetView zoomScale="75" zoomScaleNormal="75" zoomScaleSheetLayoutView="85" workbookViewId="0">
      <selection activeCell="R1" sqref="R1"/>
    </sheetView>
  </sheetViews>
  <sheetFormatPr defaultRowHeight="13.2"/>
  <cols>
    <col min="1" max="1" width="41" style="60" customWidth="1"/>
    <col min="2" max="2" width="11.44140625" style="60" customWidth="1"/>
    <col min="3" max="27" width="10.33203125" style="60" bestFit="1" customWidth="1"/>
    <col min="28" max="29" width="9.109375" style="60" customWidth="1"/>
  </cols>
  <sheetData>
    <row r="1" spans="1:52" ht="20.399999999999999">
      <c r="A1" s="525" t="str">
        <f>'Project Assumtions'!$A$2</f>
        <v>WHEATLAND POWER IN, L.L.C.</v>
      </c>
      <c r="B1" s="526"/>
    </row>
    <row r="2" spans="1:52">
      <c r="A2" s="527" t="s">
        <v>153</v>
      </c>
      <c r="B2" s="528"/>
    </row>
    <row r="3" spans="1:52" s="1" customFormat="1" ht="12.6" customHeight="1">
      <c r="A3" s="158"/>
      <c r="B3" s="60"/>
      <c r="C3" s="85">
        <f>'Book Income Statement'!D3</f>
        <v>1</v>
      </c>
      <c r="D3" s="85">
        <f>'Book Income Statement'!E3</f>
        <v>2</v>
      </c>
      <c r="E3" s="85">
        <f>'Book Income Statement'!F3</f>
        <v>3</v>
      </c>
      <c r="F3" s="85">
        <f>'Book Income Statement'!G3</f>
        <v>4</v>
      </c>
      <c r="G3" s="85">
        <f>'Book Income Statement'!H3</f>
        <v>5</v>
      </c>
      <c r="H3" s="85">
        <f>'Book Income Statement'!I3</f>
        <v>6</v>
      </c>
      <c r="I3" s="86">
        <f>'Book Income Statement'!J3</f>
        <v>7</v>
      </c>
      <c r="J3" s="85">
        <f>'Book Income Statement'!K3</f>
        <v>8</v>
      </c>
      <c r="K3" s="85">
        <f>'Book Income Statement'!L3</f>
        <v>9</v>
      </c>
      <c r="L3" s="85">
        <f>'Book Income Statement'!M3</f>
        <v>10</v>
      </c>
      <c r="M3" s="85">
        <f>'Book Income Statement'!N3</f>
        <v>11</v>
      </c>
      <c r="N3" s="85">
        <f>'Book Income Statement'!O3</f>
        <v>12</v>
      </c>
      <c r="O3" s="86">
        <f>'Book Income Statement'!P3</f>
        <v>13</v>
      </c>
      <c r="P3" s="85">
        <f>'Book Income Statement'!Q3</f>
        <v>14</v>
      </c>
      <c r="Q3" s="85">
        <f>'Book Income Statement'!R3</f>
        <v>15</v>
      </c>
      <c r="R3" s="85">
        <f>'Book Income Statement'!S3</f>
        <v>16</v>
      </c>
      <c r="S3" s="85">
        <f>'Book Income Statement'!T3</f>
        <v>17</v>
      </c>
      <c r="T3" s="85">
        <f>'Book Income Statement'!U3</f>
        <v>18</v>
      </c>
      <c r="U3" s="86">
        <f>'Book Income Statement'!V3</f>
        <v>19</v>
      </c>
      <c r="V3" s="85">
        <f>'Book Income Statement'!W3</f>
        <v>20</v>
      </c>
      <c r="W3" s="85">
        <f>'Book Income Statement'!X3</f>
        <v>21</v>
      </c>
      <c r="X3" s="85">
        <f>'Book Income Statement'!Y3</f>
        <v>22</v>
      </c>
      <c r="Y3" s="85">
        <f>'Book Income Statement'!Z3</f>
        <v>23</v>
      </c>
      <c r="Z3" s="85">
        <f>'Book Income Statement'!AA3</f>
        <v>24</v>
      </c>
      <c r="AA3" s="86">
        <f>'Book Income Statement'!AB3</f>
        <v>25</v>
      </c>
      <c r="AB3" s="85"/>
      <c r="AC3" s="159"/>
      <c r="AD3"/>
    </row>
    <row r="4" spans="1:52" s="1" customFormat="1" ht="12.6" customHeight="1">
      <c r="A4" s="609"/>
      <c r="B4" s="610"/>
      <c r="C4" s="531">
        <f>'Book Income Statement'!D4</f>
        <v>2000</v>
      </c>
      <c r="D4" s="531">
        <f>'Book Income Statement'!E4</f>
        <v>2001</v>
      </c>
      <c r="E4" s="531">
        <f>'Book Income Statement'!F4</f>
        <v>2002</v>
      </c>
      <c r="F4" s="531">
        <f>'Book Income Statement'!G4</f>
        <v>2003</v>
      </c>
      <c r="G4" s="531">
        <f>'Book Income Statement'!H4</f>
        <v>2004</v>
      </c>
      <c r="H4" s="531">
        <f>'Book Income Statement'!I4</f>
        <v>2005</v>
      </c>
      <c r="I4" s="531">
        <f>'Book Income Statement'!J4</f>
        <v>2006</v>
      </c>
      <c r="J4" s="531">
        <f>'Book Income Statement'!K4</f>
        <v>2007</v>
      </c>
      <c r="K4" s="531">
        <f>'Book Income Statement'!L4</f>
        <v>2008</v>
      </c>
      <c r="L4" s="531">
        <f>'Book Income Statement'!M4</f>
        <v>2009</v>
      </c>
      <c r="M4" s="531">
        <f>'Book Income Statement'!N4</f>
        <v>2010</v>
      </c>
      <c r="N4" s="531">
        <f>'Book Income Statement'!O4</f>
        <v>2011</v>
      </c>
      <c r="O4" s="531">
        <f>'Book Income Statement'!P4</f>
        <v>2012</v>
      </c>
      <c r="P4" s="531">
        <f>'Book Income Statement'!Q4</f>
        <v>2013</v>
      </c>
      <c r="Q4" s="531">
        <f>'Book Income Statement'!R4</f>
        <v>2014</v>
      </c>
      <c r="R4" s="531">
        <f>'Book Income Statement'!S4</f>
        <v>2015</v>
      </c>
      <c r="S4" s="531">
        <f>'Book Income Statement'!T4</f>
        <v>2016</v>
      </c>
      <c r="T4" s="531">
        <f>'Book Income Statement'!U4</f>
        <v>2017</v>
      </c>
      <c r="U4" s="531">
        <f>'Book Income Statement'!V4</f>
        <v>2018</v>
      </c>
      <c r="V4" s="531">
        <f>'Book Income Statement'!W4</f>
        <v>2019</v>
      </c>
      <c r="W4" s="531">
        <f>'Book Income Statement'!X4</f>
        <v>2020</v>
      </c>
      <c r="X4" s="531">
        <f>'Book Income Statement'!Y4</f>
        <v>2021</v>
      </c>
      <c r="Y4" s="531">
        <f>'Book Income Statement'!Z4</f>
        <v>2022</v>
      </c>
      <c r="Z4" s="531">
        <f>'Book Income Statement'!AA4</f>
        <v>2023</v>
      </c>
      <c r="AA4" s="532">
        <f>'Book Income Statement'!AB4</f>
        <v>2024</v>
      </c>
      <c r="AB4" s="87"/>
      <c r="AC4" s="87"/>
      <c r="AD4"/>
      <c r="AE4" s="31"/>
      <c r="AF4" s="31"/>
      <c r="AG4" s="31"/>
      <c r="AH4" s="31"/>
      <c r="AI4" s="31"/>
      <c r="AJ4" s="31"/>
      <c r="AK4" s="31"/>
      <c r="AL4" s="31"/>
      <c r="AM4" s="31"/>
      <c r="AN4" s="31"/>
      <c r="AO4" s="31"/>
      <c r="AP4" s="31"/>
      <c r="AQ4" s="31"/>
      <c r="AR4" s="31"/>
      <c r="AS4" s="31"/>
      <c r="AT4" s="31"/>
      <c r="AU4" s="31"/>
      <c r="AV4" s="31"/>
      <c r="AW4" s="31"/>
      <c r="AX4" s="31"/>
      <c r="AY4" s="31"/>
      <c r="AZ4" s="31"/>
    </row>
    <row r="5" spans="1:52" s="44" customFormat="1" ht="15.6">
      <c r="A5" s="555" t="s">
        <v>163</v>
      </c>
      <c r="B5" s="79"/>
      <c r="C5" s="79"/>
      <c r="D5" s="79"/>
      <c r="E5" s="79"/>
      <c r="F5" s="79"/>
      <c r="G5" s="79"/>
      <c r="H5" s="79"/>
      <c r="I5" s="79"/>
      <c r="J5" s="79"/>
      <c r="K5" s="79"/>
      <c r="L5" s="79"/>
      <c r="M5" s="79"/>
      <c r="N5" s="79"/>
      <c r="O5" s="79"/>
      <c r="P5" s="79"/>
      <c r="Q5" s="79"/>
      <c r="R5" s="79"/>
      <c r="S5" s="79"/>
      <c r="T5" s="79"/>
      <c r="U5" s="79"/>
      <c r="V5" s="79"/>
      <c r="W5" s="79"/>
      <c r="X5" s="79"/>
      <c r="Y5" s="79"/>
      <c r="Z5" s="79"/>
      <c r="AA5" s="556"/>
      <c r="AB5" s="79"/>
      <c r="AC5" s="79"/>
    </row>
    <row r="6" spans="1:52" s="8" customFormat="1" ht="12.6" customHeight="1">
      <c r="A6" s="579" t="s">
        <v>37</v>
      </c>
      <c r="B6" s="707">
        <f>'Project Assumtions'!G16</f>
        <v>36678</v>
      </c>
      <c r="C6" s="707">
        <f>DATE(YEAR(B6),12,31)</f>
        <v>36891</v>
      </c>
      <c r="D6" s="707">
        <f t="shared" ref="D6:AA6" si="0">EDATE(C6,12)</f>
        <v>37256</v>
      </c>
      <c r="E6" s="707">
        <f t="shared" si="0"/>
        <v>37621</v>
      </c>
      <c r="F6" s="707">
        <f t="shared" si="0"/>
        <v>37986</v>
      </c>
      <c r="G6" s="707">
        <f t="shared" si="0"/>
        <v>38352</v>
      </c>
      <c r="H6" s="707">
        <f t="shared" si="0"/>
        <v>38717</v>
      </c>
      <c r="I6" s="707">
        <f t="shared" si="0"/>
        <v>39082</v>
      </c>
      <c r="J6" s="707">
        <f t="shared" si="0"/>
        <v>39447</v>
      </c>
      <c r="K6" s="707">
        <f t="shared" si="0"/>
        <v>39813</v>
      </c>
      <c r="L6" s="707">
        <f t="shared" si="0"/>
        <v>40178</v>
      </c>
      <c r="M6" s="707">
        <f t="shared" si="0"/>
        <v>40543</v>
      </c>
      <c r="N6" s="707">
        <f t="shared" si="0"/>
        <v>40908</v>
      </c>
      <c r="O6" s="707">
        <f t="shared" si="0"/>
        <v>41274</v>
      </c>
      <c r="P6" s="707">
        <f t="shared" si="0"/>
        <v>41639</v>
      </c>
      <c r="Q6" s="707">
        <f t="shared" si="0"/>
        <v>42004</v>
      </c>
      <c r="R6" s="707">
        <f t="shared" si="0"/>
        <v>42369</v>
      </c>
      <c r="S6" s="707">
        <f t="shared" si="0"/>
        <v>42735</v>
      </c>
      <c r="T6" s="707">
        <f t="shared" si="0"/>
        <v>43100</v>
      </c>
      <c r="U6" s="707">
        <f t="shared" si="0"/>
        <v>43465</v>
      </c>
      <c r="V6" s="707">
        <f t="shared" si="0"/>
        <v>43830</v>
      </c>
      <c r="W6" s="707">
        <f t="shared" si="0"/>
        <v>44196</v>
      </c>
      <c r="X6" s="707">
        <f t="shared" si="0"/>
        <v>44561</v>
      </c>
      <c r="Y6" s="707">
        <f t="shared" si="0"/>
        <v>44926</v>
      </c>
      <c r="Z6" s="707">
        <f t="shared" si="0"/>
        <v>45291</v>
      </c>
      <c r="AA6" s="708">
        <f t="shared" si="0"/>
        <v>45657</v>
      </c>
      <c r="AB6" s="79"/>
      <c r="AC6" s="79"/>
    </row>
    <row r="7" spans="1:52" s="8" customFormat="1" ht="12.6" customHeight="1">
      <c r="A7" s="571" t="s">
        <v>165</v>
      </c>
      <c r="B7" s="196">
        <f>'Project Assumtions'!C8*-1</f>
        <v>-40195.621500000008</v>
      </c>
      <c r="C7" s="196">
        <f>'Cash Flow Statement'!D20</f>
        <v>-2035.9451821544226</v>
      </c>
      <c r="D7" s="196">
        <f>'Cash Flow Statement'!E20+'Cash Flow Statement'!E43</f>
        <v>6400.2180380692862</v>
      </c>
      <c r="E7" s="196">
        <f>'Cash Flow Statement'!F20+'Cash Flow Statement'!F43</f>
        <v>4988.744880364944</v>
      </c>
      <c r="F7" s="196">
        <f>'Cash Flow Statement'!G20+'Cash Flow Statement'!G43</f>
        <v>10976.747519202667</v>
      </c>
      <c r="G7" s="196">
        <f>'Cash Flow Statement'!H20+'Cash Flow Statement'!H43</f>
        <v>21375.380230196191</v>
      </c>
      <c r="H7" s="196">
        <f>'Cash Flow Statement'!I20+'Cash Flow Statement'!I43</f>
        <v>22719.13310502678</v>
      </c>
      <c r="I7" s="196">
        <f>'Cash Flow Statement'!J20+'Cash Flow Statement'!J43</f>
        <v>22821.312925574603</v>
      </c>
      <c r="J7" s="196">
        <f>'Cash Flow Statement'!K20+'Cash Flow Statement'!K43</f>
        <v>23580.823071294912</v>
      </c>
      <c r="K7" s="196">
        <f>'Cash Flow Statement'!L20+'Cash Flow Statement'!L43</f>
        <v>20694.147499358645</v>
      </c>
      <c r="L7" s="196">
        <f>'Cash Flow Statement'!M20+'Cash Flow Statement'!M43</f>
        <v>19271.571606065343</v>
      </c>
      <c r="M7" s="196">
        <f>'Cash Flow Statement'!N20+'Cash Flow Statement'!N43</f>
        <v>29609.944466824876</v>
      </c>
      <c r="N7" s="196">
        <f>'Cash Flow Statement'!O20+'Cash Flow Statement'!O43</f>
        <v>29554.801927543926</v>
      </c>
      <c r="O7" s="196">
        <f>'Cash Flow Statement'!P20+'Cash Flow Statement'!P43</f>
        <v>30023.969877452761</v>
      </c>
      <c r="P7" s="196">
        <f>'Cash Flow Statement'!Q20+'Cash Flow Statement'!Q43</f>
        <v>29868.133803668115</v>
      </c>
      <c r="Q7" s="196">
        <f>'Cash Flow Statement'!R20+'Cash Flow Statement'!R43</f>
        <v>30455.850906765507</v>
      </c>
      <c r="R7" s="196">
        <f>'Cash Flow Statement'!S20+'Cash Flow Statement'!S43</f>
        <v>31029.119844054676</v>
      </c>
      <c r="S7" s="196">
        <f>'Cash Flow Statement'!T20+'Cash Flow Statement'!T43</f>
        <v>28330.939134028362</v>
      </c>
      <c r="T7" s="196">
        <f>'Cash Flow Statement'!U20+'Cash Flow Statement'!U43</f>
        <v>27835.776966962843</v>
      </c>
      <c r="U7" s="196">
        <f>'Cash Flow Statement'!V20+'Cash Flow Statement'!V43</f>
        <v>26777.88896881057</v>
      </c>
      <c r="V7" s="196">
        <f>'Cash Flow Statement'!W20+'Cash Flow Statement'!W43</f>
        <v>25580.655873162912</v>
      </c>
      <c r="W7" s="196">
        <f>'Cash Flow Statement'!X20+'Cash Flow Statement'!X43</f>
        <v>13693.132621177567</v>
      </c>
      <c r="X7" s="196">
        <f>'Cash Flow Statement'!Y20+'Cash Flow Statement'!Y43</f>
        <v>0</v>
      </c>
      <c r="Y7" s="196">
        <f>'Cash Flow Statement'!Z20+'Cash Flow Statement'!Z43</f>
        <v>0</v>
      </c>
      <c r="Z7" s="196">
        <f>'Cash Flow Statement'!AA20+'Cash Flow Statement'!AA43</f>
        <v>0</v>
      </c>
      <c r="AA7" s="709">
        <f>'Cash Flow Statement'!AB20+'Cash Flow Statement'!AB43</f>
        <v>0</v>
      </c>
      <c r="AB7" s="79"/>
      <c r="AC7" s="79"/>
    </row>
    <row r="8" spans="1:52" s="8" customFormat="1" ht="12.6" customHeight="1">
      <c r="A8" s="553" t="s">
        <v>38</v>
      </c>
      <c r="B8" s="79"/>
      <c r="C8" s="710" t="e">
        <f>XIRR($B$7:C7,$B$6:C6)</f>
        <v>#NUM!</v>
      </c>
      <c r="D8" s="710">
        <f>XIRR($B$7:D7,$B$6:D6)</f>
        <v>-0.70548684187233457</v>
      </c>
      <c r="E8" s="710">
        <f>XIRR($B$7:E7,$B$6:E6)</f>
        <v>-0.46959320083260536</v>
      </c>
      <c r="F8" s="710">
        <f>XIRR($B$7:F7,$B$6:F6)</f>
        <v>-0.2006605315953493</v>
      </c>
      <c r="G8" s="710">
        <f>XIRR($B$7:G7,$B$6:G6)</f>
        <v>9.713569283485414E-3</v>
      </c>
      <c r="H8" s="710">
        <f>XIRR($B$7:H7,$B$6:H6)</f>
        <v>0.11384082436561585</v>
      </c>
      <c r="I8" s="710">
        <f>XIRR($B$7:I7,$B$6:I6)</f>
        <v>0.17298864722251897</v>
      </c>
      <c r="J8" s="710">
        <f>XIRR($B$7:J7,$B$6:J6)</f>
        <v>0.21067677140235905</v>
      </c>
      <c r="K8" s="710">
        <f>XIRR($B$7:K7,$B$6:K6)</f>
        <v>0.23239226937294008</v>
      </c>
      <c r="L8" s="710">
        <f>XIRR($B$7:L7,$B$6:L6)</f>
        <v>0.24638254046440125</v>
      </c>
      <c r="M8" s="710">
        <f>XIRR($B$7:M7,$B$6:M6)</f>
        <v>0.2612352430820466</v>
      </c>
      <c r="N8" s="710">
        <f>XIRR($B$7:N7,$B$6:N6)</f>
        <v>0.27143791317939758</v>
      </c>
      <c r="O8" s="710">
        <f>XIRR($B$7:O7,$B$6:O6)</f>
        <v>0.27874025702476513</v>
      </c>
      <c r="P8" s="710">
        <f>XIRR($B$7:P7,$B$6:P6)</f>
        <v>0.28395349383354196</v>
      </c>
      <c r="Q8" s="710">
        <f>XIRR($B$7:Q7,$B$6:Q6)</f>
        <v>0.28782079815864559</v>
      </c>
      <c r="R8" s="710">
        <f>XIRR($B$7:R7,$B$6:R6)</f>
        <v>0.29071601033210759</v>
      </c>
      <c r="S8" s="710">
        <f>XIRR($B$7:S7,$B$6:S6)</f>
        <v>0.29267690777778621</v>
      </c>
      <c r="T8" s="710">
        <f>XIRR($B$7:T7,$B$6:T6)</f>
        <v>0.29411982893943789</v>
      </c>
      <c r="U8" s="710">
        <f>XIRR($B$7:U7,$B$6:U6)</f>
        <v>0.29516552090644843</v>
      </c>
      <c r="V8" s="710">
        <f>XIRR($B$7:V7,$B$6:V6)</f>
        <v>0.29592177271842968</v>
      </c>
      <c r="W8" s="710">
        <f>XIRR($B$7:W7,$B$6:W6)</f>
        <v>0.29623010754585266</v>
      </c>
      <c r="X8" s="710">
        <f>XIRR($B$7:X7,$B$6:X6)</f>
        <v>0.29623010754585266</v>
      </c>
      <c r="Y8" s="710">
        <f>XIRR($B$7:Y7,$B$6:Y6)</f>
        <v>0.29623010754585266</v>
      </c>
      <c r="Z8" s="710">
        <f>XIRR($B$7:Z7,$B$6:Z6)</f>
        <v>0.29623010754585266</v>
      </c>
      <c r="AA8" s="711">
        <f>XIRR($B$7:AA7,$B$6:AA6)</f>
        <v>0.29623010754585266</v>
      </c>
      <c r="AB8" s="79"/>
      <c r="AC8" s="79"/>
    </row>
    <row r="9" spans="1:52" ht="12.6" customHeight="1">
      <c r="A9" s="553" t="s">
        <v>65</v>
      </c>
      <c r="B9" s="175"/>
      <c r="C9" s="712">
        <f>XNPV('Project Assumtions'!$I$56,$B$7:C7,$B$6:C6)</f>
        <v>-42101.2767260978</v>
      </c>
      <c r="D9" s="712">
        <f>XNPV('Project Assumtions'!$I$56,$B$7:D7,$B$6:D6)</f>
        <v>-36752.493508726031</v>
      </c>
      <c r="E9" s="712">
        <f>XNPV('Project Assumtions'!$I$56,$B$7:E7,$B$6:E6)</f>
        <v>-33030.00385330568</v>
      </c>
      <c r="F9" s="712">
        <f>XNPV('Project Assumtions'!$I$56,$B$7:F7,$B$6:F6)</f>
        <v>-25716.965405496059</v>
      </c>
      <c r="G9" s="712">
        <f>XNPV('Project Assumtions'!$I$56,$B$7:G7,$B$6:G6)</f>
        <v>-13005.806031042881</v>
      </c>
      <c r="H9" s="712">
        <f>XNPV('Project Assumtions'!$I$56,$B$7:H7,$B$6:H6)</f>
        <v>-943.09154707794914</v>
      </c>
      <c r="I9" s="712">
        <f>XNPV('Project Assumtions'!$I$56,$B$7:I7,$B$6:I6)</f>
        <v>9875.6288262577746</v>
      </c>
      <c r="J9" s="712">
        <f>XNPV('Project Assumtions'!$I$56,$B$7:J7,$B$6:J6)</f>
        <v>19856.678269155585</v>
      </c>
      <c r="K9" s="712">
        <f>XNPV('Project Assumtions'!$I$56,$B$7:K7,$B$6:K6)</f>
        <v>27674.970886582163</v>
      </c>
      <c r="L9" s="712">
        <f>XNPV('Project Assumtions'!$I$56,$B$7:L7,$B$6:L6)</f>
        <v>34175.721280701437</v>
      </c>
      <c r="M9" s="712">
        <f>XNPV('Project Assumtions'!$I$56,$B$7:M7,$B$6:M6)</f>
        <v>43093.689660741722</v>
      </c>
      <c r="N9" s="712">
        <f>XNPV('Project Assumtions'!$I$56,$B$7:N7,$B$6:N6)</f>
        <v>51041.332933676786</v>
      </c>
      <c r="O9" s="712">
        <f>XNPV('Project Assumtions'!$I$56,$B$7:O7,$B$6:O6)</f>
        <v>58247.852360892211</v>
      </c>
      <c r="P9" s="712">
        <f>XNPV('Project Assumtions'!$I$56,$B$7:P7,$B$6:P6)</f>
        <v>64648.847709339738</v>
      </c>
      <c r="Q9" s="712">
        <f>XNPV('Project Assumtions'!$I$56,$B$7:Q7,$B$6:Q6)</f>
        <v>70476.479965601102</v>
      </c>
      <c r="R9" s="712">
        <f>XNPV('Project Assumtions'!$I$56,$B$7:R7,$B$6:R6)</f>
        <v>75777.663432314002</v>
      </c>
      <c r="S9" s="712">
        <f>XNPV('Project Assumtions'!$I$56,$B$7:S7,$B$6:S6)</f>
        <v>80097.93933293497</v>
      </c>
      <c r="T9" s="712">
        <f>XNPV('Project Assumtions'!$I$56,$B$7:T7,$B$6:T6)</f>
        <v>83887.90989670722</v>
      </c>
      <c r="U9" s="712">
        <f>XNPV('Project Assumtions'!$I$56,$B$7:U7,$B$6:U6)</f>
        <v>87143.208280722058</v>
      </c>
      <c r="V9" s="712">
        <f>XNPV('Project Assumtions'!$I$56,$B$7:V7,$B$6:V6)</f>
        <v>89919.775032137026</v>
      </c>
      <c r="W9" s="712">
        <f>XNPV('Project Assumtions'!$I$56,$B$7:W7,$B$6:W6)</f>
        <v>91246.394576740553</v>
      </c>
      <c r="X9" s="712">
        <f>XNPV('Project Assumtions'!$I$56,$B$7:X7,$B$6:X6)</f>
        <v>91246.394576740553</v>
      </c>
      <c r="Y9" s="712">
        <f>XNPV('Project Assumtions'!$I$56,$B$7:Y7,$B$6:Y6)</f>
        <v>91246.394576740553</v>
      </c>
      <c r="Z9" s="712">
        <f>XNPV('Project Assumtions'!$I$56,$B$7:Z7,$B$6:Z6)</f>
        <v>91246.394576740553</v>
      </c>
      <c r="AA9" s="713">
        <f>XNPV('Project Assumtions'!$I$56,$B$7:AA7,$B$6:AA6)</f>
        <v>91246.394576740553</v>
      </c>
    </row>
    <row r="10" spans="1:52" s="8" customFormat="1" ht="12.6" customHeight="1">
      <c r="A10" s="553"/>
      <c r="B10" s="79"/>
      <c r="C10" s="79"/>
      <c r="D10" s="79"/>
      <c r="E10" s="79"/>
      <c r="F10" s="79"/>
      <c r="G10" s="79"/>
      <c r="H10" s="79"/>
      <c r="I10" s="79"/>
      <c r="J10" s="79"/>
      <c r="K10" s="79"/>
      <c r="L10" s="79"/>
      <c r="M10" s="79"/>
      <c r="N10" s="79"/>
      <c r="O10" s="79"/>
      <c r="P10" s="79"/>
      <c r="Q10" s="79"/>
      <c r="R10" s="79"/>
      <c r="S10" s="79"/>
      <c r="T10" s="79"/>
      <c r="U10" s="79"/>
      <c r="V10" s="79"/>
      <c r="W10" s="79"/>
      <c r="X10" s="79"/>
      <c r="Y10" s="79"/>
      <c r="Z10" s="79"/>
      <c r="AA10" s="556"/>
      <c r="AB10" s="79"/>
      <c r="AC10" s="79"/>
    </row>
    <row r="11" spans="1:52" s="8" customFormat="1" ht="12.6" customHeight="1">
      <c r="A11" s="571" t="s">
        <v>166</v>
      </c>
      <c r="B11" s="196">
        <f>'Project Assumtions'!C8*-1</f>
        <v>-40195.621500000008</v>
      </c>
      <c r="C11" s="196">
        <f>'Cash Flow Statement'!D22</f>
        <v>-2224.2854081544224</v>
      </c>
      <c r="D11" s="196">
        <f>'Cash Flow Statement'!E22+'Cash Flow Statement'!E43</f>
        <v>6094.6843923892866</v>
      </c>
      <c r="E11" s="196">
        <f>'Cash Flow Statement'!F22+'Cash Flow Statement'!F43</f>
        <v>4682.1668253145435</v>
      </c>
      <c r="F11" s="196">
        <f>'Cash Flow Statement'!G22+'Cash Flow Statement'!G43</f>
        <v>10491.520869769944</v>
      </c>
      <c r="G11" s="196">
        <f>'Cash Flow Statement'!H22+'Cash Flow Statement'!H43</f>
        <v>17513.471683212319</v>
      </c>
      <c r="H11" s="196">
        <f>'Cash Flow Statement'!I22+'Cash Flow Statement'!I43</f>
        <v>15532.55171794369</v>
      </c>
      <c r="I11" s="196">
        <f>'Cash Flow Statement'!J22+'Cash Flow Statement'!J43</f>
        <v>15094.356971876303</v>
      </c>
      <c r="J11" s="196">
        <f>'Cash Flow Statement'!K22+'Cash Flow Statement'!K43</f>
        <v>15563.805624312117</v>
      </c>
      <c r="K11" s="196">
        <f>'Cash Flow Statement'!L22+'Cash Flow Statement'!L43</f>
        <v>12361.874189556111</v>
      </c>
      <c r="L11" s="196">
        <f>'Cash Flow Statement'!M22+'Cash Flow Statement'!M43</f>
        <v>10498.569112428822</v>
      </c>
      <c r="M11" s="196">
        <f>'Cash Flow Statement'!N22+'Cash Flow Statement'!N43</f>
        <v>20312.206317253527</v>
      </c>
      <c r="N11" s="196">
        <f>'Cash Flow Statement'!O22+'Cash Flow Statement'!O43</f>
        <v>20092.681139980268</v>
      </c>
      <c r="O11" s="196">
        <f>'Cash Flow Statement'!P22+'Cash Flow Statement'!P43</f>
        <v>20300.847705269822</v>
      </c>
      <c r="P11" s="196">
        <f>'Cash Flow Statement'!Q22+'Cash Flow Statement'!Q43</f>
        <v>20213.538069493268</v>
      </c>
      <c r="Q11" s="196">
        <f>'Cash Flow Statement'!R22+'Cash Flow Statement'!R43</f>
        <v>20559.393283467893</v>
      </c>
      <c r="R11" s="196">
        <f>'Cash Flow Statement'!S22+'Cash Flow Statement'!S43</f>
        <v>19137.999943361683</v>
      </c>
      <c r="S11" s="196">
        <f>'Cash Flow Statement'!T22+'Cash Flow Statement'!T43</f>
        <v>14451.41974407903</v>
      </c>
      <c r="T11" s="196">
        <f>'Cash Flow Statement'!U22+'Cash Flow Statement'!U43</f>
        <v>13632.297501640847</v>
      </c>
      <c r="U11" s="196">
        <f>'Cash Flow Statement'!V22+'Cash Flow Statement'!V43</f>
        <v>12214.952734860373</v>
      </c>
      <c r="V11" s="196">
        <f>'Cash Flow Statement'!W22+'Cash Flow Statement'!W43</f>
        <v>10975.535731026492</v>
      </c>
      <c r="W11" s="196">
        <f>'Cash Flow Statement'!X22+'Cash Flow Statement'!X43</f>
        <v>8702.4880599523931</v>
      </c>
      <c r="X11" s="196">
        <f>'Cash Flow Statement'!Y22+'Cash Flow Statement'!Y43</f>
        <v>0</v>
      </c>
      <c r="Y11" s="196">
        <f>'Cash Flow Statement'!Z22+'Cash Flow Statement'!Z43</f>
        <v>0</v>
      </c>
      <c r="Z11" s="196">
        <f>'Cash Flow Statement'!AA22+'Cash Flow Statement'!AA43</f>
        <v>0</v>
      </c>
      <c r="AA11" s="709">
        <f>'Cash Flow Statement'!AB22+'Cash Flow Statement'!AB43</f>
        <v>0</v>
      </c>
      <c r="AB11" s="79"/>
      <c r="AC11" s="79"/>
    </row>
    <row r="12" spans="1:52" s="8" customFormat="1" ht="12.6" customHeight="1">
      <c r="A12" s="553" t="s">
        <v>64</v>
      </c>
      <c r="B12" s="79"/>
      <c r="C12" s="710" t="e">
        <f>XIRR($B$11:C11,$B$6:C6)</f>
        <v>#NUM!</v>
      </c>
      <c r="D12" s="710">
        <f>XIRR($B$11:D11,$B$6:D6)</f>
        <v>-0.71640169247984886</v>
      </c>
      <c r="E12" s="710">
        <f>XIRR($B$11:E11,$B$6:E6)</f>
        <v>-0.48521377928555021</v>
      </c>
      <c r="F12" s="710">
        <f>XIRR($B$11:F11,$B$6:F6)</f>
        <v>-0.21553520783782004</v>
      </c>
      <c r="G12" s="710">
        <f>XIRR($B$11:G11,$B$6:G6)</f>
        <v>-2.4697861075401312E-2</v>
      </c>
      <c r="H12" s="710">
        <f>XIRR($B$11:H11,$B$6:H6)</f>
        <v>6.2332370877265925E-2</v>
      </c>
      <c r="I12" s="710">
        <f>XIRR($B$11:I11,$B$6:I6)</f>
        <v>0.11463884711265565</v>
      </c>
      <c r="J12" s="710">
        <f>XIRR($B$11:J11,$B$6:J6)</f>
        <v>0.15002015233039859</v>
      </c>
      <c r="K12" s="710">
        <f>XIRR($B$11:K11,$B$6:K6)</f>
        <v>0.16954177021980288</v>
      </c>
      <c r="L12" s="710">
        <f>XIRR($B$11:L11,$B$6:L6)</f>
        <v>0.18173993229866031</v>
      </c>
      <c r="M12" s="710">
        <f>XIRR($B$11:M11,$B$6:M6)</f>
        <v>0.19871999621391295</v>
      </c>
      <c r="N12" s="710">
        <f>XIRR($B$11:N11,$B$6:N6)</f>
        <v>0.21052647233009339</v>
      </c>
      <c r="O12" s="710">
        <f>XIRR($B$11:O11,$B$6:O6)</f>
        <v>0.21914419531822202</v>
      </c>
      <c r="P12" s="710">
        <f>XIRR($B$11:P11,$B$6:P6)</f>
        <v>0.22546928524971008</v>
      </c>
      <c r="Q12" s="710">
        <f>XIRR($B$11:Q11,$B$6:Q6)</f>
        <v>0.23028261065483091</v>
      </c>
      <c r="R12" s="710">
        <f>XIRR($B$11:R11,$B$6:R6)</f>
        <v>0.23368101716041562</v>
      </c>
      <c r="S12" s="710">
        <f>XIRR($B$11:S11,$B$6:S6)</f>
        <v>0.23566096425056457</v>
      </c>
      <c r="T12" s="710">
        <f>XIRR($B$11:T11,$B$6:T6)</f>
        <v>0.23712219595909115</v>
      </c>
      <c r="U12" s="710">
        <f>XIRR($B$11:U11,$B$6:U6)</f>
        <v>0.23815307021141052</v>
      </c>
      <c r="V12" s="710">
        <f>XIRR($B$11:V11,$B$6:V6)</f>
        <v>0.23888640999794006</v>
      </c>
      <c r="W12" s="710">
        <f>XIRR($B$11:W11,$B$6:W6)</f>
        <v>0.23934877514839176</v>
      </c>
      <c r="X12" s="710">
        <f>XIRR($B$11:X11,$B$6:X6)</f>
        <v>0.23934877514839176</v>
      </c>
      <c r="Y12" s="710">
        <f>XIRR($B$11:Y11,$B$6:Y6)</f>
        <v>0.23934877514839176</v>
      </c>
      <c r="Z12" s="710">
        <f>XIRR($B$11:Z11,$B$6:Z6)</f>
        <v>0.23934877514839176</v>
      </c>
      <c r="AA12" s="711">
        <f>XIRR($B$11:AA11,$B$6:AA6)</f>
        <v>0.23934877514839176</v>
      </c>
      <c r="AB12" s="79"/>
      <c r="AC12" s="79"/>
    </row>
    <row r="13" spans="1:52" ht="12.6" customHeight="1">
      <c r="A13" s="553" t="s">
        <v>66</v>
      </c>
      <c r="B13" s="175"/>
      <c r="C13" s="712">
        <f>XNPV('Project Assumtions'!$I$56,$B$11:C11,$B$6:C6)</f>
        <v>-42277.564152256069</v>
      </c>
      <c r="D13" s="712">
        <f>XNPV('Project Assumtions'!$I$56,$B$11:D11,$B$6:D6)</f>
        <v>-37184.121179018948</v>
      </c>
      <c r="E13" s="712">
        <f>XNPV('Project Assumtions'!$I$56,$B$11:E11,$B$6:E6)</f>
        <v>-33690.393199304999</v>
      </c>
      <c r="F13" s="712">
        <f>XNPV('Project Assumtions'!$I$56,$B$11:F11,$B$6:F6)</f>
        <v>-26700.62729985232</v>
      </c>
      <c r="G13" s="712">
        <f>XNPV('Project Assumtions'!$I$56,$B$11:G11,$B$6:G6)</f>
        <v>-16286.004150795883</v>
      </c>
      <c r="H13" s="712">
        <f>XNPV('Project Assumtions'!$I$56,$B$11:H11,$B$6:H6)</f>
        <v>-8039.0021320649012</v>
      </c>
      <c r="I13" s="712">
        <f>XNPV('Project Assumtions'!$I$56,$B$11:I11,$B$6:I6)</f>
        <v>-883.33901020143367</v>
      </c>
      <c r="J13" s="712">
        <f>XNPV('Project Assumtions'!$I$56,$B$11:J11,$B$6:J6)</f>
        <v>5704.3493408896875</v>
      </c>
      <c r="K13" s="712">
        <f>XNPV('Project Assumtions'!$I$56,$B$11:K11,$B$6:K6)</f>
        <v>10374.691509696499</v>
      </c>
      <c r="L13" s="712">
        <f>XNPV('Project Assumtions'!$I$56,$B$11:L11,$B$6:L6)</f>
        <v>13916.103631675707</v>
      </c>
      <c r="M13" s="712">
        <f>XNPV('Project Assumtions'!$I$56,$B$11:M11,$B$6:M6)</f>
        <v>20033.765009564333</v>
      </c>
      <c r="N13" s="712">
        <f>XNPV('Project Assumtions'!$I$56,$B$11:N11,$B$6:N6)</f>
        <v>25436.929696266867</v>
      </c>
      <c r="O13" s="712">
        <f>XNPV('Project Assumtions'!$I$56,$B$11:O11,$B$6:O6)</f>
        <v>30309.651523996756</v>
      </c>
      <c r="P13" s="712">
        <f>XNPV('Project Assumtions'!$I$56,$B$11:P11,$B$6:P6)</f>
        <v>34641.584814807291</v>
      </c>
      <c r="Q13" s="712">
        <f>XNPV('Project Assumtions'!$I$56,$B$11:Q11,$B$6:Q6)</f>
        <v>38575.560714370338</v>
      </c>
      <c r="R13" s="712">
        <f>XNPV('Project Assumtions'!$I$56,$B$11:R11,$B$6:R6)</f>
        <v>41845.200633117194</v>
      </c>
      <c r="S13" s="712">
        <f>XNPV('Project Assumtions'!$I$56,$B$11:S11,$B$6:S6)</f>
        <v>44048.944044330579</v>
      </c>
      <c r="T13" s="712">
        <f>XNPV('Project Assumtions'!$I$56,$B$11:T11,$B$6:T6)</f>
        <v>45905.044785083213</v>
      </c>
      <c r="U13" s="712">
        <f>XNPV('Project Assumtions'!$I$56,$B$11:U11,$B$6:U6)</f>
        <v>47389.975727358862</v>
      </c>
      <c r="V13" s="712">
        <f>XNPV('Project Assumtions'!$I$56,$B$11:V11,$B$6:V6)</f>
        <v>48581.278551681913</v>
      </c>
      <c r="W13" s="712">
        <f>XNPV('Project Assumtions'!$I$56,$B$11:W11,$B$6:W6)</f>
        <v>49424.393934144253</v>
      </c>
      <c r="X13" s="712">
        <f>XNPV('Project Assumtions'!$I$56,$B$11:X11,$B$6:X6)</f>
        <v>49424.393934144253</v>
      </c>
      <c r="Y13" s="712">
        <f>XNPV('Project Assumtions'!$I$56,$B$11:Y11,$B$6:Y6)</f>
        <v>49424.393934144253</v>
      </c>
      <c r="Z13" s="712">
        <f>XNPV('Project Assumtions'!$I$56,$B$11:Z11,$B$6:Z6)</f>
        <v>49424.393934144253</v>
      </c>
      <c r="AA13" s="713">
        <f>XNPV('Project Assumtions'!$I$56,$B$11:AA11,$B$6:AA6)</f>
        <v>49424.393934144253</v>
      </c>
    </row>
    <row r="14" spans="1:52" s="8" customFormat="1" ht="12.6" customHeight="1">
      <c r="A14" s="553"/>
      <c r="B14" s="79"/>
      <c r="C14" s="79"/>
      <c r="D14" s="79"/>
      <c r="E14" s="79"/>
      <c r="F14" s="79"/>
      <c r="G14" s="79"/>
      <c r="H14" s="79"/>
      <c r="I14" s="79"/>
      <c r="J14" s="79"/>
      <c r="K14" s="79"/>
      <c r="L14" s="79"/>
      <c r="M14" s="79"/>
      <c r="N14" s="79"/>
      <c r="O14" s="79"/>
      <c r="P14" s="79"/>
      <c r="Q14" s="79"/>
      <c r="R14" s="79"/>
      <c r="S14" s="79"/>
      <c r="T14" s="79"/>
      <c r="U14" s="79"/>
      <c r="V14" s="79"/>
      <c r="W14" s="79"/>
      <c r="X14" s="79"/>
      <c r="Y14" s="79"/>
      <c r="Z14" s="79"/>
      <c r="AA14" s="556"/>
      <c r="AB14" s="79"/>
      <c r="AC14" s="79"/>
    </row>
    <row r="15" spans="1:52" ht="12.6" customHeight="1">
      <c r="A15" s="571" t="s">
        <v>128</v>
      </c>
      <c r="B15" s="196">
        <f>-('Project Assumtions'!C8+'Project Assumtions'!C9)</f>
        <v>-160782.486</v>
      </c>
      <c r="C15" s="712">
        <f>+'Cash Flow Statement'!D20+'Cash Flow Statement'!D17+'Cash Flow Statement'!D13+'Cash Flow Statement'!D12+'Cash Flow Statement'!D10</f>
        <v>21514.669454695577</v>
      </c>
      <c r="D15" s="712">
        <f>+'Cash Flow Statement'!E20+'Cash Flow Statement'!E17+'Cash Flow Statement'!E13+'Cash Flow Statement'!E12+'Cash Flow Statement'!E10</f>
        <v>29301.592996451287</v>
      </c>
      <c r="E15" s="712">
        <f>+'Cash Flow Statement'!F20+'Cash Flow Statement'!F17+'Cash Flow Statement'!F13+'Cash Flow Statement'!F12+'Cash Flow Statement'!F10</f>
        <v>29049.683127778942</v>
      </c>
      <c r="F15" s="712">
        <f>+'Cash Flow Statement'!G20+'Cash Flow Statement'!G17+'Cash Flow Statement'!G13+'Cash Flow Statement'!G12+'Cash Flow Statement'!G10</f>
        <v>35923.39628636917</v>
      </c>
      <c r="G15" s="712">
        <f>+'Cash Flow Statement'!H20+'Cash Flow Statement'!H17+'Cash Flow Statement'!H13+'Cash Flow Statement'!H12+'Cash Flow Statement'!H10</f>
        <v>41603.947336935686</v>
      </c>
      <c r="H15" s="712">
        <f>+'Cash Flow Statement'!I20+'Cash Flow Statement'!I17+'Cash Flow Statement'!I13+'Cash Flow Statement'!I12+'Cash Flow Statement'!I10</f>
        <v>42186.932154059519</v>
      </c>
      <c r="I15" s="712">
        <f>+'Cash Flow Statement'!J20+'Cash Flow Statement'!J17+'Cash Flow Statement'!J13+'Cash Flow Statement'!J12+'Cash Flow Statement'!J10</f>
        <v>42179.512985200578</v>
      </c>
      <c r="J15" s="712">
        <f>+'Cash Flow Statement'!K20+'Cash Flow Statement'!K17+'Cash Flow Statement'!K13+'Cash Flow Statement'!K12+'Cash Flow Statement'!K10</f>
        <v>42071.723813640252</v>
      </c>
      <c r="K15" s="712">
        <f>+'Cash Flow Statement'!L20+'Cash Flow Statement'!L17+'Cash Flow Statement'!L13+'Cash Flow Statement'!L12+'Cash Flow Statement'!L10</f>
        <v>41935.354859423343</v>
      </c>
      <c r="L15" s="712">
        <f>+'Cash Flow Statement'!M20+'Cash Flow Statement'!M17+'Cash Flow Statement'!M13+'Cash Flow Statement'!M12+'Cash Flow Statement'!M10</f>
        <v>41557.746146090401</v>
      </c>
      <c r="M15" s="712">
        <f>+'Cash Flow Statement'!N20+'Cash Flow Statement'!N17+'Cash Flow Statement'!N13+'Cash Flow Statement'!N12+'Cash Flow Statement'!N10</f>
        <v>41056.715284656915</v>
      </c>
      <c r="N15" s="712">
        <f>+'Cash Flow Statement'!O20+'Cash Flow Statement'!O17+'Cash Flow Statement'!O13+'Cash Flow Statement'!O12+'Cash Flow Statement'!O10</f>
        <v>41226.616775380448</v>
      </c>
      <c r="O15" s="712">
        <f>+'Cash Flow Statement'!P20+'Cash Flow Statement'!P17+'Cash Flow Statement'!P13+'Cash Flow Statement'!P12+'Cash Flow Statement'!P10</f>
        <v>41163.128427419884</v>
      </c>
      <c r="P15" s="712">
        <f>+'Cash Flow Statement'!Q20+'Cash Flow Statement'!Q17+'Cash Flow Statement'!Q13+'Cash Flow Statement'!Q12+'Cash Flow Statement'!Q10</f>
        <v>40474.636055765841</v>
      </c>
      <c r="Q15" s="712">
        <f>+'Cash Flow Statement'!R20+'Cash Flow Statement'!R17+'Cash Flow Statement'!R13+'Cash Flow Statement'!R12+'Cash Flow Statement'!R10</f>
        <v>40529.696860993834</v>
      </c>
      <c r="R15" s="712">
        <f>+'Cash Flow Statement'!S20+'Cash Flow Statement'!S17+'Cash Flow Statement'!S13+'Cash Flow Statement'!S12+'Cash Flow Statement'!S10</f>
        <v>40570.30950041359</v>
      </c>
      <c r="S15" s="712">
        <f>+'Cash Flow Statement'!T20+'Cash Flow Statement'!T17+'Cash Flow Statement'!T13+'Cash Flow Statement'!T12+'Cash Flow Statement'!T10</f>
        <v>40595.317834017878</v>
      </c>
      <c r="T15" s="712">
        <f>+'Cash Flow Statement'!U20+'Cash Flow Statement'!U17+'Cash Flow Statement'!U13+'Cash Flow Statement'!U12+'Cash Flow Statement'!U10</f>
        <v>40337.181207813563</v>
      </c>
      <c r="U15" s="712">
        <f>+'Cash Flow Statement'!V20+'Cash Flow Statement'!V17+'Cash Flow Statement'!V13+'Cash Flow Statement'!V12+'Cash Flow Statement'!V10</f>
        <v>39954.425299674731</v>
      </c>
      <c r="V15" s="712">
        <f>+'Cash Flow Statement'!W20+'Cash Flow Statement'!W17+'Cash Flow Statement'!W13+'Cash Flow Statement'!W12+'Cash Flow Statement'!W10</f>
        <v>38461.561447018867</v>
      </c>
      <c r="W15" s="712">
        <f>+'Cash Flow Statement'!X20+'Cash Flow Statement'!X17+'Cash Flow Statement'!X13+'Cash Flow Statement'!X12+'Cash Flow Statement'!X10</f>
        <v>13693.132621177567</v>
      </c>
      <c r="X15" s="712">
        <f>+'Cash Flow Statement'!Y20+'Cash Flow Statement'!Y17+'Cash Flow Statement'!Y13+'Cash Flow Statement'!Y12+'Cash Flow Statement'!Y10</f>
        <v>0</v>
      </c>
      <c r="Y15" s="712">
        <f>+'Cash Flow Statement'!Z20+'Cash Flow Statement'!Z17+'Cash Flow Statement'!Z13+'Cash Flow Statement'!Z12+'Cash Flow Statement'!Z10</f>
        <v>0</v>
      </c>
      <c r="Z15" s="712">
        <f>+'Cash Flow Statement'!AA20+'Cash Flow Statement'!AA17+'Cash Flow Statement'!AA13+'Cash Flow Statement'!AA12+'Cash Flow Statement'!AA10</f>
        <v>0</v>
      </c>
      <c r="AA15" s="713">
        <f>+'Cash Flow Statement'!AB20+'Cash Flow Statement'!AB17+'Cash Flow Statement'!AB13+'Cash Flow Statement'!AB12+'Cash Flow Statement'!AB10</f>
        <v>0</v>
      </c>
    </row>
    <row r="16" spans="1:52" s="8" customFormat="1" ht="12.6" customHeight="1">
      <c r="A16" s="553" t="s">
        <v>126</v>
      </c>
      <c r="B16" s="79"/>
      <c r="C16" s="710">
        <f>XIRR($B$15:C15,$B$6:C6)</f>
        <v>-0.96814700104296203</v>
      </c>
      <c r="D16" s="710">
        <f>XIRR($B$15:D15,$B$6:D6)</f>
        <v>-0.59819721058011077</v>
      </c>
      <c r="E16" s="710">
        <f>XIRR($B$15:E15,$B$6:E6)</f>
        <v>-0.32264371290802962</v>
      </c>
      <c r="F16" s="710">
        <f>XIRR($B$15:F15,$B$6:F6)</f>
        <v>-0.13025385253131389</v>
      </c>
      <c r="G16" s="710">
        <f>XIRR($B$15:G15,$B$6:G6)</f>
        <v>-7.3479324579238895E-3</v>
      </c>
      <c r="H16" s="710">
        <f>XIRR($B$15:H15,$B$6:H6)</f>
        <v>6.6358372569084167E-2</v>
      </c>
      <c r="I16" s="710">
        <f>XIRR($B$15:I15,$B$6:I6)</f>
        <v>0.11332105994224548</v>
      </c>
      <c r="J16" s="710">
        <f>XIRR($B$15:J15,$B$6:J6)</f>
        <v>0.14470877051353451</v>
      </c>
      <c r="K16" s="710">
        <f>XIRR($B$15:K15,$B$6:K6)</f>
        <v>0.16643963456153874</v>
      </c>
      <c r="L16" s="710">
        <f>XIRR($B$15:L15,$B$6:L6)</f>
        <v>0.18183025717735293</v>
      </c>
      <c r="M16" s="710">
        <f>XIRR($B$15:M15,$B$6:M6)</f>
        <v>0.19294617772102357</v>
      </c>
      <c r="N16" s="710">
        <f>XIRR($B$15:N15,$B$6:N6)</f>
        <v>0.20124935507774352</v>
      </c>
      <c r="O16" s="710">
        <f>XIRR($B$15:O15,$B$6:O6)</f>
        <v>0.20749774575233457</v>
      </c>
      <c r="P16" s="710">
        <f>XIRR($B$15:P15,$B$6:P6)</f>
        <v>0.21218735575675962</v>
      </c>
      <c r="Q16" s="710">
        <f>XIRR($B$15:Q15,$B$6:Q6)</f>
        <v>0.21580806374549868</v>
      </c>
      <c r="R16" s="710">
        <f>XIRR($B$15:R15,$B$6:R6)</f>
        <v>0.21862445473670958</v>
      </c>
      <c r="S16" s="710">
        <f>XIRR($B$15:S15,$B$6:S6)</f>
        <v>0.22082787156105044</v>
      </c>
      <c r="T16" s="710">
        <f>XIRR($B$15:T15,$B$6:T6)</f>
        <v>0.22255062460899352</v>
      </c>
      <c r="U16" s="710">
        <f>XIRR($B$15:U15,$B$6:U6)</f>
        <v>0.22390021681785582</v>
      </c>
      <c r="V16" s="710">
        <f>XIRR($B$15:V15,$B$6:V6)</f>
        <v>0.22493260502815249</v>
      </c>
      <c r="W16" s="710">
        <f>XIRR($B$15:W15,$B$6:W6)</f>
        <v>0.22522765994071961</v>
      </c>
      <c r="X16" s="710">
        <f>XIRR($B$15:X15,$B$6:X6)</f>
        <v>0.22522765994071961</v>
      </c>
      <c r="Y16" s="710">
        <f>XIRR($B$15:Y15,$B$6:Y6)</f>
        <v>0.22522765994071961</v>
      </c>
      <c r="Z16" s="710">
        <f>XIRR($B$15:Z15,$B$6:Z6)</f>
        <v>0.22522765994071961</v>
      </c>
      <c r="AA16" s="711">
        <f>XIRR($B$15:AA15,$B$6:AA6)</f>
        <v>0.22522765994071961</v>
      </c>
      <c r="AB16" s="79"/>
      <c r="AC16" s="79"/>
    </row>
    <row r="17" spans="1:29" ht="12.6" customHeight="1">
      <c r="A17" s="553" t="s">
        <v>127</v>
      </c>
      <c r="B17" s="175"/>
      <c r="C17" s="712">
        <f>XNPV('Project Assumtions'!$I$56,$B$15:C15,$B$6:C6)</f>
        <v>-140644.64405637671</v>
      </c>
      <c r="D17" s="712">
        <f>XNPV('Project Assumtions'!$I$56,$B$15:D15,$B$6:D6)</f>
        <v>-116156.74881133347</v>
      </c>
      <c r="E17" s="712">
        <f>XNPV('Project Assumtions'!$I$56,$B$15:E15,$B$6:E6)</f>
        <v>-94480.526128147161</v>
      </c>
      <c r="F17" s="712">
        <f>XNPV('Project Assumtions'!$I$56,$B$15:F15,$B$6:F6)</f>
        <v>-70547.281990160292</v>
      </c>
      <c r="G17" s="712">
        <f>XNPV('Project Assumtions'!$I$56,$B$15:G15,$B$6:G6)</f>
        <v>-45806.931198220598</v>
      </c>
      <c r="H17" s="712">
        <f>XNPV('Project Assumtions'!$I$56,$B$15:H15,$B$6:H6)</f>
        <v>-23407.796725249704</v>
      </c>
      <c r="I17" s="712">
        <f>XNPV('Project Assumtions'!$I$56,$B$15:I15,$B$6:I6)</f>
        <v>-3412.0866642835863</v>
      </c>
      <c r="J17" s="712">
        <f>XNPV('Project Assumtions'!$I$56,$B$15:J15,$B$6:J6)</f>
        <v>14395.60199282083</v>
      </c>
      <c r="K17" s="712">
        <f>XNPV('Project Assumtions'!$I$56,$B$15:K15,$B$6:K6)</f>
        <v>30238.86759807248</v>
      </c>
      <c r="L17" s="712">
        <f>XNPV('Project Assumtions'!$I$56,$B$15:L15,$B$6:L6)</f>
        <v>44257.264237445663</v>
      </c>
      <c r="M17" s="712">
        <f>XNPV('Project Assumtions'!$I$56,$B$15:M15,$B$6:M6)</f>
        <v>56622.788566851785</v>
      </c>
      <c r="N17" s="712">
        <f>XNPV('Project Assumtions'!$I$56,$B$15:N15,$B$6:N6)</f>
        <v>67709.12385287389</v>
      </c>
      <c r="O17" s="712">
        <f>XNPV('Project Assumtions'!$I$56,$B$15:O15,$B$6:O6)</f>
        <v>77589.325768475217</v>
      </c>
      <c r="P17" s="712">
        <f>XNPV('Project Assumtions'!$I$56,$B$15:P15,$B$6:P6)</f>
        <v>86263.384845150649</v>
      </c>
      <c r="Q17" s="712">
        <f>XNPV('Project Assumtions'!$I$56,$B$15:Q15,$B$6:Q6)</f>
        <v>94018.616162990947</v>
      </c>
      <c r="R17" s="712">
        <f>XNPV('Project Assumtions'!$I$56,$B$15:R15,$B$6:R6)</f>
        <v>100949.86832366823</v>
      </c>
      <c r="S17" s="712">
        <f>XNPV('Project Assumtions'!$I$56,$B$15:S15,$B$6:S6)</f>
        <v>107140.37872244646</v>
      </c>
      <c r="T17" s="712">
        <f>XNPV('Project Assumtions'!$I$56,$B$15:T15,$B$6:T6)</f>
        <v>112632.47364706824</v>
      </c>
      <c r="U17" s="712">
        <f>XNPV('Project Assumtions'!$I$56,$B$15:U15,$B$6:U6)</f>
        <v>117489.59947441645</v>
      </c>
      <c r="V17" s="712">
        <f>XNPV('Project Assumtions'!$I$56,$B$15:V15,$B$6:V6)</f>
        <v>121664.28104829011</v>
      </c>
      <c r="W17" s="712">
        <f>XNPV('Project Assumtions'!$I$56,$B$15:W15,$B$6:W6)</f>
        <v>122990.90059289364</v>
      </c>
      <c r="X17" s="712">
        <f>XNPV('Project Assumtions'!$I$56,$B$15:X15,$B$6:X6)</f>
        <v>122990.90059289364</v>
      </c>
      <c r="Y17" s="712">
        <f>XNPV('Project Assumtions'!$I$56,$B$15:Y15,$B$6:Y6)</f>
        <v>122990.90059289364</v>
      </c>
      <c r="Z17" s="712">
        <f>XNPV('Project Assumtions'!$I$56,$B$15:Z15,$B$6:Z6)</f>
        <v>122990.90059289364</v>
      </c>
      <c r="AA17" s="713">
        <f>XNPV('Project Assumtions'!$I$56,$B$15:AA15,$B$6:AA6)</f>
        <v>122990.90059289364</v>
      </c>
    </row>
    <row r="18" spans="1:29" s="8" customFormat="1" ht="12.6" customHeight="1">
      <c r="A18" s="553" t="s">
        <v>279</v>
      </c>
      <c r="B18" s="714">
        <v>0.12</v>
      </c>
      <c r="C18" s="79"/>
      <c r="D18" s="79"/>
      <c r="E18" s="79"/>
      <c r="F18" s="79"/>
      <c r="G18" s="79"/>
      <c r="H18" s="79"/>
      <c r="I18" s="79"/>
      <c r="J18" s="79"/>
      <c r="K18" s="79"/>
      <c r="L18" s="79"/>
      <c r="M18" s="79"/>
      <c r="N18" s="79"/>
      <c r="O18" s="79"/>
      <c r="P18" s="79"/>
      <c r="Q18" s="79"/>
      <c r="R18" s="79"/>
      <c r="S18" s="79"/>
      <c r="T18" s="79"/>
      <c r="U18" s="79"/>
      <c r="V18" s="79"/>
      <c r="W18" s="79"/>
      <c r="X18" s="79"/>
      <c r="Y18" s="79"/>
      <c r="Z18" s="79"/>
      <c r="AA18" s="556"/>
      <c r="AB18" s="79"/>
      <c r="AC18" s="79"/>
    </row>
    <row r="19" spans="1:29" ht="12.6" customHeight="1">
      <c r="A19" s="547" t="s">
        <v>280</v>
      </c>
      <c r="B19" s="715">
        <f>NPV(B18,C11:E11)</f>
        <v>6205.3498320210247</v>
      </c>
      <c r="C19" s="175"/>
      <c r="D19" s="716" t="s">
        <v>288</v>
      </c>
      <c r="E19" s="716">
        <f>E15</f>
        <v>29049.683127778942</v>
      </c>
      <c r="F19" s="175"/>
      <c r="G19" s="175"/>
      <c r="H19" s="175"/>
      <c r="I19" s="175"/>
      <c r="J19" s="175"/>
      <c r="K19" s="175"/>
      <c r="L19" s="175"/>
      <c r="M19" s="175"/>
      <c r="N19" s="175"/>
      <c r="O19" s="175"/>
      <c r="P19" s="175"/>
      <c r="Q19" s="175"/>
      <c r="R19" s="175"/>
      <c r="S19" s="175"/>
      <c r="T19" s="175"/>
      <c r="U19" s="175"/>
      <c r="V19" s="175"/>
      <c r="W19" s="175"/>
      <c r="X19" s="175"/>
      <c r="Y19" s="175"/>
      <c r="Z19" s="175"/>
      <c r="AA19" s="580"/>
    </row>
    <row r="20" spans="1:29">
      <c r="A20" s="604" t="s">
        <v>281</v>
      </c>
      <c r="B20" s="605"/>
      <c r="C20" s="605"/>
      <c r="D20" s="605"/>
      <c r="E20" s="605"/>
      <c r="F20" s="605"/>
      <c r="G20" s="605"/>
      <c r="H20" s="605"/>
      <c r="I20" s="605"/>
      <c r="J20" s="605"/>
      <c r="K20" s="605"/>
      <c r="L20" s="605"/>
      <c r="M20" s="605"/>
      <c r="N20" s="605"/>
      <c r="O20" s="605"/>
      <c r="P20" s="605"/>
      <c r="Q20" s="605"/>
      <c r="R20" s="605"/>
      <c r="S20" s="605"/>
      <c r="T20" s="605"/>
      <c r="U20" s="605"/>
      <c r="V20" s="605"/>
      <c r="W20" s="605"/>
      <c r="X20" s="605"/>
      <c r="Y20" s="605"/>
      <c r="Z20" s="605"/>
      <c r="AA20" s="524"/>
    </row>
    <row r="21" spans="1:29" s="41" customFormat="1" ht="12.6" customHeight="1">
      <c r="A21" s="179"/>
      <c r="B21" s="79"/>
      <c r="C21" s="79"/>
      <c r="D21" s="79"/>
      <c r="E21" s="79"/>
      <c r="F21" s="79"/>
      <c r="G21" s="79"/>
      <c r="H21" s="79"/>
      <c r="I21" s="79"/>
      <c r="J21" s="79"/>
      <c r="K21" s="79"/>
      <c r="L21" s="79"/>
      <c r="M21" s="79"/>
      <c r="N21" s="79"/>
      <c r="O21" s="79"/>
      <c r="P21" s="79"/>
      <c r="Q21" s="79"/>
      <c r="R21" s="79"/>
      <c r="S21" s="79"/>
      <c r="T21" s="79"/>
      <c r="U21" s="79"/>
      <c r="V21" s="79"/>
      <c r="W21" s="79"/>
      <c r="X21" s="79"/>
      <c r="Y21" s="79"/>
      <c r="Z21" s="79"/>
      <c r="AA21" s="79"/>
      <c r="AB21" s="72"/>
      <c r="AC21" s="72"/>
    </row>
    <row r="22" spans="1:29" s="44" customFormat="1" ht="15.6">
      <c r="A22" s="568" t="s">
        <v>164</v>
      </c>
      <c r="B22" s="530"/>
      <c r="C22" s="530"/>
      <c r="D22" s="530"/>
      <c r="E22" s="530"/>
      <c r="F22" s="530"/>
      <c r="G22" s="530"/>
      <c r="H22" s="530"/>
      <c r="I22" s="530"/>
      <c r="J22" s="530"/>
      <c r="K22" s="530"/>
      <c r="L22" s="530"/>
      <c r="M22" s="530"/>
      <c r="N22" s="530"/>
      <c r="O22" s="530"/>
      <c r="P22" s="530"/>
      <c r="Q22" s="530"/>
      <c r="R22" s="530"/>
      <c r="S22" s="530"/>
      <c r="T22" s="530"/>
      <c r="U22" s="530"/>
      <c r="V22" s="530"/>
      <c r="W22" s="530"/>
      <c r="X22" s="530"/>
      <c r="Y22" s="530"/>
      <c r="Z22" s="530"/>
      <c r="AA22" s="629"/>
      <c r="AB22" s="79"/>
      <c r="AC22" s="79"/>
    </row>
    <row r="23" spans="1:29" s="46" customFormat="1" ht="12.6" customHeight="1">
      <c r="A23" s="553" t="s">
        <v>144</v>
      </c>
      <c r="B23" s="196"/>
      <c r="C23" s="196">
        <f>IF('Project Assumtions'!$I$34="Normal",'Debt Amortization'!E54,'Debt Amortization'!E106)</f>
        <v>0</v>
      </c>
      <c r="D23" s="196">
        <f>IF('Project Assumtions'!$I$34="Normal",'Debt Amortization'!F54,'Debt Amortization'!F106)</f>
        <v>0</v>
      </c>
      <c r="E23" s="196">
        <f>IF('Project Assumtions'!$I$34="Normal",'Debt Amortization'!G54,'Debt Amortization'!G106)</f>
        <v>0</v>
      </c>
      <c r="F23" s="196">
        <f>IF('Project Assumtions'!$I$34="Normal",'Debt Amortization'!H54,'Debt Amortization'!H106)</f>
        <v>0</v>
      </c>
      <c r="G23" s="196">
        <f>IF('Project Assumtions'!$I$34="Normal",'Debt Amortization'!I54,'Debt Amortization'!I106)</f>
        <v>0</v>
      </c>
      <c r="H23" s="196">
        <f>IF('Project Assumtions'!$I$34="Normal",'Debt Amortization'!J54,'Debt Amortization'!J106)</f>
        <v>0</v>
      </c>
      <c r="I23" s="196">
        <f>IF('Project Assumtions'!$I$34="Normal",'Debt Amortization'!K54,'Debt Amortization'!K106)</f>
        <v>0</v>
      </c>
      <c r="J23" s="196">
        <f>IF('Project Assumtions'!$I$34="Normal",'Debt Amortization'!L54,'Debt Amortization'!L106)</f>
        <v>0</v>
      </c>
      <c r="K23" s="196">
        <f>IF('Project Assumtions'!$I$34="Normal",'Debt Amortization'!M54,'Debt Amortization'!M106)</f>
        <v>0</v>
      </c>
      <c r="L23" s="196">
        <f>IF('Project Assumtions'!$I$34="Normal",'Debt Amortization'!N54,'Debt Amortization'!N106)</f>
        <v>0</v>
      </c>
      <c r="M23" s="196">
        <f>IF('Project Assumtions'!$I$34="Normal",'Debt Amortization'!O54,'Debt Amortization'!O106)</f>
        <v>0</v>
      </c>
      <c r="N23" s="196">
        <f>IF('Project Assumtions'!$I$34="Normal",'Debt Amortization'!P54,'Debt Amortization'!P106)</f>
        <v>0</v>
      </c>
      <c r="O23" s="196">
        <f>IF('Project Assumtions'!$I$34="Normal",'Debt Amortization'!Q54,'Debt Amortization'!Q106)</f>
        <v>0</v>
      </c>
      <c r="P23" s="196">
        <f>IF('Project Assumtions'!$I$34="Normal",'Debt Amortization'!R54,'Debt Amortization'!R106)</f>
        <v>0</v>
      </c>
      <c r="Q23" s="196">
        <f>IF('Project Assumtions'!$I$34="Normal",'Debt Amortization'!S54,'Debt Amortization'!S106)</f>
        <v>0</v>
      </c>
      <c r="R23" s="196">
        <f>IF('Project Assumtions'!$I$34="Normal",'Debt Amortization'!T54,'Debt Amortization'!T106)</f>
        <v>0</v>
      </c>
      <c r="S23" s="196">
        <f>IF('Project Assumtions'!$I$34="Normal",'Debt Amortization'!U54,'Debt Amortization'!U106)</f>
        <v>0</v>
      </c>
      <c r="T23" s="196">
        <f>IF('Project Assumtions'!$I$34="Normal",'Debt Amortization'!V54,'Debt Amortization'!V106)</f>
        <v>0</v>
      </c>
      <c r="U23" s="196">
        <f>IF('Project Assumtions'!$I$34="Normal",'Debt Amortization'!W54,'Debt Amortization'!W106)</f>
        <v>0</v>
      </c>
      <c r="V23" s="196">
        <f>IF('Project Assumtions'!$I$34="Normal",'Debt Amortization'!X54,'Debt Amortization'!X106)</f>
        <v>0</v>
      </c>
      <c r="W23" s="196">
        <f>IF('Project Assumtions'!$I$34="Normal",'Debt Amortization'!Y54,'Debt Amortization'!Y106)</f>
        <v>0</v>
      </c>
      <c r="X23" s="196">
        <f>IF('Project Assumtions'!$I$34="Normal",'Debt Amortization'!Z54,'Debt Amortization'!Z106)</f>
        <v>0</v>
      </c>
      <c r="Y23" s="196">
        <f>IF('Project Assumtions'!$I$34="Normal",'Debt Amortization'!AA54,'Debt Amortization'!AA106)</f>
        <v>0</v>
      </c>
      <c r="Z23" s="196">
        <f>IF('Project Assumtions'!$I$34="Normal",'Debt Amortization'!AB54,'Debt Amortization'!AB106)</f>
        <v>0</v>
      </c>
      <c r="AA23" s="709">
        <f>IF('Project Assumtions'!$I$34="Normal",'Debt Amortization'!AC54,'Debt Amortization'!AC106)</f>
        <v>0</v>
      </c>
      <c r="AB23" s="152"/>
      <c r="AC23" s="152"/>
    </row>
    <row r="24" spans="1:29" s="41" customFormat="1" ht="12.6" customHeight="1">
      <c r="A24" s="553" t="s">
        <v>145</v>
      </c>
      <c r="B24" s="79"/>
      <c r="C24" s="717" t="str">
        <f>IF(C23&lt;=0, "N/A", +'Book Income Statement'!D63/C23)</f>
        <v>N/A</v>
      </c>
      <c r="D24" s="717" t="str">
        <f>IF(D23&lt;=0, "N/A", +'Book Income Statement'!E63/D23)</f>
        <v>N/A</v>
      </c>
      <c r="E24" s="717" t="str">
        <f>IF(E23&lt;=0, "N/A", +'Book Income Statement'!F63/E23)</f>
        <v>N/A</v>
      </c>
      <c r="F24" s="717" t="str">
        <f>IF(F23&lt;=0, "N/A", +'Book Income Statement'!G63/F23)</f>
        <v>N/A</v>
      </c>
      <c r="G24" s="717" t="str">
        <f>IF(G23&lt;=0, "N/A", +'Book Income Statement'!H63/G23)</f>
        <v>N/A</v>
      </c>
      <c r="H24" s="717" t="str">
        <f>IF(H23&lt;=0, "N/A", +'Book Income Statement'!I63/H23)</f>
        <v>N/A</v>
      </c>
      <c r="I24" s="717" t="str">
        <f>IF(I23&lt;=0, "N/A", +'Book Income Statement'!J63/I23)</f>
        <v>N/A</v>
      </c>
      <c r="J24" s="717" t="str">
        <f>IF(J23&lt;=0, "N/A", +'Book Income Statement'!K63/J23)</f>
        <v>N/A</v>
      </c>
      <c r="K24" s="717" t="str">
        <f>IF(K23&lt;=0, "N/A", +'Book Income Statement'!L63/K23)</f>
        <v>N/A</v>
      </c>
      <c r="L24" s="717" t="str">
        <f>IF(L23&lt;=0, "N/A", +'Book Income Statement'!M63/L23)</f>
        <v>N/A</v>
      </c>
      <c r="M24" s="717" t="str">
        <f>IF(M23&lt;=0, "N/A", +'Book Income Statement'!N63/M23)</f>
        <v>N/A</v>
      </c>
      <c r="N24" s="717" t="str">
        <f>IF(N23&lt;=0, "N/A", +'Book Income Statement'!O63/N23)</f>
        <v>N/A</v>
      </c>
      <c r="O24" s="717" t="str">
        <f>IF(O23&lt;=0, "N/A", +'Book Income Statement'!P63/O23)</f>
        <v>N/A</v>
      </c>
      <c r="P24" s="717" t="str">
        <f>IF(P23&lt;=0, "N/A", +'Book Income Statement'!Q63/P23)</f>
        <v>N/A</v>
      </c>
      <c r="Q24" s="717" t="str">
        <f>IF(Q23&lt;=0, "N/A", +'Book Income Statement'!R63/Q23)</f>
        <v>N/A</v>
      </c>
      <c r="R24" s="717" t="str">
        <f>IF(R23&lt;=0, "N/A", +'Book Income Statement'!S63/R23)</f>
        <v>N/A</v>
      </c>
      <c r="S24" s="717" t="str">
        <f>IF(S23&lt;=0, "N/A", +'Book Income Statement'!T63/S23)</f>
        <v>N/A</v>
      </c>
      <c r="T24" s="717" t="str">
        <f>IF(T23&lt;=0, "N/A", +'Book Income Statement'!U63/T23)</f>
        <v>N/A</v>
      </c>
      <c r="U24" s="717" t="str">
        <f>IF(U23&lt;=0, "N/A", +'Book Income Statement'!V63/U23)</f>
        <v>N/A</v>
      </c>
      <c r="V24" s="717" t="str">
        <f>IF(V23&lt;=0, "N/A", +'Book Income Statement'!W63/V23)</f>
        <v>N/A</v>
      </c>
      <c r="W24" s="717" t="str">
        <f>IF(W23&lt;=0, "N/A", +'Book Income Statement'!X63/W23)</f>
        <v>N/A</v>
      </c>
      <c r="X24" s="717" t="str">
        <f>IF(X23&lt;=0, "N/A", +'Book Income Statement'!Y63/X23)</f>
        <v>N/A</v>
      </c>
      <c r="Y24" s="717" t="str">
        <f>IF(Y23&lt;=0, "N/A", +'Book Income Statement'!Z63/Y23)</f>
        <v>N/A</v>
      </c>
      <c r="Z24" s="717" t="str">
        <f>IF(Z23&lt;=0, "N/A", +'Book Income Statement'!AA63/Z23)</f>
        <v>N/A</v>
      </c>
      <c r="AA24" s="718" t="str">
        <f>IF(AA23&lt;=0, "N/A", +'Book Income Statement'!AB63/AA23)</f>
        <v>N/A</v>
      </c>
      <c r="AB24" s="72"/>
      <c r="AC24" s="72"/>
    </row>
    <row r="25" spans="1:29" s="41" customFormat="1" ht="12.6" customHeight="1">
      <c r="A25" s="553" t="s">
        <v>109</v>
      </c>
      <c r="B25" s="196">
        <f>B29+B34</f>
        <v>36176.059349999996</v>
      </c>
      <c r="C25" s="710">
        <f>(($B$29+$B$34)-(IF('Project Assumtions'!$I$34="Normal",SUM('Debt Amortization'!$E$53:E53),SUM('Debt Amortization'!$E$105:E105))))/($B$29+$B$34)</f>
        <v>1</v>
      </c>
      <c r="D25" s="710">
        <f>(($B$29+$B$34)-(IF('Project Assumtions'!$I$34="Normal",SUM('Debt Amortization'!$E$53:F53),SUM('Debt Amortization'!$E$105:F105))))/($B$29+$B$34)</f>
        <v>1</v>
      </c>
      <c r="E25" s="710">
        <f>(($B$29+$B$34)-(IF('Project Assumtions'!$I$34="Normal",SUM('Debt Amortization'!$E$53:G53),SUM('Debt Amortization'!$E$105:G105))))/($B$29+$B$34)</f>
        <v>1</v>
      </c>
      <c r="F25" s="710">
        <f>(($B$29+$B$34)-(IF('Project Assumtions'!$I$34="Normal",SUM('Debt Amortization'!$E$53:H53),SUM('Debt Amortization'!$E$105:H105))))/($B$29+$B$34)</f>
        <v>1</v>
      </c>
      <c r="G25" s="710">
        <f>(($B$29+$B$34)-(IF('Project Assumtions'!$I$34="Normal",SUM('Debt Amortization'!$E$53:I53),SUM('Debt Amortization'!$E$105:I105))))/($B$29+$B$34)</f>
        <v>1</v>
      </c>
      <c r="H25" s="710">
        <f>(($B$29+$B$34)-(IF('Project Assumtions'!$I$34="Normal",SUM('Debt Amortization'!$E$53:J53),SUM('Debt Amortization'!$E$105:J105))))/($B$29+$B$34)</f>
        <v>1</v>
      </c>
      <c r="I25" s="710">
        <f>(($B$29+$B$34)-(IF('Project Assumtions'!$I$34="Normal",SUM('Debt Amortization'!$E$53:K53),SUM('Debt Amortization'!$E$105:K105))))/($B$29+$B$34)</f>
        <v>1</v>
      </c>
      <c r="J25" s="710">
        <f>(($B$29+$B$34)-(IF('Project Assumtions'!$I$34="Normal",SUM('Debt Amortization'!$E$53:L53),SUM('Debt Amortization'!$E$105:L105))))/($B$29+$B$34)</f>
        <v>1</v>
      </c>
      <c r="K25" s="710">
        <f>(($B$29+$B$34)-(IF('Project Assumtions'!$I$34="Normal",SUM('Debt Amortization'!$E$53:M53),SUM('Debt Amortization'!$E$105:M105))))/($B$29+$B$34)</f>
        <v>1</v>
      </c>
      <c r="L25" s="710">
        <f>(($B$29+$B$34)-(IF('Project Assumtions'!$I$34="Normal",SUM('Debt Amortization'!$E$53:N53),SUM('Debt Amortization'!$E$105:N105))))/($B$29+$B$34)</f>
        <v>1</v>
      </c>
      <c r="M25" s="710">
        <f>(($B$29+$B$34)-(IF('Project Assumtions'!$I$34="Normal",SUM('Debt Amortization'!$E$53:O53),SUM('Debt Amortization'!$E$105:O105))))/($B$29+$B$34)</f>
        <v>1</v>
      </c>
      <c r="N25" s="710">
        <f>(($B$29+$B$34)-(IF('Project Assumtions'!$I$34="Normal",SUM('Debt Amortization'!$E$53:P53),SUM('Debt Amortization'!$E$105:P105))))/($B$29+$B$34)</f>
        <v>1</v>
      </c>
      <c r="O25" s="710">
        <f>(($B$29+$B$34)-(IF('Project Assumtions'!$I$34="Normal",SUM('Debt Amortization'!$E$53:Q53),SUM('Debt Amortization'!$E$105:Q105))))/($B$29+$B$34)</f>
        <v>1</v>
      </c>
      <c r="P25" s="710">
        <f>(($B$29+$B$34)-(IF('Project Assumtions'!$I$34="Normal",SUM('Debt Amortization'!$E$53:R53),SUM('Debt Amortization'!$E$105:R105))))/($B$29+$B$34)</f>
        <v>1</v>
      </c>
      <c r="Q25" s="710">
        <f>(($B$29+$B$34)-(IF('Project Assumtions'!$I$34="Normal",SUM('Debt Amortization'!$E$53:S53),SUM('Debt Amortization'!$E$105:S105))))/($B$29+$B$34)</f>
        <v>1</v>
      </c>
      <c r="R25" s="710">
        <f>(($B$29+$B$34)-(IF('Project Assumtions'!$I$34="Normal",SUM('Debt Amortization'!$E$53:T53),SUM('Debt Amortization'!$E$105:T105))))/($B$29+$B$34)</f>
        <v>1</v>
      </c>
      <c r="S25" s="710">
        <f>(($B$29+$B$34)-(IF('Project Assumtions'!$I$34="Normal",SUM('Debt Amortization'!$E$53:U53),SUM('Debt Amortization'!$E$105:U105))))/($B$29+$B$34)</f>
        <v>1</v>
      </c>
      <c r="T25" s="710">
        <f>(($B$29+$B$34)-(IF('Project Assumtions'!$I$34="Normal",SUM('Debt Amortization'!$E$53:V53),SUM('Debt Amortization'!$E$105:V105))))/($B$29+$B$34)</f>
        <v>1</v>
      </c>
      <c r="U25" s="710">
        <f>(($B$29+$B$34)-(IF('Project Assumtions'!$I$34="Normal",SUM('Debt Amortization'!$E$53:W53),SUM('Debt Amortization'!$E$105:W105))))/($B$29+$B$34)</f>
        <v>1</v>
      </c>
      <c r="V25" s="710">
        <f>(($B$29+$B$34)-(IF('Project Assumtions'!$I$34="Normal",SUM('Debt Amortization'!$E$53:X53),SUM('Debt Amortization'!$E$105:X105))))/($B$29+$B$34)</f>
        <v>1</v>
      </c>
      <c r="W25" s="710">
        <f>(($B$29+$B$34)-(IF('Project Assumtions'!$I$34="Normal",SUM('Debt Amortization'!$E$53:Y53),SUM('Debt Amortization'!$E$105:Y105))))/($B$29+$B$34)</f>
        <v>1</v>
      </c>
      <c r="X25" s="710">
        <f>(($B$29+$B$34)-(IF('Project Assumtions'!$I$34="Normal",SUM('Debt Amortization'!$E$53:Z53),SUM('Debt Amortization'!$E$105:Z105))))/($B$29+$B$34)</f>
        <v>1</v>
      </c>
      <c r="Y25" s="710">
        <f>(($B$29+$B$34)-(IF('Project Assumtions'!$I$34="Normal",SUM('Debt Amortization'!$E$53:AA53),SUM('Debt Amortization'!$E$105:AA105))))/($B$29+$B$34)</f>
        <v>1</v>
      </c>
      <c r="Z25" s="710">
        <f>(($B$29+$B$34)-(IF('Project Assumtions'!$I$34="Normal",SUM('Debt Amortization'!$E$53:AB53),SUM('Debt Amortization'!$E$105:AB105))))/($B$29+$B$34)</f>
        <v>1</v>
      </c>
      <c r="AA25" s="711">
        <f>(($B$29+$B$34)-(IF('Project Assumtions'!$I$34="Normal",SUM('Debt Amortization'!$E$53:AC53),SUM('Debt Amortization'!$E$105:AC105))))/($B$29+$B$34)</f>
        <v>1</v>
      </c>
      <c r="AB25" s="72"/>
      <c r="AC25" s="72"/>
    </row>
    <row r="26" spans="1:29" s="41" customFormat="1" ht="12.6" customHeight="1">
      <c r="A26" s="553" t="s">
        <v>146</v>
      </c>
      <c r="B26" s="196">
        <f>+'Project Assumtions'!C49</f>
        <v>0</v>
      </c>
      <c r="C26" s="196">
        <f>B26+'Cash Flow Statement'!D16-'Cash Flow Statement'!D17</f>
        <v>0</v>
      </c>
      <c r="D26" s="196">
        <f>C26+'Cash Flow Statement'!E16-'Cash Flow Statement'!E17</f>
        <v>0</v>
      </c>
      <c r="E26" s="196">
        <f>D26+'Cash Flow Statement'!F16-'Cash Flow Statement'!F17</f>
        <v>0</v>
      </c>
      <c r="F26" s="196">
        <f>E26+'Cash Flow Statement'!G16-'Cash Flow Statement'!G17</f>
        <v>0</v>
      </c>
      <c r="G26" s="196">
        <f>F26+'Cash Flow Statement'!H16-'Cash Flow Statement'!H17</f>
        <v>0</v>
      </c>
      <c r="H26" s="196">
        <f>G26+'Cash Flow Statement'!I16-'Cash Flow Statement'!I17</f>
        <v>0</v>
      </c>
      <c r="I26" s="196">
        <f>H26+'Cash Flow Statement'!J16-'Cash Flow Statement'!J17</f>
        <v>0</v>
      </c>
      <c r="J26" s="196">
        <f>I26+'Cash Flow Statement'!K16-'Cash Flow Statement'!K17</f>
        <v>0</v>
      </c>
      <c r="K26" s="196">
        <f>J26+'Cash Flow Statement'!L16-'Cash Flow Statement'!L17</f>
        <v>0</v>
      </c>
      <c r="L26" s="196">
        <f>K26+'Cash Flow Statement'!M16-'Cash Flow Statement'!M17</f>
        <v>0</v>
      </c>
      <c r="M26" s="196">
        <f>L26+'Cash Flow Statement'!N16-'Cash Flow Statement'!N17</f>
        <v>0</v>
      </c>
      <c r="N26" s="196">
        <f>M26+'Cash Flow Statement'!O16-'Cash Flow Statement'!O17</f>
        <v>0</v>
      </c>
      <c r="O26" s="196">
        <f>N26+'Cash Flow Statement'!P16-'Cash Flow Statement'!P17</f>
        <v>0</v>
      </c>
      <c r="P26" s="196">
        <f>O26+'Cash Flow Statement'!Q16-'Cash Flow Statement'!Q17</f>
        <v>0</v>
      </c>
      <c r="Q26" s="196">
        <f>P26+'Cash Flow Statement'!R16+'Cash Flow Statement'!R17</f>
        <v>0</v>
      </c>
      <c r="R26" s="196">
        <f>Q26+'Cash Flow Statement'!S16+'Cash Flow Statement'!S17</f>
        <v>0</v>
      </c>
      <c r="S26" s="196">
        <f>R26+'Cash Flow Statement'!T16+'Cash Flow Statement'!T17</f>
        <v>0</v>
      </c>
      <c r="T26" s="196">
        <f>S26+'Cash Flow Statement'!U16+'Cash Flow Statement'!U17</f>
        <v>0</v>
      </c>
      <c r="U26" s="196">
        <f>T26+'Cash Flow Statement'!V16+'Cash Flow Statement'!V17</f>
        <v>0</v>
      </c>
      <c r="V26" s="196">
        <f>U26+'Cash Flow Statement'!W16+'Cash Flow Statement'!W17</f>
        <v>0</v>
      </c>
      <c r="W26" s="196">
        <f>V26+'Cash Flow Statement'!X16+'Cash Flow Statement'!X17</f>
        <v>0</v>
      </c>
      <c r="X26" s="196">
        <f>W26+'Cash Flow Statement'!Y16+'Cash Flow Statement'!Y17</f>
        <v>0</v>
      </c>
      <c r="Y26" s="196">
        <f>X26+'Cash Flow Statement'!Z16+'Cash Flow Statement'!Z17</f>
        <v>0</v>
      </c>
      <c r="Z26" s="196">
        <f>Y26+'Cash Flow Statement'!AA16+'Cash Flow Statement'!AA17</f>
        <v>0</v>
      </c>
      <c r="AA26" s="709">
        <f>Z26+'Cash Flow Statement'!AB16+'Cash Flow Statement'!AB17</f>
        <v>0</v>
      </c>
      <c r="AB26" s="72"/>
      <c r="AC26" s="72"/>
    </row>
    <row r="27" spans="1:29" s="46" customFormat="1" ht="12.6" customHeight="1">
      <c r="A27" s="553" t="str">
        <f>"  Debt Reserve Interest Income @ "&amp;'Project Assumtions'!I48*100&amp;"%"</f>
        <v xml:space="preserve">  Debt Reserve Interest Income @ 0%</v>
      </c>
      <c r="B27" s="619"/>
      <c r="C27" s="196">
        <f>C26*'Project Assumtions'!$I$48*(SUM('Book Income Statement'!D6:D8)/12)</f>
        <v>0</v>
      </c>
      <c r="D27" s="196">
        <f>D26*'Project Assumtions'!$I$48*(SUM('Book Income Statement'!E6:E8)/12)</f>
        <v>0</v>
      </c>
      <c r="E27" s="196">
        <f>E26*'Project Assumtions'!$I$48*(SUM('Book Income Statement'!F6:F8)/12)</f>
        <v>0</v>
      </c>
      <c r="F27" s="196">
        <f>F26*'Project Assumtions'!$I$48*(SUM('Book Income Statement'!G6:G8)/12)</f>
        <v>0</v>
      </c>
      <c r="G27" s="196">
        <f>G26*'Project Assumtions'!$I$48*(SUM('Book Income Statement'!H6:H8)/12)</f>
        <v>0</v>
      </c>
      <c r="H27" s="196">
        <f>H26*'Project Assumtions'!$I$48*(SUM('Book Income Statement'!I6:I8)/12)</f>
        <v>0</v>
      </c>
      <c r="I27" s="196">
        <f>I26*'Project Assumtions'!$I$48*(SUM('Book Income Statement'!J6:J8)/12)</f>
        <v>0</v>
      </c>
      <c r="J27" s="196">
        <f>J26*'Project Assumtions'!$I$48*(SUM('Book Income Statement'!K6:K8)/12)</f>
        <v>0</v>
      </c>
      <c r="K27" s="196">
        <f>K26*'Project Assumtions'!$I$48*(SUM('Book Income Statement'!L6:L8)/12)</f>
        <v>0</v>
      </c>
      <c r="L27" s="196">
        <f>L26*'Project Assumtions'!$I$48*(SUM('Book Income Statement'!M6:M8)/12)</f>
        <v>0</v>
      </c>
      <c r="M27" s="196">
        <f>M26*'Project Assumtions'!$I$48*(SUM('Book Income Statement'!N6:N8)/12)</f>
        <v>0</v>
      </c>
      <c r="N27" s="196">
        <f>N26*'Project Assumtions'!$I$48*(SUM('Book Income Statement'!O6:O8)/12)</f>
        <v>0</v>
      </c>
      <c r="O27" s="196">
        <f>O26*'Project Assumtions'!$I$48*(SUM('Book Income Statement'!P6:P8)/12)</f>
        <v>0</v>
      </c>
      <c r="P27" s="196">
        <f>P26*'Project Assumtions'!$I$48*(SUM('Book Income Statement'!Q6:Q8)/12)</f>
        <v>0</v>
      </c>
      <c r="Q27" s="196">
        <f>Q26*'Project Assumtions'!$I$48*(SUM('Book Income Statement'!R6:R8)/12)</f>
        <v>0</v>
      </c>
      <c r="R27" s="196">
        <f>R26*'Project Assumtions'!$I$48*(SUM('Book Income Statement'!S6:S8)/12)</f>
        <v>0</v>
      </c>
      <c r="S27" s="196">
        <f>S26*'Project Assumtions'!$I$48*(SUM('Book Income Statement'!T6:T8)/12)</f>
        <v>0</v>
      </c>
      <c r="T27" s="196">
        <f>T26*'Project Assumtions'!$I$48*(SUM('Book Income Statement'!U6:U8)/12)</f>
        <v>0</v>
      </c>
      <c r="U27" s="196">
        <f>U26*'Project Assumtions'!$I$48*(SUM('Book Income Statement'!V6:V8)/12)</f>
        <v>0</v>
      </c>
      <c r="V27" s="196">
        <f>V26*'Project Assumtions'!$I$48*(SUM('Book Income Statement'!W6:W8)/12)</f>
        <v>0</v>
      </c>
      <c r="W27" s="196">
        <f>W26*'Project Assumtions'!$I$48*(SUM('Book Income Statement'!X6:X8)/12)</f>
        <v>0</v>
      </c>
      <c r="X27" s="196">
        <f>X26*'Project Assumtions'!$I$48*(SUM('Book Income Statement'!Y6:Y8)/12)</f>
        <v>0</v>
      </c>
      <c r="Y27" s="196">
        <f>Y26*'Project Assumtions'!$I$48*(SUM('Book Income Statement'!Z6:Z8)/12)</f>
        <v>0</v>
      </c>
      <c r="Z27" s="196">
        <f>Z26*'Project Assumtions'!$I$48*(SUM('Book Income Statement'!AA6:AA8)/12)</f>
        <v>0</v>
      </c>
      <c r="AA27" s="709">
        <f>AA26*'Project Assumtions'!$I$48*(SUM('Book Income Statement'!AB6:AB8)/12)</f>
        <v>0</v>
      </c>
      <c r="AB27" s="152"/>
      <c r="AC27" s="152"/>
    </row>
    <row r="28" spans="1:29" s="41" customFormat="1" ht="12.6" customHeight="1">
      <c r="A28" s="553"/>
      <c r="B28" s="79"/>
      <c r="C28" s="719"/>
      <c r="D28" s="719"/>
      <c r="E28" s="719"/>
      <c r="F28" s="719"/>
      <c r="G28" s="719"/>
      <c r="H28" s="719"/>
      <c r="I28" s="719"/>
      <c r="J28" s="719"/>
      <c r="K28" s="719"/>
      <c r="L28" s="719"/>
      <c r="M28" s="719"/>
      <c r="N28" s="719"/>
      <c r="O28" s="719"/>
      <c r="P28" s="719"/>
      <c r="Q28" s="719"/>
      <c r="R28" s="719"/>
      <c r="S28" s="719"/>
      <c r="T28" s="719"/>
      <c r="U28" s="719"/>
      <c r="V28" s="719"/>
      <c r="W28" s="719"/>
      <c r="X28" s="719"/>
      <c r="Y28" s="719"/>
      <c r="Z28" s="719"/>
      <c r="AA28" s="720"/>
      <c r="AB28" s="72"/>
      <c r="AC28" s="72"/>
    </row>
    <row r="29" spans="1:29" s="41" customFormat="1" ht="12.6" customHeight="1">
      <c r="A29" s="571" t="s">
        <v>108</v>
      </c>
      <c r="B29" s="196">
        <f>IF('Project Assumtions'!$I$34="Normal",'Debt Amortization'!B19,'Debt Amortization'!B76)</f>
        <v>0</v>
      </c>
      <c r="C29" s="719"/>
      <c r="D29" s="719"/>
      <c r="E29" s="719"/>
      <c r="F29" s="719"/>
      <c r="G29" s="719"/>
      <c r="H29" s="719"/>
      <c r="I29" s="719"/>
      <c r="J29" s="719"/>
      <c r="K29" s="719"/>
      <c r="L29" s="719"/>
      <c r="M29" s="719"/>
      <c r="N29" s="719"/>
      <c r="O29" s="719"/>
      <c r="P29" s="719"/>
      <c r="Q29" s="719"/>
      <c r="R29" s="719"/>
      <c r="S29" s="719"/>
      <c r="T29" s="719"/>
      <c r="U29" s="719"/>
      <c r="V29" s="719"/>
      <c r="W29" s="719"/>
      <c r="X29" s="719"/>
      <c r="Y29" s="719"/>
      <c r="Z29" s="719"/>
      <c r="AA29" s="720"/>
      <c r="AB29" s="72"/>
      <c r="AC29" s="72"/>
    </row>
    <row r="30" spans="1:29" s="41" customFormat="1" ht="12.6" customHeight="1">
      <c r="A30" s="553" t="s">
        <v>110</v>
      </c>
      <c r="B30" s="79"/>
      <c r="C30" s="196">
        <f>IF('Project Assumtions'!$I$34="Normal",'Debt Amortization'!E29,'Debt Amortization'!E81)</f>
        <v>0</v>
      </c>
      <c r="D30" s="196">
        <f>IF('Project Assumtions'!$I$34="Normal",'Debt Amortization'!F29,'Debt Amortization'!F81)</f>
        <v>0</v>
      </c>
      <c r="E30" s="196">
        <f>IF('Project Assumtions'!$I$34="Normal",'Debt Amortization'!G29,'Debt Amortization'!G81)</f>
        <v>0</v>
      </c>
      <c r="F30" s="196">
        <f>IF('Project Assumtions'!$I$34="Normal",'Debt Amortization'!H29,'Debt Amortization'!H81)</f>
        <v>0</v>
      </c>
      <c r="G30" s="196">
        <f>IF('Project Assumtions'!$I$34="Normal",'Debt Amortization'!I29,'Debt Amortization'!I81)</f>
        <v>0</v>
      </c>
      <c r="H30" s="196">
        <f>IF('Project Assumtions'!$I$34="Normal",'Debt Amortization'!J29,'Debt Amortization'!J81)</f>
        <v>0</v>
      </c>
      <c r="I30" s="196">
        <f>IF('Project Assumtions'!$I$34="Normal",'Debt Amortization'!K29,'Debt Amortization'!K81)</f>
        <v>0</v>
      </c>
      <c r="J30" s="196">
        <f>IF('Project Assumtions'!$I$34="Normal",'Debt Amortization'!L29,'Debt Amortization'!L81)</f>
        <v>0</v>
      </c>
      <c r="K30" s="196">
        <f>IF('Project Assumtions'!$I$34="Normal",'Debt Amortization'!M29,'Debt Amortization'!M81)</f>
        <v>0</v>
      </c>
      <c r="L30" s="196">
        <f>IF('Project Assumtions'!$I$34="Normal",'Debt Amortization'!N29,'Debt Amortization'!N81)</f>
        <v>0</v>
      </c>
      <c r="M30" s="196">
        <f>IF('Project Assumtions'!$I$34="Normal",'Debt Amortization'!O29,'Debt Amortization'!O81)</f>
        <v>0</v>
      </c>
      <c r="N30" s="196">
        <f>IF('Project Assumtions'!$I$34="Normal",'Debt Amortization'!P29,'Debt Amortization'!P81)</f>
        <v>0</v>
      </c>
      <c r="O30" s="196">
        <f>IF('Project Assumtions'!$I$34="Normal",'Debt Amortization'!Q29,'Debt Amortization'!Q81)</f>
        <v>0</v>
      </c>
      <c r="P30" s="196">
        <f>IF('Project Assumtions'!$I$34="Normal",'Debt Amortization'!R29,'Debt Amortization'!R81)</f>
        <v>0</v>
      </c>
      <c r="Q30" s="196">
        <f>IF('Project Assumtions'!$I$34="Normal",'Debt Amortization'!S29,'Debt Amortization'!S81)</f>
        <v>0</v>
      </c>
      <c r="R30" s="196">
        <f>IF('Project Assumtions'!$I$34="Normal",'Debt Amortization'!T29,'Debt Amortization'!T81)</f>
        <v>0</v>
      </c>
      <c r="S30" s="196">
        <f>IF('Project Assumtions'!$I$34="Normal",'Debt Amortization'!U29,'Debt Amortization'!U81)</f>
        <v>0</v>
      </c>
      <c r="T30" s="196">
        <f>IF('Project Assumtions'!$I$34="Normal",'Debt Amortization'!V29,'Debt Amortization'!V81)</f>
        <v>0</v>
      </c>
      <c r="U30" s="196">
        <f>IF('Project Assumtions'!$I$34="Normal",'Debt Amortization'!W29,'Debt Amortization'!W81)</f>
        <v>0</v>
      </c>
      <c r="V30" s="196">
        <f>IF('Project Assumtions'!$I$34="Normal",'Debt Amortization'!X29,'Debt Amortization'!X81)</f>
        <v>0</v>
      </c>
      <c r="W30" s="196">
        <f>IF('Project Assumtions'!$I$34="Normal",'Debt Amortization'!Y29,'Debt Amortization'!Y81)</f>
        <v>0</v>
      </c>
      <c r="X30" s="196">
        <f>IF('Project Assumtions'!$I$34="Normal",'Debt Amortization'!Z29,'Debt Amortization'!Z81)</f>
        <v>0</v>
      </c>
      <c r="Y30" s="196">
        <f>IF('Project Assumtions'!$I$34="Normal",'Debt Amortization'!AA29,'Debt Amortization'!AA81)</f>
        <v>0</v>
      </c>
      <c r="Z30" s="196">
        <f>IF('Project Assumtions'!$I$34="Normal",'Debt Amortization'!AB29,'Debt Amortization'!AB81)</f>
        <v>0</v>
      </c>
      <c r="AA30" s="709">
        <f>IF('Project Assumtions'!$I$34="Normal",'Debt Amortization'!AC29,'Debt Amortization'!AC81)</f>
        <v>0</v>
      </c>
      <c r="AB30" s="72"/>
      <c r="AC30" s="72"/>
    </row>
    <row r="31" spans="1:29" s="41" customFormat="1" ht="12.6" customHeight="1">
      <c r="A31" s="553" t="s">
        <v>260</v>
      </c>
      <c r="B31" s="79"/>
      <c r="C31" s="721" t="str">
        <f>IF(C30&lt;1, "N/A",'Book Income Statement'!D63/C30)</f>
        <v>N/A</v>
      </c>
      <c r="D31" s="721" t="str">
        <f>IF(D30&lt;1, "N/A", +'Book Income Statement'!E63/D30)</f>
        <v>N/A</v>
      </c>
      <c r="E31" s="721" t="str">
        <f>IF(E30&lt;1, "N/A", +'Book Income Statement'!F63/E30)</f>
        <v>N/A</v>
      </c>
      <c r="F31" s="721" t="str">
        <f>IF(F30&lt;1, "N/A", +'Book Income Statement'!G63/F30)</f>
        <v>N/A</v>
      </c>
      <c r="G31" s="721" t="str">
        <f>IF(G30&lt;1, "N/A", +'Book Income Statement'!H63/G30)</f>
        <v>N/A</v>
      </c>
      <c r="H31" s="721" t="str">
        <f>IF(H30&lt;1, "N/A", +'Book Income Statement'!I63/H30)</f>
        <v>N/A</v>
      </c>
      <c r="I31" s="721" t="str">
        <f>IF(I30&lt;1, "N/A", +'Book Income Statement'!J63/I30)</f>
        <v>N/A</v>
      </c>
      <c r="J31" s="721" t="str">
        <f>IF(J30&lt;1, "N/A", +'Book Income Statement'!K63/J30)</f>
        <v>N/A</v>
      </c>
      <c r="K31" s="721" t="str">
        <f>IF(K30&lt;1, "N/A", +'Book Income Statement'!L63/K30)</f>
        <v>N/A</v>
      </c>
      <c r="L31" s="721" t="str">
        <f>IF(L30&lt;1, "N/A", +'Book Income Statement'!M63/L30)</f>
        <v>N/A</v>
      </c>
      <c r="M31" s="721" t="str">
        <f>IF(M30&lt;1, "N/A", +'Book Income Statement'!N63/M30)</f>
        <v>N/A</v>
      </c>
      <c r="N31" s="721" t="str">
        <f>IF(N30&lt;1, "N/A", +'Book Income Statement'!O63/N30)</f>
        <v>N/A</v>
      </c>
      <c r="O31" s="721" t="str">
        <f>IF(O30&lt;1, "N/A", +'Book Income Statement'!P63/O30)</f>
        <v>N/A</v>
      </c>
      <c r="P31" s="721" t="str">
        <f>IF(P30&lt;1, "N/A", +'Book Income Statement'!Q63/P30)</f>
        <v>N/A</v>
      </c>
      <c r="Q31" s="721" t="str">
        <f>IF(Q30&lt;1, "N/A", +'Book Income Statement'!R63/Q30)</f>
        <v>N/A</v>
      </c>
      <c r="R31" s="721" t="str">
        <f>IF(R30&lt;1, "N/A", +'Book Income Statement'!S63/R30)</f>
        <v>N/A</v>
      </c>
      <c r="S31" s="721" t="str">
        <f>IF(S30&lt;1, "N/A", +'Book Income Statement'!T63/S30)</f>
        <v>N/A</v>
      </c>
      <c r="T31" s="721" t="str">
        <f>IF(T30&lt;1, "N/A", +'Book Income Statement'!U63/T30)</f>
        <v>N/A</v>
      </c>
      <c r="U31" s="721" t="str">
        <f>IF(U30&lt;1, "N/A", +'Book Income Statement'!V63/U30)</f>
        <v>N/A</v>
      </c>
      <c r="V31" s="721" t="str">
        <f>IF(V30&lt;1, "N/A", +'Book Income Statement'!W63/V30)</f>
        <v>N/A</v>
      </c>
      <c r="W31" s="721" t="str">
        <f>IF(W30&lt;1, "N/A", +'Book Income Statement'!X63/W30)</f>
        <v>N/A</v>
      </c>
      <c r="X31" s="721" t="str">
        <f>IF(X30&lt;1, "N/A", +'Book Income Statement'!Y63/X30)</f>
        <v>N/A</v>
      </c>
      <c r="Y31" s="721" t="str">
        <f>IF(Y30&lt;1, "N/A", +'Book Income Statement'!Z63/Y30)</f>
        <v>N/A</v>
      </c>
      <c r="Z31" s="721" t="str">
        <f>IF(Z30&lt;1, "N/A", +'Book Income Statement'!AA63/Z30)</f>
        <v>N/A</v>
      </c>
      <c r="AA31" s="722" t="str">
        <f>IF(AA30&lt;1, "N/A", +'Book Income Statement'!AB63/AA30)</f>
        <v>N/A</v>
      </c>
      <c r="AB31" s="72"/>
      <c r="AC31" s="72"/>
    </row>
    <row r="32" spans="1:29" s="41" customFormat="1" ht="12.6" customHeight="1">
      <c r="A32" s="553" t="s">
        <v>109</v>
      </c>
      <c r="B32" s="79"/>
      <c r="C32" s="714" t="e">
        <f>($B$29-IF('Project Assumtions'!$I$34="Normal",SUM('Debt Amortization'!$E$28:E28),SUM('Debt Amortization'!$E$80:E80)))/$B$29</f>
        <v>#DIV/0!</v>
      </c>
      <c r="D32" s="714" t="e">
        <f>($B$29-IF('Project Assumtions'!$I$34="Normal",SUM('Debt Amortization'!$E$28:F28),SUM('Debt Amortization'!$E$80:F80)))/$B$29</f>
        <v>#DIV/0!</v>
      </c>
      <c r="E32" s="714" t="e">
        <f>($B$29-IF('Project Assumtions'!$I$34="Normal",SUM('Debt Amortization'!$E$28:G28),SUM('Debt Amortization'!$E$80:G80)))/$B$29</f>
        <v>#DIV/0!</v>
      </c>
      <c r="F32" s="714" t="e">
        <f>($B$29-IF('Project Assumtions'!$I$34="Normal",SUM('Debt Amortization'!$E$28:H28),SUM('Debt Amortization'!$E$80:H80)))/$B$29</f>
        <v>#DIV/0!</v>
      </c>
      <c r="G32" s="714" t="e">
        <f>($B$29-IF('Project Assumtions'!$I$34="Normal",SUM('Debt Amortization'!$E$28:I28),SUM('Debt Amortization'!$E$80:I80)))/$B$29</f>
        <v>#DIV/0!</v>
      </c>
      <c r="H32" s="714" t="e">
        <f>($B$29-IF('Project Assumtions'!$I$34="Normal",SUM('Debt Amortization'!$E$28:J28),SUM('Debt Amortization'!$E$80:J80)))/$B$29</f>
        <v>#DIV/0!</v>
      </c>
      <c r="I32" s="714" t="e">
        <f>($B$29-IF('Project Assumtions'!$I$34="Normal",SUM('Debt Amortization'!$E$28:K28),SUM('Debt Amortization'!$E$80:K80)))/$B$29</f>
        <v>#DIV/0!</v>
      </c>
      <c r="J32" s="714" t="e">
        <f>($B$29-IF('Project Assumtions'!$I$34="Normal",SUM('Debt Amortization'!$E$28:L28),SUM('Debt Amortization'!$E$80:L80)))/$B$29</f>
        <v>#DIV/0!</v>
      </c>
      <c r="K32" s="714" t="e">
        <f>($B$29-IF('Project Assumtions'!$I$34="Normal",SUM('Debt Amortization'!$E$28:M28),SUM('Debt Amortization'!$E$80:M80)))/$B$29</f>
        <v>#DIV/0!</v>
      </c>
      <c r="L32" s="714" t="e">
        <f>($B$29-IF('Project Assumtions'!$I$34="Normal",SUM('Debt Amortization'!$E$28:N28),SUM('Debt Amortization'!$E$80:N80)))/$B$29</f>
        <v>#DIV/0!</v>
      </c>
      <c r="M32" s="714" t="e">
        <f>($B$29-IF('Project Assumtions'!$I$34="Normal",SUM('Debt Amortization'!$E$28:O28),SUM('Debt Amortization'!$E$80:O80)))/$B$29</f>
        <v>#DIV/0!</v>
      </c>
      <c r="N32" s="714" t="e">
        <f>($B$29-IF('Project Assumtions'!$I$34="Normal",SUM('Debt Amortization'!$E$28:P28),SUM('Debt Amortization'!$E$80:P80)))/$B$29</f>
        <v>#DIV/0!</v>
      </c>
      <c r="O32" s="714" t="e">
        <f>($B$29-IF('Project Assumtions'!$I$34="Normal",SUM('Debt Amortization'!$E$28:Q28),SUM('Debt Amortization'!$E$80:Q80)))/$B$29</f>
        <v>#DIV/0!</v>
      </c>
      <c r="P32" s="714" t="e">
        <f>($B$29-IF('Project Assumtions'!$I$34="Normal",SUM('Debt Amortization'!$E$28:R28),SUM('Debt Amortization'!$E$80:R80)))/$B$29</f>
        <v>#DIV/0!</v>
      </c>
      <c r="Q32" s="714" t="e">
        <f>($B$29-IF('Project Assumtions'!$I$34="Normal",SUM('Debt Amortization'!$E$28:S28),SUM('Debt Amortization'!$E$80:S80)))/$B$29</f>
        <v>#DIV/0!</v>
      </c>
      <c r="R32" s="714" t="e">
        <f>($B$29-IF('Project Assumtions'!$I$34="Normal",SUM('Debt Amortization'!$E$28:T28),SUM('Debt Amortization'!$E$80:T80)))/$B$29</f>
        <v>#DIV/0!</v>
      </c>
      <c r="S32" s="714" t="e">
        <f>($B$29-IF('Project Assumtions'!$I$34="Normal",SUM('Debt Amortization'!$E$28:U28),SUM('Debt Amortization'!$E$80:U80)))/$B$29</f>
        <v>#DIV/0!</v>
      </c>
      <c r="T32" s="714" t="e">
        <f>($B$29-IF('Project Assumtions'!$I$34="Normal",SUM('Debt Amortization'!$E$28:V28),SUM('Debt Amortization'!$E$80:V80)))/$B$29</f>
        <v>#DIV/0!</v>
      </c>
      <c r="U32" s="714" t="e">
        <f>($B$29-IF('Project Assumtions'!$I$34="Normal",SUM('Debt Amortization'!$E$28:W28),SUM('Debt Amortization'!$E$80:W80)))/$B$29</f>
        <v>#DIV/0!</v>
      </c>
      <c r="V32" s="714" t="e">
        <f>($B$29-IF('Project Assumtions'!$I$34="Normal",SUM('Debt Amortization'!$E$28:X28),SUM('Debt Amortization'!$E$80:X80)))/$B$29</f>
        <v>#DIV/0!</v>
      </c>
      <c r="W32" s="714" t="e">
        <f>($B$29-IF('Project Assumtions'!$I$34="Normal",SUM('Debt Amortization'!$E$28:Y28),SUM('Debt Amortization'!$E$80:Y80)))/$B$29</f>
        <v>#DIV/0!</v>
      </c>
      <c r="X32" s="714" t="e">
        <f>($B$29-IF('Project Assumtions'!$I$34="Normal",SUM('Debt Amortization'!$E$28:Z28),SUM('Debt Amortization'!$E$80:Z80)))/$B$29</f>
        <v>#DIV/0!</v>
      </c>
      <c r="Y32" s="714" t="e">
        <f>($B$29-IF('Project Assumtions'!$I$34="Normal",SUM('Debt Amortization'!$E$28:AA28),SUM('Debt Amortization'!$E$80:AA80)))/$B$29</f>
        <v>#DIV/0!</v>
      </c>
      <c r="Z32" s="714" t="e">
        <f>($B$29-IF('Project Assumtions'!$I$34="Normal",SUM('Debt Amortization'!$E$28:AB28),SUM('Debt Amortization'!$E$80:AB80)))/$B$29</f>
        <v>#DIV/0!</v>
      </c>
      <c r="AA32" s="723" t="e">
        <f>($B$29-IF('Project Assumtions'!$I$34="Normal",SUM('Debt Amortization'!$E$28:AC28),SUM('Debt Amortization'!$E$80:AC80)))/$B$29</f>
        <v>#DIV/0!</v>
      </c>
      <c r="AB32" s="72"/>
      <c r="AC32" s="72"/>
    </row>
    <row r="33" spans="1:29" s="41" customFormat="1" ht="12.6" customHeight="1">
      <c r="A33" s="553"/>
      <c r="B33" s="79"/>
      <c r="C33" s="714"/>
      <c r="D33" s="714"/>
      <c r="E33" s="714"/>
      <c r="F33" s="714"/>
      <c r="G33" s="714"/>
      <c r="H33" s="714"/>
      <c r="I33" s="714"/>
      <c r="J33" s="714"/>
      <c r="K33" s="714"/>
      <c r="L33" s="714"/>
      <c r="M33" s="714"/>
      <c r="N33" s="714"/>
      <c r="O33" s="714"/>
      <c r="P33" s="714"/>
      <c r="Q33" s="714"/>
      <c r="R33" s="714"/>
      <c r="S33" s="714"/>
      <c r="T33" s="714"/>
      <c r="U33" s="714"/>
      <c r="V33" s="714"/>
      <c r="W33" s="714"/>
      <c r="X33" s="714"/>
      <c r="Y33" s="714"/>
      <c r="Z33" s="714"/>
      <c r="AA33" s="723"/>
      <c r="AB33" s="72"/>
      <c r="AC33" s="72"/>
    </row>
    <row r="34" spans="1:29" s="41" customFormat="1" ht="12.6" customHeight="1">
      <c r="A34" s="571" t="s">
        <v>111</v>
      </c>
      <c r="B34" s="196">
        <f>IF('Project Assumtions'!$I$34="Normal",'Debt Amortization'!B20,'Debt Amortization'!B77)</f>
        <v>36176.059349999996</v>
      </c>
      <c r="C34" s="719"/>
      <c r="D34" s="719"/>
      <c r="E34" s="719"/>
      <c r="F34" s="719"/>
      <c r="G34" s="719"/>
      <c r="H34" s="719"/>
      <c r="I34" s="719"/>
      <c r="J34" s="719"/>
      <c r="K34" s="719"/>
      <c r="L34" s="719"/>
      <c r="M34" s="719"/>
      <c r="N34" s="719"/>
      <c r="O34" s="719"/>
      <c r="P34" s="719"/>
      <c r="Q34" s="719"/>
      <c r="R34" s="719"/>
      <c r="S34" s="719"/>
      <c r="T34" s="719"/>
      <c r="U34" s="719"/>
      <c r="V34" s="719"/>
      <c r="W34" s="719"/>
      <c r="X34" s="719"/>
      <c r="Y34" s="719"/>
      <c r="Z34" s="719"/>
      <c r="AA34" s="720"/>
      <c r="AB34" s="72"/>
      <c r="AC34" s="72"/>
    </row>
    <row r="35" spans="1:29" s="41" customFormat="1" ht="12.6" customHeight="1">
      <c r="A35" s="553" t="s">
        <v>110</v>
      </c>
      <c r="B35" s="79"/>
      <c r="C35" s="196">
        <f>IF('Project Assumtions'!$I$34="Normal",'Debt Amortization'!E37,'Debt Amortization'!E96)</f>
        <v>65116.90683</v>
      </c>
      <c r="D35" s="196">
        <f>IF('Project Assumtions'!$I$34="Normal",'Debt Amortization'!F37,'Debt Amortization'!F96)</f>
        <v>65116.90683</v>
      </c>
      <c r="E35" s="196">
        <f>IF('Project Assumtions'!$I$34="Normal",'Debt Amortization'!G37,'Debt Amortization'!G96)</f>
        <v>65116.90683</v>
      </c>
      <c r="F35" s="196">
        <f>IF('Project Assumtions'!$I$34="Normal",'Debt Amortization'!H37,'Debt Amortization'!H96)</f>
        <v>65116.90683</v>
      </c>
      <c r="G35" s="196">
        <f>IF('Project Assumtions'!$I$34="Normal",'Debt Amortization'!I37,'Debt Amortization'!I96)</f>
        <v>65116.90683</v>
      </c>
      <c r="H35" s="196">
        <f>IF('Project Assumtions'!$I$34="Normal",'Debt Amortization'!J37,'Debt Amortization'!J96)</f>
        <v>63814.568693399997</v>
      </c>
      <c r="I35" s="196">
        <f>IF('Project Assumtions'!$I$34="Normal",'Debt Amortization'!K37,'Debt Amortization'!K96)</f>
        <v>62512.230556799994</v>
      </c>
      <c r="J35" s="196">
        <f>IF('Project Assumtions'!$I$34="Normal",'Debt Amortization'!L37,'Debt Amortization'!L96)</f>
        <v>60558.723351899993</v>
      </c>
      <c r="K35" s="196">
        <f>IF('Project Assumtions'!$I$34="Normal",'Debt Amortization'!M37,'Debt Amortization'!M96)</f>
        <v>58605.216146999992</v>
      </c>
      <c r="L35" s="196">
        <f>IF('Project Assumtions'!$I$34="Normal",'Debt Amortization'!N37,'Debt Amortization'!N96)</f>
        <v>56651.708942099991</v>
      </c>
      <c r="M35" s="196">
        <f>IF('Project Assumtions'!$I$34="Normal",'Debt Amortization'!O37,'Debt Amortization'!O96)</f>
        <v>54047.032668899992</v>
      </c>
      <c r="N35" s="196">
        <f>IF('Project Assumtions'!$I$34="Normal",'Debt Amortization'!P37,'Debt Amortization'!P96)</f>
        <v>51442.356395699993</v>
      </c>
      <c r="O35" s="196">
        <f>IF('Project Assumtions'!$I$34="Normal",'Debt Amortization'!Q37,'Debt Amortization'!Q96)</f>
        <v>48186.511054199989</v>
      </c>
      <c r="P35" s="196">
        <f>IF('Project Assumtions'!$I$34="Normal",'Debt Amortization'!R37,'Debt Amortization'!R96)</f>
        <v>44930.665712699993</v>
      </c>
      <c r="Q35" s="196">
        <f>IF('Project Assumtions'!$I$34="Normal",'Debt Amortization'!S37,'Debt Amortization'!S96)</f>
        <v>41674.820371199996</v>
      </c>
      <c r="R35" s="196">
        <f>IF('Project Assumtions'!$I$34="Normal",'Debt Amortization'!T37,'Debt Amortization'!T96)</f>
        <v>38418.975029699999</v>
      </c>
      <c r="S35" s="196">
        <f>IF('Project Assumtions'!$I$34="Normal",'Debt Amortization'!U37,'Debt Amortization'!U96)</f>
        <v>35163.129688200002</v>
      </c>
      <c r="T35" s="196">
        <f>IF('Project Assumtions'!$I$34="Normal",'Debt Amortization'!V37,'Debt Amortization'!V96)</f>
        <v>28651.439005200002</v>
      </c>
      <c r="U35" s="196">
        <f>IF('Project Assumtions'!$I$34="Normal",'Debt Amortization'!W37,'Debt Amortization'!W96)</f>
        <v>20837.410185600002</v>
      </c>
      <c r="V35" s="196">
        <f>IF('Project Assumtions'!$I$34="Normal",'Debt Amortization'!X37,'Debt Amortization'!X96)</f>
        <v>11069.874161100002</v>
      </c>
      <c r="W35" s="196">
        <f>IF('Project Assumtions'!$I$34="Normal",'Debt Amortization'!Y37,'Debt Amortization'!Y96)</f>
        <v>0</v>
      </c>
      <c r="X35" s="196">
        <f>IF('Project Assumtions'!$I$34="Normal",'Debt Amortization'!Z37,'Debt Amortization'!Z96)</f>
        <v>0</v>
      </c>
      <c r="Y35" s="196">
        <f>IF('Project Assumtions'!$I$34="Normal",'Debt Amortization'!AA37,'Debt Amortization'!AA96)</f>
        <v>0</v>
      </c>
      <c r="Z35" s="196">
        <f>IF('Project Assumtions'!$I$34="Normal",'Debt Amortization'!AB37,'Debt Amortization'!AB96)</f>
        <v>0</v>
      </c>
      <c r="AA35" s="709">
        <f>IF('Project Assumtions'!$I$34="Normal",'Debt Amortization'!AC37,'Debt Amortization'!AC96)</f>
        <v>0</v>
      </c>
      <c r="AB35" s="72"/>
      <c r="AC35" s="72"/>
    </row>
    <row r="36" spans="1:29" s="41" customFormat="1" ht="12.6" customHeight="1">
      <c r="A36" s="553" t="s">
        <v>260</v>
      </c>
      <c r="B36" s="79"/>
      <c r="C36" s="721">
        <f>IF(C35&lt;1, "N/A",'Book Income Statement'!D63/C35)</f>
        <v>0.17832211363349376</v>
      </c>
      <c r="D36" s="721">
        <f>IF(D35&lt;1, "N/A",'Book Income Statement'!E63/D35)</f>
        <v>0.30955792084212852</v>
      </c>
      <c r="E36" s="721">
        <f>IF(E35&lt;1, "N/A",'Book Income Statement'!F63/E35)</f>
        <v>0.30710900910595834</v>
      </c>
      <c r="F36" s="721">
        <f>IF(F35&lt;1, "N/A",'Book Income Statement'!G63/F35)</f>
        <v>0.41855575220097951</v>
      </c>
      <c r="G36" s="721">
        <f>IF(G35&lt;1, "N/A",'Book Income Statement'!H63/G35)</f>
        <v>0.51403092837678022</v>
      </c>
      <c r="H36" s="721">
        <f>IF(H35&lt;1, "N/A",'Book Income Statement'!I63/H35)</f>
        <v>0.53963720532100279</v>
      </c>
      <c r="I36" s="721">
        <f>IF(I35&lt;1, "N/A",'Book Income Statement'!J63/I35)</f>
        <v>0.55613380398490142</v>
      </c>
      <c r="J36" s="721">
        <f>IF(J35&lt;1, "N/A",'Book Income Statement'!K63/J35)</f>
        <v>0.579031039982012</v>
      </c>
      <c r="K36" s="721">
        <f>IF(K35&lt;1, "N/A",'Book Income Statement'!L63/K35)</f>
        <v>0.60401033211516708</v>
      </c>
      <c r="L36" s="721">
        <f>IF(L35&lt;1, "N/A",'Book Income Statement'!M63/L35)</f>
        <v>0.6319079953937915</v>
      </c>
      <c r="M36" s="721">
        <f>IF(M35&lt;1, "N/A",'Book Income Statement'!N63/M35)</f>
        <v>0.66957647775601381</v>
      </c>
      <c r="N36" s="721">
        <f>IF(N35&lt;1, "N/A",'Book Income Statement'!O63/N35)</f>
        <v>0.70753810257363348</v>
      </c>
      <c r="O36" s="721">
        <f>IF(O35&lt;1, "N/A",'Book Income Statement'!P63/O35)</f>
        <v>0.76290950881130415</v>
      </c>
      <c r="P36" s="721">
        <f>IF(P35&lt;1, "N/A",'Book Income Statement'!Q63/P35)</f>
        <v>0.80891290134349925</v>
      </c>
      <c r="Q36" s="721">
        <f>IF(Q35&lt;1, "N/A",'Book Income Statement'!R63/Q35)</f>
        <v>0.87972583981639996</v>
      </c>
      <c r="R36" s="721">
        <f>IF(R35&lt;1, "N/A",'Book Income Statement'!S63/R35)</f>
        <v>0.96216954558472045</v>
      </c>
      <c r="S36" s="721">
        <f>IF(S35&lt;1, "N/A",'Book Income Statement'!T63/S35)</f>
        <v>1.0594423139331526</v>
      </c>
      <c r="T36" s="721">
        <f>IF(T35&lt;1, "N/A",'Book Income Statement'!U63/T35)</f>
        <v>1.3096877268574154</v>
      </c>
      <c r="U36" s="721">
        <f>IF(U35&lt;1, "N/A",'Book Income Statement'!V63/U35)</f>
        <v>1.8129750056220824</v>
      </c>
      <c r="V36" s="721">
        <f>IF(V35&lt;1, "N/A",'Book Income Statement'!W63/V35)</f>
        <v>3.3507509042242019</v>
      </c>
      <c r="W36" s="721" t="str">
        <f>IF(W35&lt;1, "N/A",'Book Income Statement'!X63/W35)</f>
        <v>N/A</v>
      </c>
      <c r="X36" s="721" t="str">
        <f>IF(X35&lt;1, "N/A",'Book Income Statement'!Y63/X35)</f>
        <v>N/A</v>
      </c>
      <c r="Y36" s="721" t="str">
        <f>IF(Y35&lt;1, "N/A",'Book Income Statement'!Z63/Y35)</f>
        <v>N/A</v>
      </c>
      <c r="Z36" s="721" t="str">
        <f>IF(Z35&lt;1, "N/A",'Book Income Statement'!AA63/Z35)</f>
        <v>N/A</v>
      </c>
      <c r="AA36" s="722" t="str">
        <f>IF(AA35&lt;1, "N/A",'Book Income Statement'!AB63/AA35)</f>
        <v>N/A</v>
      </c>
      <c r="AB36" s="72"/>
      <c r="AC36" s="72"/>
    </row>
    <row r="37" spans="1:29" s="41" customFormat="1" ht="12.6" customHeight="1">
      <c r="A37" s="553" t="s">
        <v>109</v>
      </c>
      <c r="B37" s="79"/>
      <c r="C37" s="714">
        <f>IF($B$34&gt;0,(($B$34-IF('Project Assumtions'!$I$34="Normal",SUM('Debt Amortization'!$E$36:E36),SUM('Debt Amortization'!$E$95:E95)))/$B$34),0)</f>
        <v>1</v>
      </c>
      <c r="D37" s="714">
        <f>IF($B$34&gt;0,(($B$34-IF('Project Assumtions'!$I$34="Normal",SUM('Debt Amortization'!$E$36:F36),SUM('Debt Amortization'!$E$95:F95)))/$B$34),0)</f>
        <v>1</v>
      </c>
      <c r="E37" s="714">
        <f>IF($B$34&gt;0,(($B$34-IF('Project Assumtions'!$I$34="Normal",SUM('Debt Amortization'!$E$36:G36),SUM('Debt Amortization'!$E$95:G95)))/$B$34),0)</f>
        <v>1</v>
      </c>
      <c r="F37" s="714">
        <f>IF($B$34&gt;0,(($B$34-IF('Project Assumtions'!$I$34="Normal",SUM('Debt Amortization'!$E$36:H36),SUM('Debt Amortization'!$E$95:H95)))/$B$34),0)</f>
        <v>1</v>
      </c>
      <c r="G37" s="714">
        <f>IF($B$34&gt;0,(($B$34-IF('Project Assumtions'!$I$34="Normal",SUM('Debt Amortization'!$E$36:I36),SUM('Debt Amortization'!$E$95:I95)))/$B$34),0)</f>
        <v>1</v>
      </c>
      <c r="H37" s="714">
        <f>IF($B$34&gt;0,(($B$34-IF('Project Assumtions'!$I$34="Normal",SUM('Debt Amortization'!$E$36:J36),SUM('Debt Amortization'!$E$95:J95)))/$B$34),0)</f>
        <v>1</v>
      </c>
      <c r="I37" s="714">
        <f>IF($B$34&gt;0,(($B$34-IF('Project Assumtions'!$I$34="Normal",SUM('Debt Amortization'!$E$36:K36),SUM('Debt Amortization'!$E$95:K95)))/$B$34),0)</f>
        <v>1</v>
      </c>
      <c r="J37" s="714">
        <f>IF($B$34&gt;0,(($B$34-IF('Project Assumtions'!$I$34="Normal",SUM('Debt Amortization'!$E$36:L36),SUM('Debt Amortization'!$E$95:L95)))/$B$34),0)</f>
        <v>1</v>
      </c>
      <c r="K37" s="714">
        <f>IF($B$34&gt;0,(($B$34-IF('Project Assumtions'!$I$34="Normal",SUM('Debt Amortization'!$E$36:M36),SUM('Debt Amortization'!$E$95:M95)))/$B$34),0)</f>
        <v>1</v>
      </c>
      <c r="L37" s="714">
        <f>IF($B$34&gt;0,(($B$34-IF('Project Assumtions'!$I$34="Normal",SUM('Debt Amortization'!$E$36:N36),SUM('Debt Amortization'!$E$95:N95)))/$B$34),0)</f>
        <v>1</v>
      </c>
      <c r="M37" s="714">
        <f>IF($B$34&gt;0,(($B$34-IF('Project Assumtions'!$I$34="Normal",SUM('Debt Amortization'!$E$36:O36),SUM('Debt Amortization'!$E$95:O95)))/$B$34),0)</f>
        <v>1</v>
      </c>
      <c r="N37" s="714">
        <f>IF($B$34&gt;0,(($B$34-IF('Project Assumtions'!$I$34="Normal",SUM('Debt Amortization'!$E$36:P36),SUM('Debt Amortization'!$E$95:P95)))/$B$34),0)</f>
        <v>1</v>
      </c>
      <c r="O37" s="714">
        <f>IF($B$34&gt;0,(($B$34-IF('Project Assumtions'!$I$34="Normal",SUM('Debt Amortization'!$E$36:Q36),SUM('Debt Amortization'!$E$95:Q95)))/$B$34),0)</f>
        <v>1</v>
      </c>
      <c r="P37" s="714">
        <f>IF($B$34&gt;0,(($B$34-IF('Project Assumtions'!$I$34="Normal",SUM('Debt Amortization'!$E$36:R36),SUM('Debt Amortization'!$E$95:R95)))/$B$34),0)</f>
        <v>1</v>
      </c>
      <c r="Q37" s="714">
        <f>IF($B$34&gt;0,(($B$34-IF('Project Assumtions'!$I$34="Normal",SUM('Debt Amortization'!$E$36:S36),SUM('Debt Amortization'!$E$95:S95)))/$B$34),0)</f>
        <v>1</v>
      </c>
      <c r="R37" s="714">
        <f>IF($B$34&gt;0,(($B$34-IF('Project Assumtions'!$I$34="Normal",SUM('Debt Amortization'!$E$36:T36),SUM('Debt Amortization'!$E$95:T95)))/$B$34),0)</f>
        <v>1</v>
      </c>
      <c r="S37" s="714">
        <f>IF($B$34&gt;0,(($B$34-IF('Project Assumtions'!$I$34="Normal",SUM('Debt Amortization'!$E$36:U36),SUM('Debt Amortization'!$E$95:U95)))/$B$34),0)</f>
        <v>1</v>
      </c>
      <c r="T37" s="714">
        <f>IF($B$34&gt;0,(($B$34-IF('Project Assumtions'!$I$34="Normal",SUM('Debt Amortization'!$E$36:V36),SUM('Debt Amortization'!$E$95:V95)))/$B$34),0)</f>
        <v>1</v>
      </c>
      <c r="U37" s="714">
        <f>IF($B$34&gt;0,(($B$34-IF('Project Assumtions'!$I$34="Normal",SUM('Debt Amortization'!$E$36:W36),SUM('Debt Amortization'!$E$95:W95)))/$B$34),0)</f>
        <v>1</v>
      </c>
      <c r="V37" s="714">
        <f>IF($B$34&gt;0,(($B$34-IF('Project Assumtions'!$I$34="Normal",SUM('Debt Amortization'!$E$36:X36),SUM('Debt Amortization'!$E$95:X95)))/$B$34),0)</f>
        <v>1</v>
      </c>
      <c r="W37" s="714">
        <f>IF($B$34&gt;0,(($B$34-IF('Project Assumtions'!$I$34="Normal",SUM('Debt Amortization'!$E$36:Y36),SUM('Debt Amortization'!$E$95:Y95)))/$B$34),0)</f>
        <v>1</v>
      </c>
      <c r="X37" s="714">
        <f>IF($B$34&gt;0,(($B$34-IF('Project Assumtions'!$I$34="Normal",SUM('Debt Amortization'!$E$36:Z36),SUM('Debt Amortization'!$E$95:Z95)))/$B$34),0)</f>
        <v>1</v>
      </c>
      <c r="Y37" s="714">
        <f>IF($B$34&gt;0,(($B$34-IF('Project Assumtions'!$I$34="Normal",SUM('Debt Amortization'!$E$36:AA36),SUM('Debt Amortization'!$E$95:AA95)))/$B$34),0)</f>
        <v>1</v>
      </c>
      <c r="Z37" s="714">
        <f>IF($B$34&gt;0,(($B$34-IF('Project Assumtions'!$I$34="Normal",SUM('Debt Amortization'!$E$36:AB36),SUM('Debt Amortization'!$E$95:AB95)))/$B$34),0)</f>
        <v>1</v>
      </c>
      <c r="AA37" s="723">
        <f>IF($B$34&gt;0,(($B$34-IF('Project Assumtions'!$I$34="Normal",SUM('Debt Amortization'!$E$36:AC36),SUM('Debt Amortization'!$E$95:AC95)))/$B$34),0)</f>
        <v>1</v>
      </c>
      <c r="AB37" s="72"/>
      <c r="AC37" s="72"/>
    </row>
    <row r="38" spans="1:29" s="41" customFormat="1" ht="10.199999999999999">
      <c r="A38" s="553"/>
      <c r="B38" s="79"/>
      <c r="C38" s="79"/>
      <c r="D38" s="79"/>
      <c r="E38" s="79"/>
      <c r="F38" s="79"/>
      <c r="G38" s="79"/>
      <c r="H38" s="79"/>
      <c r="I38" s="79"/>
      <c r="J38" s="79"/>
      <c r="K38" s="79"/>
      <c r="L38" s="79"/>
      <c r="M38" s="79"/>
      <c r="N38" s="79"/>
      <c r="O38" s="79"/>
      <c r="P38" s="79"/>
      <c r="Q38" s="79"/>
      <c r="R38" s="79"/>
      <c r="S38" s="79"/>
      <c r="T38" s="79"/>
      <c r="U38" s="79"/>
      <c r="V38" s="79"/>
      <c r="W38" s="79"/>
      <c r="X38" s="79"/>
      <c r="Y38" s="79"/>
      <c r="Z38" s="79"/>
      <c r="AA38" s="556"/>
      <c r="AB38" s="72"/>
      <c r="AC38" s="72"/>
    </row>
    <row r="39" spans="1:29" s="41" customFormat="1" ht="12.6" customHeight="1">
      <c r="A39" s="571" t="s">
        <v>181</v>
      </c>
      <c r="B39" s="196" t="str">
        <f>IF('Project Assumtions'!$I$34="Normal",'Debt Amortization'!B21,"N/A")</f>
        <v>N/A</v>
      </c>
      <c r="C39" s="719"/>
      <c r="D39" s="719"/>
      <c r="E39" s="719"/>
      <c r="F39" s="719"/>
      <c r="G39" s="719"/>
      <c r="H39" s="719"/>
      <c r="I39" s="719"/>
      <c r="J39" s="719"/>
      <c r="K39" s="719"/>
      <c r="L39" s="719"/>
      <c r="M39" s="719"/>
      <c r="N39" s="719"/>
      <c r="O39" s="719"/>
      <c r="P39" s="719"/>
      <c r="Q39" s="719"/>
      <c r="R39" s="719"/>
      <c r="S39" s="719"/>
      <c r="T39" s="719"/>
      <c r="U39" s="719"/>
      <c r="V39" s="719"/>
      <c r="W39" s="719"/>
      <c r="X39" s="719"/>
      <c r="Y39" s="719"/>
      <c r="Z39" s="719"/>
      <c r="AA39" s="720"/>
      <c r="AB39" s="72"/>
      <c r="AC39" s="72"/>
    </row>
    <row r="40" spans="1:29" s="41" customFormat="1" ht="12.6" customHeight="1">
      <c r="A40" s="553" t="s">
        <v>110</v>
      </c>
      <c r="B40" s="79"/>
      <c r="C40" s="196" t="str">
        <f>IF('Project Assumtions'!$I$34="Normal",'Debt Amortization'!E45,"N/A")</f>
        <v>N/A</v>
      </c>
      <c r="D40" s="196" t="str">
        <f>IF('Project Assumtions'!$I$34="Normal",'Debt Amortization'!F45,"N/A")</f>
        <v>N/A</v>
      </c>
      <c r="E40" s="196" t="str">
        <f>IF('Project Assumtions'!$I$34="Normal",'Debt Amortization'!G45,"N/A")</f>
        <v>N/A</v>
      </c>
      <c r="F40" s="196" t="str">
        <f>IF('Project Assumtions'!$I$34="Normal",'Debt Amortization'!H45,"N/A")</f>
        <v>N/A</v>
      </c>
      <c r="G40" s="196" t="str">
        <f>IF('Project Assumtions'!$I$34="Normal",'Debt Amortization'!I45,"N/A")</f>
        <v>N/A</v>
      </c>
      <c r="H40" s="196" t="str">
        <f>IF('Project Assumtions'!$I$34="Normal",'Debt Amortization'!J45,"N/A")</f>
        <v>N/A</v>
      </c>
      <c r="I40" s="196" t="str">
        <f>IF('Project Assumtions'!$I$34="Normal",'Debt Amortization'!K45,"N/A")</f>
        <v>N/A</v>
      </c>
      <c r="J40" s="196" t="str">
        <f>IF('Project Assumtions'!$I$34="Normal",'Debt Amortization'!L45,"N/A")</f>
        <v>N/A</v>
      </c>
      <c r="K40" s="196" t="str">
        <f>IF('Project Assumtions'!$I$34="Normal",'Debt Amortization'!M45,"N/A")</f>
        <v>N/A</v>
      </c>
      <c r="L40" s="196" t="str">
        <f>IF('Project Assumtions'!$I$34="Normal",'Debt Amortization'!N45,"N/A")</f>
        <v>N/A</v>
      </c>
      <c r="M40" s="196" t="str">
        <f>IF('Project Assumtions'!$I$34="Normal",'Debt Amortization'!O45,"N/A")</f>
        <v>N/A</v>
      </c>
      <c r="N40" s="196" t="str">
        <f>IF('Project Assumtions'!$I$34="Normal",'Debt Amortization'!P45,"N/A")</f>
        <v>N/A</v>
      </c>
      <c r="O40" s="196" t="str">
        <f>IF('Project Assumtions'!$I$34="Normal",'Debt Amortization'!Q45,"N/A")</f>
        <v>N/A</v>
      </c>
      <c r="P40" s="196" t="str">
        <f>IF('Project Assumtions'!$I$34="Normal",'Debt Amortization'!R45,"N/A")</f>
        <v>N/A</v>
      </c>
      <c r="Q40" s="196" t="str">
        <f>IF('Project Assumtions'!$I$34="Normal",'Debt Amortization'!S45,"N/A")</f>
        <v>N/A</v>
      </c>
      <c r="R40" s="196" t="str">
        <f>IF('Project Assumtions'!$I$34="Normal",'Debt Amortization'!T45,"N/A")</f>
        <v>N/A</v>
      </c>
      <c r="S40" s="196" t="str">
        <f>IF('Project Assumtions'!$I$34="Normal",'Debt Amortization'!U45,"N/A")</f>
        <v>N/A</v>
      </c>
      <c r="T40" s="196" t="str">
        <f>IF('Project Assumtions'!$I$34="Normal",'Debt Amortization'!V45,"N/A")</f>
        <v>N/A</v>
      </c>
      <c r="U40" s="196" t="str">
        <f>IF('Project Assumtions'!$I$34="Normal",'Debt Amortization'!W45,"N/A")</f>
        <v>N/A</v>
      </c>
      <c r="V40" s="196" t="str">
        <f>IF('Project Assumtions'!$I$34="Normal",'Debt Amortization'!X45,"N/A")</f>
        <v>N/A</v>
      </c>
      <c r="W40" s="196" t="str">
        <f>IF('Project Assumtions'!$I$34="Normal",'Debt Amortization'!Y45,"N/A")</f>
        <v>N/A</v>
      </c>
      <c r="X40" s="196" t="str">
        <f>IF('Project Assumtions'!$I$34="Normal",'Debt Amortization'!Z45,"N/A")</f>
        <v>N/A</v>
      </c>
      <c r="Y40" s="196" t="str">
        <f>IF('Project Assumtions'!$I$34="Normal",'Debt Amortization'!AA45,"N/A")</f>
        <v>N/A</v>
      </c>
      <c r="Z40" s="196" t="str">
        <f>IF('Project Assumtions'!$I$34="Normal",'Debt Amortization'!AB45,"N/A")</f>
        <v>N/A</v>
      </c>
      <c r="AA40" s="709" t="str">
        <f>IF('Project Assumtions'!$I$34="Normal",'Debt Amortization'!AC45,"N/A")</f>
        <v>N/A</v>
      </c>
      <c r="AB40" s="72"/>
      <c r="AC40" s="72"/>
    </row>
    <row r="41" spans="1:29" s="41" customFormat="1" ht="12.6" customHeight="1">
      <c r="A41" s="553" t="s">
        <v>260</v>
      </c>
      <c r="B41" s="79"/>
      <c r="C41" s="721" t="e">
        <f>+IF(C40&lt;1, "N/A",'Book Income Statement'!D63/C40)</f>
        <v>#VALUE!</v>
      </c>
      <c r="D41" s="721" t="e">
        <f>+IF(D40&lt;1, "N/A",'Book Income Statement'!E63/D40)</f>
        <v>#VALUE!</v>
      </c>
      <c r="E41" s="721" t="e">
        <f>+IF(E40&lt;1, "N/A",'Book Income Statement'!F63/E40)</f>
        <v>#VALUE!</v>
      </c>
      <c r="F41" s="721" t="e">
        <f>+IF(F40&lt;1, "N/A",'Book Income Statement'!G63/F40)</f>
        <v>#VALUE!</v>
      </c>
      <c r="G41" s="721" t="e">
        <f>+IF(G40&lt;1, "N/A",'Book Income Statement'!H63/G40)</f>
        <v>#VALUE!</v>
      </c>
      <c r="H41" s="721" t="e">
        <f>+IF(H40&lt;1, "N/A",'Book Income Statement'!I63/H40)</f>
        <v>#VALUE!</v>
      </c>
      <c r="I41" s="721" t="e">
        <f>+IF(I40&lt;1, "N/A",'Book Income Statement'!J63/I40)</f>
        <v>#VALUE!</v>
      </c>
      <c r="J41" s="721" t="e">
        <f>+IF(J40&lt;1, "N/A",'Book Income Statement'!K63/J40)</f>
        <v>#VALUE!</v>
      </c>
      <c r="K41" s="721" t="e">
        <f>+IF(K40&lt;1, "N/A",'Book Income Statement'!L63/K40)</f>
        <v>#VALUE!</v>
      </c>
      <c r="L41" s="721" t="e">
        <f>+IF(L40&lt;1, "N/A",'Book Income Statement'!M63/L40)</f>
        <v>#VALUE!</v>
      </c>
      <c r="M41" s="721" t="e">
        <f>+IF(M40&lt;1, "N/A",'Book Income Statement'!N63/M40)</f>
        <v>#VALUE!</v>
      </c>
      <c r="N41" s="721" t="e">
        <f>+IF(N40&lt;1, "N/A",'Book Income Statement'!O63/N40)</f>
        <v>#VALUE!</v>
      </c>
      <c r="O41" s="721" t="e">
        <f>+IF(O40&lt;1, "N/A",'Book Income Statement'!P63/O40)</f>
        <v>#VALUE!</v>
      </c>
      <c r="P41" s="721" t="e">
        <f>+IF(P40&lt;1, "N/A",'Book Income Statement'!Q63/P40)</f>
        <v>#VALUE!</v>
      </c>
      <c r="Q41" s="721" t="e">
        <f>+IF(Q40&lt;1, "N/A",'Book Income Statement'!R63/Q40)</f>
        <v>#VALUE!</v>
      </c>
      <c r="R41" s="721" t="e">
        <f>+IF(R40&lt;1, "N/A",'Book Income Statement'!S63/R40)</f>
        <v>#VALUE!</v>
      </c>
      <c r="S41" s="721" t="e">
        <f>+IF(S40&lt;1, "N/A",'Book Income Statement'!T63/S40)</f>
        <v>#VALUE!</v>
      </c>
      <c r="T41" s="721" t="e">
        <f>+IF(T40&lt;1, "N/A",'Book Income Statement'!U63/T40)</f>
        <v>#VALUE!</v>
      </c>
      <c r="U41" s="721" t="e">
        <f>+IF(U40&lt;1, "N/A",'Book Income Statement'!V63/U40)</f>
        <v>#VALUE!</v>
      </c>
      <c r="V41" s="721" t="e">
        <f>+IF(V40&lt;1, "N/A",'Book Income Statement'!W63/V40)</f>
        <v>#VALUE!</v>
      </c>
      <c r="W41" s="721" t="e">
        <f>+IF(W40&lt;1, "N/A",'Book Income Statement'!X63/W40)</f>
        <v>#VALUE!</v>
      </c>
      <c r="X41" s="721" t="e">
        <f>+IF(X40&lt;1, "N/A",'Book Income Statement'!Y63/X40)</f>
        <v>#VALUE!</v>
      </c>
      <c r="Y41" s="721" t="e">
        <f>+IF(Y40&lt;1, "N/A",'Book Income Statement'!Z63/Y40)</f>
        <v>#VALUE!</v>
      </c>
      <c r="Z41" s="721" t="e">
        <f>+IF(Z40&lt;1, "N/A",'Book Income Statement'!AA63/Z40)</f>
        <v>#VALUE!</v>
      </c>
      <c r="AA41" s="722" t="e">
        <f>+IF(AA40&lt;1, "N/A",'Book Income Statement'!AB63/AA40)</f>
        <v>#VALUE!</v>
      </c>
      <c r="AB41" s="72"/>
      <c r="AC41" s="72"/>
    </row>
    <row r="42" spans="1:29" s="41" customFormat="1" ht="12.6" customHeight="1">
      <c r="A42" s="589" t="s">
        <v>109</v>
      </c>
      <c r="B42" s="724"/>
      <c r="C42" s="725" t="e">
        <f>IF($B$39&gt;0,(($B$39-IF('Project Assumtions'!$I$34="Normal",SUM('Debt Amortization'!$E$44:E44),0))/$B$39),0)</f>
        <v>#VALUE!</v>
      </c>
      <c r="D42" s="725" t="e">
        <f>IF($B$39&gt;0,(($B$39-IF('Project Assumtions'!$I$34="Normal",SUM('Debt Amortization'!$E$44:F44),0))/$B$39),0)</f>
        <v>#VALUE!</v>
      </c>
      <c r="E42" s="725" t="e">
        <f>IF($B$39&gt;0,(($B$39-IF('Project Assumtions'!$I$34="Normal",SUM('Debt Amortization'!$E$44:G44),0))/$B$39),0)</f>
        <v>#VALUE!</v>
      </c>
      <c r="F42" s="725" t="e">
        <f>IF($B$39&gt;0,(($B$39-IF('Project Assumtions'!$I$34="Normal",SUM('Debt Amortization'!$E$44:H44),0))/$B$39),0)</f>
        <v>#VALUE!</v>
      </c>
      <c r="G42" s="725" t="e">
        <f>IF($B$39&gt;0,(($B$39-IF('Project Assumtions'!$I$34="Normal",SUM('Debt Amortization'!$E$44:I44),0))/$B$39),0)</f>
        <v>#VALUE!</v>
      </c>
      <c r="H42" s="725" t="e">
        <f>IF($B$39&gt;0,(($B$39-IF('Project Assumtions'!$I$34="Normal",SUM('Debt Amortization'!$E$44:J44),0))/$B$39),0)</f>
        <v>#VALUE!</v>
      </c>
      <c r="I42" s="725" t="e">
        <f>IF($B$39&gt;0,(($B$39-IF('Project Assumtions'!$I$34="Normal",SUM('Debt Amortization'!$E$44:K44),0))/$B$39),0)</f>
        <v>#VALUE!</v>
      </c>
      <c r="J42" s="725" t="e">
        <f>IF($B$39&gt;0,(($B$39-IF('Project Assumtions'!$I$34="Normal",SUM('Debt Amortization'!$E$44:L44),0))/$B$39),0)</f>
        <v>#VALUE!</v>
      </c>
      <c r="K42" s="725" t="e">
        <f>IF($B$39&gt;0,(($B$39-IF('Project Assumtions'!$I$34="Normal",SUM('Debt Amortization'!$E$44:M44),0))/$B$39),0)</f>
        <v>#VALUE!</v>
      </c>
      <c r="L42" s="725" t="e">
        <f>IF($B$39&gt;0,(($B$39-IF('Project Assumtions'!$I$34="Normal",SUM('Debt Amortization'!$E$44:N44),0))/$B$39),0)</f>
        <v>#VALUE!</v>
      </c>
      <c r="M42" s="725" t="e">
        <f>IF($B$39&gt;0,(($B$39-IF('Project Assumtions'!$I$34="Normal",SUM('Debt Amortization'!$E$44:O44),0))/$B$39),0)</f>
        <v>#VALUE!</v>
      </c>
      <c r="N42" s="725" t="e">
        <f>IF($B$39&gt;0,(($B$39-IF('Project Assumtions'!$I$34="Normal",SUM('Debt Amortization'!$E$44:P44),0))/$B$39),0)</f>
        <v>#VALUE!</v>
      </c>
      <c r="O42" s="725" t="e">
        <f>IF($B$39&gt;0,(($B$39-IF('Project Assumtions'!$I$34="Normal",SUM('Debt Amortization'!$E$44:Q44),0))/$B$39),0)</f>
        <v>#VALUE!</v>
      </c>
      <c r="P42" s="725" t="e">
        <f>IF($B$39&gt;0,(($B$39-IF('Project Assumtions'!$I$34="Normal",SUM('Debt Amortization'!$E$44:R44),0))/$B$39),0)</f>
        <v>#VALUE!</v>
      </c>
      <c r="Q42" s="725" t="e">
        <f>IF($B$39&gt;0,(($B$39-IF('Project Assumtions'!$I$34="Normal",SUM('Debt Amortization'!$E$44:S44),0))/$B$39),0)</f>
        <v>#VALUE!</v>
      </c>
      <c r="R42" s="725" t="e">
        <f>IF($B$39&gt;0,(($B$39-IF('Project Assumtions'!$I$34="Normal",SUM('Debt Amortization'!$E$44:T44),0))/$B$39),0)</f>
        <v>#VALUE!</v>
      </c>
      <c r="S42" s="725" t="e">
        <f>IF($B$39&gt;0,(($B$39-IF('Project Assumtions'!$I$34="Normal",SUM('Debt Amortization'!$E$44:U44),0))/$B$39),0)</f>
        <v>#VALUE!</v>
      </c>
      <c r="T42" s="725" t="e">
        <f>IF($B$39&gt;0,(($B$39-IF('Project Assumtions'!$I$34="Normal",SUM('Debt Amortization'!$E$44:V44),0))/$B$39),0)</f>
        <v>#VALUE!</v>
      </c>
      <c r="U42" s="725" t="e">
        <f>IF($B$39&gt;0,(($B$39-IF('Project Assumtions'!$I$34="Normal",SUM('Debt Amortization'!$E$44:W44),0))/$B$39),0)</f>
        <v>#VALUE!</v>
      </c>
      <c r="V42" s="725" t="e">
        <f>IF($B$39&gt;0,(($B$39-IF('Project Assumtions'!$I$34="Normal",SUM('Debt Amortization'!$E$44:X44),0))/$B$39),0)</f>
        <v>#VALUE!</v>
      </c>
      <c r="W42" s="725" t="e">
        <f>IF($B$39&gt;0,(($B$39-IF('Project Assumtions'!$I$34="Normal",SUM('Debt Amortization'!$E$44:Y44),0))/$B$39),0)</f>
        <v>#VALUE!</v>
      </c>
      <c r="X42" s="725" t="e">
        <f>IF($B$39&gt;0,(($B$39-IF('Project Assumtions'!$I$34="Normal",SUM('Debt Amortization'!$E$44:Z44),0))/$B$39),0)</f>
        <v>#VALUE!</v>
      </c>
      <c r="Y42" s="725" t="e">
        <f>IF($B$39&gt;0,(($B$39-IF('Project Assumtions'!$I$34="Normal",SUM('Debt Amortization'!$E$44:AA44),0))/$B$39),0)</f>
        <v>#VALUE!</v>
      </c>
      <c r="Z42" s="725" t="e">
        <f>IF($B$39&gt;0,(($B$39-IF('Project Assumtions'!$I$34="Normal",SUM('Debt Amortization'!$E$44:AB44),0))/$B$39),0)</f>
        <v>#VALUE!</v>
      </c>
      <c r="AA42" s="726" t="e">
        <f>IF($B$39&gt;0,(($B$39-IF('Project Assumtions'!$I$34="Normal",SUM('Debt Amortization'!$E$44:AC44),0))/$B$39),0)</f>
        <v>#VALUE!</v>
      </c>
      <c r="AB42" s="72"/>
      <c r="AC42" s="72"/>
    </row>
    <row r="43" spans="1:29" ht="12.6" customHeight="1"/>
    <row r="44" spans="1:29" ht="12.6" customHeight="1"/>
    <row r="45" spans="1:29" ht="12.6" customHeight="1"/>
    <row r="46" spans="1:29" ht="12.6" customHeight="1"/>
    <row r="47" spans="1:29" ht="12.6" customHeight="1"/>
    <row r="48" spans="1:29" ht="12.6" customHeight="1"/>
    <row r="49" ht="12.6" customHeight="1"/>
    <row r="87" spans="1:29" s="41" customFormat="1" ht="12.6" customHeight="1">
      <c r="A87" s="72"/>
      <c r="B87" s="72"/>
      <c r="C87" s="181"/>
      <c r="D87" s="181"/>
      <c r="E87" s="181"/>
      <c r="F87" s="181"/>
      <c r="G87" s="181"/>
      <c r="H87" s="181"/>
      <c r="I87" s="181"/>
      <c r="J87" s="181"/>
      <c r="K87" s="181"/>
      <c r="L87" s="181"/>
      <c r="M87" s="181"/>
      <c r="N87" s="181"/>
      <c r="O87" s="181"/>
      <c r="P87" s="181"/>
      <c r="Q87" s="181"/>
      <c r="R87" s="181"/>
      <c r="S87" s="181"/>
      <c r="T87" s="181"/>
      <c r="U87" s="181"/>
      <c r="V87" s="181"/>
      <c r="W87" s="181"/>
      <c r="X87" s="181"/>
      <c r="Y87" s="181"/>
      <c r="Z87" s="181"/>
      <c r="AA87" s="181"/>
      <c r="AB87" s="72"/>
      <c r="AC87" s="72"/>
    </row>
    <row r="88" spans="1:29" s="41" customFormat="1" ht="12.6" customHeight="1">
      <c r="A88" s="72"/>
      <c r="B88" s="72"/>
      <c r="C88" s="197"/>
      <c r="D88" s="197"/>
      <c r="E88" s="197"/>
      <c r="F88" s="197"/>
      <c r="G88" s="197"/>
      <c r="H88" s="197"/>
      <c r="I88" s="197"/>
      <c r="J88" s="197"/>
      <c r="K88" s="197"/>
      <c r="L88" s="197"/>
      <c r="M88" s="197"/>
      <c r="N88" s="197"/>
      <c r="O88" s="197"/>
      <c r="P88" s="197"/>
      <c r="Q88" s="197"/>
      <c r="R88" s="197"/>
      <c r="S88" s="197"/>
      <c r="T88" s="197"/>
      <c r="U88" s="197"/>
      <c r="V88" s="197"/>
      <c r="W88" s="197"/>
      <c r="X88" s="197"/>
      <c r="Y88" s="197"/>
      <c r="Z88" s="197"/>
      <c r="AA88" s="197"/>
      <c r="AB88" s="72"/>
      <c r="AC88" s="72"/>
    </row>
    <row r="89" spans="1:29" s="41" customFormat="1" ht="12.6" customHeight="1">
      <c r="A89" s="72"/>
      <c r="B89" s="72"/>
      <c r="C89" s="181"/>
      <c r="D89" s="181"/>
      <c r="E89" s="181"/>
      <c r="F89" s="181"/>
      <c r="G89" s="181"/>
      <c r="H89" s="181"/>
      <c r="I89" s="181"/>
      <c r="J89" s="181"/>
      <c r="K89" s="181"/>
      <c r="L89" s="181"/>
      <c r="M89" s="181"/>
      <c r="N89" s="181"/>
      <c r="O89" s="181"/>
      <c r="P89" s="181"/>
      <c r="Q89" s="181"/>
      <c r="R89" s="181"/>
      <c r="S89" s="181"/>
      <c r="T89" s="181"/>
      <c r="U89" s="181"/>
      <c r="V89" s="181"/>
      <c r="W89" s="181"/>
      <c r="X89" s="181"/>
      <c r="Y89" s="181"/>
      <c r="Z89" s="181"/>
      <c r="AA89" s="181"/>
      <c r="AB89" s="72"/>
      <c r="AC89" s="72"/>
    </row>
    <row r="90" spans="1:29" s="41" customFormat="1" ht="12.6" customHeight="1">
      <c r="A90" s="72"/>
      <c r="B90" s="72"/>
      <c r="C90" s="197"/>
      <c r="D90" s="197"/>
      <c r="E90" s="197"/>
      <c r="F90" s="197"/>
      <c r="G90" s="197"/>
      <c r="H90" s="197"/>
      <c r="I90" s="197"/>
      <c r="J90" s="197"/>
      <c r="K90" s="197"/>
      <c r="L90" s="197"/>
      <c r="M90" s="197"/>
      <c r="N90" s="197"/>
      <c r="O90" s="197"/>
      <c r="P90" s="197"/>
      <c r="Q90" s="197"/>
      <c r="R90" s="197"/>
      <c r="S90" s="197"/>
      <c r="T90" s="197"/>
      <c r="U90" s="197"/>
      <c r="V90" s="197"/>
      <c r="W90" s="197"/>
      <c r="X90" s="197"/>
      <c r="Y90" s="197"/>
      <c r="Z90" s="197"/>
      <c r="AA90" s="197"/>
      <c r="AB90" s="72"/>
      <c r="AC90" s="72"/>
    </row>
    <row r="91" spans="1:29">
      <c r="C91" s="198"/>
      <c r="D91" s="198"/>
      <c r="E91" s="198"/>
      <c r="F91" s="198"/>
      <c r="G91" s="198"/>
      <c r="H91" s="198"/>
      <c r="I91" s="198"/>
      <c r="J91" s="198"/>
      <c r="K91" s="198"/>
      <c r="L91" s="198"/>
      <c r="M91" s="198"/>
      <c r="N91" s="198"/>
      <c r="O91" s="198"/>
      <c r="P91" s="198"/>
      <c r="Q91" s="198"/>
      <c r="R91" s="198"/>
      <c r="S91" s="198"/>
      <c r="T91" s="198"/>
      <c r="U91" s="198"/>
      <c r="V91" s="198"/>
      <c r="W91" s="198"/>
      <c r="X91" s="198"/>
      <c r="Y91" s="198"/>
      <c r="Z91" s="198"/>
      <c r="AA91" s="198"/>
    </row>
    <row r="93" spans="1:29">
      <c r="C93" s="198"/>
      <c r="D93" s="198"/>
      <c r="E93" s="198"/>
      <c r="F93" s="198"/>
      <c r="G93" s="198"/>
      <c r="H93" s="198"/>
      <c r="I93" s="198"/>
      <c r="J93" s="198"/>
      <c r="K93" s="198"/>
      <c r="L93" s="198"/>
      <c r="M93" s="198"/>
      <c r="N93" s="198"/>
      <c r="O93" s="198"/>
      <c r="P93" s="198"/>
      <c r="Q93" s="198"/>
      <c r="R93" s="198"/>
      <c r="S93" s="198"/>
      <c r="T93" s="198"/>
      <c r="U93" s="198"/>
      <c r="V93" s="198"/>
      <c r="W93" s="198"/>
      <c r="X93" s="198"/>
      <c r="Y93" s="198"/>
      <c r="Z93" s="198"/>
      <c r="AA93" s="198"/>
    </row>
    <row r="96" spans="1:29" ht="12.6" customHeight="1"/>
    <row r="97" ht="12.6" customHeight="1"/>
    <row r="131" spans="1:229" s="41" customFormat="1" ht="12.6" customHeight="1">
      <c r="A131" s="72"/>
      <c r="B131" s="72"/>
      <c r="C131" s="199"/>
      <c r="D131" s="199"/>
      <c r="E131" s="199"/>
      <c r="F131" s="199"/>
      <c r="G131" s="199"/>
      <c r="H131" s="199"/>
      <c r="I131" s="199"/>
      <c r="J131" s="199"/>
      <c r="K131" s="199"/>
      <c r="L131" s="199"/>
      <c r="M131" s="199"/>
      <c r="N131" s="199"/>
      <c r="O131" s="199"/>
      <c r="P131" s="199"/>
      <c r="Q131" s="199"/>
      <c r="R131" s="199"/>
      <c r="S131" s="199"/>
      <c r="T131" s="199"/>
      <c r="U131" s="199"/>
      <c r="V131" s="199"/>
      <c r="W131" s="199"/>
      <c r="X131" s="199"/>
      <c r="Y131" s="199"/>
      <c r="Z131" s="199"/>
      <c r="AA131" s="199"/>
      <c r="AB131" s="72"/>
      <c r="AC131" s="72"/>
    </row>
    <row r="132" spans="1:229" s="41" customFormat="1" ht="12.6" customHeight="1">
      <c r="A132" s="72"/>
      <c r="B132" s="72"/>
      <c r="C132" s="72"/>
      <c r="D132" s="72"/>
      <c r="E132" s="72"/>
      <c r="F132" s="72"/>
      <c r="G132" s="72"/>
      <c r="H132" s="72"/>
      <c r="I132" s="72"/>
      <c r="J132" s="72"/>
      <c r="K132" s="72"/>
      <c r="L132" s="72"/>
      <c r="M132" s="72"/>
      <c r="N132" s="72"/>
      <c r="O132" s="72"/>
      <c r="P132" s="72"/>
      <c r="Q132" s="72"/>
      <c r="R132" s="72"/>
      <c r="S132" s="72"/>
      <c r="T132" s="72"/>
      <c r="U132" s="72"/>
      <c r="V132" s="72"/>
      <c r="W132" s="72"/>
      <c r="X132" s="72"/>
      <c r="Y132" s="72"/>
      <c r="Z132" s="72"/>
      <c r="AA132" s="72"/>
      <c r="AB132" s="72"/>
      <c r="AC132" s="72"/>
    </row>
    <row r="133" spans="1:229" s="41" customFormat="1" ht="12.6" customHeight="1">
      <c r="A133" s="72"/>
      <c r="B133" s="72"/>
      <c r="C133" s="72"/>
      <c r="D133" s="72"/>
      <c r="E133" s="72"/>
      <c r="F133" s="72"/>
      <c r="G133" s="72"/>
      <c r="H133" s="72"/>
      <c r="I133" s="72"/>
      <c r="J133" s="72"/>
      <c r="K133" s="72"/>
      <c r="L133" s="72"/>
      <c r="M133" s="72"/>
      <c r="N133" s="72"/>
      <c r="O133" s="72"/>
      <c r="P133" s="72"/>
      <c r="Q133" s="72"/>
      <c r="R133" s="72"/>
      <c r="S133" s="72"/>
      <c r="T133" s="72"/>
      <c r="U133" s="72"/>
      <c r="V133" s="72"/>
      <c r="W133" s="72"/>
      <c r="X133" s="72"/>
      <c r="Y133" s="72"/>
      <c r="Z133" s="72"/>
      <c r="AA133" s="72"/>
      <c r="AB133" s="72"/>
      <c r="AC133" s="72"/>
    </row>
    <row r="134" spans="1:229" s="44" customFormat="1" ht="15.6">
      <c r="A134" s="200"/>
      <c r="B134" s="79"/>
      <c r="C134" s="79"/>
      <c r="D134" s="79"/>
      <c r="E134" s="79"/>
      <c r="F134" s="79"/>
      <c r="G134" s="79"/>
      <c r="H134" s="79"/>
      <c r="I134" s="79"/>
      <c r="J134" s="79"/>
      <c r="K134" s="79"/>
      <c r="L134" s="79"/>
      <c r="M134" s="79"/>
      <c r="N134" s="79"/>
      <c r="O134" s="79"/>
      <c r="P134" s="79"/>
      <c r="Q134" s="79"/>
      <c r="R134" s="79"/>
      <c r="S134" s="79"/>
      <c r="T134" s="79"/>
      <c r="U134" s="79"/>
      <c r="V134" s="79"/>
      <c r="W134" s="79"/>
      <c r="X134" s="79"/>
      <c r="Y134" s="79"/>
      <c r="Z134" s="79"/>
      <c r="AA134" s="79"/>
      <c r="AB134" s="79"/>
      <c r="AC134" s="79"/>
    </row>
    <row r="135" spans="1:229" s="41" customFormat="1" ht="12.6" customHeight="1">
      <c r="A135" s="72"/>
      <c r="B135" s="72"/>
      <c r="C135" s="197"/>
      <c r="D135" s="197"/>
      <c r="E135" s="197"/>
      <c r="F135" s="197"/>
      <c r="G135" s="197"/>
      <c r="H135" s="197"/>
      <c r="I135" s="197"/>
      <c r="J135" s="197"/>
      <c r="K135" s="197"/>
      <c r="L135" s="197"/>
      <c r="M135" s="197"/>
      <c r="N135" s="197"/>
      <c r="O135" s="197"/>
      <c r="P135" s="197"/>
      <c r="Q135" s="197"/>
      <c r="R135" s="197"/>
      <c r="S135" s="197"/>
      <c r="T135" s="197"/>
      <c r="U135" s="197"/>
      <c r="V135" s="197"/>
      <c r="W135" s="197"/>
      <c r="X135" s="197"/>
      <c r="Y135" s="197"/>
      <c r="Z135" s="197"/>
      <c r="AA135" s="197"/>
      <c r="AB135" s="72"/>
      <c r="AC135" s="72"/>
    </row>
    <row r="136" spans="1:229" s="41" customFormat="1" ht="12.6" customHeight="1">
      <c r="A136" s="72"/>
      <c r="B136" s="72"/>
      <c r="C136" s="197"/>
      <c r="D136" s="197"/>
      <c r="E136" s="197"/>
      <c r="F136" s="197"/>
      <c r="G136" s="197"/>
      <c r="H136" s="197"/>
      <c r="I136" s="197"/>
      <c r="J136" s="197"/>
      <c r="K136" s="197"/>
      <c r="L136" s="197"/>
      <c r="M136" s="197"/>
      <c r="N136" s="197"/>
      <c r="O136" s="197"/>
      <c r="P136" s="197"/>
      <c r="Q136" s="197"/>
      <c r="R136" s="197"/>
      <c r="S136" s="197"/>
      <c r="T136" s="197"/>
      <c r="U136" s="197"/>
      <c r="V136" s="197"/>
      <c r="W136" s="197"/>
      <c r="X136" s="197"/>
      <c r="Y136" s="197"/>
      <c r="Z136" s="197"/>
      <c r="AA136" s="197"/>
      <c r="AB136" s="72"/>
      <c r="AC136" s="72"/>
    </row>
    <row r="137" spans="1:229" s="41" customFormat="1" ht="12.6" customHeight="1">
      <c r="A137" s="72"/>
      <c r="B137" s="72"/>
      <c r="C137" s="72"/>
      <c r="D137" s="72"/>
      <c r="E137" s="72"/>
      <c r="F137" s="72"/>
      <c r="G137" s="72"/>
      <c r="H137" s="72"/>
      <c r="I137" s="72"/>
      <c r="J137" s="72"/>
      <c r="K137" s="72"/>
      <c r="L137" s="72"/>
      <c r="M137" s="72"/>
      <c r="N137" s="72"/>
      <c r="O137" s="72"/>
      <c r="P137" s="72"/>
      <c r="Q137" s="72"/>
      <c r="R137" s="72"/>
      <c r="S137" s="72"/>
      <c r="T137" s="72"/>
      <c r="U137" s="72"/>
      <c r="V137" s="72"/>
      <c r="W137" s="72"/>
      <c r="X137" s="72"/>
      <c r="Y137" s="72"/>
      <c r="Z137" s="72"/>
      <c r="AA137" s="72"/>
      <c r="AB137" s="72"/>
      <c r="AC137" s="72"/>
    </row>
    <row r="138" spans="1:229" s="41" customFormat="1" ht="12.6" customHeight="1">
      <c r="A138" s="72"/>
      <c r="B138" s="72"/>
      <c r="C138" s="72"/>
      <c r="D138" s="72"/>
      <c r="E138" s="72"/>
      <c r="F138" s="72"/>
      <c r="G138" s="72"/>
      <c r="H138" s="72"/>
      <c r="I138" s="72"/>
      <c r="J138" s="72"/>
      <c r="K138" s="72"/>
      <c r="L138" s="72"/>
      <c r="M138" s="72"/>
      <c r="N138" s="72"/>
      <c r="O138" s="72"/>
      <c r="P138" s="72"/>
      <c r="Q138" s="72"/>
      <c r="R138" s="72"/>
      <c r="S138" s="72"/>
      <c r="T138" s="72"/>
      <c r="U138" s="72"/>
      <c r="V138" s="72"/>
      <c r="W138" s="72"/>
      <c r="X138" s="72"/>
      <c r="Y138" s="72"/>
      <c r="Z138" s="72"/>
      <c r="AA138" s="72"/>
      <c r="AB138" s="72"/>
      <c r="AC138" s="72"/>
    </row>
    <row r="139" spans="1:229" s="41" customFormat="1" ht="12.6" customHeight="1">
      <c r="A139" s="72"/>
      <c r="B139" s="72"/>
      <c r="C139" s="72"/>
      <c r="D139" s="72"/>
      <c r="E139" s="72"/>
      <c r="F139" s="72"/>
      <c r="G139" s="72"/>
      <c r="H139" s="72"/>
      <c r="I139" s="72"/>
      <c r="J139" s="72"/>
      <c r="K139" s="72"/>
      <c r="L139" s="72"/>
      <c r="M139" s="72"/>
      <c r="N139" s="72"/>
      <c r="O139" s="72"/>
      <c r="P139" s="72"/>
      <c r="Q139" s="72"/>
      <c r="R139" s="72"/>
      <c r="S139" s="72"/>
      <c r="T139" s="72"/>
      <c r="U139" s="72"/>
      <c r="V139" s="72"/>
      <c r="W139" s="72"/>
      <c r="X139" s="72"/>
      <c r="Y139" s="72"/>
      <c r="Z139" s="72"/>
      <c r="AA139" s="72"/>
      <c r="AB139" s="72"/>
      <c r="AC139" s="72"/>
    </row>
    <row r="140" spans="1:229" s="3" customFormat="1" ht="12.6" customHeight="1">
      <c r="A140" s="185"/>
      <c r="B140" s="85"/>
      <c r="C140" s="147"/>
      <c r="D140" s="189"/>
      <c r="E140" s="189"/>
      <c r="F140" s="189"/>
      <c r="G140" s="189"/>
      <c r="H140" s="189"/>
      <c r="I140" s="189"/>
      <c r="J140" s="189"/>
      <c r="K140" s="189"/>
      <c r="L140" s="189"/>
      <c r="M140" s="189"/>
      <c r="N140" s="189"/>
      <c r="O140" s="189"/>
      <c r="P140" s="189"/>
      <c r="Q140" s="189"/>
      <c r="R140" s="189"/>
      <c r="S140" s="189"/>
      <c r="T140" s="189"/>
      <c r="U140" s="189"/>
      <c r="V140" s="189"/>
      <c r="W140" s="189"/>
      <c r="X140" s="189"/>
      <c r="Y140" s="189"/>
      <c r="Z140" s="189"/>
      <c r="AA140" s="189"/>
      <c r="AB140" s="189"/>
      <c r="AC140" s="85"/>
    </row>
    <row r="141" spans="1:229" s="3" customFormat="1" ht="12.6" customHeight="1">
      <c r="A141" s="160"/>
      <c r="B141" s="86"/>
      <c r="C141" s="147"/>
      <c r="D141" s="147"/>
      <c r="E141" s="147"/>
      <c r="F141" s="147"/>
      <c r="G141" s="147"/>
      <c r="H141" s="147"/>
      <c r="I141" s="147"/>
      <c r="J141" s="147"/>
      <c r="K141" s="147"/>
      <c r="L141" s="147"/>
      <c r="M141" s="147"/>
      <c r="N141" s="147"/>
      <c r="O141" s="147"/>
      <c r="P141" s="147"/>
      <c r="Q141" s="147"/>
      <c r="R141" s="147"/>
      <c r="S141" s="147"/>
      <c r="T141" s="147"/>
      <c r="U141" s="147"/>
      <c r="V141" s="147"/>
      <c r="W141" s="147"/>
      <c r="X141" s="147"/>
      <c r="Y141" s="147"/>
      <c r="Z141" s="147"/>
      <c r="AA141" s="147"/>
      <c r="AB141" s="147"/>
      <c r="AC141" s="147"/>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5"/>
      <c r="BX141" s="5"/>
      <c r="BY141" s="5"/>
      <c r="BZ141" s="5"/>
      <c r="CA141" s="5"/>
      <c r="CB141" s="5"/>
      <c r="CC141" s="5"/>
      <c r="CD141" s="5"/>
      <c r="CE141" s="5"/>
      <c r="CF141" s="5"/>
      <c r="CG141" s="5"/>
      <c r="CH141" s="5"/>
      <c r="CI141" s="5"/>
      <c r="CJ141" s="5"/>
      <c r="CK141" s="5"/>
      <c r="CL141" s="5"/>
      <c r="CM141" s="5"/>
      <c r="CN141" s="5"/>
      <c r="CO141" s="5"/>
      <c r="CP141" s="5"/>
      <c r="CQ141" s="5"/>
      <c r="CR141" s="5"/>
      <c r="CS141" s="5"/>
      <c r="CT141" s="5"/>
      <c r="CU141" s="5"/>
      <c r="CV141" s="5"/>
      <c r="CW141" s="5"/>
      <c r="CX141" s="5"/>
      <c r="CY141" s="5"/>
      <c r="CZ141" s="5"/>
      <c r="DA141" s="5"/>
      <c r="DB141" s="5"/>
      <c r="DC141" s="5"/>
      <c r="DD141" s="5"/>
      <c r="DE141" s="5"/>
      <c r="DF141" s="5"/>
      <c r="DG141" s="5"/>
      <c r="DH141" s="5"/>
      <c r="DI141" s="5"/>
      <c r="DJ141" s="5"/>
      <c r="DK141" s="5"/>
      <c r="DL141" s="5"/>
      <c r="DM141" s="5"/>
      <c r="DN141" s="5"/>
      <c r="DO141" s="5"/>
      <c r="DP141" s="5"/>
      <c r="DQ141" s="5"/>
      <c r="DR141" s="5"/>
      <c r="DS141" s="5"/>
      <c r="DT141" s="5"/>
      <c r="DU141" s="5"/>
      <c r="DV141" s="5"/>
      <c r="DW141" s="5"/>
      <c r="DX141" s="5"/>
      <c r="DY141" s="5"/>
      <c r="DZ141" s="5"/>
      <c r="EA141" s="5"/>
      <c r="EB141" s="5"/>
      <c r="EC141" s="5"/>
      <c r="ED141" s="5"/>
      <c r="EE141" s="5"/>
      <c r="EF141" s="5"/>
      <c r="EG141" s="5"/>
      <c r="EH141" s="5"/>
      <c r="EI141" s="5"/>
      <c r="EJ141" s="5"/>
      <c r="EK141" s="5"/>
      <c r="EL141" s="5"/>
      <c r="EM141" s="5"/>
      <c r="EN141" s="5"/>
      <c r="EO141" s="5"/>
      <c r="EP141" s="5"/>
      <c r="EQ141" s="5"/>
      <c r="ER141" s="5"/>
      <c r="ES141" s="5"/>
      <c r="ET141" s="5"/>
      <c r="EU141" s="5"/>
      <c r="EV141" s="5"/>
      <c r="EW141" s="5"/>
      <c r="EX141" s="5"/>
      <c r="EY141" s="5"/>
      <c r="EZ141" s="5"/>
      <c r="FA141" s="5"/>
      <c r="FB141" s="5"/>
      <c r="FC141" s="5"/>
      <c r="FD141" s="5"/>
      <c r="FE141" s="5"/>
      <c r="FF141" s="5"/>
      <c r="FG141" s="5"/>
      <c r="FH141" s="5"/>
      <c r="FI141" s="5"/>
      <c r="FJ141" s="5"/>
      <c r="FK141" s="5"/>
      <c r="FL141" s="5"/>
      <c r="FM141" s="5"/>
      <c r="FN141" s="5"/>
      <c r="FO141" s="5"/>
      <c r="FP141" s="5"/>
      <c r="FQ141" s="5"/>
      <c r="FR141" s="5"/>
      <c r="FS141" s="5"/>
      <c r="FT141" s="5"/>
      <c r="FU141" s="5"/>
      <c r="FV141" s="5"/>
      <c r="FW141" s="5"/>
      <c r="FX141" s="5"/>
      <c r="FY141" s="5"/>
      <c r="FZ141" s="5"/>
      <c r="GA141" s="5"/>
      <c r="GB141" s="5"/>
      <c r="GC141" s="5"/>
      <c r="GD141" s="5"/>
      <c r="GE141" s="5"/>
      <c r="GF141" s="5"/>
      <c r="GG141" s="5"/>
      <c r="GH141" s="5"/>
      <c r="GI141" s="5"/>
      <c r="GJ141" s="5"/>
      <c r="GK141" s="5"/>
      <c r="GL141" s="5"/>
      <c r="GM141" s="5"/>
      <c r="GN141" s="5"/>
      <c r="GO141" s="5"/>
      <c r="GP141" s="5"/>
      <c r="GQ141" s="5"/>
      <c r="GR141" s="5"/>
      <c r="GS141" s="5"/>
      <c r="GT141" s="5"/>
      <c r="GU141" s="5"/>
      <c r="GV141" s="5"/>
      <c r="GW141" s="5"/>
      <c r="GX141" s="5"/>
      <c r="GY141" s="5"/>
      <c r="GZ141" s="5"/>
      <c r="HA141" s="5"/>
      <c r="HB141" s="5"/>
      <c r="HC141" s="5"/>
      <c r="HD141" s="5"/>
      <c r="HE141" s="5"/>
      <c r="HF141" s="5"/>
      <c r="HG141" s="5"/>
      <c r="HH141" s="5"/>
      <c r="HI141" s="5"/>
      <c r="HJ141" s="5"/>
      <c r="HK141" s="5"/>
      <c r="HL141" s="5"/>
      <c r="HM141" s="5"/>
      <c r="HN141" s="5"/>
      <c r="HO141" s="5"/>
      <c r="HP141" s="5"/>
      <c r="HQ141" s="5"/>
      <c r="HR141" s="5"/>
      <c r="HS141" s="5"/>
      <c r="HT141" s="5"/>
      <c r="HU141" s="5"/>
    </row>
    <row r="142" spans="1:229" s="5" customFormat="1" ht="12.6" customHeight="1">
      <c r="A142" s="160"/>
      <c r="B142" s="86"/>
      <c r="C142" s="201"/>
      <c r="D142" s="201"/>
      <c r="E142" s="201"/>
      <c r="F142" s="201"/>
      <c r="G142" s="201"/>
      <c r="H142" s="201"/>
      <c r="I142" s="201"/>
      <c r="J142" s="201"/>
      <c r="K142" s="201"/>
      <c r="L142" s="201"/>
      <c r="M142" s="201"/>
      <c r="N142" s="201"/>
      <c r="O142" s="201"/>
      <c r="P142" s="201"/>
      <c r="Q142" s="201"/>
      <c r="R142" s="201"/>
      <c r="S142" s="201"/>
      <c r="T142" s="201"/>
      <c r="U142" s="201"/>
      <c r="V142" s="201"/>
      <c r="W142" s="201"/>
      <c r="X142" s="201"/>
      <c r="Y142" s="201"/>
      <c r="Z142" s="201"/>
      <c r="AA142" s="201"/>
      <c r="AB142" s="147"/>
      <c r="AC142" s="147"/>
    </row>
    <row r="143" spans="1:229" s="41" customFormat="1" ht="12.6" customHeight="1">
      <c r="A143" s="72"/>
      <c r="B143" s="72"/>
      <c r="C143" s="199"/>
      <c r="D143" s="199"/>
      <c r="E143" s="199"/>
      <c r="F143" s="199"/>
      <c r="G143" s="199"/>
      <c r="H143" s="199"/>
      <c r="I143" s="199"/>
      <c r="J143" s="199"/>
      <c r="K143" s="199"/>
      <c r="L143" s="199"/>
      <c r="M143" s="199"/>
      <c r="N143" s="199"/>
      <c r="O143" s="199"/>
      <c r="P143" s="199"/>
      <c r="Q143" s="199"/>
      <c r="R143" s="199"/>
      <c r="S143" s="199"/>
      <c r="T143" s="199"/>
      <c r="U143" s="199"/>
      <c r="V143" s="199"/>
      <c r="W143" s="199"/>
      <c r="X143" s="199"/>
      <c r="Y143" s="199"/>
      <c r="Z143" s="199"/>
      <c r="AA143" s="199"/>
      <c r="AB143" s="72"/>
      <c r="AC143" s="72"/>
    </row>
    <row r="144" spans="1:229" s="41" customFormat="1" ht="12.6" customHeight="1">
      <c r="A144" s="72"/>
      <c r="B144" s="72"/>
      <c r="C144" s="202"/>
      <c r="D144" s="202"/>
      <c r="E144" s="202"/>
      <c r="F144" s="202"/>
      <c r="G144" s="202"/>
      <c r="H144" s="202"/>
      <c r="I144" s="202"/>
      <c r="J144" s="202"/>
      <c r="K144" s="202"/>
      <c r="L144" s="202"/>
      <c r="M144" s="202"/>
      <c r="N144" s="202"/>
      <c r="O144" s="202"/>
      <c r="P144" s="202"/>
      <c r="Q144" s="202"/>
      <c r="R144" s="202"/>
      <c r="S144" s="202"/>
      <c r="T144" s="202"/>
      <c r="U144" s="202"/>
      <c r="V144" s="202"/>
      <c r="W144" s="202"/>
      <c r="X144" s="202"/>
      <c r="Y144" s="202"/>
      <c r="Z144" s="202"/>
      <c r="AA144" s="202"/>
      <c r="AB144" s="72"/>
      <c r="AC144" s="72"/>
    </row>
    <row r="145" spans="1:29" s="5" customFormat="1" ht="12.6" customHeight="1">
      <c r="A145" s="185"/>
      <c r="B145" s="147"/>
      <c r="C145" s="201"/>
      <c r="D145" s="201"/>
      <c r="E145" s="201"/>
      <c r="F145" s="201"/>
      <c r="G145" s="201"/>
      <c r="H145" s="201"/>
      <c r="I145" s="201"/>
      <c r="J145" s="201"/>
      <c r="K145" s="201"/>
      <c r="L145" s="201"/>
      <c r="M145" s="201"/>
      <c r="N145" s="201"/>
      <c r="O145" s="201"/>
      <c r="P145" s="201"/>
      <c r="Q145" s="201"/>
      <c r="R145" s="201"/>
      <c r="S145" s="201"/>
      <c r="T145" s="201"/>
      <c r="U145" s="201"/>
      <c r="V145" s="201"/>
      <c r="W145" s="201"/>
      <c r="X145" s="201"/>
      <c r="Y145" s="201"/>
      <c r="Z145" s="201"/>
      <c r="AA145" s="201"/>
      <c r="AB145" s="147"/>
      <c r="AC145" s="147"/>
    </row>
    <row r="146" spans="1:29" s="44" customFormat="1" ht="15.6">
      <c r="A146" s="200"/>
      <c r="B146" s="79"/>
      <c r="C146" s="79"/>
      <c r="D146" s="79"/>
      <c r="E146" s="79"/>
      <c r="F146" s="79"/>
      <c r="G146" s="79"/>
      <c r="H146" s="79"/>
      <c r="I146" s="79"/>
      <c r="J146" s="79"/>
      <c r="K146" s="79"/>
      <c r="L146" s="79"/>
      <c r="M146" s="79"/>
      <c r="N146" s="79"/>
      <c r="O146" s="79"/>
      <c r="P146" s="79"/>
      <c r="Q146" s="79"/>
      <c r="R146" s="79"/>
      <c r="S146" s="79"/>
      <c r="T146" s="79"/>
      <c r="U146" s="79"/>
      <c r="V146" s="79"/>
      <c r="W146" s="79"/>
      <c r="X146" s="79"/>
      <c r="Y146" s="79"/>
      <c r="Z146" s="79"/>
      <c r="AA146" s="79"/>
      <c r="AB146" s="79"/>
      <c r="AC146" s="79"/>
    </row>
    <row r="147" spans="1:29" s="41" customFormat="1" ht="12.6" customHeight="1">
      <c r="A147" s="72"/>
      <c r="B147" s="72"/>
      <c r="C147" s="199"/>
      <c r="D147" s="199"/>
      <c r="E147" s="199"/>
      <c r="F147" s="199"/>
      <c r="G147" s="199"/>
      <c r="H147" s="199"/>
      <c r="I147" s="199"/>
      <c r="J147" s="199"/>
      <c r="K147" s="199"/>
      <c r="L147" s="199"/>
      <c r="M147" s="199"/>
      <c r="N147" s="199"/>
      <c r="O147" s="199"/>
      <c r="P147" s="199"/>
      <c r="Q147" s="199"/>
      <c r="R147" s="199"/>
      <c r="S147" s="199"/>
      <c r="T147" s="199"/>
      <c r="U147" s="199"/>
      <c r="V147" s="199"/>
      <c r="W147" s="199"/>
      <c r="X147" s="199"/>
      <c r="Y147" s="199"/>
      <c r="Z147" s="199"/>
      <c r="AA147" s="199"/>
      <c r="AB147" s="72"/>
      <c r="AC147" s="72"/>
    </row>
    <row r="148" spans="1:29" s="41" customFormat="1" ht="12.6" customHeight="1">
      <c r="A148" s="72"/>
      <c r="B148" s="72"/>
      <c r="C148" s="199"/>
      <c r="D148" s="199"/>
      <c r="E148" s="199"/>
      <c r="F148" s="199"/>
      <c r="G148" s="199"/>
      <c r="H148" s="199"/>
      <c r="I148" s="199"/>
      <c r="J148" s="199"/>
      <c r="K148" s="199"/>
      <c r="L148" s="199"/>
      <c r="M148" s="199"/>
      <c r="N148" s="199"/>
      <c r="O148" s="199"/>
      <c r="P148" s="199"/>
      <c r="Q148" s="199"/>
      <c r="R148" s="199"/>
      <c r="S148" s="199"/>
      <c r="T148" s="199"/>
      <c r="U148" s="199"/>
      <c r="V148" s="199"/>
      <c r="W148" s="199"/>
      <c r="X148" s="199"/>
      <c r="Y148" s="199"/>
      <c r="Z148" s="199"/>
      <c r="AA148" s="199"/>
      <c r="AB148" s="72"/>
      <c r="AC148" s="72"/>
    </row>
    <row r="149" spans="1:29" s="41" customFormat="1" ht="12.6" customHeight="1">
      <c r="A149" s="72"/>
      <c r="B149" s="72"/>
      <c r="C149" s="199"/>
      <c r="D149" s="199"/>
      <c r="E149" s="199"/>
      <c r="F149" s="199"/>
      <c r="G149" s="199"/>
      <c r="H149" s="199"/>
      <c r="I149" s="199"/>
      <c r="J149" s="199"/>
      <c r="K149" s="199"/>
      <c r="L149" s="199"/>
      <c r="M149" s="199"/>
      <c r="N149" s="199"/>
      <c r="O149" s="199"/>
      <c r="P149" s="199"/>
      <c r="Q149" s="199"/>
      <c r="R149" s="199"/>
      <c r="S149" s="199"/>
      <c r="T149" s="199"/>
      <c r="U149" s="199"/>
      <c r="V149" s="199"/>
      <c r="W149" s="199"/>
      <c r="X149" s="199"/>
      <c r="Y149" s="199"/>
      <c r="Z149" s="199"/>
      <c r="AA149" s="199"/>
      <c r="AB149" s="72"/>
      <c r="AC149" s="72"/>
    </row>
    <row r="150" spans="1:29" s="44" customFormat="1" ht="15.6">
      <c r="A150" s="200"/>
      <c r="B150" s="79"/>
      <c r="C150" s="79"/>
      <c r="D150" s="79"/>
      <c r="E150" s="79"/>
      <c r="F150" s="79"/>
      <c r="G150" s="79"/>
      <c r="H150" s="79"/>
      <c r="I150" s="79"/>
      <c r="J150" s="79"/>
      <c r="K150" s="79"/>
      <c r="L150" s="79"/>
      <c r="M150" s="79"/>
      <c r="N150" s="79"/>
      <c r="O150" s="79"/>
      <c r="P150" s="79"/>
      <c r="Q150" s="79"/>
      <c r="R150" s="79"/>
      <c r="S150" s="79"/>
      <c r="T150" s="79"/>
      <c r="U150" s="79"/>
      <c r="V150" s="79"/>
      <c r="W150" s="79"/>
      <c r="X150" s="79"/>
      <c r="Y150" s="79"/>
      <c r="Z150" s="79"/>
      <c r="AA150" s="79"/>
      <c r="AB150" s="79"/>
      <c r="AC150" s="79"/>
    </row>
    <row r="151" spans="1:29" s="5" customFormat="1" ht="12.6" customHeight="1">
      <c r="A151" s="185"/>
      <c r="B151" s="147"/>
      <c r="C151" s="201"/>
      <c r="D151" s="201"/>
      <c r="E151" s="201"/>
      <c r="F151" s="201"/>
      <c r="G151" s="201"/>
      <c r="H151" s="201"/>
      <c r="I151" s="201"/>
      <c r="J151" s="201"/>
      <c r="K151" s="201"/>
      <c r="L151" s="201"/>
      <c r="M151" s="201"/>
      <c r="N151" s="201"/>
      <c r="O151" s="201"/>
      <c r="P151" s="201"/>
      <c r="Q151" s="201"/>
      <c r="R151" s="201"/>
      <c r="S151" s="201"/>
      <c r="T151" s="201"/>
      <c r="U151" s="201"/>
      <c r="V151" s="201"/>
      <c r="W151" s="201"/>
      <c r="X151" s="201"/>
      <c r="Y151" s="201"/>
      <c r="Z151" s="201"/>
      <c r="AA151" s="201"/>
      <c r="AB151" s="147"/>
      <c r="AC151" s="147"/>
    </row>
    <row r="152" spans="1:29" s="5" customFormat="1" ht="12.6" customHeight="1">
      <c r="A152" s="185"/>
      <c r="B152" s="147"/>
      <c r="C152" s="201"/>
      <c r="D152" s="201"/>
      <c r="E152" s="201"/>
      <c r="F152" s="201"/>
      <c r="G152" s="201"/>
      <c r="H152" s="201"/>
      <c r="I152" s="201"/>
      <c r="J152" s="201"/>
      <c r="K152" s="201"/>
      <c r="L152" s="201"/>
      <c r="M152" s="201"/>
      <c r="N152" s="201"/>
      <c r="O152" s="201"/>
      <c r="P152" s="201"/>
      <c r="Q152" s="201"/>
      <c r="R152" s="201"/>
      <c r="S152" s="201"/>
      <c r="T152" s="201"/>
      <c r="U152" s="201"/>
      <c r="V152" s="201"/>
      <c r="W152" s="201"/>
      <c r="X152" s="201"/>
      <c r="Y152" s="201"/>
      <c r="Z152" s="201"/>
      <c r="AA152" s="201"/>
      <c r="AB152" s="147"/>
      <c r="AC152" s="147"/>
    </row>
    <row r="153" spans="1:29" s="5" customFormat="1" ht="12.6" customHeight="1">
      <c r="A153" s="185"/>
      <c r="B153" s="147"/>
      <c r="C153" s="201"/>
      <c r="D153" s="201"/>
      <c r="E153" s="201"/>
      <c r="F153" s="201"/>
      <c r="G153" s="201"/>
      <c r="H153" s="201"/>
      <c r="I153" s="201"/>
      <c r="J153" s="201"/>
      <c r="K153" s="201"/>
      <c r="L153" s="201"/>
      <c r="M153" s="201"/>
      <c r="N153" s="201"/>
      <c r="O153" s="201"/>
      <c r="P153" s="201"/>
      <c r="Q153" s="201"/>
      <c r="R153" s="201"/>
      <c r="S153" s="201"/>
      <c r="T153" s="201"/>
      <c r="U153" s="201"/>
      <c r="V153" s="201"/>
      <c r="W153" s="201"/>
      <c r="X153" s="201"/>
      <c r="Y153" s="201"/>
      <c r="Z153" s="201"/>
      <c r="AA153" s="201"/>
      <c r="AB153" s="147"/>
      <c r="AC153" s="147"/>
    </row>
    <row r="154" spans="1:29" s="5" customFormat="1" ht="12.6" customHeight="1">
      <c r="A154" s="185"/>
      <c r="B154" s="147"/>
      <c r="C154" s="201"/>
      <c r="D154" s="201"/>
      <c r="E154" s="201"/>
      <c r="F154" s="201"/>
      <c r="G154" s="201"/>
      <c r="H154" s="201"/>
      <c r="I154" s="201"/>
      <c r="J154" s="201"/>
      <c r="K154" s="201"/>
      <c r="L154" s="201"/>
      <c r="M154" s="201"/>
      <c r="N154" s="201"/>
      <c r="O154" s="201"/>
      <c r="P154" s="201"/>
      <c r="Q154" s="201"/>
      <c r="R154" s="201"/>
      <c r="S154" s="201"/>
      <c r="T154" s="201"/>
      <c r="U154" s="201"/>
      <c r="V154" s="201"/>
      <c r="W154" s="201"/>
      <c r="X154" s="201"/>
      <c r="Y154" s="201"/>
      <c r="Z154" s="201"/>
      <c r="AA154" s="201"/>
      <c r="AB154" s="147"/>
      <c r="AC154" s="147"/>
    </row>
    <row r="155" spans="1:29" s="5" customFormat="1" ht="12.6" customHeight="1">
      <c r="A155" s="185"/>
      <c r="B155" s="147"/>
      <c r="C155" s="201"/>
      <c r="D155" s="201"/>
      <c r="E155" s="201"/>
      <c r="F155" s="201"/>
      <c r="G155" s="201"/>
      <c r="H155" s="201"/>
      <c r="I155" s="201"/>
      <c r="J155" s="201"/>
      <c r="K155" s="201"/>
      <c r="L155" s="201"/>
      <c r="M155" s="201"/>
      <c r="N155" s="201"/>
      <c r="O155" s="201"/>
      <c r="P155" s="201"/>
      <c r="Q155" s="201"/>
      <c r="R155" s="201"/>
      <c r="S155" s="201"/>
      <c r="T155" s="201"/>
      <c r="U155" s="201"/>
      <c r="V155" s="201"/>
      <c r="W155" s="201"/>
      <c r="X155" s="201"/>
      <c r="Y155" s="201"/>
      <c r="Z155" s="201"/>
      <c r="AA155" s="201"/>
      <c r="AB155" s="147"/>
      <c r="AC155" s="147"/>
    </row>
    <row r="156" spans="1:29" s="5" customFormat="1" ht="12.6" customHeight="1">
      <c r="A156" s="185"/>
      <c r="B156" s="147"/>
      <c r="C156" s="201"/>
      <c r="D156" s="201"/>
      <c r="E156" s="201"/>
      <c r="F156" s="201"/>
      <c r="G156" s="201"/>
      <c r="H156" s="201"/>
      <c r="I156" s="201"/>
      <c r="J156" s="201"/>
      <c r="K156" s="201"/>
      <c r="L156" s="201"/>
      <c r="M156" s="201"/>
      <c r="N156" s="201"/>
      <c r="O156" s="201"/>
      <c r="P156" s="201"/>
      <c r="Q156" s="201"/>
      <c r="R156" s="201"/>
      <c r="S156" s="201"/>
      <c r="T156" s="201"/>
      <c r="U156" s="201"/>
      <c r="V156" s="201"/>
      <c r="W156" s="201"/>
      <c r="X156" s="201"/>
      <c r="Y156" s="201"/>
      <c r="Z156" s="201"/>
      <c r="AA156" s="201"/>
      <c r="AB156" s="147"/>
      <c r="AC156" s="147"/>
    </row>
    <row r="157" spans="1:29" s="5" customFormat="1" ht="12.6" customHeight="1">
      <c r="A157" s="185"/>
      <c r="B157" s="147"/>
      <c r="C157" s="201"/>
      <c r="D157" s="201"/>
      <c r="E157" s="201"/>
      <c r="F157" s="201"/>
      <c r="G157" s="201"/>
      <c r="H157" s="201"/>
      <c r="I157" s="201"/>
      <c r="J157" s="201"/>
      <c r="K157" s="201"/>
      <c r="L157" s="201"/>
      <c r="M157" s="201"/>
      <c r="N157" s="201"/>
      <c r="O157" s="201"/>
      <c r="P157" s="201"/>
      <c r="Q157" s="201"/>
      <c r="R157" s="201"/>
      <c r="S157" s="201"/>
      <c r="T157" s="201"/>
      <c r="U157" s="201"/>
      <c r="V157" s="201"/>
      <c r="W157" s="201"/>
      <c r="X157" s="201"/>
      <c r="Y157" s="201"/>
      <c r="Z157" s="201"/>
      <c r="AA157" s="201"/>
      <c r="AB157" s="147"/>
      <c r="AC157" s="147"/>
    </row>
    <row r="158" spans="1:29" s="5" customFormat="1" ht="12.6" customHeight="1">
      <c r="A158" s="185"/>
      <c r="B158" s="147"/>
      <c r="C158" s="201"/>
      <c r="D158" s="201"/>
      <c r="E158" s="201"/>
      <c r="F158" s="201"/>
      <c r="G158" s="201"/>
      <c r="H158" s="201"/>
      <c r="I158" s="201"/>
      <c r="J158" s="201"/>
      <c r="K158" s="201"/>
      <c r="L158" s="201"/>
      <c r="M158" s="201"/>
      <c r="N158" s="201"/>
      <c r="O158" s="201"/>
      <c r="P158" s="201"/>
      <c r="Q158" s="201"/>
      <c r="R158" s="201"/>
      <c r="S158" s="201"/>
      <c r="T158" s="201"/>
      <c r="U158" s="201"/>
      <c r="V158" s="201"/>
      <c r="W158" s="201"/>
      <c r="X158" s="201"/>
      <c r="Y158" s="201"/>
      <c r="Z158" s="201"/>
      <c r="AA158" s="201"/>
      <c r="AB158" s="147"/>
      <c r="AC158" s="147"/>
    </row>
    <row r="164" spans="1:228" s="3" customFormat="1" ht="12.6" customHeight="1">
      <c r="A164" s="160"/>
      <c r="B164" s="86"/>
      <c r="C164" s="146"/>
      <c r="D164" s="146"/>
      <c r="E164" s="146"/>
      <c r="F164" s="146"/>
      <c r="G164" s="146"/>
      <c r="H164" s="146"/>
      <c r="I164" s="146"/>
      <c r="J164" s="146"/>
      <c r="K164" s="146"/>
      <c r="L164" s="146"/>
      <c r="M164" s="146"/>
      <c r="N164" s="146"/>
      <c r="O164" s="146"/>
      <c r="P164" s="146"/>
      <c r="Q164" s="146"/>
      <c r="R164" s="146"/>
      <c r="S164" s="146"/>
      <c r="T164" s="146"/>
      <c r="U164" s="146"/>
      <c r="V164" s="146"/>
      <c r="W164" s="146"/>
      <c r="X164" s="146"/>
      <c r="Y164" s="146"/>
      <c r="Z164" s="146"/>
      <c r="AA164" s="146"/>
      <c r="AB164" s="85"/>
      <c r="AC164" s="85"/>
    </row>
    <row r="165" spans="1:228" s="3" customFormat="1" ht="12.6" customHeight="1">
      <c r="A165" s="185"/>
      <c r="B165" s="85"/>
      <c r="C165" s="147"/>
      <c r="D165" s="147"/>
      <c r="E165" s="147"/>
      <c r="F165" s="147"/>
      <c r="G165" s="147"/>
      <c r="H165" s="147"/>
      <c r="I165" s="147"/>
      <c r="J165" s="147"/>
      <c r="K165" s="147"/>
      <c r="L165" s="147"/>
      <c r="M165" s="147"/>
      <c r="N165" s="147"/>
      <c r="O165" s="147"/>
      <c r="P165" s="147"/>
      <c r="Q165" s="147"/>
      <c r="R165" s="147"/>
      <c r="S165" s="147"/>
      <c r="T165" s="147"/>
      <c r="U165" s="147"/>
      <c r="V165" s="147"/>
      <c r="W165" s="147"/>
      <c r="X165" s="147"/>
      <c r="Y165" s="147"/>
      <c r="Z165" s="147"/>
      <c r="AA165" s="147"/>
      <c r="AB165" s="147"/>
      <c r="AC165" s="147"/>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5"/>
      <c r="DT165" s="5"/>
      <c r="DU165" s="5"/>
      <c r="DV165" s="5"/>
      <c r="DW165" s="5"/>
      <c r="DX165" s="5"/>
      <c r="DY165" s="5"/>
      <c r="DZ165" s="5"/>
      <c r="EA165" s="5"/>
      <c r="EB165" s="5"/>
      <c r="EC165" s="5"/>
      <c r="ED165" s="5"/>
      <c r="EE165" s="5"/>
      <c r="EF165" s="5"/>
      <c r="EG165" s="5"/>
      <c r="EH165" s="5"/>
      <c r="EI165" s="5"/>
      <c r="EJ165" s="5"/>
      <c r="EK165" s="5"/>
      <c r="EL165" s="5"/>
      <c r="EM165" s="5"/>
      <c r="EN165" s="5"/>
      <c r="EO165" s="5"/>
      <c r="EP165" s="5"/>
      <c r="EQ165" s="5"/>
      <c r="ER165" s="5"/>
      <c r="ES165" s="5"/>
      <c r="ET165" s="5"/>
      <c r="EU165" s="5"/>
      <c r="EV165" s="5"/>
      <c r="EW165" s="5"/>
      <c r="EX165" s="5"/>
      <c r="EY165" s="5"/>
      <c r="EZ165" s="5"/>
      <c r="FA165" s="5"/>
      <c r="FB165" s="5"/>
      <c r="FC165" s="5"/>
      <c r="FD165" s="5"/>
      <c r="FE165" s="5"/>
      <c r="FF165" s="5"/>
      <c r="FG165" s="5"/>
      <c r="FH165" s="5"/>
      <c r="FI165" s="5"/>
      <c r="FJ165" s="5"/>
      <c r="FK165" s="5"/>
      <c r="FL165" s="5"/>
      <c r="FM165" s="5"/>
      <c r="FN165" s="5"/>
      <c r="FO165" s="5"/>
      <c r="FP165" s="5"/>
      <c r="FQ165" s="5"/>
      <c r="FR165" s="5"/>
      <c r="FS165" s="5"/>
      <c r="FT165" s="5"/>
      <c r="FU165" s="5"/>
      <c r="FV165" s="5"/>
      <c r="FW165" s="5"/>
      <c r="FX165" s="5"/>
      <c r="FY165" s="5"/>
      <c r="FZ165" s="5"/>
      <c r="GA165" s="5"/>
      <c r="GB165" s="5"/>
      <c r="GC165" s="5"/>
      <c r="GD165" s="5"/>
      <c r="GE165" s="5"/>
      <c r="GF165" s="5"/>
      <c r="GG165" s="5"/>
      <c r="GH165" s="5"/>
      <c r="GI165" s="5"/>
      <c r="GJ165" s="5"/>
      <c r="GK165" s="5"/>
      <c r="GL165" s="5"/>
      <c r="GM165" s="5"/>
      <c r="GN165" s="5"/>
      <c r="GO165" s="5"/>
      <c r="GP165" s="5"/>
      <c r="GQ165" s="5"/>
      <c r="GR165" s="5"/>
      <c r="GS165" s="5"/>
      <c r="GT165" s="5"/>
      <c r="GU165" s="5"/>
      <c r="GV165" s="5"/>
      <c r="GW165" s="5"/>
      <c r="GX165" s="5"/>
      <c r="GY165" s="5"/>
      <c r="GZ165" s="5"/>
      <c r="HA165" s="5"/>
      <c r="HB165" s="5"/>
      <c r="HC165" s="5"/>
      <c r="HD165" s="5"/>
      <c r="HE165" s="5"/>
      <c r="HF165" s="5"/>
      <c r="HG165" s="5"/>
      <c r="HH165" s="5"/>
      <c r="HI165" s="5"/>
      <c r="HJ165" s="5"/>
      <c r="HK165" s="5"/>
      <c r="HL165" s="5"/>
      <c r="HM165" s="5"/>
      <c r="HN165" s="5"/>
      <c r="HO165" s="5"/>
      <c r="HP165" s="5"/>
      <c r="HQ165" s="5"/>
      <c r="HR165" s="5"/>
      <c r="HS165" s="5"/>
      <c r="HT165" s="5"/>
    </row>
    <row r="168" spans="1:228" ht="12.6" customHeight="1"/>
    <row r="179" ht="12.6" customHeight="1"/>
  </sheetData>
  <customSheetViews>
    <customSheetView guid="{9D7575BF-255B-11D2-8267-00A0D1027254}" showPageBreaks="1" printArea="1" showRuler="0" topLeftCell="A20">
      <selection activeCell="AA41" sqref="AA41"/>
      <colBreaks count="1" manualBreakCount="1">
        <brk id="14" max="35" man="1"/>
      </colBreaks>
      <pageMargins left="0.5" right="0.5" top="1" bottom="1" header="0.5" footer="0.5"/>
      <pageSetup scale="65" orientation="landscape" r:id="rId1"/>
      <headerFooter alignWithMargins="0">
        <oddFooter>&amp;L&amp;D &amp;T&amp;RO:\Naes\GenSvcs\TVA\TVA Model\&amp;F
&amp;A &amp;P</oddFooter>
      </headerFooter>
    </customSheetView>
    <customSheetView guid="{773475A7-2559-11D2-A5F6-0060080AEB13}" showPageBreaks="1" showRuler="0">
      <selection activeCell="D7" sqref="D7"/>
      <rowBreaks count="1" manualBreakCount="1">
        <brk id="72" max="26" man="1"/>
      </rowBreaks>
      <pageMargins left="0.5" right="0.5" top="0.5" bottom="0.5" header="0.5" footer="0.5"/>
      <printOptions horizontalCentered="1"/>
      <pageSetup scale="42" orientation="landscape" r:id="rId2"/>
      <headerFooter alignWithMargins="0">
        <oddFooter>&amp;L&amp;D &amp;T&amp;RO:\Naes\GenSvcs\TVA\TVA Model\&amp;F
&amp;A &amp;P</oddFooter>
      </headerFooter>
    </customSheetView>
  </customSheetViews>
  <pageMargins left="0.25" right="0.25" top="0.25" bottom="0.5" header="0" footer="0"/>
  <pageSetup scale="41" orientation="landscape" r:id="rId3"/>
  <headerFooter alignWithMargins="0">
    <oddFooter>&amp;L&amp;D   &amp;T&amp;R&amp;F
&amp;A &amp;P</oddFooter>
  </headerFooter>
  <colBreaks count="1" manualBreakCount="1">
    <brk id="14" max="41"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A299"/>
  <sheetViews>
    <sheetView topLeftCell="A43" zoomScale="75" zoomScaleNormal="75" zoomScaleSheetLayoutView="85" workbookViewId="0">
      <selection activeCell="D81" sqref="D81:X81"/>
    </sheetView>
  </sheetViews>
  <sheetFormatPr defaultColWidth="9.33203125" defaultRowHeight="12.6" customHeight="1"/>
  <cols>
    <col min="1" max="1" width="9.109375" style="1" customWidth="1"/>
    <col min="2" max="2" width="28.109375" style="85" customWidth="1"/>
    <col min="3" max="3" width="8.33203125" style="85" customWidth="1"/>
    <col min="4" max="12" width="10.44140625" style="85" bestFit="1" customWidth="1"/>
    <col min="13" max="13" width="9.6640625" style="85" customWidth="1"/>
    <col min="14" max="17" width="10.44140625" style="85" bestFit="1" customWidth="1"/>
    <col min="18" max="20" width="9.6640625" style="85" customWidth="1"/>
    <col min="21" max="21" width="10.44140625" style="85" bestFit="1" customWidth="1"/>
    <col min="22" max="28" width="9.6640625" style="85" customWidth="1"/>
    <col min="29" max="30" width="9.33203125" style="1" bestFit="1" customWidth="1"/>
    <col min="31" max="31" width="9.6640625" customWidth="1"/>
    <col min="32" max="32" width="10.6640625" style="1" customWidth="1"/>
    <col min="33" max="33" width="9.33203125" style="1" bestFit="1" customWidth="1"/>
    <col min="34" max="16384" width="9.33203125" style="1"/>
  </cols>
  <sheetData>
    <row r="1" spans="1:53" ht="20.399999999999999">
      <c r="B1" s="525" t="str">
        <f>'Project Assumtions'!$A$2</f>
        <v>WHEATLAND POWER IN, L.L.C.</v>
      </c>
      <c r="C1" s="607"/>
      <c r="D1" s="728"/>
      <c r="I1" s="159"/>
      <c r="AD1" s="6"/>
    </row>
    <row r="2" spans="1:53" ht="15.6" customHeight="1">
      <c r="B2" s="527" t="s">
        <v>36</v>
      </c>
      <c r="C2" s="608"/>
      <c r="D2" s="729"/>
      <c r="E2" s="89"/>
      <c r="F2" s="89"/>
      <c r="G2" s="89"/>
      <c r="H2" s="89"/>
      <c r="I2" s="89"/>
      <c r="J2" s="89"/>
      <c r="K2" s="89"/>
      <c r="L2" s="89"/>
      <c r="M2" s="89"/>
      <c r="N2" s="89"/>
      <c r="O2" s="89"/>
      <c r="P2" s="89"/>
      <c r="Q2" s="89"/>
      <c r="R2" s="89"/>
      <c r="S2" s="89"/>
      <c r="T2" s="89"/>
      <c r="U2" s="89"/>
      <c r="V2" s="89"/>
      <c r="W2" s="89"/>
      <c r="X2" s="89"/>
      <c r="Y2" s="89"/>
      <c r="Z2" s="89"/>
      <c r="AA2" s="89"/>
      <c r="AB2" s="89"/>
      <c r="AD2" s="6"/>
    </row>
    <row r="3" spans="1:53" ht="12.6" customHeight="1">
      <c r="B3" s="182"/>
      <c r="C3" s="60"/>
      <c r="D3" s="85">
        <v>1</v>
      </c>
      <c r="E3" s="85">
        <f>D3+1</f>
        <v>2</v>
      </c>
      <c r="F3" s="85">
        <f t="shared" ref="F3:AB3" si="0">E3+1</f>
        <v>3</v>
      </c>
      <c r="G3" s="85">
        <f t="shared" si="0"/>
        <v>4</v>
      </c>
      <c r="H3" s="85">
        <f t="shared" si="0"/>
        <v>5</v>
      </c>
      <c r="I3" s="85">
        <f t="shared" si="0"/>
        <v>6</v>
      </c>
      <c r="J3" s="85">
        <f t="shared" si="0"/>
        <v>7</v>
      </c>
      <c r="K3" s="85">
        <f t="shared" si="0"/>
        <v>8</v>
      </c>
      <c r="L3" s="85">
        <f t="shared" si="0"/>
        <v>9</v>
      </c>
      <c r="M3" s="85">
        <f t="shared" si="0"/>
        <v>10</v>
      </c>
      <c r="N3" s="85">
        <f t="shared" si="0"/>
        <v>11</v>
      </c>
      <c r="O3" s="85">
        <f t="shared" si="0"/>
        <v>12</v>
      </c>
      <c r="P3" s="85">
        <f t="shared" si="0"/>
        <v>13</v>
      </c>
      <c r="Q3" s="85">
        <f t="shared" si="0"/>
        <v>14</v>
      </c>
      <c r="R3" s="85">
        <f t="shared" si="0"/>
        <v>15</v>
      </c>
      <c r="S3" s="85">
        <f t="shared" si="0"/>
        <v>16</v>
      </c>
      <c r="T3" s="85">
        <f t="shared" si="0"/>
        <v>17</v>
      </c>
      <c r="U3" s="85">
        <f t="shared" si="0"/>
        <v>18</v>
      </c>
      <c r="V3" s="85">
        <f t="shared" si="0"/>
        <v>19</v>
      </c>
      <c r="W3" s="85">
        <f t="shared" si="0"/>
        <v>20</v>
      </c>
      <c r="X3" s="85">
        <f t="shared" si="0"/>
        <v>21</v>
      </c>
      <c r="Y3" s="85">
        <f t="shared" si="0"/>
        <v>22</v>
      </c>
      <c r="Z3" s="85">
        <f t="shared" si="0"/>
        <v>23</v>
      </c>
      <c r="AA3" s="85">
        <f t="shared" si="0"/>
        <v>24</v>
      </c>
      <c r="AB3" s="85">
        <f t="shared" si="0"/>
        <v>25</v>
      </c>
      <c r="AD3" s="6"/>
    </row>
    <row r="4" spans="1:53" ht="12.6" customHeight="1">
      <c r="B4" s="609"/>
      <c r="C4" s="610"/>
      <c r="D4" s="531">
        <f>YEAR(StartDate)</f>
        <v>2000</v>
      </c>
      <c r="E4" s="531">
        <f>D4+1</f>
        <v>2001</v>
      </c>
      <c r="F4" s="531">
        <f t="shared" ref="F4:AB4" si="1">E4+1</f>
        <v>2002</v>
      </c>
      <c r="G4" s="531">
        <f t="shared" si="1"/>
        <v>2003</v>
      </c>
      <c r="H4" s="531">
        <f t="shared" si="1"/>
        <v>2004</v>
      </c>
      <c r="I4" s="531">
        <f t="shared" si="1"/>
        <v>2005</v>
      </c>
      <c r="J4" s="531">
        <f t="shared" si="1"/>
        <v>2006</v>
      </c>
      <c r="K4" s="531">
        <f t="shared" si="1"/>
        <v>2007</v>
      </c>
      <c r="L4" s="531">
        <f t="shared" si="1"/>
        <v>2008</v>
      </c>
      <c r="M4" s="531">
        <f t="shared" si="1"/>
        <v>2009</v>
      </c>
      <c r="N4" s="531">
        <f t="shared" si="1"/>
        <v>2010</v>
      </c>
      <c r="O4" s="531">
        <f t="shared" si="1"/>
        <v>2011</v>
      </c>
      <c r="P4" s="531">
        <f t="shared" si="1"/>
        <v>2012</v>
      </c>
      <c r="Q4" s="531">
        <f t="shared" si="1"/>
        <v>2013</v>
      </c>
      <c r="R4" s="531">
        <f t="shared" si="1"/>
        <v>2014</v>
      </c>
      <c r="S4" s="531">
        <f t="shared" si="1"/>
        <v>2015</v>
      </c>
      <c r="T4" s="531">
        <f t="shared" si="1"/>
        <v>2016</v>
      </c>
      <c r="U4" s="531">
        <f t="shared" si="1"/>
        <v>2017</v>
      </c>
      <c r="V4" s="531">
        <f t="shared" si="1"/>
        <v>2018</v>
      </c>
      <c r="W4" s="531">
        <f t="shared" si="1"/>
        <v>2019</v>
      </c>
      <c r="X4" s="531">
        <f t="shared" si="1"/>
        <v>2020</v>
      </c>
      <c r="Y4" s="531">
        <f t="shared" si="1"/>
        <v>2021</v>
      </c>
      <c r="Z4" s="531">
        <f t="shared" si="1"/>
        <v>2022</v>
      </c>
      <c r="AA4" s="531">
        <f t="shared" si="1"/>
        <v>2023</v>
      </c>
      <c r="AB4" s="532">
        <f t="shared" si="1"/>
        <v>2024</v>
      </c>
      <c r="AC4" s="31"/>
      <c r="AD4" s="31"/>
      <c r="AF4" s="31"/>
      <c r="AG4" s="31"/>
      <c r="AH4" s="31"/>
      <c r="AI4" s="31"/>
      <c r="AJ4" s="31"/>
      <c r="AK4" s="31"/>
      <c r="AL4" s="31"/>
      <c r="AM4" s="31"/>
      <c r="AN4" s="31"/>
      <c r="AO4" s="31"/>
      <c r="AP4" s="31"/>
      <c r="AQ4" s="31"/>
      <c r="AR4" s="31"/>
      <c r="AS4" s="31"/>
      <c r="AT4" s="31"/>
      <c r="AU4" s="31"/>
      <c r="AV4" s="31"/>
      <c r="AW4" s="31"/>
      <c r="AX4" s="31"/>
      <c r="AY4" s="31"/>
      <c r="AZ4" s="31"/>
      <c r="BA4" s="31"/>
    </row>
    <row r="5" spans="1:53" ht="12.6" customHeight="1">
      <c r="B5" s="730" t="str">
        <f>'[1]PPA Assu&amp;Sum'!A5</f>
        <v>Months of Operation</v>
      </c>
      <c r="C5" s="611"/>
      <c r="D5" s="535">
        <f>'PPA Assumptions &amp;Summary'!C5</f>
        <v>7</v>
      </c>
      <c r="E5" s="535">
        <f>'PPA Assumptions &amp;Summary'!D5</f>
        <v>12</v>
      </c>
      <c r="F5" s="535">
        <f>'PPA Assumptions &amp;Summary'!E5</f>
        <v>12</v>
      </c>
      <c r="G5" s="535">
        <f>'PPA Assumptions &amp;Summary'!F5</f>
        <v>12</v>
      </c>
      <c r="H5" s="535">
        <f>'PPA Assumptions &amp;Summary'!G5</f>
        <v>12</v>
      </c>
      <c r="I5" s="535">
        <f>'PPA Assumptions &amp;Summary'!H5</f>
        <v>12</v>
      </c>
      <c r="J5" s="535">
        <f>'PPA Assumptions &amp;Summary'!I5</f>
        <v>12</v>
      </c>
      <c r="K5" s="535">
        <f>'PPA Assumptions &amp;Summary'!J5</f>
        <v>12</v>
      </c>
      <c r="L5" s="535">
        <f>'PPA Assumptions &amp;Summary'!K5</f>
        <v>12</v>
      </c>
      <c r="M5" s="535">
        <f>'PPA Assumptions &amp;Summary'!L5</f>
        <v>12</v>
      </c>
      <c r="N5" s="535">
        <f>'PPA Assumptions &amp;Summary'!M5</f>
        <v>12</v>
      </c>
      <c r="O5" s="535">
        <f>'PPA Assumptions &amp;Summary'!N5</f>
        <v>12</v>
      </c>
      <c r="P5" s="535">
        <f>'PPA Assumptions &amp;Summary'!O5</f>
        <v>12</v>
      </c>
      <c r="Q5" s="535">
        <f>'PPA Assumptions &amp;Summary'!P5</f>
        <v>12</v>
      </c>
      <c r="R5" s="535">
        <f>'PPA Assumptions &amp;Summary'!Q5</f>
        <v>12</v>
      </c>
      <c r="S5" s="535">
        <f>'PPA Assumptions &amp;Summary'!R5</f>
        <v>12</v>
      </c>
      <c r="T5" s="535">
        <f>'PPA Assumptions &amp;Summary'!S5</f>
        <v>12</v>
      </c>
      <c r="U5" s="535">
        <f>'PPA Assumptions &amp;Summary'!T5</f>
        <v>12</v>
      </c>
      <c r="V5" s="535">
        <f>'PPA Assumptions &amp;Summary'!U5</f>
        <v>12</v>
      </c>
      <c r="W5" s="535">
        <f>'PPA Assumptions &amp;Summary'!V5</f>
        <v>12</v>
      </c>
      <c r="X5" s="535">
        <f>'PPA Assumptions &amp;Summary'!W5</f>
        <v>5</v>
      </c>
      <c r="Y5" s="535">
        <f>'PPA Assumptions &amp;Summary'!X5</f>
        <v>0</v>
      </c>
      <c r="Z5" s="535">
        <f>'PPA Assumptions &amp;Summary'!Y5</f>
        <v>0</v>
      </c>
      <c r="AA5" s="535">
        <f>'PPA Assumptions &amp;Summary'!Z5</f>
        <v>0</v>
      </c>
      <c r="AB5" s="537">
        <f>'PPA Assumptions &amp;Summary'!AA5</f>
        <v>0</v>
      </c>
      <c r="AD5" s="6"/>
    </row>
    <row r="6" spans="1:53" ht="12.6" customHeight="1">
      <c r="B6" s="730" t="str">
        <f>'[1]PPA Assu&amp;Sum'!A6</f>
        <v>Months of Year Under PPA</v>
      </c>
      <c r="C6" s="611"/>
      <c r="D6" s="535">
        <f>'PPA Assumptions &amp;Summary'!C6</f>
        <v>7</v>
      </c>
      <c r="E6" s="535">
        <f>'PPA Assumptions &amp;Summary'!D6</f>
        <v>12</v>
      </c>
      <c r="F6" s="535">
        <f>'PPA Assumptions &amp;Summary'!E6</f>
        <v>12</v>
      </c>
      <c r="G6" s="535">
        <f>'PPA Assumptions &amp;Summary'!F6</f>
        <v>5</v>
      </c>
      <c r="H6" s="535">
        <f>'PPA Assumptions &amp;Summary'!G6</f>
        <v>0</v>
      </c>
      <c r="I6" s="535">
        <f>'PPA Assumptions &amp;Summary'!H6</f>
        <v>0</v>
      </c>
      <c r="J6" s="535">
        <f>'PPA Assumptions &amp;Summary'!I6</f>
        <v>0</v>
      </c>
      <c r="K6" s="535">
        <f>'PPA Assumptions &amp;Summary'!J6</f>
        <v>0</v>
      </c>
      <c r="L6" s="535">
        <f>'PPA Assumptions &amp;Summary'!K6</f>
        <v>0</v>
      </c>
      <c r="M6" s="535">
        <f>'PPA Assumptions &amp;Summary'!L6</f>
        <v>0</v>
      </c>
      <c r="N6" s="535">
        <f>'PPA Assumptions &amp;Summary'!M6</f>
        <v>0</v>
      </c>
      <c r="O6" s="535">
        <f>'PPA Assumptions &amp;Summary'!N6</f>
        <v>0</v>
      </c>
      <c r="P6" s="535">
        <f>'PPA Assumptions &amp;Summary'!O6</f>
        <v>0</v>
      </c>
      <c r="Q6" s="535">
        <f>'PPA Assumptions &amp;Summary'!P6</f>
        <v>0</v>
      </c>
      <c r="R6" s="535">
        <f>'PPA Assumptions &amp;Summary'!Q6</f>
        <v>0</v>
      </c>
      <c r="S6" s="535">
        <f>'PPA Assumptions &amp;Summary'!R6</f>
        <v>0</v>
      </c>
      <c r="T6" s="535">
        <f>'PPA Assumptions &amp;Summary'!S6</f>
        <v>0</v>
      </c>
      <c r="U6" s="535">
        <f>'PPA Assumptions &amp;Summary'!T6</f>
        <v>0</v>
      </c>
      <c r="V6" s="535">
        <f>'PPA Assumptions &amp;Summary'!U6</f>
        <v>0</v>
      </c>
      <c r="W6" s="535">
        <f>'PPA Assumptions &amp;Summary'!V6</f>
        <v>0</v>
      </c>
      <c r="X6" s="535">
        <f>'PPA Assumptions &amp;Summary'!W6</f>
        <v>0</v>
      </c>
      <c r="Y6" s="535">
        <f>'PPA Assumptions &amp;Summary'!X6</f>
        <v>0</v>
      </c>
      <c r="Z6" s="535">
        <f>'PPA Assumptions &amp;Summary'!Y6</f>
        <v>0</v>
      </c>
      <c r="AA6" s="535">
        <f>'PPA Assumptions &amp;Summary'!Z6</f>
        <v>0</v>
      </c>
      <c r="AB6" s="537">
        <f>'PPA Assumptions &amp;Summary'!AA6</f>
        <v>0</v>
      </c>
      <c r="AD6" s="6"/>
    </row>
    <row r="7" spans="1:53" s="4" customFormat="1" ht="12.6" customHeight="1">
      <c r="B7" s="731" t="str">
        <f>'[1]PPA Assu&amp;Sum'!A7</f>
        <v>Months of Year Merchant</v>
      </c>
      <c r="C7" s="565"/>
      <c r="D7" s="732">
        <f>'PPA Assumptions &amp;Summary'!C7</f>
        <v>0</v>
      </c>
      <c r="E7" s="732">
        <f>'PPA Assumptions &amp;Summary'!D7</f>
        <v>0</v>
      </c>
      <c r="F7" s="732">
        <f>'PPA Assumptions &amp;Summary'!E7</f>
        <v>0</v>
      </c>
      <c r="G7" s="732">
        <f>'PPA Assumptions &amp;Summary'!F7</f>
        <v>7</v>
      </c>
      <c r="H7" s="732">
        <f>'PPA Assumptions &amp;Summary'!G7</f>
        <v>12</v>
      </c>
      <c r="I7" s="732">
        <f>'PPA Assumptions &amp;Summary'!H7</f>
        <v>12</v>
      </c>
      <c r="J7" s="732">
        <f>'PPA Assumptions &amp;Summary'!I7</f>
        <v>12</v>
      </c>
      <c r="K7" s="732">
        <f>'PPA Assumptions &amp;Summary'!J7</f>
        <v>12</v>
      </c>
      <c r="L7" s="732">
        <f>'PPA Assumptions &amp;Summary'!K7</f>
        <v>12</v>
      </c>
      <c r="M7" s="732">
        <f>'PPA Assumptions &amp;Summary'!L7</f>
        <v>12</v>
      </c>
      <c r="N7" s="732">
        <f>'PPA Assumptions &amp;Summary'!M7</f>
        <v>12</v>
      </c>
      <c r="O7" s="732">
        <f>'PPA Assumptions &amp;Summary'!N7</f>
        <v>12</v>
      </c>
      <c r="P7" s="732">
        <f>'PPA Assumptions &amp;Summary'!O7</f>
        <v>12</v>
      </c>
      <c r="Q7" s="732">
        <f>'PPA Assumptions &amp;Summary'!P7</f>
        <v>12</v>
      </c>
      <c r="R7" s="732">
        <f>'PPA Assumptions &amp;Summary'!Q7</f>
        <v>12</v>
      </c>
      <c r="S7" s="732">
        <f>'PPA Assumptions &amp;Summary'!R7</f>
        <v>12</v>
      </c>
      <c r="T7" s="732">
        <f>'PPA Assumptions &amp;Summary'!S7</f>
        <v>12</v>
      </c>
      <c r="U7" s="732">
        <f>'PPA Assumptions &amp;Summary'!T7</f>
        <v>12</v>
      </c>
      <c r="V7" s="732">
        <f>'PPA Assumptions &amp;Summary'!U7</f>
        <v>12</v>
      </c>
      <c r="W7" s="732">
        <f>'PPA Assumptions &amp;Summary'!V7</f>
        <v>12</v>
      </c>
      <c r="X7" s="732">
        <f>'PPA Assumptions &amp;Summary'!W7</f>
        <v>5</v>
      </c>
      <c r="Y7" s="732">
        <f>'PPA Assumptions &amp;Summary'!X7</f>
        <v>0</v>
      </c>
      <c r="Z7" s="732">
        <f>'PPA Assumptions &amp;Summary'!Y7</f>
        <v>0</v>
      </c>
      <c r="AA7" s="732">
        <f>'PPA Assumptions &amp;Summary'!Z7</f>
        <v>0</v>
      </c>
      <c r="AB7" s="733">
        <f>'PPA Assumptions &amp;Summary'!AA7</f>
        <v>0</v>
      </c>
      <c r="AD7" s="6"/>
      <c r="AE7"/>
    </row>
    <row r="8" spans="1:53" s="4" customFormat="1" ht="12.6" customHeight="1">
      <c r="B8" s="160"/>
      <c r="C8" s="147"/>
      <c r="D8" s="183"/>
      <c r="E8" s="183"/>
      <c r="F8" s="183"/>
      <c r="G8" s="183"/>
      <c r="H8" s="183"/>
      <c r="I8" s="183"/>
      <c r="J8" s="183"/>
      <c r="K8" s="183"/>
      <c r="L8" s="183"/>
      <c r="M8" s="183"/>
      <c r="N8" s="183"/>
      <c r="O8" s="183"/>
      <c r="P8" s="183"/>
      <c r="Q8" s="183"/>
      <c r="R8" s="183"/>
      <c r="S8" s="183"/>
      <c r="T8" s="183"/>
      <c r="U8" s="183"/>
      <c r="V8" s="183"/>
      <c r="W8" s="183"/>
      <c r="X8" s="183"/>
      <c r="Y8" s="183"/>
      <c r="Z8" s="183"/>
      <c r="AA8" s="183"/>
      <c r="AB8" s="183"/>
      <c r="AD8" s="6"/>
      <c r="AE8"/>
    </row>
    <row r="9" spans="1:53" s="4" customFormat="1" ht="12.6" customHeight="1">
      <c r="B9" s="734" t="s">
        <v>427</v>
      </c>
      <c r="C9" s="735"/>
      <c r="D9" s="610"/>
      <c r="E9" s="610"/>
      <c r="F9" s="736"/>
      <c r="G9" s="736"/>
      <c r="H9" s="736"/>
      <c r="I9" s="736"/>
      <c r="J9" s="736"/>
      <c r="K9" s="736"/>
      <c r="L9" s="736"/>
      <c r="M9" s="736"/>
      <c r="N9" s="736"/>
      <c r="O9" s="736"/>
      <c r="P9" s="736"/>
      <c r="Q9" s="736"/>
      <c r="R9" s="736"/>
      <c r="S9" s="736"/>
      <c r="T9" s="736"/>
      <c r="U9" s="736"/>
      <c r="V9" s="736"/>
      <c r="W9" s="736"/>
      <c r="X9" s="736"/>
      <c r="Y9" s="736"/>
      <c r="Z9" s="736"/>
      <c r="AA9" s="736"/>
      <c r="AB9" s="737"/>
      <c r="AD9" s="6"/>
      <c r="AE9"/>
    </row>
    <row r="10" spans="1:53" s="4" customFormat="1" ht="12.6" customHeight="1">
      <c r="B10" s="522" t="s">
        <v>340</v>
      </c>
      <c r="C10" s="611"/>
      <c r="D10" s="573">
        <f>(Operations!C25+Operations!C27)*'PPA Assumptions &amp;Summary'!C11/1000</f>
        <v>9652.0375000000004</v>
      </c>
      <c r="E10" s="573">
        <f>(Operations!D25+Operations!D27)*'PPA Assumptions &amp;Summary'!D11/1000</f>
        <v>16546.349999999999</v>
      </c>
      <c r="F10" s="573">
        <f>(Operations!E25+Operations!E27)*'PPA Assumptions &amp;Summary'!E11/1000</f>
        <v>16546.349999999999</v>
      </c>
      <c r="G10" s="573">
        <f>(Operations!F25+Operations!F27)*'PPA Assumptions &amp;Summary'!F11/1000</f>
        <v>17337.212624708336</v>
      </c>
      <c r="H10" s="573">
        <f>(Operations!G25+Operations!G27)*'PPA Assumptions &amp;Summary'!G11/1000</f>
        <v>17754.163140000001</v>
      </c>
      <c r="I10" s="573">
        <f>(Operations!H25+Operations!H27)*'PPA Assumptions &amp;Summary'!H11/1000</f>
        <v>17754.163140000001</v>
      </c>
      <c r="J10" s="573">
        <f>(Operations!I25+Operations!I27)*'PPA Assumptions &amp;Summary'!I11/1000</f>
        <v>17754.163140000001</v>
      </c>
      <c r="K10" s="573">
        <f>(Operations!J25+Operations!J27)*'PPA Assumptions &amp;Summary'!J11/1000</f>
        <v>17754.163140000001</v>
      </c>
      <c r="L10" s="573">
        <f>(Operations!K25+Operations!K27)*'PPA Assumptions &amp;Summary'!K11/1000</f>
        <v>17754.163140000001</v>
      </c>
      <c r="M10" s="573">
        <f>(Operations!L25+Operations!L27)*'PPA Assumptions &amp;Summary'!L11/1000</f>
        <v>17754.163140000001</v>
      </c>
      <c r="N10" s="573">
        <f>(Operations!M25+Operations!M27)*'PPA Assumptions &amp;Summary'!M11/1000</f>
        <v>17754.163140000001</v>
      </c>
      <c r="O10" s="573">
        <f>(Operations!N25+Operations!N27)*'PPA Assumptions &amp;Summary'!N11/1000</f>
        <v>17754.163140000001</v>
      </c>
      <c r="P10" s="573">
        <f>(Operations!O25+Operations!O27)*'PPA Assumptions &amp;Summary'!O11/1000</f>
        <v>17754.163140000001</v>
      </c>
      <c r="Q10" s="573">
        <f>(Operations!P25+Operations!P27)*'PPA Assumptions &amp;Summary'!P11/1000</f>
        <v>17754.163140000001</v>
      </c>
      <c r="R10" s="573">
        <f>(Operations!Q25+Operations!Q27)*'PPA Assumptions &amp;Summary'!Q11/1000</f>
        <v>17754.163140000001</v>
      </c>
      <c r="S10" s="573">
        <f>(Operations!R25+Operations!R27)*'PPA Assumptions &amp;Summary'!R11/1000</f>
        <v>17754.163140000001</v>
      </c>
      <c r="T10" s="573">
        <f>(Operations!S25+Operations!S27)*'PPA Assumptions &amp;Summary'!S11/1000</f>
        <v>17754.163140000001</v>
      </c>
      <c r="U10" s="573">
        <f>(Operations!T25+Operations!T27)*'PPA Assumptions &amp;Summary'!T11/1000</f>
        <v>17754.163140000001</v>
      </c>
      <c r="V10" s="573">
        <f>(Operations!U25+Operations!U27)*'PPA Assumptions &amp;Summary'!U11/1000</f>
        <v>17754.163140000001</v>
      </c>
      <c r="W10" s="573">
        <f>(Operations!V25+Operations!V27)*'PPA Assumptions &amp;Summary'!V11/1000</f>
        <v>17754.163140000001</v>
      </c>
      <c r="X10" s="573">
        <f>(Operations!W25+Operations!W27)*'PPA Assumptions &amp;Summary'!W11/1000</f>
        <v>17754.163140000001</v>
      </c>
      <c r="Y10" s="573">
        <f>(Operations!X25+Operations!X27)*'PPA Assumptions &amp;Summary'!X11/1000</f>
        <v>0</v>
      </c>
      <c r="Z10" s="573">
        <f>(Operations!Y25+Operations!Y27)*'PPA Assumptions &amp;Summary'!Y11/1000</f>
        <v>0</v>
      </c>
      <c r="AA10" s="573">
        <f>(Operations!Z25+Operations!Z27)*'PPA Assumptions &amp;Summary'!Z11/1000</f>
        <v>0</v>
      </c>
      <c r="AB10" s="574">
        <f>(Operations!AA25+Operations!AA27)*'PPA Assumptions &amp;Summary'!AA11/1000</f>
        <v>0</v>
      </c>
      <c r="AD10" s="6"/>
      <c r="AE10"/>
    </row>
    <row r="11" spans="1:53" ht="12.6" customHeight="1">
      <c r="A11" s="1">
        <v>1</v>
      </c>
      <c r="B11" s="738" t="s">
        <v>341</v>
      </c>
      <c r="C11" s="557"/>
      <c r="D11" s="573">
        <f>(PPACAPACITY*'PPA Assumptions &amp;Summary'!C12*D6)+((Operations!C17*(1-Cap_Factor_Energy))*'PPA Assumptions &amp;Summary'!C13*D7)</f>
        <v>13160</v>
      </c>
      <c r="E11" s="573">
        <f>(PPACAPACITY*'PPA Assumptions &amp;Summary'!D12*E6)+((Operations!D17*(1-Cap_Factor_Energy))*'PPA Assumptions &amp;Summary'!D13*E7)</f>
        <v>22560</v>
      </c>
      <c r="F11" s="573">
        <f>(PPACAPACITY*'PPA Assumptions &amp;Summary'!E12*F6)+((Operations!E17*(1-Cap_Factor_Energy))*'PPA Assumptions &amp;Summary'!E13*F7)</f>
        <v>22560</v>
      </c>
      <c r="G11" s="573">
        <f>(PPACAPACITY*'PPA Assumptions &amp;Summary'!F12*G6)+((Operations!F17*(1-Cap_Factor_Energy))*'PPA Assumptions &amp;Summary'!F13*G7)</f>
        <v>31123.920629958615</v>
      </c>
      <c r="H11" s="573">
        <f>(PPACAPACITY*'PPA Assumptions &amp;Summary'!G12*H6)+((Operations!G17*(1-Cap_Factor_Energy))*'PPA Assumptions &amp;Summary'!G13*H7)</f>
        <v>38358.236998041211</v>
      </c>
      <c r="I11" s="573">
        <f>(PPACAPACITY*'PPA Assumptions &amp;Summary'!H12*I6)+((Operations!H17*(1-Cap_Factor_Energy))*'PPA Assumptions &amp;Summary'!H13*I7)</f>
        <v>39508.984107982447</v>
      </c>
      <c r="J11" s="573">
        <f>(PPACAPACITY*'PPA Assumptions &amp;Summary'!I12*J6)+((Operations!I17*(1-Cap_Factor_Energy))*'PPA Assumptions &amp;Summary'!I13*J7)</f>
        <v>40068.188190741588</v>
      </c>
      <c r="K11" s="573">
        <f>(PPACAPACITY*'PPA Assumptions &amp;Summary'!J12*K6)+((Operations!J17*(1-Cap_Factor_Energy))*'PPA Assumptions &amp;Summary'!J13*K7)</f>
        <v>40625.386432769097</v>
      </c>
      <c r="L11" s="573">
        <f>(PPACAPACITY*'PPA Assumptions &amp;Summary'!K12*L6)+((Operations!K17*(1-Cap_Factor_Energy))*'PPA Assumptions &amp;Summary'!K13*L7)</f>
        <v>41179.955199946577</v>
      </c>
      <c r="M11" s="573">
        <f>(PPACAPACITY*'PPA Assumptions &amp;Summary'!L12*M6)+((Operations!L17*(1-Cap_Factor_Energy))*'PPA Assumptions &amp;Summary'!L13*M7)</f>
        <v>41731.235245365213</v>
      </c>
      <c r="N11" s="573">
        <f>(PPACAPACITY*'PPA Assumptions &amp;Summary'!M12*N6)+((Operations!M17*(1-Cap_Factor_Energy))*'PPA Assumptions &amp;Summary'!M13*N7)</f>
        <v>42278.530133829016</v>
      </c>
      <c r="O11" s="573">
        <f>(PPACAPACITY*'PPA Assumptions &amp;Summary'!N12*O6)+((Operations!N17*(1-Cap_Factor_Energy))*'PPA Assumptions &amp;Summary'!N13*O7)</f>
        <v>42821.104603879816</v>
      </c>
      <c r="P11" s="573">
        <f>(PPACAPACITY*'PPA Assumptions &amp;Summary'!O12*P6)+((Operations!O17*(1-Cap_Factor_Energy))*'PPA Assumptions &amp;Summary'!O13*P7)</f>
        <v>43358.18286501323</v>
      </c>
      <c r="Q11" s="573">
        <f>(PPACAPACITY*'PPA Assumptions &amp;Summary'!P12*Q6)+((Operations!P17*(1-Cap_Factor_Energy))*'PPA Assumptions &amp;Summary'!P13*Q7)</f>
        <v>43118.965304378675</v>
      </c>
      <c r="R11" s="573">
        <f>(PPACAPACITY*'PPA Assumptions &amp;Summary'!Q12*R6)+((Operations!Q17*(1-Cap_Factor_Energy))*'PPA Assumptions &amp;Summary'!Q13*R7)</f>
        <v>43619.453294518782</v>
      </c>
      <c r="S11" s="573">
        <f>(PPACAPACITY*'PPA Assumptions &amp;Summary'!R12*S6)+((Operations!R17*(1-Cap_Factor_Energy))*'PPA Assumptions &amp;Summary'!R13*S7)</f>
        <v>44111.163495293353</v>
      </c>
      <c r="T11" s="573">
        <f>(PPACAPACITY*'PPA Assumptions &amp;Summary'!S12*T6)+((Operations!S17*(1-Cap_Factor_Energy))*'PPA Assumptions &amp;Summary'!S13*T7)</f>
        <v>44593.118800149328</v>
      </c>
      <c r="U11" s="573">
        <f>(PPACAPACITY*'PPA Assumptions &amp;Summary'!T12*U6)+((Operations!T17*(1-Cap_Factor_Energy))*'PPA Assumptions &amp;Summary'!T13*U7)</f>
        <v>45064.291376150912</v>
      </c>
      <c r="V11" s="573">
        <f>(PPACAPACITY*'PPA Assumptions &amp;Summary'!U12*V6)+((Operations!U17*(1-Cap_Factor_Energy))*'PPA Assumptions &amp;Summary'!U13*V7)</f>
        <v>45523.600499792446</v>
      </c>
      <c r="W11" s="573">
        <f>(PPACAPACITY*'PPA Assumptions &amp;Summary'!V12*W6)+((Operations!V17*(1-Cap_Factor_Energy))*'PPA Assumptions &amp;Summary'!V13*W7)</f>
        <v>45050.512102441658</v>
      </c>
      <c r="X11" s="573">
        <f>(PPACAPACITY*'PPA Assumptions &amp;Summary'!W12*X6)+((Operations!W17*(1-Cap_Factor_Energy))*'PPA Assumptions &amp;Summary'!W13*X7)</f>
        <v>18939.603047148943</v>
      </c>
      <c r="Y11" s="573">
        <f>(PPACAPACITY*'PPA Assumptions &amp;Summary'!X12*Y6)+((Operations!X17*(1-Cap_Factor_Energy))*'PPA Assumptions &amp;Summary'!X13*Y7)</f>
        <v>0</v>
      </c>
      <c r="Z11" s="573">
        <f>(PPACAPACITY*'PPA Assumptions &amp;Summary'!Y12*Z6)+((Operations!Y17*(1-Cap_Factor_Energy))*'PPA Assumptions &amp;Summary'!Y13*Z7)</f>
        <v>0</v>
      </c>
      <c r="AA11" s="573">
        <f>(PPACAPACITY*'PPA Assumptions &amp;Summary'!Z12*AA6)+((Operations!Z17*(1-Cap_Factor_Energy))*'PPA Assumptions &amp;Summary'!Z13*AA7)</f>
        <v>0</v>
      </c>
      <c r="AB11" s="574">
        <f>(PPACAPACITY*'PPA Assumptions &amp;Summary'!AA12*AB6)+((Operations!AA17*(1-Cap_Factor_Energy))*'PPA Assumptions &amp;Summary'!AA13*AB7)</f>
        <v>0</v>
      </c>
    </row>
    <row r="12" spans="1:53" ht="12.6" customHeight="1">
      <c r="B12" s="738" t="s">
        <v>686</v>
      </c>
      <c r="C12" s="557"/>
      <c r="D12" s="573">
        <f>(Operations!C25+Operations!C27)*'PPA Assumptions &amp;Summary'!C25/1000</f>
        <v>394.26683333333335</v>
      </c>
      <c r="E12" s="573">
        <f>(Operations!D25+Operations!D27)*'PPA Assumptions &amp;Summary'!D25/1000</f>
        <v>696.16257999999993</v>
      </c>
      <c r="F12" s="573">
        <f>(Operations!E25+Operations!E27)*'PPA Assumptions &amp;Summary'!E25/1000</f>
        <v>717.04745739999998</v>
      </c>
      <c r="G12" s="573">
        <f>(Operations!F25+Operations!F27)*'PPA Assumptions &amp;Summary'!F25/1000</f>
        <v>773.85963417181426</v>
      </c>
      <c r="H12" s="573">
        <f>(Operations!G25+Operations!G27)*'PPA Assumptions &amp;Summary'!G25/1000</f>
        <v>816.24465273936119</v>
      </c>
      <c r="I12" s="573">
        <f>(Operations!H25+Operations!H27)*'PPA Assumptions &amp;Summary'!H25/1000</f>
        <v>840.73199232154195</v>
      </c>
      <c r="J12" s="573">
        <f>(Operations!I25+Operations!I27)*'PPA Assumptions &amp;Summary'!I25/1000</f>
        <v>865.95395209118817</v>
      </c>
      <c r="K12" s="573">
        <f>(Operations!J25+Operations!J27)*'PPA Assumptions &amp;Summary'!J25/1000</f>
        <v>891.93257065392379</v>
      </c>
      <c r="L12" s="573">
        <f>(Operations!K25+Operations!K27)*'PPA Assumptions &amp;Summary'!K25/1000</f>
        <v>918.69054777354165</v>
      </c>
      <c r="M12" s="573">
        <f>(Operations!L25+Operations!L27)*'PPA Assumptions &amp;Summary'!L25/1000</f>
        <v>946.25126420674792</v>
      </c>
      <c r="N12" s="573">
        <f>(Operations!M25+Operations!M27)*'PPA Assumptions &amp;Summary'!M25/1000</f>
        <v>974.63880213295033</v>
      </c>
      <c r="O12" s="573">
        <f>(Operations!N25+Operations!N27)*'PPA Assumptions &amp;Summary'!N25/1000</f>
        <v>1003.8779661969387</v>
      </c>
      <c r="P12" s="573">
        <f>(Operations!O25+Operations!O27)*'PPA Assumptions &amp;Summary'!O25/1000</f>
        <v>1033.9943051828468</v>
      </c>
      <c r="Q12" s="573">
        <f>(Operations!P25+Operations!P27)*'PPA Assumptions &amp;Summary'!P25/1000</f>
        <v>1065.0141343383323</v>
      </c>
      <c r="R12" s="573">
        <f>(Operations!Q25+Operations!Q27)*'PPA Assumptions &amp;Summary'!Q25/1000</f>
        <v>1096.9645583684824</v>
      </c>
      <c r="S12" s="573">
        <f>(Operations!R25+Operations!R27)*'PPA Assumptions &amp;Summary'!R25/1000</f>
        <v>1129.8734951195365</v>
      </c>
      <c r="T12" s="573">
        <f>(Operations!S25+Operations!S27)*'PPA Assumptions &amp;Summary'!S25/1000</f>
        <v>1163.7696999731227</v>
      </c>
      <c r="U12" s="573">
        <f>(Operations!T25+Operations!T27)*'PPA Assumptions &amp;Summary'!T25/1000</f>
        <v>1198.6827909723163</v>
      </c>
      <c r="V12" s="573">
        <f>(Operations!U25+Operations!U27)*'PPA Assumptions &amp;Summary'!U25/1000</f>
        <v>1234.6432747014858</v>
      </c>
      <c r="W12" s="573">
        <f>(Operations!V25+Operations!V27)*'PPA Assumptions &amp;Summary'!V25/1000</f>
        <v>1271.6825729425302</v>
      </c>
      <c r="X12" s="573">
        <f>(Operations!W25+Operations!W27)*'PPA Assumptions &amp;Summary'!W25/1000</f>
        <v>1309.8330501308062</v>
      </c>
      <c r="Y12" s="573">
        <f>(Operations!X25+Operations!X27)*'PPA Assumptions &amp;Summary'!X25/1000</f>
        <v>0</v>
      </c>
      <c r="Z12" s="573">
        <f>(Operations!Y25+Operations!Y27)*'PPA Assumptions &amp;Summary'!Y25/1000</f>
        <v>0</v>
      </c>
      <c r="AA12" s="573">
        <f>(Operations!Z25+Operations!Z27)*'PPA Assumptions &amp;Summary'!Z25/1000</f>
        <v>0</v>
      </c>
      <c r="AB12" s="574">
        <f>(Operations!AA25+Operations!AA27)*'PPA Assumptions &amp;Summary'!AA25/1000</f>
        <v>0</v>
      </c>
    </row>
    <row r="13" spans="1:53" ht="12.6" customHeight="1">
      <c r="B13" s="738" t="s">
        <v>637</v>
      </c>
      <c r="C13" s="611"/>
      <c r="D13" s="573">
        <f>IF(D3&gt;ProjectLife+1,0,(Main_Start*'Project Assumtions'!$L$15*((1+Main_Escal)^('Book Income Statement'!D4-'Project Assumtions'!$N$6))+Fuel_Start*'Project Assumtions'!$L$16)/1000+((Main_Start*1/3)*'Project Assumtions'!$L$15*((1+Main_Escal)^('Book Income Statement'!D4-'Project Assumtions'!$N$6))+Fuel_Start*'Project Assumtions'!$L$16)/1000*D7/12)</f>
        <v>2140.752</v>
      </c>
      <c r="E13" s="573">
        <f>IF(E3&gt;ProjectLife+1,0,(Main_Start*'Project Assumtions'!$L$15*((1+Main_Escal)^('Book Income Statement'!E4-'Project Assumtions'!$N$6))+Fuel_Start*'Project Assumtions'!$L$16)/1000*E6/12+(((Main_Start*1/3)*'Project Assumtions'!$L$15*((1+Main_Escal)^('Book Income Statement'!E4-'Project Assumtions'!$N$6))+Fuel_Start*'Project Assumtions'!$L$16)/1000)*E7/12)</f>
        <v>2204.9745600000001</v>
      </c>
      <c r="F13" s="573">
        <f>IF(F3&gt;ProjectLife+1,0,(Main_Start*'Project Assumtions'!$L$15*((1+Main_Escal)^('Book Income Statement'!F4-'Project Assumtions'!$N$6))+Fuel_Start*'Project Assumtions'!$L$16)/1000*F6/12+(((Main_Start*1/3)*'Project Assumtions'!$L$15*((1+Main_Escal)^('Book Income Statement'!F4-'Project Assumtions'!$N$6))+Fuel_Start*'Project Assumtions'!$L$16)/1000)*F7/12)</f>
        <v>2271.1237968</v>
      </c>
      <c r="G13" s="573">
        <f>IF(G3&gt;ProjectLife+1,0,(Main_Start*'Project Assumtions'!$L$15*((1+Main_Escal)^('Book Income Statement'!G4-'Project Assumtions'!$N$6))+Fuel_Start*'Project Assumtions'!$L$16)/1000*G6/12+(((Main_Start*1/3)*'Project Assumtions'!$L$15*((1+Main_Escal)^('Book Income Statement'!G4-'Project Assumtions'!$N$6))+Fuel_Start*'Project Assumtions'!$L$16)/1000)*G7/12)</f>
        <v>1429.5462565413332</v>
      </c>
      <c r="H13" s="573">
        <f>IF(H3&gt;ProjectLife+1,0,(Main_Start*'Project Assumtions'!$L$15*((1+Main_Escal)^('Book Income Statement'!H4-'Project Assumtions'!$N$6))+Fuel_Start*'Project Assumtions'!$L$16)/1000*H6/12+(((Main_Start*1/3)*'Project Assumtions'!$L$15*((1+Main_Escal)^('Book Income Statement'!H4-'Project Assumtions'!$N$6))+Fuel_Start*'Project Assumtions'!$L$16)/1000)*H7/12)</f>
        <v>803.14507867503983</v>
      </c>
      <c r="I13" s="573">
        <f>IF(I3&gt;ProjectLife+1,0,(Main_Start*'Project Assumtions'!$L$15*((1+Main_Escal)^('Book Income Statement'!I4-'Project Assumtions'!$N$6))+Fuel_Start*'Project Assumtions'!$L$16)/1000*I6/12+(((Main_Start*1/3)*'Project Assumtions'!$L$15*((1+Main_Escal)^('Book Income Statement'!I4-'Project Assumtions'!$N$6))+Fuel_Start*'Project Assumtions'!$L$16)/1000)*I7/12)</f>
        <v>827.2394310352912</v>
      </c>
      <c r="J13" s="573">
        <f>IF(J3&gt;ProjectLife+1,0,(Main_Start*'Project Assumtions'!$L$15*((1+Main_Escal)^('Book Income Statement'!J4-'Project Assumtions'!$N$6))+Fuel_Start*'Project Assumtions'!$L$16)/1000*J6/12+(((Main_Start*1/3)*'Project Assumtions'!$L$15*((1+Main_Escal)^('Book Income Statement'!J4-'Project Assumtions'!$N$6))+Fuel_Start*'Project Assumtions'!$L$16)/1000)*J7/12)</f>
        <v>852.05661396635003</v>
      </c>
      <c r="K13" s="573">
        <f>IF(K3&gt;ProjectLife+1,0,(Main_Start*'Project Assumtions'!$L$15*((1+Main_Escal)^('Book Income Statement'!K4-'Project Assumtions'!$N$6))+Fuel_Start*'Project Assumtions'!$L$16)/1000*K6/12+(((Main_Start*1/3)*'Project Assumtions'!$L$15*((1+Main_Escal)^('Book Income Statement'!K4-'Project Assumtions'!$N$6))+Fuel_Start*'Project Assumtions'!$L$16)/1000)*K7/12)</f>
        <v>877.61831238534035</v>
      </c>
      <c r="L13" s="573">
        <f>IF(L3&gt;ProjectLife+1,0,(Main_Start*'Project Assumtions'!$L$15*((1+Main_Escal)^('Book Income Statement'!L4-'Project Assumtions'!$N$6))+Fuel_Start*'Project Assumtions'!$L$16)/1000*L6/12+(((Main_Start*1/3)*'Project Assumtions'!$L$15*((1+Main_Escal)^('Book Income Statement'!L4-'Project Assumtions'!$N$6))+Fuel_Start*'Project Assumtions'!$L$16)/1000)*L7/12)</f>
        <v>903.9468617569006</v>
      </c>
      <c r="M13" s="573">
        <f>IF(M3&gt;ProjectLife+1,0,(Main_Start*'Project Assumtions'!$L$15*((1+Main_Escal)^('Book Income Statement'!M4-'Project Assumtions'!$N$6))+Fuel_Start*'Project Assumtions'!$L$16)/1000*M6/12+(((Main_Start*1/3)*'Project Assumtions'!$L$15*((1+Main_Escal)^('Book Income Statement'!M4-'Project Assumtions'!$N$6))+Fuel_Start*'Project Assumtions'!$L$16)/1000)*M7/12)</f>
        <v>931.06526760960753</v>
      </c>
      <c r="N13" s="573">
        <f>IF(N3&gt;ProjectLife+1,0,(Main_Start*'Project Assumtions'!$L$15*((1+Main_Escal)^('Book Income Statement'!N4-'Project Assumtions'!$N$6))+Fuel_Start*'Project Assumtions'!$L$16)/1000*N6/12+(((Main_Start*1/3)*'Project Assumtions'!$L$15*((1+Main_Escal)^('Book Income Statement'!N4-'Project Assumtions'!$N$6))+Fuel_Start*'Project Assumtions'!$L$16)/1000)*N7/12)</f>
        <v>958.99722563789589</v>
      </c>
      <c r="O13" s="573">
        <f>IF(O3&gt;ProjectLife+1,0,(Main_Start*'Project Assumtions'!$L$15*((1+Main_Escal)^('Book Income Statement'!O4-'Project Assumtions'!$N$6))+Fuel_Start*'Project Assumtions'!$L$16)/1000*O6/12+(((Main_Start*1/3)*'Project Assumtions'!$L$15*((1+Main_Escal)^('Book Income Statement'!O4-'Project Assumtions'!$N$6))+Fuel_Start*'Project Assumtions'!$L$16)/1000)*O7/12)</f>
        <v>987.76714240703257</v>
      </c>
      <c r="P13" s="573">
        <f>IF(P3&gt;ProjectLife+1,0,(Main_Start*'Project Assumtions'!$L$15*((1+Main_Escal)^('Book Income Statement'!P4-'Project Assumtions'!$N$6))+Fuel_Start*'Project Assumtions'!$L$16)/1000*P6/12+(((Main_Start*1/3)*'Project Assumtions'!$L$15*((1+Main_Escal)^('Book Income Statement'!P4-'Project Assumtions'!$N$6))+Fuel_Start*'Project Assumtions'!$L$16)/1000)*P7/12)</f>
        <v>1017.4001566792434</v>
      </c>
      <c r="Q13" s="573">
        <f>IF(Q3&gt;ProjectLife+1,0,(Main_Start*'Project Assumtions'!$L$15*((1+Main_Escal)^('Book Income Statement'!Q4-'Project Assumtions'!$N$6))+Fuel_Start*'Project Assumtions'!$L$16)/1000*Q6/12+(((Main_Start*1/3)*'Project Assumtions'!$L$15*((1+Main_Escal)^('Book Income Statement'!Q4-'Project Assumtions'!$N$6))+Fuel_Start*'Project Assumtions'!$L$16)/1000)*Q7/12)</f>
        <v>1047.922161379621</v>
      </c>
      <c r="R13" s="573">
        <f>IF(R3&gt;ProjectLife+1,0,(Main_Start*'Project Assumtions'!$L$15*((1+Main_Escal)^('Book Income Statement'!R4-'Project Assumtions'!$N$6))+Fuel_Start*'Project Assumtions'!$L$16)/1000*R6/12+(((Main_Start*1/3)*'Project Assumtions'!$L$15*((1+Main_Escal)^('Book Income Statement'!R4-'Project Assumtions'!$N$6))+Fuel_Start*'Project Assumtions'!$L$16)/1000)*R7/12)</f>
        <v>1079.3598262210094</v>
      </c>
      <c r="S13" s="573">
        <f>IF(S3&gt;ProjectLife+1,0,(Main_Start*'Project Assumtions'!$L$15*((1+Main_Escal)^('Book Income Statement'!S4-'Project Assumtions'!$N$6))+Fuel_Start*'Project Assumtions'!$L$16)/1000*S6/12+(((Main_Start*1/3)*'Project Assumtions'!$L$15*((1+Main_Escal)^('Book Income Statement'!S4-'Project Assumtions'!$N$6))+Fuel_Start*'Project Assumtions'!$L$16)/1000)*S7/12)</f>
        <v>1111.7406210076397</v>
      </c>
      <c r="T13" s="573">
        <f>IF(T3&gt;ProjectLife+1,0,(Main_Start*'Project Assumtions'!$L$15*((1+Main_Escal)^('Book Income Statement'!T4-'Project Assumtions'!$N$6))+Fuel_Start*'Project Assumtions'!$L$16)/1000*T6/12+(((Main_Start*1/3)*'Project Assumtions'!$L$15*((1+Main_Escal)^('Book Income Statement'!T4-'Project Assumtions'!$N$6))+Fuel_Start*'Project Assumtions'!$L$16)/1000)*T7/12)</f>
        <v>1145.0928396378688</v>
      </c>
      <c r="U13" s="573">
        <f>IF(U3&gt;ProjectLife+1,0,(Main_Start*'Project Assumtions'!$L$15*((1+Main_Escal)^('Book Income Statement'!U4-'Project Assumtions'!$N$6))+Fuel_Start*'Project Assumtions'!$L$16)/1000*U6/12+(((Main_Start*1/3)*'Project Assumtions'!$L$15*((1+Main_Escal)^('Book Income Statement'!U4-'Project Assumtions'!$N$6))+Fuel_Start*'Project Assumtions'!$L$16)/1000)*U7/12)</f>
        <v>1179.4456248270051</v>
      </c>
      <c r="V13" s="573">
        <f>IF(V3&gt;ProjectLife+1,0,(Main_Start*'Project Assumtions'!$L$15*((1+Main_Escal)^('Book Income Statement'!V4-'Project Assumtions'!$N$6))+Fuel_Start*'Project Assumtions'!$L$16)/1000*V6/12+(((Main_Start*1/3)*'Project Assumtions'!$L$15*((1+Main_Escal)^('Book Income Statement'!V4-'Project Assumtions'!$N$6))+Fuel_Start*'Project Assumtions'!$L$16)/1000)*V7/12)</f>
        <v>1214.8289935718151</v>
      </c>
      <c r="W13" s="573">
        <f>IF(W3&gt;ProjectLife+1,0,(Main_Start*'Project Assumtions'!$L$15*((1+Main_Escal)^('Book Income Statement'!W4-'Project Assumtions'!$N$6))+Fuel_Start*'Project Assumtions'!$L$16)/1000*W6/12+(((Main_Start*1/3)*'Project Assumtions'!$L$15*((1+Main_Escal)^('Book Income Statement'!W4-'Project Assumtions'!$N$6))+Fuel_Start*'Project Assumtions'!$L$16)/1000)*W7/12)</f>
        <v>1251.2738633789695</v>
      </c>
      <c r="X13" s="573">
        <f>IF(X3&gt;ProjectLife+1,0,(Main_Start*'Project Assumtions'!$L$15*((1+Main_Escal)^('Book Income Statement'!X4-'Project Assumtions'!$N$6))+Fuel_Start*'Project Assumtions'!$L$16)/1000*X6/12+(((Main_Start*1/3)*'Project Assumtions'!$L$15*((1+Main_Escal)^('Book Income Statement'!X4-'Project Assumtions'!$N$6))+Fuel_Start*'Project Assumtions'!$L$16)/1000))</f>
        <v>1288.8120792803386</v>
      </c>
      <c r="Y13" s="573">
        <f>IF(Y3&gt;ProjectLife+1,0,(Main_Start*'Project Assumtions'!$L$15*((1+Main_Escal)^('Book Income Statement'!Y4-'Project Assumtions'!$N$6))+Fuel_Start*'Project Assumtions'!$L$16)/1000*Y6/12+(((Main_Start*1/3)*'Project Assumtions'!$L$15*((1+Main_Escal)^('Book Income Statement'!Y4-'Project Assumtions'!$N$6))+Fuel_Start*'Project Assumtions'!$L$16)/1000)*Y7/12)</f>
        <v>0</v>
      </c>
      <c r="Z13" s="573">
        <f>IF(Z3&gt;ProjectLife+1,0,(Main_Start*'Project Assumtions'!$L$15*((1+Main_Escal)^('Book Income Statement'!Z4-'Project Assumtions'!$N$6))+Fuel_Start*'Project Assumtions'!$L$16)/1000*Z6/12+(((Main_Start*1/3)*'Project Assumtions'!$L$15*((1+Main_Escal)^('Book Income Statement'!Z4-'Project Assumtions'!$N$6))+Fuel_Start*'Project Assumtions'!$L$16)/1000)*Z7/12)</f>
        <v>0</v>
      </c>
      <c r="AA13" s="573">
        <f>IF(AA3&gt;ProjectLife+1,0,(Main_Start*'Project Assumtions'!$L$15*((1+Main_Escal)^('Book Income Statement'!AA4-'Project Assumtions'!$N$6))+Fuel_Start*'Project Assumtions'!$L$16)/1000*AA6/12+(((Main_Start*1/3)*'Project Assumtions'!$L$15*((1+Main_Escal)^('Book Income Statement'!AA4-'Project Assumtions'!$N$6))+Fuel_Start*'Project Assumtions'!$L$16)/1000)*AA7/12)</f>
        <v>0</v>
      </c>
      <c r="AB13" s="574">
        <f>IF(AB3&gt;ProjectLife+1,0,(Main_Start*'Project Assumtions'!$L$15*((1+Main_Escal)^('Book Income Statement'!AB4-'Project Assumtions'!$N$6))+Fuel_Start*'Project Assumtions'!$L$16)/1000*AB6/12+(((Main_Start*1/3)*'Project Assumtions'!$L$15*((1+Main_Escal)^('Book Income Statement'!AB4-'Project Assumtions'!$N$6))+Fuel_Start*'Project Assumtions'!$L$16)/1000)*AB7/12)</f>
        <v>0</v>
      </c>
    </row>
    <row r="14" spans="1:53" ht="12.6" customHeight="1">
      <c r="B14" s="522" t="s">
        <v>626</v>
      </c>
      <c r="C14" s="611"/>
      <c r="D14" s="575">
        <f>Operations!C20*AnnualHours*(Energy_Margin)/1000*D7/12</f>
        <v>0</v>
      </c>
      <c r="E14" s="575">
        <f>Operations!D20*AnnualHours*(Energy_Margin)/1000*E7/12</f>
        <v>0</v>
      </c>
      <c r="F14" s="575">
        <f>Operations!E20*AnnualHours*(Energy_Margin)/1000*F7/12</f>
        <v>0</v>
      </c>
      <c r="G14" s="575">
        <f>Operations!F20*AnnualHours*(Energy_Margin)/1000*G7/12</f>
        <v>4.1185153333333329</v>
      </c>
      <c r="H14" s="575">
        <f>Operations!G20*AnnualHours*(Energy_Margin)/1000*H7/12</f>
        <v>12.103391999999999</v>
      </c>
      <c r="I14" s="575">
        <f>Operations!H20*AnnualHours*(Energy_Margin)/1000*I7/12</f>
        <v>12.103391999999999</v>
      </c>
      <c r="J14" s="575">
        <f>Operations!I20*AnnualHours*(Energy_Margin)/1000*J7/12</f>
        <v>12.103391999999999</v>
      </c>
      <c r="K14" s="575">
        <f>Operations!J20*AnnualHours*(Energy_Margin)/1000*K7/12</f>
        <v>12.103391999999999</v>
      </c>
      <c r="L14" s="575">
        <f>Operations!K20*AnnualHours*(Energy_Margin)/1000*L7/12</f>
        <v>12.103391999999999</v>
      </c>
      <c r="M14" s="575">
        <f>Operations!L20*AnnualHours*(Energy_Margin)/1000*M7/12</f>
        <v>12.103391999999999</v>
      </c>
      <c r="N14" s="575">
        <f>Operations!M20*AnnualHours*(Energy_Margin)/1000*N7/12</f>
        <v>12.103391999999999</v>
      </c>
      <c r="O14" s="575">
        <f>Operations!N20*AnnualHours*(Energy_Margin)/1000*O7/12</f>
        <v>12.103391999999999</v>
      </c>
      <c r="P14" s="575">
        <f>Operations!O20*AnnualHours*(Energy_Margin)/1000*P7/12</f>
        <v>12.103391999999999</v>
      </c>
      <c r="Q14" s="575">
        <f>Operations!P20*AnnualHours*(Energy_Margin)/1000*Q7/12</f>
        <v>12.103391999999999</v>
      </c>
      <c r="R14" s="575">
        <f>Operations!Q20*AnnualHours*(Energy_Margin)/1000*R7/12</f>
        <v>12.103391999999999</v>
      </c>
      <c r="S14" s="575">
        <f>Operations!R20*AnnualHours*(Energy_Margin)/1000*S7/12</f>
        <v>12.103391999999999</v>
      </c>
      <c r="T14" s="575">
        <f>Operations!S20*AnnualHours*(Energy_Margin)/1000*T7/12</f>
        <v>12.103391999999999</v>
      </c>
      <c r="U14" s="575">
        <f>Operations!T20*AnnualHours*(Energy_Margin)/1000*U7/12</f>
        <v>12.103391999999999</v>
      </c>
      <c r="V14" s="575">
        <f>Operations!U20*AnnualHours*(Energy_Margin)/1000*V7/12</f>
        <v>12.103391999999999</v>
      </c>
      <c r="W14" s="575">
        <f>Operations!V20*AnnualHours*(Energy_Margin)/1000*W7/12</f>
        <v>12.103391999999999</v>
      </c>
      <c r="X14" s="575">
        <f>Operations!W20*AnnualHours*(Energy_Margin)/1000*X7/12</f>
        <v>2.1012833333333334</v>
      </c>
      <c r="Y14" s="575">
        <f>Operations!X20*AnnualHours*(Energy_Margin)/1000*Y7/12</f>
        <v>0</v>
      </c>
      <c r="Z14" s="575">
        <f>Operations!Y20*AnnualHours*(Energy_Margin)/1000*Z7/12</f>
        <v>0</v>
      </c>
      <c r="AA14" s="575">
        <f>Operations!Z20*AnnualHours*(Energy_Margin)/1000*AA7/12</f>
        <v>0</v>
      </c>
      <c r="AB14" s="576">
        <f>Operations!AA20*AnnualHours*(Energy_Margin)/1000*AB7/12</f>
        <v>0</v>
      </c>
    </row>
    <row r="15" spans="1:53" ht="12.6" customHeight="1">
      <c r="B15" s="522" t="s">
        <v>112</v>
      </c>
      <c r="C15" s="611"/>
      <c r="D15" s="739">
        <f>'PPA Assumptions &amp;Summary'!C15</f>
        <v>0</v>
      </c>
      <c r="E15" s="739">
        <f>'PPA Assumptions &amp;Summary'!D15</f>
        <v>0</v>
      </c>
      <c r="F15" s="739">
        <f>'PPA Assumptions &amp;Summary'!E15</f>
        <v>0</v>
      </c>
      <c r="G15" s="739">
        <f>'PPA Assumptions &amp;Summary'!F15</f>
        <v>0</v>
      </c>
      <c r="H15" s="739">
        <f>'PPA Assumptions &amp;Summary'!G15</f>
        <v>0</v>
      </c>
      <c r="I15" s="739">
        <f>'PPA Assumptions &amp;Summary'!H15</f>
        <v>0</v>
      </c>
      <c r="J15" s="739">
        <f>'PPA Assumptions &amp;Summary'!I15</f>
        <v>0</v>
      </c>
      <c r="K15" s="739">
        <f>'PPA Assumptions &amp;Summary'!J15</f>
        <v>0</v>
      </c>
      <c r="L15" s="739">
        <f>'PPA Assumptions &amp;Summary'!K15</f>
        <v>0</v>
      </c>
      <c r="M15" s="739">
        <f>'PPA Assumptions &amp;Summary'!L15</f>
        <v>0</v>
      </c>
      <c r="N15" s="739">
        <f>'PPA Assumptions &amp;Summary'!M15</f>
        <v>0</v>
      </c>
      <c r="O15" s="739">
        <f>'PPA Assumptions &amp;Summary'!N15</f>
        <v>0</v>
      </c>
      <c r="P15" s="739">
        <f>'PPA Assumptions &amp;Summary'!O15</f>
        <v>0</v>
      </c>
      <c r="Q15" s="739">
        <f>'PPA Assumptions &amp;Summary'!P15</f>
        <v>0</v>
      </c>
      <c r="R15" s="739">
        <f>'PPA Assumptions &amp;Summary'!Q15</f>
        <v>0</v>
      </c>
      <c r="S15" s="739">
        <f>'PPA Assumptions &amp;Summary'!R15</f>
        <v>0</v>
      </c>
      <c r="T15" s="739">
        <f>'PPA Assumptions &amp;Summary'!S15</f>
        <v>0</v>
      </c>
      <c r="U15" s="739">
        <f>'PPA Assumptions &amp;Summary'!T15</f>
        <v>0</v>
      </c>
      <c r="V15" s="739">
        <f>'PPA Assumptions &amp;Summary'!U15</f>
        <v>0</v>
      </c>
      <c r="W15" s="739">
        <f>'PPA Assumptions &amp;Summary'!V15</f>
        <v>0</v>
      </c>
      <c r="X15" s="739">
        <f>'PPA Assumptions &amp;Summary'!W15</f>
        <v>0</v>
      </c>
      <c r="Y15" s="739">
        <f>'PPA Assumptions &amp;Summary'!X15</f>
        <v>0</v>
      </c>
      <c r="Z15" s="739">
        <f>'PPA Assumptions &amp;Summary'!Y15</f>
        <v>0</v>
      </c>
      <c r="AA15" s="739">
        <f>'PPA Assumptions &amp;Summary'!Z15</f>
        <v>0</v>
      </c>
      <c r="AB15" s="740">
        <f>'PPA Assumptions &amp;Summary'!AA15</f>
        <v>0</v>
      </c>
    </row>
    <row r="16" spans="1:53" ht="12.6" customHeight="1">
      <c r="B16" s="522" t="s">
        <v>141</v>
      </c>
      <c r="C16" s="611"/>
      <c r="D16" s="741">
        <f>'PPA Assumptions &amp;Summary'!C16</f>
        <v>0</v>
      </c>
      <c r="E16" s="741">
        <f>'PPA Assumptions &amp;Summary'!D16</f>
        <v>0</v>
      </c>
      <c r="F16" s="741">
        <f>'PPA Assumptions &amp;Summary'!E16</f>
        <v>0</v>
      </c>
      <c r="G16" s="741">
        <f>'PPA Assumptions &amp;Summary'!F16</f>
        <v>0</v>
      </c>
      <c r="H16" s="741">
        <f>'PPA Assumptions &amp;Summary'!G16</f>
        <v>0</v>
      </c>
      <c r="I16" s="741">
        <f>'PPA Assumptions &amp;Summary'!H16</f>
        <v>0</v>
      </c>
      <c r="J16" s="741">
        <f>'PPA Assumptions &amp;Summary'!I16</f>
        <v>0</v>
      </c>
      <c r="K16" s="741">
        <f>'PPA Assumptions &amp;Summary'!J16</f>
        <v>0</v>
      </c>
      <c r="L16" s="741">
        <f>'PPA Assumptions &amp;Summary'!K16</f>
        <v>0</v>
      </c>
      <c r="M16" s="741">
        <f>'PPA Assumptions &amp;Summary'!L16</f>
        <v>0</v>
      </c>
      <c r="N16" s="741">
        <f>'PPA Assumptions &amp;Summary'!M16</f>
        <v>0</v>
      </c>
      <c r="O16" s="741">
        <f>'PPA Assumptions &amp;Summary'!N16</f>
        <v>0</v>
      </c>
      <c r="P16" s="741">
        <f>'PPA Assumptions &amp;Summary'!O16</f>
        <v>0</v>
      </c>
      <c r="Q16" s="741">
        <f>'PPA Assumptions &amp;Summary'!P16</f>
        <v>0</v>
      </c>
      <c r="R16" s="741">
        <f>'PPA Assumptions &amp;Summary'!Q16</f>
        <v>0</v>
      </c>
      <c r="S16" s="741">
        <f>'PPA Assumptions &amp;Summary'!R16</f>
        <v>0</v>
      </c>
      <c r="T16" s="741">
        <f>'PPA Assumptions &amp;Summary'!S16</f>
        <v>0</v>
      </c>
      <c r="U16" s="741">
        <f>'PPA Assumptions &amp;Summary'!T16</f>
        <v>0</v>
      </c>
      <c r="V16" s="741">
        <f>'PPA Assumptions &amp;Summary'!U16</f>
        <v>0</v>
      </c>
      <c r="W16" s="741">
        <f>'PPA Assumptions &amp;Summary'!V16</f>
        <v>0</v>
      </c>
      <c r="X16" s="741">
        <f>'PPA Assumptions &amp;Summary'!W16</f>
        <v>0</v>
      </c>
      <c r="Y16" s="741">
        <f>'PPA Assumptions &amp;Summary'!X16</f>
        <v>0</v>
      </c>
      <c r="Z16" s="741">
        <f>'PPA Assumptions &amp;Summary'!Y16</f>
        <v>0</v>
      </c>
      <c r="AA16" s="741">
        <f>'PPA Assumptions &amp;Summary'!Z16</f>
        <v>0</v>
      </c>
      <c r="AB16" s="742">
        <f>'PPA Assumptions &amp;Summary'!AA16</f>
        <v>0</v>
      </c>
    </row>
    <row r="17" spans="1:28" ht="12.6" customHeight="1">
      <c r="B17" s="743" t="s">
        <v>78</v>
      </c>
      <c r="C17" s="615"/>
      <c r="D17" s="744">
        <f t="shared" ref="D17:AB17" si="2">SUM(D10:D16)</f>
        <v>25347.056333333334</v>
      </c>
      <c r="E17" s="744">
        <f t="shared" si="2"/>
        <v>42007.487139999997</v>
      </c>
      <c r="F17" s="744">
        <f t="shared" si="2"/>
        <v>42094.521254200001</v>
      </c>
      <c r="G17" s="744">
        <f t="shared" si="2"/>
        <v>50668.657660713434</v>
      </c>
      <c r="H17" s="744">
        <f t="shared" si="2"/>
        <v>57743.893261455611</v>
      </c>
      <c r="I17" s="744">
        <f t="shared" si="2"/>
        <v>58943.222063339272</v>
      </c>
      <c r="J17" s="744">
        <f t="shared" si="2"/>
        <v>59552.465288799118</v>
      </c>
      <c r="K17" s="744">
        <f t="shared" si="2"/>
        <v>60161.203847808363</v>
      </c>
      <c r="L17" s="744">
        <f t="shared" si="2"/>
        <v>60768.85914147702</v>
      </c>
      <c r="M17" s="744">
        <f t="shared" si="2"/>
        <v>61374.818309181566</v>
      </c>
      <c r="N17" s="744">
        <f t="shared" si="2"/>
        <v>61978.432693599862</v>
      </c>
      <c r="O17" s="744">
        <f t="shared" si="2"/>
        <v>62579.016244483784</v>
      </c>
      <c r="P17" s="744">
        <f t="shared" si="2"/>
        <v>63175.843858875312</v>
      </c>
      <c r="Q17" s="744">
        <f t="shared" si="2"/>
        <v>62998.168132096616</v>
      </c>
      <c r="R17" s="744">
        <f t="shared" si="2"/>
        <v>63562.044211108274</v>
      </c>
      <c r="S17" s="744">
        <f t="shared" si="2"/>
        <v>64119.044143420528</v>
      </c>
      <c r="T17" s="744">
        <f t="shared" si="2"/>
        <v>64668.247871760315</v>
      </c>
      <c r="U17" s="744">
        <f t="shared" si="2"/>
        <v>65208.686323950235</v>
      </c>
      <c r="V17" s="744">
        <f t="shared" si="2"/>
        <v>65739.339300065752</v>
      </c>
      <c r="W17" s="744">
        <f t="shared" si="2"/>
        <v>65339.735070763163</v>
      </c>
      <c r="X17" s="744">
        <f t="shared" si="2"/>
        <v>39294.512599893416</v>
      </c>
      <c r="Y17" s="744">
        <f t="shared" si="2"/>
        <v>0</v>
      </c>
      <c r="Z17" s="744">
        <f t="shared" si="2"/>
        <v>0</v>
      </c>
      <c r="AA17" s="744">
        <f t="shared" si="2"/>
        <v>0</v>
      </c>
      <c r="AB17" s="745">
        <f t="shared" si="2"/>
        <v>0</v>
      </c>
    </row>
    <row r="18" spans="1:28" ht="12.6" customHeight="1" thickBot="1">
      <c r="B18" s="746"/>
      <c r="C18" s="747"/>
      <c r="D18" s="748"/>
      <c r="E18" s="748"/>
      <c r="F18" s="748"/>
      <c r="G18" s="748"/>
      <c r="H18" s="748"/>
      <c r="I18" s="748"/>
      <c r="J18" s="748"/>
      <c r="K18" s="748"/>
      <c r="L18" s="748"/>
      <c r="M18" s="748"/>
      <c r="N18" s="748"/>
      <c r="O18" s="748"/>
      <c r="P18" s="748"/>
      <c r="Q18" s="748"/>
      <c r="R18" s="748"/>
      <c r="S18" s="748"/>
      <c r="T18" s="748"/>
      <c r="U18" s="748"/>
      <c r="V18" s="748"/>
      <c r="W18" s="748"/>
      <c r="X18" s="748"/>
      <c r="Y18" s="748"/>
      <c r="Z18" s="748"/>
      <c r="AA18" s="748"/>
      <c r="AB18" s="748"/>
    </row>
    <row r="19" spans="1:28" ht="12.6" customHeight="1">
      <c r="B19" s="185"/>
      <c r="C19" s="85" t="s">
        <v>138</v>
      </c>
      <c r="D19" s="89"/>
      <c r="E19" s="89"/>
      <c r="F19" s="89"/>
      <c r="G19" s="89"/>
      <c r="H19" s="89"/>
      <c r="I19" s="89"/>
      <c r="J19" s="89"/>
      <c r="K19" s="89"/>
      <c r="L19" s="89"/>
      <c r="M19" s="89"/>
      <c r="N19" s="89"/>
      <c r="O19" s="89"/>
      <c r="P19" s="89"/>
      <c r="Q19" s="89"/>
      <c r="R19" s="89"/>
      <c r="S19" s="89"/>
      <c r="T19" s="89"/>
      <c r="U19" s="89"/>
      <c r="V19" s="89"/>
      <c r="W19" s="89"/>
      <c r="X19" s="89"/>
      <c r="Y19" s="89"/>
      <c r="Z19" s="89"/>
      <c r="AA19" s="89"/>
      <c r="AB19" s="89"/>
    </row>
    <row r="20" spans="1:28" ht="12.6" customHeight="1">
      <c r="B20" s="734" t="s">
        <v>428</v>
      </c>
      <c r="C20" s="610"/>
      <c r="D20" s="749"/>
      <c r="E20" s="749"/>
      <c r="F20" s="749"/>
      <c r="G20" s="749"/>
      <c r="H20" s="749"/>
      <c r="I20" s="749"/>
      <c r="J20" s="749"/>
      <c r="K20" s="749"/>
      <c r="L20" s="749"/>
      <c r="M20" s="749"/>
      <c r="N20" s="749"/>
      <c r="O20" s="749"/>
      <c r="P20" s="749"/>
      <c r="Q20" s="749"/>
      <c r="R20" s="749"/>
      <c r="S20" s="749"/>
      <c r="T20" s="749"/>
      <c r="U20" s="749"/>
      <c r="V20" s="749"/>
      <c r="W20" s="749"/>
      <c r="X20" s="749"/>
      <c r="Y20" s="749"/>
      <c r="Z20" s="749"/>
      <c r="AA20" s="749"/>
      <c r="AB20" s="750"/>
    </row>
    <row r="21" spans="1:28" ht="12.6" customHeight="1">
      <c r="B21" s="521" t="s">
        <v>429</v>
      </c>
      <c r="C21" s="611"/>
      <c r="D21" s="575"/>
      <c r="E21" s="575"/>
      <c r="F21" s="575"/>
      <c r="G21" s="575"/>
      <c r="H21" s="575"/>
      <c r="I21" s="575"/>
      <c r="J21" s="575"/>
      <c r="K21" s="575"/>
      <c r="L21" s="575"/>
      <c r="M21" s="575"/>
      <c r="N21" s="575"/>
      <c r="O21" s="575"/>
      <c r="P21" s="575"/>
      <c r="Q21" s="575"/>
      <c r="R21" s="575"/>
      <c r="S21" s="575"/>
      <c r="T21" s="575"/>
      <c r="U21" s="575"/>
      <c r="V21" s="575"/>
      <c r="W21" s="575"/>
      <c r="X21" s="575"/>
      <c r="Y21" s="575"/>
      <c r="Z21" s="575"/>
      <c r="AA21" s="575"/>
      <c r="AB21" s="576"/>
    </row>
    <row r="22" spans="1:28" ht="12.6" customHeight="1">
      <c r="B22" s="522" t="s">
        <v>483</v>
      </c>
      <c r="C22" s="611"/>
      <c r="D22" s="573">
        <f>IF(D3&gt;'Project Assumtions'!$I$15+1,0,Operations!C35)</f>
        <v>9652.0375000000004</v>
      </c>
      <c r="E22" s="573">
        <f>IF(E3&gt;'Project Assumtions'!$I$15+1,0,Operations!D35)</f>
        <v>16546.349999999999</v>
      </c>
      <c r="F22" s="573">
        <f>IF(F3&gt;'Project Assumtions'!$I$15+1,0,Operations!E35)</f>
        <v>16546.349999999999</v>
      </c>
      <c r="G22" s="573">
        <f>IF(G3&gt;'Project Assumtions'!$I$15+1,0,Operations!F35)</f>
        <v>17337.212624708336</v>
      </c>
      <c r="H22" s="573">
        <f>IF(H3&gt;'Project Assumtions'!$I$15+1,0,Operations!G35)</f>
        <v>17754.163140000001</v>
      </c>
      <c r="I22" s="573">
        <f>IF(I3&gt;'Project Assumtions'!$I$15+1,0,Operations!H35)</f>
        <v>17754.163140000001</v>
      </c>
      <c r="J22" s="573">
        <f>IF(J3&gt;'Project Assumtions'!$I$15+1,0,Operations!I35)</f>
        <v>17754.163140000001</v>
      </c>
      <c r="K22" s="573">
        <f>IF(K3&gt;'Project Assumtions'!$I$15+1,0,Operations!J35)</f>
        <v>17754.163140000001</v>
      </c>
      <c r="L22" s="573">
        <f>IF(L3&gt;'Project Assumtions'!$I$15+1,0,Operations!K35)</f>
        <v>17754.163140000001</v>
      </c>
      <c r="M22" s="573">
        <f>IF(M3&gt;'Project Assumtions'!$I$15+1,0,Operations!L35)</f>
        <v>17754.163140000001</v>
      </c>
      <c r="N22" s="573">
        <f>IF(N3&gt;'Project Assumtions'!$I$15+1,0,Operations!M35)</f>
        <v>17754.163140000001</v>
      </c>
      <c r="O22" s="573">
        <f>IF(O3&gt;'Project Assumtions'!$I$15+1,0,Operations!N35)</f>
        <v>17754.163140000001</v>
      </c>
      <c r="P22" s="573">
        <f>IF(P3&gt;'Project Assumtions'!$I$15+1,0,Operations!O35)</f>
        <v>17754.163140000001</v>
      </c>
      <c r="Q22" s="573">
        <f>IF(Q3&gt;'Project Assumtions'!$I$15+1,0,Operations!P35)</f>
        <v>17754.163140000001</v>
      </c>
      <c r="R22" s="573">
        <f>IF(R3&gt;'Project Assumtions'!$I$15+1,0,Operations!Q35)</f>
        <v>17754.163140000001</v>
      </c>
      <c r="S22" s="573">
        <f>IF(S3&gt;'Project Assumtions'!$I$15+1,0,Operations!R35)</f>
        <v>17754.163140000001</v>
      </c>
      <c r="T22" s="573">
        <f>IF(T3&gt;'Project Assumtions'!$I$15+1,0,Operations!S35)</f>
        <v>17754.163140000001</v>
      </c>
      <c r="U22" s="573">
        <f>IF(U3&gt;'Project Assumtions'!$I$15+1,0,Operations!T35)</f>
        <v>17754.163140000001</v>
      </c>
      <c r="V22" s="573">
        <f>IF(V3&gt;'Project Assumtions'!$I$15+1,0,Operations!U35)</f>
        <v>17754.163140000001</v>
      </c>
      <c r="W22" s="573">
        <f>IF(W3&gt;'Project Assumtions'!$I$15+1,0,Operations!V35)</f>
        <v>17754.163140000001</v>
      </c>
      <c r="X22" s="573">
        <f>IF(X3&gt;'Project Assumtions'!$I$15+1,0,Operations!W35)</f>
        <v>17754.163140000001</v>
      </c>
      <c r="Y22" s="573">
        <f>IF(Y3&gt;'Project Assumtions'!$I$15+1,0,Operations!X35)</f>
        <v>0</v>
      </c>
      <c r="Z22" s="573">
        <f>IF(Z3&gt;'Project Assumtions'!$I$15+1,0,Operations!Y35)</f>
        <v>0</v>
      </c>
      <c r="AA22" s="573">
        <f>IF(AA3&gt;'Project Assumtions'!$I$15+1,0,Operations!Z35)</f>
        <v>0</v>
      </c>
      <c r="AB22" s="574">
        <f>IF(AB3&gt;'Project Assumtions'!$I$15+1,0,Operations!AA35)</f>
        <v>0</v>
      </c>
    </row>
    <row r="23" spans="1:28" ht="12.6" customHeight="1">
      <c r="B23" s="522"/>
      <c r="C23" s="611"/>
      <c r="D23" s="573"/>
      <c r="E23" s="573"/>
      <c r="F23" s="573"/>
      <c r="G23" s="573"/>
      <c r="H23" s="573"/>
      <c r="I23" s="573"/>
      <c r="J23" s="573"/>
      <c r="K23" s="573"/>
      <c r="L23" s="573"/>
      <c r="M23" s="573"/>
      <c r="N23" s="573"/>
      <c r="O23" s="573"/>
      <c r="P23" s="573"/>
      <c r="Q23" s="573"/>
      <c r="R23" s="573"/>
      <c r="S23" s="573"/>
      <c r="T23" s="573"/>
      <c r="U23" s="573"/>
      <c r="V23" s="573"/>
      <c r="W23" s="573"/>
      <c r="X23" s="573"/>
      <c r="Y23" s="573"/>
      <c r="Z23" s="573"/>
      <c r="AA23" s="573"/>
      <c r="AB23" s="574"/>
    </row>
    <row r="24" spans="1:28" ht="12.6" customHeight="1">
      <c r="A24" s="1">
        <v>3</v>
      </c>
      <c r="B24" s="751" t="s">
        <v>424</v>
      </c>
      <c r="C24" s="611"/>
      <c r="D24" s="573">
        <f>IF(D3&gt;'Project Assumtions'!$I$15+1,0,WaterMWh*(Operations!C25+Operations!C27))*((1+OM_Escal)^(D4-'Project Assumtions'!$N$6))/1000</f>
        <v>192.86750000000001</v>
      </c>
      <c r="E24" s="573">
        <f>IF(E3&gt;'Project Assumtions'!$I$15+1,0,WaterMWh*(Operations!D25+Operations!D27))*((1+OM_Escal)^(E4-'Project Assumtions'!$N$6))/1000</f>
        <v>340.54889999999995</v>
      </c>
      <c r="F24" s="573">
        <f>IF(F3&gt;'Project Assumtions'!$I$15+1,0,WaterMWh*(Operations!E25+Operations!E27))*((1+OM_Escal)^(F4-'Project Assumtions'!$N$6))/1000</f>
        <v>350.76536700000003</v>
      </c>
      <c r="G24" s="573">
        <f>IF(G3&gt;'Project Assumtions'!$I$15+1,0,WaterMWh*(Operations!F25+Operations!F27))*((1+OM_Escal)^(G4-'Project Assumtions'!$N$6))/1000</f>
        <v>378.55675490574885</v>
      </c>
      <c r="H24" s="573">
        <f>IF(H3&gt;'Project Assumtions'!$I$15+1,0,WaterMWh*(Operations!G25+Operations!G27))*((1+OM_Escal)^(H4-'Project Assumtions'!$N$6))/1000</f>
        <v>399.29066371431719</v>
      </c>
      <c r="I24" s="573">
        <f>IF(I3&gt;'Project Assumtions'!$I$15+1,0,WaterMWh*(Operations!H25+Operations!H27))*((1+OM_Escal)^(I4-'Project Assumtions'!$N$6))/1000</f>
        <v>411.26938362574668</v>
      </c>
      <c r="J24" s="573">
        <f>IF(J3&gt;'Project Assumtions'!$I$15+1,0,WaterMWh*(Operations!I25+Operations!I27))*((1+OM_Escal)^(J4-'Project Assumtions'!$N$6))/1000</f>
        <v>423.60746513451915</v>
      </c>
      <c r="K24" s="573">
        <f>IF(K3&gt;'Project Assumtions'!$I$15+1,0,WaterMWh*(Operations!J25+Operations!J27))*((1+OM_Escal)^(K4-'Project Assumtions'!$N$6))/1000</f>
        <v>436.31568908855462</v>
      </c>
      <c r="L24" s="573">
        <f>IF(L3&gt;'Project Assumtions'!$I$15+1,0,WaterMWh*(Operations!K25+Operations!K27))*((1+OM_Escal)^(L4-'Project Assumtions'!$N$6))/1000</f>
        <v>449.40515976121134</v>
      </c>
      <c r="M24" s="573">
        <f>IF(M3&gt;'Project Assumtions'!$I$15+1,0,WaterMWh*(Operations!L25+Operations!L27))*((1+OM_Escal)^(M4-'Project Assumtions'!$N$6))/1000</f>
        <v>462.88731455404763</v>
      </c>
      <c r="N24" s="573">
        <f>IF(N3&gt;'Project Assumtions'!$I$15+1,0,WaterMWh*(Operations!M25+Operations!M27))*((1+OM_Escal)^(N4-'Project Assumtions'!$N$6))/1000</f>
        <v>476.77393399066909</v>
      </c>
      <c r="O24" s="573">
        <f>IF(O3&gt;'Project Assumtions'!$I$15+1,0,WaterMWh*(Operations!N25+Operations!N27))*((1+OM_Escal)^(O4-'Project Assumtions'!$N$6))/1000</f>
        <v>491.07715201038906</v>
      </c>
      <c r="P24" s="573">
        <f>IF(P3&gt;'Project Assumtions'!$I$15+1,0,WaterMWh*(Operations!O25+Operations!O27))*((1+OM_Escal)^(P4-'Project Assumtions'!$N$6))/1000</f>
        <v>505.80946657070075</v>
      </c>
      <c r="Q24" s="573">
        <f>IF(Q3&gt;'Project Assumtions'!$I$15+1,0,WaterMWh*(Operations!P25+Operations!P27))*((1+OM_Escal)^(Q4-'Project Assumtions'!$N$6))/1000</f>
        <v>520.98375056782186</v>
      </c>
      <c r="R24" s="573">
        <f>IF(R3&gt;'Project Assumtions'!$I$15+1,0,WaterMWh*(Operations!Q25+Operations!Q27))*((1+OM_Escal)^(R4-'Project Assumtions'!$N$6))/1000</f>
        <v>536.61326308485661</v>
      </c>
      <c r="S24" s="573">
        <f>IF(S3&gt;'Project Assumtions'!$I$15+1,0,WaterMWh*(Operations!R25+Operations!R27))*((1+OM_Escal)^(S4-'Project Assumtions'!$N$6))/1000</f>
        <v>552.71166097740218</v>
      </c>
      <c r="T24" s="573">
        <f>IF(T3&gt;'Project Assumtions'!$I$15+1,0,WaterMWh*(Operations!S25+Operations!S27))*((1+OM_Escal)^(T4-'Project Assumtions'!$N$6))/1000</f>
        <v>569.29301080672417</v>
      </c>
      <c r="U24" s="573">
        <f>IF(U3&gt;'Project Assumtions'!$I$15+1,0,WaterMWh*(Operations!T25+Operations!T27))*((1+OM_Escal)^(U4-'Project Assumtions'!$N$6))/1000</f>
        <v>586.37180113092586</v>
      </c>
      <c r="V24" s="573">
        <f>IF(V3&gt;'Project Assumtions'!$I$15+1,0,WaterMWh*(Operations!U25+Operations!U27))*((1+OM_Escal)^(V4-'Project Assumtions'!$N$6))/1000</f>
        <v>603.96295516485372</v>
      </c>
      <c r="W24" s="573">
        <f>IF(W3&gt;'Project Assumtions'!$I$15+1,0,WaterMWh*(Operations!V25+Operations!V27))*((1+OM_Escal)^(W4-'Project Assumtions'!$N$6))/1000</f>
        <v>622.08184381979925</v>
      </c>
      <c r="X24" s="573">
        <f>IF(X3&gt;'Project Assumtions'!$I$15+1,0,WaterMWh*(Operations!W25+Operations!W27))*((1+OM_Escal)^(X4-'Project Assumtions'!$N$6))/1000</f>
        <v>640.74429913439315</v>
      </c>
      <c r="Y24" s="573">
        <f>IF(Y3&gt;'Project Assumtions'!$I$15+1,0,WaterMWh*(Operations!X25+Operations!X27))*((1+OM_Escal)^(Y4-'Project Assumtions'!$N$6))/1000</f>
        <v>0</v>
      </c>
      <c r="Z24" s="573">
        <f>IF(Z3&gt;'Project Assumtions'!$I$15+1,0,WaterMWh*(Operations!Y25+Operations!Y27))*((1+OM_Escal)^(Z4-'Project Assumtions'!$N$6))/1000</f>
        <v>0</v>
      </c>
      <c r="AA24" s="573">
        <f>IF(AA3&gt;'Project Assumtions'!$I$15+1,0,WaterMWh*(Operations!Z25+Operations!Z27))*((1+OM_Escal)^(AA4-'Project Assumtions'!$N$6))/1000</f>
        <v>0</v>
      </c>
      <c r="AB24" s="574">
        <f>IF(AB3&gt;'Project Assumtions'!$I$15+1,0,WaterMWh*(Operations!AA25+Operations!AA27))*((1+OM_Escal)^(AB4-'Project Assumtions'!$N$6))/1000</f>
        <v>0</v>
      </c>
    </row>
    <row r="25" spans="1:28" ht="12.6" customHeight="1">
      <c r="A25" s="1">
        <v>3</v>
      </c>
      <c r="B25" s="751" t="s">
        <v>425</v>
      </c>
      <c r="C25" s="611"/>
      <c r="D25" s="573">
        <f>IF(D3&gt;'Project Assumtions'!$I$15+1,0,FercMWh*(Operations!C25+Operations!C27))*((1+OM_Escal)^(D4-'Project Assumtions'!$N$6))/1000</f>
        <v>16.9435</v>
      </c>
      <c r="E25" s="573">
        <f>IF(E3&gt;'Project Assumtions'!$I$15+1,0,FercMWh*(Operations!D25+Operations!D27))*((1+OM_Escal)^(E4-'Project Assumtions'!$N$6))/1000</f>
        <v>29.917379999999998</v>
      </c>
      <c r="F25" s="573">
        <f>IF(F3&gt;'Project Assumtions'!$I$15+1,0,FercMWh*(Operations!E25+Operations!E27))*((1+OM_Escal)^(F4-'Project Assumtions'!$N$6))/1000</f>
        <v>30.8149014</v>
      </c>
      <c r="G25" s="573">
        <f>IF(G3&gt;'Project Assumtions'!$I$15+1,0,FercMWh*(Operations!F25+Operations!F27))*((1+OM_Escal)^(G4-'Project Assumtions'!$N$6))/1000</f>
        <v>33.256387814149903</v>
      </c>
      <c r="H25" s="573">
        <f>IF(H3&gt;'Project Assumtions'!$I$15+1,0,FercMWh*(Operations!G25+Operations!G27))*((1+OM_Escal)^(H4-'Project Assumtions'!$N$6))/1000</f>
        <v>35.077871391725054</v>
      </c>
      <c r="I25" s="573">
        <f>IF(I3&gt;'Project Assumtions'!$I$15+1,0,FercMWh*(Operations!H25+Operations!H27))*((1+OM_Escal)^(I4-'Project Assumtions'!$N$6))/1000</f>
        <v>36.130207533476813</v>
      </c>
      <c r="J25" s="573">
        <f>IF(J3&gt;'Project Assumtions'!$I$15+1,0,FercMWh*(Operations!I25+Operations!I27))*((1+OM_Escal)^(J4-'Project Assumtions'!$N$6))/1000</f>
        <v>37.214113759481123</v>
      </c>
      <c r="K25" s="573">
        <f>IF(K3&gt;'Project Assumtions'!$I$15+1,0,FercMWh*(Operations!J25+Operations!J27))*((1+OM_Escal)^(K4-'Project Assumtions'!$N$6))/1000</f>
        <v>38.330537172265551</v>
      </c>
      <c r="L25" s="573">
        <f>IF(L3&gt;'Project Assumtions'!$I$15+1,0,FercMWh*(Operations!K25+Operations!K27))*((1+OM_Escal)^(L4-'Project Assumtions'!$N$6))/1000</f>
        <v>39.480453287433512</v>
      </c>
      <c r="M25" s="573">
        <f>IF(M3&gt;'Project Assumtions'!$I$15+1,0,FercMWh*(Operations!L25+Operations!L27))*((1+OM_Escal)^(M4-'Project Assumtions'!$N$6))/1000</f>
        <v>40.664866886056522</v>
      </c>
      <c r="N25" s="573">
        <f>IF(N3&gt;'Project Assumtions'!$I$15+1,0,FercMWh*(Operations!M25+Operations!M27))*((1+OM_Escal)^(N4-'Project Assumtions'!$N$6))/1000</f>
        <v>41.884812892638223</v>
      </c>
      <c r="O25" s="573">
        <f>IF(O3&gt;'Project Assumtions'!$I$15+1,0,FercMWh*(Operations!N25+Operations!N27))*((1+OM_Escal)^(O4-'Project Assumtions'!$N$6))/1000</f>
        <v>43.141357279417363</v>
      </c>
      <c r="P25" s="573">
        <f>IF(P3&gt;'Project Assumtions'!$I$15+1,0,FercMWh*(Operations!O25+Operations!O27))*((1+OM_Escal)^(P4-'Project Assumtions'!$N$6))/1000</f>
        <v>44.435597997799881</v>
      </c>
      <c r="Q25" s="573">
        <f>IF(Q3&gt;'Project Assumtions'!$I$15+1,0,FercMWh*(Operations!P25+Operations!P27))*((1+OM_Escal)^(Q4-'Project Assumtions'!$N$6))/1000</f>
        <v>45.768665937733878</v>
      </c>
      <c r="R25" s="573">
        <f>IF(R3&gt;'Project Assumtions'!$I$15+1,0,FercMWh*(Operations!Q25+Operations!Q27))*((1+OM_Escal)^(R4-'Project Assumtions'!$N$6))/1000</f>
        <v>47.141725915865898</v>
      </c>
      <c r="S25" s="573">
        <f>IF(S3&gt;'Project Assumtions'!$I$15+1,0,FercMWh*(Operations!R25+Operations!R27))*((1+OM_Escal)^(S4-'Project Assumtions'!$N$6))/1000</f>
        <v>48.555977693341866</v>
      </c>
      <c r="T25" s="573">
        <f>IF(T3&gt;'Project Assumtions'!$I$15+1,0,FercMWh*(Operations!S25+Operations!S27))*((1+OM_Escal)^(T4-'Project Assumtions'!$N$6))/1000</f>
        <v>50.012657024142122</v>
      </c>
      <c r="U25" s="573">
        <f>IF(U3&gt;'Project Assumtions'!$I$15+1,0,FercMWh*(Operations!T25+Operations!T27))*((1+OM_Escal)^(U4-'Project Assumtions'!$N$6))/1000</f>
        <v>51.513036734866382</v>
      </c>
      <c r="V25" s="573">
        <f>IF(V3&gt;'Project Assumtions'!$I$15+1,0,FercMWh*(Operations!U25+Operations!U27))*((1+OM_Escal)^(V4-'Project Assumtions'!$N$6))/1000</f>
        <v>53.058427836912379</v>
      </c>
      <c r="W25" s="573">
        <f>IF(W3&gt;'Project Assumtions'!$I$15+1,0,FercMWh*(Operations!V25+Operations!V27))*((1+OM_Escal)^(W4-'Project Assumtions'!$N$6))/1000</f>
        <v>54.650180672019751</v>
      </c>
      <c r="X25" s="573">
        <f>IF(X3&gt;'Project Assumtions'!$I$15+1,0,FercMWh*(Operations!W25+Operations!W27))*((1+OM_Escal)^(X4-'Project Assumtions'!$N$6))/1000</f>
        <v>56.289686092180332</v>
      </c>
      <c r="Y25" s="573">
        <f>IF(Y3&gt;'Project Assumtions'!$I$15+1,0,FercMWh*(Operations!X25+Operations!X27))*((1+OM_Escal)^(Y4-'Project Assumtions'!$N$6))/1000</f>
        <v>0</v>
      </c>
      <c r="Z25" s="573">
        <f>IF(Z3&gt;'Project Assumtions'!$I$15+1,0,FercMWh*(Operations!Y25+Operations!Y27))*((1+OM_Escal)^(Z4-'Project Assumtions'!$N$6))/1000</f>
        <v>0</v>
      </c>
      <c r="AA25" s="573">
        <f>IF(AA3&gt;'Project Assumtions'!$I$15+1,0,FercMWh*(Operations!Z25+Operations!Z27))*((1+OM_Escal)^(AA4-'Project Assumtions'!$N$6))/1000</f>
        <v>0</v>
      </c>
      <c r="AB25" s="574">
        <f>IF(AB3&gt;'Project Assumtions'!$I$15+1,0,FercMWh*(Operations!AA25+Operations!AA27))*((1+OM_Escal)^(AB4-'Project Assumtions'!$N$6))/1000</f>
        <v>0</v>
      </c>
    </row>
    <row r="26" spans="1:28" ht="12.6" customHeight="1">
      <c r="A26" s="1">
        <v>3</v>
      </c>
      <c r="B26" s="751" t="s">
        <v>426</v>
      </c>
      <c r="C26" s="611"/>
      <c r="D26" s="898">
        <f>IF(D3&gt;'Project Assumtions'!$I$15+1,0,MainMWh*(Operations!C25+Operations!C27))*((1+OM_Escal)^(D4-'Project Assumtions'!$N$6))/1000</f>
        <v>184.45583333333332</v>
      </c>
      <c r="E26" s="898">
        <f>IF(E3&gt;'Project Assumtions'!$I$15+1,0,MainMWh*(Operations!D25+Operations!D27))*((1+OM_Escal)^(E4-'Project Assumtions'!$N$6))/1000</f>
        <v>325.69629999999995</v>
      </c>
      <c r="F26" s="898">
        <f>IF(F3&gt;'Project Assumtions'!$I$15+1,0,MainMWh*(Operations!E25+Operations!E27))*((1+OM_Escal)^(F4-'Project Assumtions'!$N$6))/1000</f>
        <v>335.46718899999996</v>
      </c>
      <c r="G26" s="898">
        <f>IF(G3&gt;'Project Assumtions'!$I$15+1,0,MainMWh*(Operations!F25+Operations!F27))*((1+OM_Escal)^(G4-'Project Assumtions'!$N$6))/1000</f>
        <v>362.04649145191553</v>
      </c>
      <c r="H26" s="898">
        <f>IF(H3&gt;'Project Assumtions'!$I$15+1,0,MainMWh*(Operations!G25+Operations!G27))*((1+OM_Escal)^(H4-'Project Assumtions'!$N$6))/1000</f>
        <v>381.87611763331881</v>
      </c>
      <c r="I26" s="898">
        <f>IF(I3&gt;'Project Assumtions'!$I$15+1,0,MainMWh*(Operations!H25+Operations!H27))*((1+OM_Escal)^(I4-'Project Assumtions'!$N$6))/1000</f>
        <v>393.33240116231843</v>
      </c>
      <c r="J26" s="898">
        <f>IF(J3&gt;'Project Assumtions'!$I$15+1,0,MainMWh*(Operations!I25+Operations!I27))*((1+OM_Escal)^(J4-'Project Assumtions'!$N$6))/1000</f>
        <v>405.13237319718797</v>
      </c>
      <c r="K26" s="898">
        <f>IF(K3&gt;'Project Assumtions'!$I$15+1,0,MainMWh*(Operations!J25+Operations!J27))*((1+OM_Escal)^(K4-'Project Assumtions'!$N$6))/1000</f>
        <v>417.28634439310355</v>
      </c>
      <c r="L26" s="898">
        <f>IF(L3&gt;'Project Assumtions'!$I$15+1,0,MainMWh*(Operations!K25+Operations!K27))*((1+OM_Escal)^(L4-'Project Assumtions'!$N$6))/1000</f>
        <v>429.80493472489667</v>
      </c>
      <c r="M26" s="898">
        <f>IF(M3&gt;'Project Assumtions'!$I$15+1,0,MainMWh*(Operations!L25+Operations!L27))*((1+OM_Escal)^(M4-'Project Assumtions'!$N$6))/1000</f>
        <v>442.69908276664358</v>
      </c>
      <c r="N26" s="898">
        <f>IF(N3&gt;'Project Assumtions'!$I$15+1,0,MainMWh*(Operations!M25+Operations!M27))*((1+OM_Escal)^(N4-'Project Assumtions'!$N$6))/1000</f>
        <v>455.98005524964293</v>
      </c>
      <c r="O26" s="898">
        <f>IF(O3&gt;'Project Assumtions'!$I$15+1,0,MainMWh*(Operations!N25+Operations!N27))*((1+OM_Escal)^(O4-'Project Assumtions'!$N$6))/1000</f>
        <v>469.6594569071321</v>
      </c>
      <c r="P26" s="898">
        <f>IF(P3&gt;'Project Assumtions'!$I$15+1,0,MainMWh*(Operations!O25+Operations!O27))*((1+OM_Escal)^(P4-'Project Assumtions'!$N$6))/1000</f>
        <v>483.74924061434604</v>
      </c>
      <c r="Q26" s="898">
        <f>IF(Q3&gt;'Project Assumtions'!$I$15+1,0,MainMWh*(Operations!P25+Operations!P27))*((1+OM_Escal)^(Q4-'Project Assumtions'!$N$6))/1000</f>
        <v>498.26171783277647</v>
      </c>
      <c r="R26" s="898">
        <f>IF(R3&gt;'Project Assumtions'!$I$15+1,0,MainMWh*(Operations!Q25+Operations!Q27))*((1+OM_Escal)^(R4-'Project Assumtions'!$N$6))/1000</f>
        <v>513.20956936775985</v>
      </c>
      <c r="S26" s="898">
        <f>IF(S3&gt;'Project Assumtions'!$I$15+1,0,MainMWh*(Operations!R25+Operations!R27))*((1+OM_Escal)^(S4-'Project Assumtions'!$N$6))/1000</f>
        <v>528.60585644879245</v>
      </c>
      <c r="T26" s="898">
        <f>IF(T3&gt;'Project Assumtions'!$I$15+1,0,MainMWh*(Operations!S25+Operations!S27))*((1+OM_Escal)^(T4-'Project Assumtions'!$N$6))/1000</f>
        <v>544.46403214225631</v>
      </c>
      <c r="U26" s="898">
        <f>IF(U3&gt;'Project Assumtions'!$I$15+1,0,MainMWh*(Operations!T25+Operations!T27))*((1+OM_Escal)^(U4-'Project Assumtions'!$N$6))/1000</f>
        <v>560.79795310652401</v>
      </c>
      <c r="V26" s="898">
        <f>IF(V3&gt;'Project Assumtions'!$I$15+1,0,MainMWh*(Operations!U25+Operations!U27))*((1+OM_Escal)^(V4-'Project Assumtions'!$N$6))/1000</f>
        <v>577.62189169971975</v>
      </c>
      <c r="W26" s="898">
        <f>IF(W3&gt;'Project Assumtions'!$I$15+1,0,MainMWh*(Operations!V25+Operations!V27))*((1+OM_Escal)^(W4-'Project Assumtions'!$N$6))/1000</f>
        <v>594.95054845071127</v>
      </c>
      <c r="X26" s="898">
        <f>IF(X3&gt;'Project Assumtions'!$I$15+1,0,MainMWh*(Operations!W25+Operations!W27))*((1+OM_Escal)^(X4-'Project Assumtions'!$N$6))/1000</f>
        <v>612.79906490423252</v>
      </c>
      <c r="Y26" s="898">
        <f>IF(Y3&gt;'Project Assumtions'!$I$15+1,0,MainMWh*(Operations!X25+Operations!X27))*((1+OM_Escal)^(Y4-'Project Assumtions'!$N$6))/1000</f>
        <v>0</v>
      </c>
      <c r="Z26" s="898">
        <f>IF(Z3&gt;'Project Assumtions'!$I$15+1,0,MainMWh*(Operations!Y25+Operations!Y27))*((1+OM_Escal)^(Z4-'Project Assumtions'!$N$6))/1000</f>
        <v>0</v>
      </c>
      <c r="AA26" s="898">
        <f>IF(AA3&gt;'Project Assumtions'!$I$15+1,0,MainMWh*(Operations!Z25+Operations!Z27))*((1+OM_Escal)^(AA4-'Project Assumtions'!$N$6))/1000</f>
        <v>0</v>
      </c>
      <c r="AB26" s="936">
        <f>IF(AB3&gt;'Project Assumtions'!$I$15+1,0,MainMWh*(Operations!AA25+Operations!AA27))*((1+OM_Escal)^(AB4-'Project Assumtions'!$N$6))/1000</f>
        <v>0</v>
      </c>
    </row>
    <row r="27" spans="1:28" ht="12.6" customHeight="1">
      <c r="B27" s="521" t="s">
        <v>538</v>
      </c>
      <c r="C27" s="611">
        <f>AVERAGE(D27:W27)</f>
        <v>951.71415423099984</v>
      </c>
      <c r="D27" s="935">
        <f t="shared" ref="D27:AB27" si="3">SUM(D24:D26)</f>
        <v>394.26683333333335</v>
      </c>
      <c r="E27" s="935">
        <f t="shared" si="3"/>
        <v>696.16257999999993</v>
      </c>
      <c r="F27" s="935">
        <f t="shared" si="3"/>
        <v>717.04745739999998</v>
      </c>
      <c r="G27" s="935">
        <f t="shared" si="3"/>
        <v>773.85963417181426</v>
      </c>
      <c r="H27" s="935">
        <f t="shared" si="3"/>
        <v>816.24465273936107</v>
      </c>
      <c r="I27" s="935">
        <f t="shared" si="3"/>
        <v>840.73199232154195</v>
      </c>
      <c r="J27" s="935">
        <f t="shared" si="3"/>
        <v>865.95395209118828</v>
      </c>
      <c r="K27" s="935">
        <f t="shared" si="3"/>
        <v>891.93257065392368</v>
      </c>
      <c r="L27" s="935">
        <f t="shared" si="3"/>
        <v>918.69054777354154</v>
      </c>
      <c r="M27" s="935">
        <f t="shared" si="3"/>
        <v>946.25126420674769</v>
      </c>
      <c r="N27" s="935">
        <f t="shared" si="3"/>
        <v>974.63880213295033</v>
      </c>
      <c r="O27" s="935">
        <f t="shared" si="3"/>
        <v>1003.8779661969386</v>
      </c>
      <c r="P27" s="935">
        <f t="shared" si="3"/>
        <v>1033.9943051828468</v>
      </c>
      <c r="Q27" s="935">
        <f t="shared" si="3"/>
        <v>1065.0141343383323</v>
      </c>
      <c r="R27" s="935">
        <f t="shared" si="3"/>
        <v>1096.9645583684824</v>
      </c>
      <c r="S27" s="935">
        <f t="shared" si="3"/>
        <v>1129.8734951195365</v>
      </c>
      <c r="T27" s="935">
        <f t="shared" si="3"/>
        <v>1163.7696999731224</v>
      </c>
      <c r="U27" s="935">
        <f t="shared" si="3"/>
        <v>1198.6827909723163</v>
      </c>
      <c r="V27" s="935">
        <f t="shared" si="3"/>
        <v>1234.643274701486</v>
      </c>
      <c r="W27" s="935">
        <f t="shared" si="3"/>
        <v>1271.6825729425302</v>
      </c>
      <c r="X27" s="935">
        <f t="shared" si="3"/>
        <v>1309.833050130806</v>
      </c>
      <c r="Y27" s="935">
        <f t="shared" si="3"/>
        <v>0</v>
      </c>
      <c r="Z27" s="935">
        <f t="shared" si="3"/>
        <v>0</v>
      </c>
      <c r="AA27" s="935">
        <f t="shared" si="3"/>
        <v>0</v>
      </c>
      <c r="AB27" s="937">
        <f t="shared" si="3"/>
        <v>0</v>
      </c>
    </row>
    <row r="28" spans="1:28" ht="12.6" customHeight="1">
      <c r="B28" s="521" t="s">
        <v>430</v>
      </c>
      <c r="C28" s="611"/>
      <c r="D28" s="938">
        <f t="shared" ref="D28:AB28" si="4">D22+D27</f>
        <v>10046.304333333333</v>
      </c>
      <c r="E28" s="938">
        <f t="shared" si="4"/>
        <v>17242.512579999999</v>
      </c>
      <c r="F28" s="938">
        <f t="shared" si="4"/>
        <v>17263.397457399999</v>
      </c>
      <c r="G28" s="938">
        <f t="shared" si="4"/>
        <v>18111.072258880151</v>
      </c>
      <c r="H28" s="938">
        <f t="shared" si="4"/>
        <v>18570.407792739363</v>
      </c>
      <c r="I28" s="938">
        <f t="shared" si="4"/>
        <v>18594.895132321544</v>
      </c>
      <c r="J28" s="938">
        <f t="shared" si="4"/>
        <v>18620.11709209119</v>
      </c>
      <c r="K28" s="938">
        <f t="shared" si="4"/>
        <v>18646.095710653924</v>
      </c>
      <c r="L28" s="938">
        <f t="shared" si="4"/>
        <v>18672.853687773542</v>
      </c>
      <c r="M28" s="938">
        <f t="shared" si="4"/>
        <v>18700.414404206749</v>
      </c>
      <c r="N28" s="938">
        <f t="shared" si="4"/>
        <v>18728.801942132952</v>
      </c>
      <c r="O28" s="938">
        <f t="shared" si="4"/>
        <v>18758.041106196939</v>
      </c>
      <c r="P28" s="938">
        <f t="shared" si="4"/>
        <v>18788.157445182849</v>
      </c>
      <c r="Q28" s="938">
        <f t="shared" si="4"/>
        <v>18819.177274338334</v>
      </c>
      <c r="R28" s="938">
        <f t="shared" si="4"/>
        <v>18851.127698368484</v>
      </c>
      <c r="S28" s="938">
        <f t="shared" si="4"/>
        <v>18884.036635119537</v>
      </c>
      <c r="T28" s="938">
        <f t="shared" si="4"/>
        <v>18917.932839973124</v>
      </c>
      <c r="U28" s="938">
        <f t="shared" si="4"/>
        <v>18952.845930972318</v>
      </c>
      <c r="V28" s="938">
        <f t="shared" si="4"/>
        <v>18988.806414701488</v>
      </c>
      <c r="W28" s="938">
        <f t="shared" si="4"/>
        <v>19025.84571294253</v>
      </c>
      <c r="X28" s="938">
        <f t="shared" si="4"/>
        <v>19063.996190130805</v>
      </c>
      <c r="Y28" s="938">
        <f t="shared" si="4"/>
        <v>0</v>
      </c>
      <c r="Z28" s="938">
        <f t="shared" si="4"/>
        <v>0</v>
      </c>
      <c r="AA28" s="938">
        <f t="shared" si="4"/>
        <v>0</v>
      </c>
      <c r="AB28" s="939">
        <f t="shared" si="4"/>
        <v>0</v>
      </c>
    </row>
    <row r="29" spans="1:28" ht="12.6" customHeight="1">
      <c r="B29" s="521"/>
      <c r="C29" s="611"/>
      <c r="D29" s="557"/>
      <c r="E29" s="611"/>
      <c r="F29" s="611"/>
      <c r="G29" s="611"/>
      <c r="H29" s="611"/>
      <c r="I29" s="611"/>
      <c r="J29" s="611"/>
      <c r="K29" s="611"/>
      <c r="L29" s="611"/>
      <c r="M29" s="611"/>
      <c r="N29" s="611"/>
      <c r="O29" s="611"/>
      <c r="P29" s="611"/>
      <c r="Q29" s="611"/>
      <c r="R29" s="611"/>
      <c r="S29" s="611"/>
      <c r="T29" s="611"/>
      <c r="U29" s="611"/>
      <c r="V29" s="611"/>
      <c r="W29" s="611"/>
      <c r="X29" s="611"/>
      <c r="Y29" s="611"/>
      <c r="Z29" s="611"/>
      <c r="AA29" s="611"/>
      <c r="AB29" s="647"/>
    </row>
    <row r="30" spans="1:28" ht="12.6" customHeight="1">
      <c r="B30" s="521" t="s">
        <v>534</v>
      </c>
      <c r="C30" s="611"/>
      <c r="D30" s="557"/>
      <c r="E30" s="611"/>
      <c r="F30" s="611"/>
      <c r="G30" s="611"/>
      <c r="H30" s="611"/>
      <c r="I30" s="611"/>
      <c r="J30" s="611"/>
      <c r="K30" s="611"/>
      <c r="L30" s="611"/>
      <c r="M30" s="611"/>
      <c r="N30" s="611"/>
      <c r="O30" s="611"/>
      <c r="P30" s="611"/>
      <c r="Q30" s="611"/>
      <c r="R30" s="611"/>
      <c r="S30" s="611"/>
      <c r="T30" s="611"/>
      <c r="U30" s="611"/>
      <c r="V30" s="611"/>
      <c r="W30" s="611"/>
      <c r="X30" s="611"/>
      <c r="Y30" s="611"/>
      <c r="Z30" s="611"/>
      <c r="AA30" s="611"/>
      <c r="AB30" s="647"/>
    </row>
    <row r="31" spans="1:28" ht="12.6" customHeight="1">
      <c r="A31" s="1">
        <v>5</v>
      </c>
      <c r="B31" s="522" t="s">
        <v>119</v>
      </c>
      <c r="C31" s="884">
        <f>AVERAGE(D31:W31)</f>
        <v>2876.1403964016945</v>
      </c>
      <c r="D31" s="573">
        <f>IF(D3&gt;ProjectLife+1,0,Main_Start*'Project Assumtions'!$L$15*((1+Main_Escal)^(D4-'Project Assumtions'!$N$6))/1000)</f>
        <v>2140.752</v>
      </c>
      <c r="E31" s="573">
        <f>IF(E3&gt;ProjectLife+1,0,Main_Start*'Project Assumtions'!$L$15*((1+Main_Escal)^(E4-'Project Assumtions'!$N$6))/1000)</f>
        <v>2204.9745600000001</v>
      </c>
      <c r="F31" s="573">
        <f>IF(F3&gt;ProjectLife+1,0,Main_Start*'Project Assumtions'!$L$15*((1+Main_Escal)^(F4-'Project Assumtions'!$N$6))/1000)</f>
        <v>2271.1237968</v>
      </c>
      <c r="G31" s="573">
        <f>IF(G3&gt;ProjectLife+1,0,Main_Start*'Project Assumtions'!$L$15*((1+Main_Escal)^(G4-'Project Assumtions'!$N$6))/1000)</f>
        <v>2339.2575107040002</v>
      </c>
      <c r="H31" s="573">
        <f>IF(H3&gt;ProjectLife+1,0,Main_Start*'Project Assumtions'!$L$15*((1+Main_Escal)^(H4-'Project Assumtions'!$N$6))/1000)</f>
        <v>2409.4352360251196</v>
      </c>
      <c r="I31" s="573">
        <f>IF(I3&gt;ProjectLife+1,0,Main_Start*'Project Assumtions'!$L$15*((1+Main_Escal)^(I4-'Project Assumtions'!$N$6))/1000)</f>
        <v>2481.7182931058733</v>
      </c>
      <c r="J31" s="573">
        <f>IF(J3&gt;ProjectLife+1,0,Main_Start*'Project Assumtions'!$L$15*((1+Main_Escal)^(J4-'Project Assumtions'!$N$6))/1000)</f>
        <v>2556.16984189905</v>
      </c>
      <c r="K31" s="573">
        <f>IF(K3&gt;ProjectLife+1,0,Main_Start*'Project Assumtions'!$L$15*((1+Main_Escal)^(K4-'Project Assumtions'!$N$6))/1000)</f>
        <v>2632.8549371560212</v>
      </c>
      <c r="L31" s="573">
        <f>IF(L3&gt;ProjectLife+1,0,Main_Start*'Project Assumtions'!$L$15*((1+Main_Escal)^(L4-'Project Assumtions'!$N$6))/1000)</f>
        <v>2711.8405852707015</v>
      </c>
      <c r="M31" s="573">
        <f>IF(M3&gt;ProjectLife+1,0,Main_Start*'Project Assumtions'!$L$15*((1+Main_Escal)^(M4-'Project Assumtions'!$N$6))/1000)</f>
        <v>2793.1958028288227</v>
      </c>
      <c r="N31" s="573">
        <f>IF(N3&gt;ProjectLife+1,0,Main_Start*'Project Assumtions'!$L$15*((1+Main_Escal)^(N4-'Project Assumtions'!$N$6))/1000)</f>
        <v>2876.9916769136876</v>
      </c>
      <c r="O31" s="573">
        <f>IF(O3&gt;ProjectLife+1,0,Main_Start*'Project Assumtions'!$L$15*((1+Main_Escal)^(O4-'Project Assumtions'!$N$6))/1000)</f>
        <v>2963.3014272210976</v>
      </c>
      <c r="P31" s="573">
        <f>IF(P3&gt;ProjectLife+1,0,Main_Start*'Project Assumtions'!$L$15*((1+Main_Escal)^(P4-'Project Assumtions'!$N$6))/1000)</f>
        <v>3052.2004700377306</v>
      </c>
      <c r="Q31" s="573">
        <f>IF(Q3&gt;ProjectLife+1,0,Main_Start*'Project Assumtions'!$L$15*((1+Main_Escal)^(Q4-'Project Assumtions'!$N$6))/1000)</f>
        <v>3143.7664841388628</v>
      </c>
      <c r="R31" s="573">
        <f>IF(R3&gt;ProjectLife+1,0,Main_Start*'Project Assumtions'!$L$15*((1+Main_Escal)^(R4-'Project Assumtions'!$N$6))/1000)</f>
        <v>3238.0794786630286</v>
      </c>
      <c r="S31" s="573">
        <f>IF(S3&gt;ProjectLife+1,0,Main_Start*'Project Assumtions'!$L$15*((1+Main_Escal)^(S4-'Project Assumtions'!$N$6))/1000)</f>
        <v>3335.2218630229195</v>
      </c>
      <c r="T31" s="573">
        <f>IF(T3&gt;ProjectLife+1,0,Main_Start*'Project Assumtions'!$L$15*((1+Main_Escal)^(T4-'Project Assumtions'!$N$6))/1000)</f>
        <v>3435.2785189136066</v>
      </c>
      <c r="U31" s="573">
        <f>IF(U3&gt;ProjectLife+1,0,Main_Start*'Project Assumtions'!$L$15*((1+Main_Escal)^(U4-'Project Assumtions'!$N$6))/1000)</f>
        <v>3538.336874481015</v>
      </c>
      <c r="V31" s="573">
        <f>IF(V3&gt;ProjectLife+1,0,Main_Start*'Project Assumtions'!$L$15*((1+Main_Escal)^(V4-'Project Assumtions'!$N$6))/1000)</f>
        <v>3644.486980715445</v>
      </c>
      <c r="W31" s="573">
        <f>IF(W3&gt;ProjectLife+1,0,Main_Start*'Project Assumtions'!$L$15*((1+Main_Escal)^(W4-'Project Assumtions'!$N$6))/1000)</f>
        <v>3753.8215901369085</v>
      </c>
      <c r="X31" s="573">
        <f>IF(X3&gt;ProjectLife+1,0,Main_Start*'Project Assumtions'!$L$15*((1+Main_Escal)^(X4-'Project Assumtions'!$N$6))/1000)</f>
        <v>3866.4362378410151</v>
      </c>
      <c r="Y31" s="573">
        <f>IF(Y3&gt;ProjectLife+1,0,Main_Start*'Project Assumtions'!$L$15*((1+Main_Escal)^(Y4-'Project Assumtions'!$N$6))/1000)</f>
        <v>0</v>
      </c>
      <c r="Z31" s="573">
        <f>IF(Z3&gt;ProjectLife+1,0,Main_Start*'Project Assumtions'!$L$15*((1+Main_Escal)^(Z4-'Project Assumtions'!$N$6))/1000)</f>
        <v>0</v>
      </c>
      <c r="AA31" s="573">
        <f>IF(AA3&gt;ProjectLife+1,0,Main_Start*'Project Assumtions'!$L$15*((1+Main_Escal)^(AA4-'Project Assumtions'!$N$6))/1000)</f>
        <v>0</v>
      </c>
      <c r="AB31" s="574">
        <f>IF(AB3&gt;ProjectLife+1,0,Main_Start*'Project Assumtions'!$L$15*((1+Main_Escal)^(AB4-'Project Assumtions'!$N$6))/1000)</f>
        <v>0</v>
      </c>
    </row>
    <row r="32" spans="1:28" ht="12.6" customHeight="1">
      <c r="A32" s="1">
        <v>4</v>
      </c>
      <c r="B32" s="751" t="s">
        <v>536</v>
      </c>
      <c r="C32" s="888">
        <f>AVERAGE(D32:W32)</f>
        <v>0</v>
      </c>
      <c r="D32" s="898">
        <f>IF(D3&gt;ProjectLife+1,0,Fuel_Start*'Project Assumtions'!$L$16/1000)</f>
        <v>0</v>
      </c>
      <c r="E32" s="898">
        <f>IF(E3&gt;ProjectLife+1,0,Fuel_Start*'Project Assumtions'!$L$16/1000)</f>
        <v>0</v>
      </c>
      <c r="F32" s="898">
        <f>IF(F3&gt;ProjectLife+1,0,Fuel_Start*'Project Assumtions'!$L$16/1000)</f>
        <v>0</v>
      </c>
      <c r="G32" s="898">
        <f>IF(G3&gt;ProjectLife+1,0,Fuel_Start*'Project Assumtions'!$L$16/1000)</f>
        <v>0</v>
      </c>
      <c r="H32" s="898">
        <f>IF(H3&gt;ProjectLife+1,0,Fuel_Start*'Project Assumtions'!$L$16/1000)</f>
        <v>0</v>
      </c>
      <c r="I32" s="898">
        <f>IF(I3&gt;ProjectLife+1,0,Fuel_Start*'Project Assumtions'!$L$16/1000)</f>
        <v>0</v>
      </c>
      <c r="J32" s="898">
        <f>IF(J3&gt;ProjectLife+1,0,Fuel_Start*'Project Assumtions'!$L$16/1000)</f>
        <v>0</v>
      </c>
      <c r="K32" s="898">
        <f>IF(K3&gt;ProjectLife+1,0,Fuel_Start*'Project Assumtions'!$L$16/1000)</f>
        <v>0</v>
      </c>
      <c r="L32" s="898">
        <f>IF(L3&gt;ProjectLife+1,0,Fuel_Start*'Project Assumtions'!$L$16/1000)</f>
        <v>0</v>
      </c>
      <c r="M32" s="898">
        <f>IF(M3&gt;ProjectLife+1,0,Fuel_Start*'Project Assumtions'!$L$16/1000)</f>
        <v>0</v>
      </c>
      <c r="N32" s="898">
        <f>IF(N3&gt;ProjectLife+1,0,Fuel_Start*'Project Assumtions'!$L$16/1000)</f>
        <v>0</v>
      </c>
      <c r="O32" s="898">
        <f>IF(O3&gt;ProjectLife+1,0,Fuel_Start*'Project Assumtions'!$L$16/1000)</f>
        <v>0</v>
      </c>
      <c r="P32" s="898">
        <f>IF(P3&gt;ProjectLife+1,0,Fuel_Start*'Project Assumtions'!$L$16/1000)</f>
        <v>0</v>
      </c>
      <c r="Q32" s="898">
        <f>IF(Q3&gt;ProjectLife+1,0,Fuel_Start*'Project Assumtions'!$L$16/1000)</f>
        <v>0</v>
      </c>
      <c r="R32" s="898">
        <f>IF(R3&gt;ProjectLife+1,0,Fuel_Start*'Project Assumtions'!$L$16/1000)</f>
        <v>0</v>
      </c>
      <c r="S32" s="898">
        <f>IF(S3&gt;ProjectLife+1,0,Fuel_Start*'Project Assumtions'!$L$16/1000)</f>
        <v>0</v>
      </c>
      <c r="T32" s="898">
        <f>IF(T3&gt;ProjectLife+1,0,Fuel_Start*'Project Assumtions'!$L$16/1000)</f>
        <v>0</v>
      </c>
      <c r="U32" s="898">
        <f>IF(U3&gt;ProjectLife+1,0,Fuel_Start*'Project Assumtions'!$L$16/1000)</f>
        <v>0</v>
      </c>
      <c r="V32" s="898">
        <f>IF(V3&gt;ProjectLife+1,0,Fuel_Start*'Project Assumtions'!$L$16/1000)</f>
        <v>0</v>
      </c>
      <c r="W32" s="898">
        <f>IF(W3&gt;ProjectLife+1,0,Fuel_Start*'Project Assumtions'!$L$16/1000)</f>
        <v>0</v>
      </c>
      <c r="X32" s="898">
        <f>IF(X3&gt;ProjectLife+1,0,Fuel_Start*'Project Assumtions'!$L$16/1000)</f>
        <v>0</v>
      </c>
      <c r="Y32" s="898">
        <f>IF(Y3&gt;ProjectLife+1,0,Fuel_Start*'Project Assumtions'!$L$16/1000)</f>
        <v>0</v>
      </c>
      <c r="Z32" s="898">
        <f>IF(Z3&gt;ProjectLife+1,0,Fuel_Start*'Project Assumtions'!$L$16/1000)</f>
        <v>0</v>
      </c>
      <c r="AA32" s="898">
        <f>IF(AA3&gt;ProjectLife+1,0,Fuel_Start*'Project Assumtions'!$L$16/1000)</f>
        <v>0</v>
      </c>
      <c r="AB32" s="936">
        <f>IF(AB3&gt;ProjectLife+1,0,Fuel_Start*'Project Assumtions'!$L$16/1000)</f>
        <v>0</v>
      </c>
    </row>
    <row r="33" spans="1:28" ht="12.6" customHeight="1">
      <c r="B33" s="521" t="s">
        <v>535</v>
      </c>
      <c r="C33" s="611"/>
      <c r="D33" s="938">
        <f>SUM(D31:D32)</f>
        <v>2140.752</v>
      </c>
      <c r="E33" s="938">
        <f t="shared" ref="E33:AB33" si="5">SUM(E31:E32)</f>
        <v>2204.9745600000001</v>
      </c>
      <c r="F33" s="938">
        <f t="shared" si="5"/>
        <v>2271.1237968</v>
      </c>
      <c r="G33" s="938">
        <f t="shared" si="5"/>
        <v>2339.2575107040002</v>
      </c>
      <c r="H33" s="938">
        <f t="shared" si="5"/>
        <v>2409.4352360251196</v>
      </c>
      <c r="I33" s="938">
        <f t="shared" si="5"/>
        <v>2481.7182931058733</v>
      </c>
      <c r="J33" s="938">
        <f t="shared" si="5"/>
        <v>2556.16984189905</v>
      </c>
      <c r="K33" s="938">
        <f t="shared" si="5"/>
        <v>2632.8549371560212</v>
      </c>
      <c r="L33" s="938">
        <f t="shared" si="5"/>
        <v>2711.8405852707015</v>
      </c>
      <c r="M33" s="938">
        <f t="shared" si="5"/>
        <v>2793.1958028288227</v>
      </c>
      <c r="N33" s="938">
        <f t="shared" si="5"/>
        <v>2876.9916769136876</v>
      </c>
      <c r="O33" s="938">
        <f t="shared" si="5"/>
        <v>2963.3014272210976</v>
      </c>
      <c r="P33" s="938">
        <f t="shared" si="5"/>
        <v>3052.2004700377306</v>
      </c>
      <c r="Q33" s="938">
        <f t="shared" si="5"/>
        <v>3143.7664841388628</v>
      </c>
      <c r="R33" s="938">
        <f t="shared" si="5"/>
        <v>3238.0794786630286</v>
      </c>
      <c r="S33" s="938">
        <f t="shared" si="5"/>
        <v>3335.2218630229195</v>
      </c>
      <c r="T33" s="938">
        <f t="shared" si="5"/>
        <v>3435.2785189136066</v>
      </c>
      <c r="U33" s="938">
        <f t="shared" si="5"/>
        <v>3538.336874481015</v>
      </c>
      <c r="V33" s="938">
        <f t="shared" si="5"/>
        <v>3644.486980715445</v>
      </c>
      <c r="W33" s="938">
        <f t="shared" si="5"/>
        <v>3753.8215901369085</v>
      </c>
      <c r="X33" s="938">
        <f t="shared" si="5"/>
        <v>3866.4362378410151</v>
      </c>
      <c r="Y33" s="938">
        <f t="shared" si="5"/>
        <v>0</v>
      </c>
      <c r="Z33" s="938">
        <f t="shared" si="5"/>
        <v>0</v>
      </c>
      <c r="AA33" s="938">
        <f t="shared" si="5"/>
        <v>0</v>
      </c>
      <c r="AB33" s="939">
        <f t="shared" si="5"/>
        <v>0</v>
      </c>
    </row>
    <row r="34" spans="1:28" ht="12.6" customHeight="1">
      <c r="B34" s="522"/>
      <c r="C34" s="611"/>
      <c r="D34" s="573"/>
      <c r="E34" s="573"/>
      <c r="F34" s="573"/>
      <c r="G34" s="573"/>
      <c r="H34" s="573"/>
      <c r="I34" s="573"/>
      <c r="J34" s="573"/>
      <c r="K34" s="573"/>
      <c r="L34" s="573"/>
      <c r="M34" s="573"/>
      <c r="N34" s="573"/>
      <c r="O34" s="573"/>
      <c r="P34" s="573"/>
      <c r="Q34" s="573"/>
      <c r="R34" s="573"/>
      <c r="S34" s="573"/>
      <c r="T34" s="573"/>
      <c r="U34" s="573"/>
      <c r="V34" s="573"/>
      <c r="W34" s="573"/>
      <c r="X34" s="573"/>
      <c r="Y34" s="573"/>
      <c r="Z34" s="573"/>
      <c r="AA34" s="573"/>
      <c r="AB34" s="574"/>
    </row>
    <row r="35" spans="1:28" ht="12.6" customHeight="1">
      <c r="B35" s="521" t="s">
        <v>523</v>
      </c>
      <c r="C35" s="611"/>
      <c r="D35" s="573"/>
      <c r="E35" s="573"/>
      <c r="F35" s="573"/>
      <c r="G35" s="573"/>
      <c r="H35" s="573"/>
      <c r="I35" s="573"/>
      <c r="J35" s="573"/>
      <c r="K35" s="573"/>
      <c r="L35" s="573"/>
      <c r="M35" s="573"/>
      <c r="N35" s="573"/>
      <c r="O35" s="573"/>
      <c r="P35" s="573"/>
      <c r="Q35" s="573"/>
      <c r="R35" s="573"/>
      <c r="S35" s="573"/>
      <c r="T35" s="573"/>
      <c r="U35" s="573"/>
      <c r="V35" s="573"/>
      <c r="W35" s="573"/>
      <c r="X35" s="573"/>
      <c r="Y35" s="573"/>
      <c r="Z35" s="573"/>
      <c r="AA35" s="573"/>
      <c r="AB35" s="574"/>
    </row>
    <row r="36" spans="1:28" ht="12.6" customHeight="1">
      <c r="A36" s="1">
        <v>2</v>
      </c>
      <c r="B36" s="522" t="s">
        <v>350</v>
      </c>
      <c r="C36" s="884">
        <f>AVERAGE(D36:W36)</f>
        <v>1216.5927958943</v>
      </c>
      <c r="D36" s="575">
        <f>Labor*((1+OM_Escal)^('Book Income Statement'!D4-'Project Assumtions'!$N$6))*('Book Income Statement'!D5/12)</f>
        <v>536.5441666666668</v>
      </c>
      <c r="E36" s="575">
        <f>Labor*((1+OM_Escal)^('Book Income Statement'!E4-'Project Assumtions'!$N$6))*('Book Income Statement'!E5/12)</f>
        <v>947.38369999999998</v>
      </c>
      <c r="F36" s="575">
        <f>Labor*((1+OM_Escal)^('Book Income Statement'!F4-'Project Assumtions'!$N$6))*('Book Income Statement'!F5/12)</f>
        <v>975.80521099999999</v>
      </c>
      <c r="G36" s="575">
        <f>Labor*((1+OM_Escal)^('Book Income Statement'!G4-'Project Assumtions'!$N$6))*('Book Income Statement'!G5/12)</f>
        <v>1005.07936733</v>
      </c>
      <c r="H36" s="575">
        <f>Labor*((1+OM_Escal)^('Book Income Statement'!H4-'Project Assumtions'!$N$6))*('Book Income Statement'!H5/12)</f>
        <v>1035.2317483498998</v>
      </c>
      <c r="I36" s="575">
        <f>Labor*((1+OM_Escal)^('Book Income Statement'!I4-'Project Assumtions'!$N$6))*('Book Income Statement'!I5/12)</f>
        <v>1066.288700800397</v>
      </c>
      <c r="J36" s="575">
        <f>Labor*((1+OM_Escal)^('Book Income Statement'!J4-'Project Assumtions'!$N$6))*('Book Income Statement'!J5/12)</f>
        <v>1098.2773618244089</v>
      </c>
      <c r="K36" s="575">
        <f>Labor*((1+OM_Escal)^('Book Income Statement'!K4-'Project Assumtions'!$N$6))*('Book Income Statement'!K5/12)</f>
        <v>1131.2256826791411</v>
      </c>
      <c r="L36" s="575">
        <f>Labor*((1+OM_Escal)^('Book Income Statement'!L4-'Project Assumtions'!$N$6))*('Book Income Statement'!L5/12)</f>
        <v>1165.1624531595153</v>
      </c>
      <c r="M36" s="575">
        <f>Labor*((1+OM_Escal)^('Book Income Statement'!M4-'Project Assumtions'!$N$6))*('Book Income Statement'!M5/12)</f>
        <v>1200.1173267543008</v>
      </c>
      <c r="N36" s="575">
        <f>Labor*((1+OM_Escal)^('Book Income Statement'!N4-'Project Assumtions'!$N$6))*('Book Income Statement'!N5/12)</f>
        <v>1236.1208465569298</v>
      </c>
      <c r="O36" s="575">
        <f>Labor*((1+OM_Escal)^('Book Income Statement'!O4-'Project Assumtions'!$N$6))*('Book Income Statement'!O5/12)</f>
        <v>1273.2044719536375</v>
      </c>
      <c r="P36" s="575">
        <f>Labor*((1+OM_Escal)^('Book Income Statement'!P4-'Project Assumtions'!$N$6))*('Book Income Statement'!P5/12)</f>
        <v>1311.4006061122466</v>
      </c>
      <c r="Q36" s="575">
        <f>Labor*((1+OM_Escal)^('Book Income Statement'!Q4-'Project Assumtions'!$N$6))*('Book Income Statement'!Q5/12)</f>
        <v>1350.7426242956142</v>
      </c>
      <c r="R36" s="575">
        <f>Labor*((1+OM_Escal)^('Book Income Statement'!R4-'Project Assumtions'!$N$6))*('Book Income Statement'!R5/12)</f>
        <v>1391.2649030244827</v>
      </c>
      <c r="S36" s="575">
        <f>Labor*((1+OM_Escal)^('Book Income Statement'!S4-'Project Assumtions'!$N$6))*('Book Income Statement'!S5/12)</f>
        <v>1433.0028501152169</v>
      </c>
      <c r="T36" s="575">
        <f>Labor*((1+OM_Escal)^('Book Income Statement'!T4-'Project Assumtions'!$N$6))*('Book Income Statement'!T5/12)</f>
        <v>1475.9929356186733</v>
      </c>
      <c r="U36" s="575">
        <f>Labor*((1+OM_Escal)^('Book Income Statement'!U4-'Project Assumtions'!$N$6))*('Book Income Statement'!U5/12)</f>
        <v>1520.2727236872336</v>
      </c>
      <c r="V36" s="575">
        <f>Labor*((1+OM_Escal)^('Book Income Statement'!V4-'Project Assumtions'!$N$6))*('Book Income Statement'!V5/12)</f>
        <v>1565.8809053978505</v>
      </c>
      <c r="W36" s="575">
        <f>Labor*((1+OM_Escal)^('Book Income Statement'!W4-'Project Assumtions'!$N$6))*('Book Income Statement'!W5/12)</f>
        <v>1612.8573325597861</v>
      </c>
      <c r="X36" s="575">
        <f>Labor*((1+OM_Escal)^('Book Income Statement'!X4-'Project Assumtions'!$N$6))*('Book Income Statement'!X5/12)</f>
        <v>692.18460522357475</v>
      </c>
      <c r="Y36" s="575">
        <f>Labor*((1+OM_Escal)^('Book Income Statement'!Y4-'Project Assumtions'!$N$6))*('Book Income Statement'!Y5/12)</f>
        <v>0</v>
      </c>
      <c r="Z36" s="575">
        <f>Labor*((1+OM_Escal)^('Book Income Statement'!Z4-'Project Assumtions'!$N$6))*('Book Income Statement'!Z5/12)</f>
        <v>0</v>
      </c>
      <c r="AA36" s="575">
        <f>Labor*((1+OM_Escal)^('Book Income Statement'!AA4-'Project Assumtions'!$N$6))*('Book Income Statement'!AA5/12)</f>
        <v>0</v>
      </c>
      <c r="AB36" s="576">
        <f>Labor*((1+OM_Escal)^('Book Income Statement'!AB4-'Project Assumtions'!$N$6))*('Book Income Statement'!AB5/12)</f>
        <v>0</v>
      </c>
    </row>
    <row r="37" spans="1:28" ht="12.6" customHeight="1">
      <c r="A37" s="1">
        <v>2</v>
      </c>
      <c r="B37" s="522" t="s">
        <v>351</v>
      </c>
      <c r="C37" s="885">
        <f t="shared" ref="C37:C49" si="6">AVERAGE(D37:W37)</f>
        <v>370.5635391749716</v>
      </c>
      <c r="D37" s="575">
        <f>Fixed*((1+OM_Escal)^('Book Income Statement'!D4-'Project Assumtions'!$N$6)*('Book Income Statement'!D5/12))</f>
        <v>163.4266666666667</v>
      </c>
      <c r="E37" s="575">
        <f>Fixed*((1+OM_Escal)^('Book Income Statement'!E4-'Project Assumtions'!$N$6)*('Book Income Statement'!E5/12))</f>
        <v>288.56479999999999</v>
      </c>
      <c r="F37" s="575">
        <f>Fixed*((1+OM_Escal)^('Book Income Statement'!F4-'Project Assumtions'!$N$6)*('Book Income Statement'!F5/12))</f>
        <v>297.221744</v>
      </c>
      <c r="G37" s="575">
        <f>Fixed*((1+OM_Escal)^('Book Income Statement'!G4-'Project Assumtions'!$N$6)*('Book Income Statement'!G5/12))</f>
        <v>306.13839631999997</v>
      </c>
      <c r="H37" s="575">
        <f>Fixed*((1+OM_Escal)^('Book Income Statement'!H4-'Project Assumtions'!$N$6)*('Book Income Statement'!H5/12))</f>
        <v>315.32254820959997</v>
      </c>
      <c r="I37" s="575">
        <f>Fixed*((1+OM_Escal)^('Book Income Statement'!I4-'Project Assumtions'!$N$6)*('Book Income Statement'!I5/12))</f>
        <v>324.782224655888</v>
      </c>
      <c r="J37" s="575">
        <f>Fixed*((1+OM_Escal)^('Book Income Statement'!J4-'Project Assumtions'!$N$6)*('Book Income Statement'!J5/12))</f>
        <v>334.52569139556465</v>
      </c>
      <c r="K37" s="575">
        <f>Fixed*((1+OM_Escal)^('Book Income Statement'!K4-'Project Assumtions'!$N$6)*('Book Income Statement'!K5/12))</f>
        <v>344.56146213743153</v>
      </c>
      <c r="L37" s="575">
        <f>Fixed*((1+OM_Escal)^('Book Income Statement'!L4-'Project Assumtions'!$N$6)*('Book Income Statement'!L5/12))</f>
        <v>354.89830600155449</v>
      </c>
      <c r="M37" s="575">
        <f>Fixed*((1+OM_Escal)^('Book Income Statement'!M4-'Project Assumtions'!$N$6)*('Book Income Statement'!M5/12))</f>
        <v>365.54525518160114</v>
      </c>
      <c r="N37" s="575">
        <f>Fixed*((1+OM_Escal)^('Book Income Statement'!N4-'Project Assumtions'!$N$6)*('Book Income Statement'!N5/12))</f>
        <v>376.51161283704914</v>
      </c>
      <c r="O37" s="575">
        <f>Fixed*((1+OM_Escal)^('Book Income Statement'!O4-'Project Assumtions'!$N$6)*('Book Income Statement'!O5/12))</f>
        <v>387.80696122216057</v>
      </c>
      <c r="P37" s="575">
        <f>Fixed*((1+OM_Escal)^('Book Income Statement'!P4-'Project Assumtions'!$N$6)*('Book Income Statement'!P5/12))</f>
        <v>399.44117005882538</v>
      </c>
      <c r="Q37" s="575">
        <f>Fixed*((1+OM_Escal)^('Book Income Statement'!Q4-'Project Assumtions'!$N$6)*('Book Income Statement'!Q5/12))</f>
        <v>411.4244051605902</v>
      </c>
      <c r="R37" s="575">
        <f>Fixed*((1+OM_Escal)^('Book Income Statement'!R4-'Project Assumtions'!$N$6)*('Book Income Statement'!R5/12))</f>
        <v>423.76713731540792</v>
      </c>
      <c r="S37" s="575">
        <f>Fixed*((1+OM_Escal)^('Book Income Statement'!S4-'Project Assumtions'!$N$6)*('Book Income Statement'!S5/12))</f>
        <v>436.48015143487009</v>
      </c>
      <c r="T37" s="575">
        <f>Fixed*((1+OM_Escal)^('Book Income Statement'!T4-'Project Assumtions'!$N$6)*('Book Income Statement'!T5/12))</f>
        <v>449.57455597791619</v>
      </c>
      <c r="U37" s="575">
        <f>Fixed*((1+OM_Escal)^('Book Income Statement'!U4-'Project Assumtions'!$N$6)*('Book Income Statement'!U5/12))</f>
        <v>463.0617926572537</v>
      </c>
      <c r="V37" s="575">
        <f>Fixed*((1+OM_Escal)^('Book Income Statement'!V4-'Project Assumtions'!$N$6)*('Book Income Statement'!V5/12))</f>
        <v>476.95364643697127</v>
      </c>
      <c r="W37" s="575">
        <f>Fixed*((1+OM_Escal)^('Book Income Statement'!W4-'Project Assumtions'!$N$6)*('Book Income Statement'!W5/12))</f>
        <v>491.26225583008039</v>
      </c>
      <c r="X37" s="575">
        <f>Fixed*((1+OM_Escal)^('Book Income Statement'!X4-'Project Assumtions'!$N$6)*('Book Income Statement'!X5/12))</f>
        <v>210.83338479374282</v>
      </c>
      <c r="Y37" s="575">
        <f>Fixed*((1+OM_Escal)^('Book Income Statement'!Y4-'Project Assumtions'!$N$6)*('Book Income Statement'!Y5/12))</f>
        <v>0</v>
      </c>
      <c r="Z37" s="575">
        <f>Fixed*((1+OM_Escal)^('Book Income Statement'!Z4-'Project Assumtions'!$N$6)*('Book Income Statement'!Z5/12))</f>
        <v>0</v>
      </c>
      <c r="AA37" s="575">
        <f>Fixed*((1+OM_Escal)^('Book Income Statement'!AA4-'Project Assumtions'!$N$6)*('Book Income Statement'!AA5/12))</f>
        <v>0</v>
      </c>
      <c r="AB37" s="576">
        <f>Fixed*((1+OM_Escal)^('Book Income Statement'!AB4-'Project Assumtions'!$N$6)*('Book Income Statement'!AB5/12))</f>
        <v>0</v>
      </c>
    </row>
    <row r="38" spans="1:28" ht="12.6" customHeight="1">
      <c r="A38" s="1">
        <v>12</v>
      </c>
      <c r="B38" s="522" t="s">
        <v>490</v>
      </c>
      <c r="C38" s="885">
        <f t="shared" si="6"/>
        <v>221.56124492702605</v>
      </c>
      <c r="D38" s="575">
        <f>'Project Assumtions'!$N$23*((1+OM_Escal)^('Book Income Statement'!D4-'Project Assumtions'!$N$6))*(D5)/12</f>
        <v>97.713379469434827</v>
      </c>
      <c r="E38" s="575">
        <f>'Project Assumtions'!$N$23*((1+OM_Escal)^('Book Income Statement'!E4-'Project Assumtions'!$N$6))*(E5)/12</f>
        <v>172.53391003460206</v>
      </c>
      <c r="F38" s="575">
        <f>'Project Assumtions'!$N$23*((1+OM_Escal)^('Book Income Statement'!F4-'Project Assumtions'!$N$6))*(F5)/12</f>
        <v>177.70992733564012</v>
      </c>
      <c r="G38" s="575">
        <f>'Project Assumtions'!$N$23*((1+OM_Escal)^('Book Income Statement'!G4-'Project Assumtions'!$N$6))*(G5)/12</f>
        <v>183.04122515570933</v>
      </c>
      <c r="H38" s="575">
        <f>'Project Assumtions'!$N$23*((1+OM_Escal)^('Book Income Statement'!H4-'Project Assumtions'!$N$6))*(H5)/12</f>
        <v>188.53246191038059</v>
      </c>
      <c r="I38" s="575">
        <f>'Project Assumtions'!$N$23*((1+OM_Escal)^('Book Income Statement'!I4-'Project Assumtions'!$N$6))*(I5)/12</f>
        <v>194.18843576769203</v>
      </c>
      <c r="J38" s="575">
        <f>'Project Assumtions'!$N$23*((1+OM_Escal)^('Book Income Statement'!J4-'Project Assumtions'!$N$6))*(J5)/12</f>
        <v>200.01408884072279</v>
      </c>
      <c r="K38" s="575">
        <f>'Project Assumtions'!$N$23*((1+OM_Escal)^('Book Income Statement'!K4-'Project Assumtions'!$N$6))*(K5)/12</f>
        <v>206.01451150594445</v>
      </c>
      <c r="L38" s="575">
        <f>'Project Assumtions'!$N$23*((1+OM_Escal)^('Book Income Statement'!L4-'Project Assumtions'!$N$6))*(L5)/12</f>
        <v>212.19494685112281</v>
      </c>
      <c r="M38" s="575">
        <f>'Project Assumtions'!$N$23*((1+OM_Escal)^('Book Income Statement'!M4-'Project Assumtions'!$N$6))*(M5)/12</f>
        <v>218.56079525665646</v>
      </c>
      <c r="N38" s="575">
        <f>'Project Assumtions'!$N$23*((1+OM_Escal)^('Book Income Statement'!N4-'Project Assumtions'!$N$6))*(N5)/12</f>
        <v>225.11761911435619</v>
      </c>
      <c r="O38" s="575">
        <f>'Project Assumtions'!$N$23*((1+OM_Escal)^('Book Income Statement'!O4-'Project Assumtions'!$N$6))*(O5)/12</f>
        <v>231.87114768778682</v>
      </c>
      <c r="P38" s="575">
        <f>'Project Assumtions'!$N$23*((1+OM_Escal)^('Book Income Statement'!P4-'Project Assumtions'!$N$6))*(P5)/12</f>
        <v>238.82728211842041</v>
      </c>
      <c r="Q38" s="575">
        <f>'Project Assumtions'!$N$23*((1+OM_Escal)^('Book Income Statement'!Q4-'Project Assumtions'!$N$6))*(Q5)/12</f>
        <v>245.99210058197306</v>
      </c>
      <c r="R38" s="575">
        <f>'Project Assumtions'!$N$23*((1+OM_Escal)^('Book Income Statement'!R4-'Project Assumtions'!$N$6))*(R5)/12</f>
        <v>253.37186359943226</v>
      </c>
      <c r="S38" s="575">
        <f>'Project Assumtions'!$N$23*((1+OM_Escal)^('Book Income Statement'!S4-'Project Assumtions'!$N$6))*(S5)/12</f>
        <v>260.97301950741519</v>
      </c>
      <c r="T38" s="575">
        <f>'Project Assumtions'!$N$23*((1+OM_Escal)^('Book Income Statement'!T4-'Project Assumtions'!$N$6))*(T5)/12</f>
        <v>268.80221009263767</v>
      </c>
      <c r="U38" s="575">
        <f>'Project Assumtions'!$N$23*((1+OM_Escal)^('Book Income Statement'!U4-'Project Assumtions'!$N$6))*(U5)/12</f>
        <v>276.86627639541678</v>
      </c>
      <c r="V38" s="575">
        <f>'Project Assumtions'!$N$23*((1+OM_Escal)^('Book Income Statement'!V4-'Project Assumtions'!$N$6))*(V5)/12</f>
        <v>285.17226468727927</v>
      </c>
      <c r="W38" s="575">
        <f>'Project Assumtions'!$N$23*((1+OM_Escal)^('Book Income Statement'!W4-'Project Assumtions'!$N$6))*(W5)/12</f>
        <v>293.72743262789766</v>
      </c>
      <c r="X38" s="575">
        <f>'Project Assumtions'!$N$23*((1+OM_Escal)^('Book Income Statement'!X4-'Project Assumtions'!$N$6))*(X5)/12</f>
        <v>126.05802316947272</v>
      </c>
      <c r="Y38" s="575">
        <f>'Project Assumtions'!$N$23*((1+OM_Escal)^('Book Income Statement'!Y4-'Project Assumtions'!$N$6))*(Y5)/12</f>
        <v>0</v>
      </c>
      <c r="Z38" s="575">
        <f>'Project Assumtions'!$N$23*((1+OM_Escal)^('Book Income Statement'!Z4-'Project Assumtions'!$N$6))*(Z5)/12</f>
        <v>0</v>
      </c>
      <c r="AA38" s="575">
        <f>'Project Assumtions'!$N$23*((1+OM_Escal)^('Book Income Statement'!AA4-'Project Assumtions'!$N$6))*(AA5)/12</f>
        <v>0</v>
      </c>
      <c r="AB38" s="576">
        <f>'Project Assumtions'!$N$23*((1+OM_Escal)^('Book Income Statement'!AB4-'Project Assumtions'!$N$6))*(AB5)/12</f>
        <v>0</v>
      </c>
    </row>
    <row r="39" spans="1:28" ht="12.6" customHeight="1">
      <c r="B39" s="522" t="s">
        <v>612</v>
      </c>
      <c r="C39" s="885">
        <f t="shared" si="6"/>
        <v>461.33204819386049</v>
      </c>
      <c r="D39" s="575">
        <f>IF(D3&gt;ProjectLife+1,0,'Project Assumtions'!$N$24*((1+OM_Escal)^(D4-2003))*D7/12)</f>
        <v>0</v>
      </c>
      <c r="E39" s="575">
        <f>IF(E3&gt;ProjectLife+1,0,'Project Assumtions'!$N$24*((1+OM_Escal)^(E4-2003))*E7/12)</f>
        <v>0</v>
      </c>
      <c r="F39" s="575">
        <f>IF(F3&gt;ProjectLife+1,0,'Project Assumtions'!$N$24*((1+OM_Escal)^(F4-2003))*F7/12)</f>
        <v>0</v>
      </c>
      <c r="G39" s="575">
        <f>IF(G3&gt;ProjectLife+1,0,'Project Assumtions'!$N$24*((1+OM_Escal)^(G4-2003))*G7/12)</f>
        <v>252.15400000000002</v>
      </c>
      <c r="H39" s="575">
        <f>IF(H3&gt;ProjectLife+1,0,'Project Assumtions'!$N$24*((1+OM_Escal)^(H4-2003))*H7/12)</f>
        <v>445.23192</v>
      </c>
      <c r="I39" s="575">
        <f>IF(I3&gt;ProjectLife+1,0,'Project Assumtions'!$N$24*((1+OM_Escal)^(I4-2003))*I7/12)</f>
        <v>458.58887759999999</v>
      </c>
      <c r="J39" s="575">
        <f>IF(J3&gt;ProjectLife+1,0,'Project Assumtions'!$N$24*((1+OM_Escal)^(J4-2003))*J7/12)</f>
        <v>472.34654392800007</v>
      </c>
      <c r="K39" s="575">
        <f>IF(K3&gt;ProjectLife+1,0,'Project Assumtions'!$N$24*((1+OM_Escal)^(K4-2003))*K7/12)</f>
        <v>486.51694024584003</v>
      </c>
      <c r="L39" s="575">
        <f>IF(L3&gt;ProjectLife+1,0,'Project Assumtions'!$N$24*((1+OM_Escal)^(L4-2003))*L7/12)</f>
        <v>501.11244845321522</v>
      </c>
      <c r="M39" s="575">
        <f>IF(M3&gt;ProjectLife+1,0,'Project Assumtions'!$N$24*((1+OM_Escal)^(M4-2003))*M7/12)</f>
        <v>516.14582190681165</v>
      </c>
      <c r="N39" s="575">
        <f>IF(N3&gt;ProjectLife+1,0,'Project Assumtions'!$N$24*((1+OM_Escal)^(N4-2003))*N7/12)</f>
        <v>531.63019656401605</v>
      </c>
      <c r="O39" s="575">
        <f>IF(O3&gt;ProjectLife+1,0,'Project Assumtions'!$N$24*((1+OM_Escal)^(O4-2003))*O7/12)</f>
        <v>547.5791024609365</v>
      </c>
      <c r="P39" s="575">
        <f>IF(P3&gt;ProjectLife+1,0,'Project Assumtions'!$N$24*((1+OM_Escal)^(P4-2003))*P7/12)</f>
        <v>564.0064755347646</v>
      </c>
      <c r="Q39" s="575">
        <f>IF(Q3&gt;ProjectLife+1,0,'Project Assumtions'!$N$24*((1+OM_Escal)^(Q4-2003))*Q7/12)</f>
        <v>580.92666980080753</v>
      </c>
      <c r="R39" s="575">
        <f>IF(R3&gt;ProjectLife+1,0,'Project Assumtions'!$N$24*((1+OM_Escal)^(R4-2003))*R7/12)</f>
        <v>598.35446989483182</v>
      </c>
      <c r="S39" s="575">
        <f>IF(S3&gt;ProjectLife+1,0,'Project Assumtions'!$N$24*((1+OM_Escal)^(S4-2003))*S7/12)</f>
        <v>616.30510399167667</v>
      </c>
      <c r="T39" s="575">
        <f>IF(T3&gt;ProjectLife+1,0,'Project Assumtions'!$N$24*((1+OM_Escal)^(T4-2003))*T7/12)</f>
        <v>634.79425711142687</v>
      </c>
      <c r="U39" s="575">
        <f>IF(U3&gt;ProjectLife+1,0,'Project Assumtions'!$N$24*((1+OM_Escal)^(U4-2003))*U7/12)</f>
        <v>653.83808482476979</v>
      </c>
      <c r="V39" s="575">
        <f>IF(V3&gt;ProjectLife+1,0,'Project Assumtions'!$N$24*((1+OM_Escal)^(V4-2003))*V7/12)</f>
        <v>673.45322736951289</v>
      </c>
      <c r="W39" s="575">
        <f>IF(W3&gt;ProjectLife+1,0,'Project Assumtions'!$N$24*((1+OM_Escal)^(W4-2003))*W7/12)</f>
        <v>693.65682419059829</v>
      </c>
      <c r="X39" s="575">
        <f>IF(X3&gt;ProjectLife+1,0,'Project Assumtions'!$N$24*((1+OM_Escal)^(X4-2003))*X7/12)</f>
        <v>297.6943870484651</v>
      </c>
      <c r="Y39" s="575">
        <f>IF(Y3&gt;ProjectLife+1,0,'Project Assumtions'!$N$24*((1+OM_Escal)^(Y4-2003))*Y7/12)</f>
        <v>0</v>
      </c>
      <c r="Z39" s="575">
        <f>IF(Z3&gt;ProjectLife+1,0,'Project Assumtions'!$N$24*((1+OM_Escal)^(Z4-2003))*Z7/12)</f>
        <v>0</v>
      </c>
      <c r="AA39" s="575">
        <f>IF(AA3&gt;ProjectLife+1,0,'Project Assumtions'!$N$24*((1+OM_Escal)^(AA4-2003))*AA7/12)</f>
        <v>0</v>
      </c>
      <c r="AB39" s="576">
        <f>IF(AB3&gt;ProjectLife+1,0,'Project Assumtions'!$N$24*((1+OM_Escal)^(AB4-2003))*AB7/12)</f>
        <v>0</v>
      </c>
    </row>
    <row r="40" spans="1:28" ht="12.6" customHeight="1">
      <c r="A40" s="1">
        <v>9</v>
      </c>
      <c r="B40" s="522" t="s">
        <v>491</v>
      </c>
      <c r="C40" s="886">
        <f t="shared" si="6"/>
        <v>340.59148821229007</v>
      </c>
      <c r="D40" s="752">
        <f>'Project Assumtions'!$N$25*((1+OM_Escal)^('Book Income Statement'!D4-'Project Assumtions'!$N$6))*D5/12</f>
        <v>150.20833333333334</v>
      </c>
      <c r="E40" s="753">
        <f>'Project Assumtions'!$N$25*((1+OM_Escal)^('Book Income Statement'!E4-'Project Assumtions'!$N$6))*E5/12</f>
        <v>265.22499999999997</v>
      </c>
      <c r="F40" s="753">
        <f>'Project Assumtions'!$N$25*((1+OM_Escal)^('Book Income Statement'!F4-'Project Assumtions'!$N$6))*F5/12</f>
        <v>273.18175000000002</v>
      </c>
      <c r="G40" s="753">
        <f>'Project Assumtions'!$N$25*((1+OM_Escal)^('Book Income Statement'!G4-'Project Assumtions'!$N$6))*G5/12</f>
        <v>281.37720249999995</v>
      </c>
      <c r="H40" s="753">
        <f>'Project Assumtions'!$N$25*((1+OM_Escal)^('Book Income Statement'!H4-'Project Assumtions'!$N$6))*H5/12</f>
        <v>289.81851857499998</v>
      </c>
      <c r="I40" s="753">
        <f>'Project Assumtions'!$N$25*((1+OM_Escal)^('Book Income Statement'!I4-'Project Assumtions'!$N$6))*I5/12</f>
        <v>298.51307413224998</v>
      </c>
      <c r="J40" s="753">
        <f>'Project Assumtions'!$N$25*((1+OM_Escal)^('Book Income Statement'!J4-'Project Assumtions'!$N$6))*J5/12</f>
        <v>307.4684663562175</v>
      </c>
      <c r="K40" s="753">
        <f>'Project Assumtions'!$N$25*((1+OM_Escal)^('Book Income Statement'!K4-'Project Assumtions'!$N$6))*K5/12</f>
        <v>316.69252034690396</v>
      </c>
      <c r="L40" s="753">
        <f>'Project Assumtions'!$N$25*((1+OM_Escal)^('Book Income Statement'!L4-'Project Assumtions'!$N$6))*L5/12</f>
        <v>326.19329595731114</v>
      </c>
      <c r="M40" s="753">
        <f>'Project Assumtions'!$N$25*((1+OM_Escal)^('Book Income Statement'!M4-'Project Assumtions'!$N$6))*M5/12</f>
        <v>335.97909483603047</v>
      </c>
      <c r="N40" s="753">
        <f>'Project Assumtions'!$N$25*((1+OM_Escal)^('Book Income Statement'!N4-'Project Assumtions'!$N$6))*N5/12</f>
        <v>346.05846768111138</v>
      </c>
      <c r="O40" s="753">
        <f>'Project Assumtions'!$N$25*((1+OM_Escal)^('Book Income Statement'!O4-'Project Assumtions'!$N$6))*O5/12</f>
        <v>356.44022171154467</v>
      </c>
      <c r="P40" s="753">
        <f>'Project Assumtions'!$N$25*((1+OM_Escal)^('Book Income Statement'!P4-'Project Assumtions'!$N$6))*P5/12</f>
        <v>367.13342836289098</v>
      </c>
      <c r="Q40" s="753">
        <f>'Project Assumtions'!$N$25*((1+OM_Escal)^('Book Income Statement'!Q4-'Project Assumtions'!$N$6))*Q5/12</f>
        <v>378.14743121377774</v>
      </c>
      <c r="R40" s="753">
        <f>'Project Assumtions'!$N$25*((1+OM_Escal)^('Book Income Statement'!R4-'Project Assumtions'!$N$6))*R5/12</f>
        <v>389.4918541501911</v>
      </c>
      <c r="S40" s="753">
        <f>'Project Assumtions'!$N$25*((1+OM_Escal)^('Book Income Statement'!S4-'Project Assumtions'!$N$6))*S5/12</f>
        <v>401.17660977469677</v>
      </c>
      <c r="T40" s="753">
        <f>'Project Assumtions'!$N$25*((1+OM_Escal)^('Book Income Statement'!T4-'Project Assumtions'!$N$6))*T5/12</f>
        <v>413.21190806793766</v>
      </c>
      <c r="U40" s="753">
        <f>'Project Assumtions'!$N$25*((1+OM_Escal)^('Book Income Statement'!U4-'Project Assumtions'!$N$6))*U5/12</f>
        <v>425.60826530997582</v>
      </c>
      <c r="V40" s="753">
        <f>'Project Assumtions'!$N$25*((1+OM_Escal)^('Book Income Statement'!V4-'Project Assumtions'!$N$6))*V5/12</f>
        <v>438.37651326927499</v>
      </c>
      <c r="W40" s="753">
        <f>'Project Assumtions'!$N$25*((1+OM_Escal)^('Book Income Statement'!W4-'Project Assumtions'!$N$6))*W5/12</f>
        <v>451.52780866735333</v>
      </c>
      <c r="X40" s="753">
        <f>'Project Assumtions'!$N$25*((1+OM_Escal)^('Book Income Statement'!X4-'Project Assumtions'!$N$6))*X5/12</f>
        <v>193.78068455307243</v>
      </c>
      <c r="Y40" s="753">
        <f>'Project Assumtions'!$N$25*((1+OM_Escal)^('Book Income Statement'!Y4-'Project Assumtions'!$N$6))*Y5/12</f>
        <v>0</v>
      </c>
      <c r="Z40" s="753">
        <f>'Project Assumtions'!$N$25*((1+OM_Escal)^('Book Income Statement'!Z4-'Project Assumtions'!$N$6))*Z5/12</f>
        <v>0</v>
      </c>
      <c r="AA40" s="753">
        <f>'Project Assumtions'!$N$25*((1+OM_Escal)^('Book Income Statement'!AA4-'Project Assumtions'!$N$6))*AA5/12</f>
        <v>0</v>
      </c>
      <c r="AB40" s="754">
        <f>'Project Assumtions'!$N$25*((1+OM_Escal)^('Book Income Statement'!AB4-'Project Assumtions'!$N$6))*AB5/12</f>
        <v>0</v>
      </c>
    </row>
    <row r="41" spans="1:28" ht="12.6" customHeight="1">
      <c r="B41" s="521" t="s">
        <v>537</v>
      </c>
      <c r="C41" s="887">
        <f>SUM(C36:C40)</f>
        <v>2610.6411164024485</v>
      </c>
      <c r="D41" s="935">
        <f>SUM(D36:D40)</f>
        <v>947.89254613610171</v>
      </c>
      <c r="E41" s="935">
        <f t="shared" ref="E41:AB41" si="7">SUM(E36:E40)</f>
        <v>1673.7074100346019</v>
      </c>
      <c r="F41" s="935">
        <f t="shared" si="7"/>
        <v>1723.91863233564</v>
      </c>
      <c r="G41" s="935">
        <f t="shared" si="7"/>
        <v>2027.7901913057094</v>
      </c>
      <c r="H41" s="935">
        <f t="shared" si="7"/>
        <v>2274.1371970448804</v>
      </c>
      <c r="I41" s="935">
        <f t="shared" si="7"/>
        <v>2342.3613129562268</v>
      </c>
      <c r="J41" s="935">
        <f t="shared" si="7"/>
        <v>2412.6321523449142</v>
      </c>
      <c r="K41" s="935">
        <f t="shared" si="7"/>
        <v>2485.011116915261</v>
      </c>
      <c r="L41" s="935">
        <f t="shared" si="7"/>
        <v>2559.5614504227187</v>
      </c>
      <c r="M41" s="935">
        <f t="shared" si="7"/>
        <v>2636.3482939354008</v>
      </c>
      <c r="N41" s="935">
        <f t="shared" si="7"/>
        <v>2715.4387427534625</v>
      </c>
      <c r="O41" s="935">
        <f t="shared" si="7"/>
        <v>2796.9019050360662</v>
      </c>
      <c r="P41" s="935">
        <f t="shared" si="7"/>
        <v>2880.8089621871486</v>
      </c>
      <c r="Q41" s="935">
        <f t="shared" si="7"/>
        <v>2967.2332310527627</v>
      </c>
      <c r="R41" s="935">
        <f t="shared" si="7"/>
        <v>3056.2502279843457</v>
      </c>
      <c r="S41" s="935">
        <f t="shared" si="7"/>
        <v>3147.9377348238759</v>
      </c>
      <c r="T41" s="935">
        <f t="shared" si="7"/>
        <v>3242.3758668685914</v>
      </c>
      <c r="U41" s="935">
        <f t="shared" si="7"/>
        <v>3339.6471428746495</v>
      </c>
      <c r="V41" s="935">
        <f t="shared" si="7"/>
        <v>3439.8365571608892</v>
      </c>
      <c r="W41" s="935">
        <f t="shared" si="7"/>
        <v>3543.0316538757156</v>
      </c>
      <c r="X41" s="935">
        <f t="shared" si="7"/>
        <v>1520.5510847883279</v>
      </c>
      <c r="Y41" s="935">
        <f t="shared" si="7"/>
        <v>0</v>
      </c>
      <c r="Z41" s="935">
        <f t="shared" si="7"/>
        <v>0</v>
      </c>
      <c r="AA41" s="935">
        <f t="shared" si="7"/>
        <v>0</v>
      </c>
      <c r="AB41" s="937">
        <f t="shared" si="7"/>
        <v>0</v>
      </c>
    </row>
    <row r="42" spans="1:28" ht="12.6" customHeight="1">
      <c r="B42" s="522"/>
      <c r="C42" s="885"/>
      <c r="D42" s="755"/>
      <c r="E42" s="755"/>
      <c r="F42" s="755"/>
      <c r="G42" s="755"/>
      <c r="H42" s="755"/>
      <c r="I42" s="755"/>
      <c r="J42" s="755"/>
      <c r="K42" s="755"/>
      <c r="L42" s="755"/>
      <c r="M42" s="755"/>
      <c r="N42" s="755"/>
      <c r="O42" s="755"/>
      <c r="P42" s="755"/>
      <c r="Q42" s="755"/>
      <c r="R42" s="755"/>
      <c r="S42" s="755"/>
      <c r="T42" s="755"/>
      <c r="U42" s="755"/>
      <c r="V42" s="755"/>
      <c r="W42" s="755"/>
      <c r="X42" s="755"/>
      <c r="Y42" s="755"/>
      <c r="Z42" s="755"/>
      <c r="AA42" s="755"/>
      <c r="AB42" s="756"/>
    </row>
    <row r="43" spans="1:28" ht="12.6" customHeight="1">
      <c r="B43" s="521" t="s">
        <v>530</v>
      </c>
      <c r="C43" s="885"/>
      <c r="D43" s="755"/>
      <c r="E43" s="755"/>
      <c r="F43" s="755"/>
      <c r="G43" s="755"/>
      <c r="H43" s="755"/>
      <c r="I43" s="755"/>
      <c r="J43" s="755"/>
      <c r="K43" s="755"/>
      <c r="L43" s="755"/>
      <c r="M43" s="755"/>
      <c r="N43" s="755"/>
      <c r="O43" s="755"/>
      <c r="P43" s="755"/>
      <c r="Q43" s="755"/>
      <c r="R43" s="755"/>
      <c r="S43" s="755"/>
      <c r="T43" s="755"/>
      <c r="U43" s="755"/>
      <c r="V43" s="755"/>
      <c r="W43" s="755"/>
      <c r="X43" s="755"/>
      <c r="Y43" s="755"/>
      <c r="Z43" s="755"/>
      <c r="AA43" s="755"/>
      <c r="AB43" s="756"/>
    </row>
    <row r="44" spans="1:28" ht="12.6" customHeight="1">
      <c r="A44" s="1">
        <v>6</v>
      </c>
      <c r="B44" s="522" t="s">
        <v>130</v>
      </c>
      <c r="C44" s="885">
        <f t="shared" si="6"/>
        <v>361.02697750502739</v>
      </c>
      <c r="D44" s="575">
        <f>'Project Assumtions'!$N$34*((1+OM_Escal)^('Book Income Statement'!D4-'Project Assumtions'!$N$29))*D5/12</f>
        <v>159.22083333333333</v>
      </c>
      <c r="E44" s="575">
        <f>'Project Assumtions'!$N$34*((1+OM_Escal)^('Book Income Statement'!E4-'Project Assumtions'!$N$29))*E5/12</f>
        <v>281.13849999999996</v>
      </c>
      <c r="F44" s="575">
        <f>'Project Assumtions'!$N$34*((1+OM_Escal)^('Book Income Statement'!F4-'Project Assumtions'!$N$29))*F5/12</f>
        <v>289.572655</v>
      </c>
      <c r="G44" s="575">
        <f>'Project Assumtions'!$N$34*((1+OM_Escal)^('Book Income Statement'!G4-'Project Assumtions'!$N$29))*G5/12</f>
        <v>298.25983464999996</v>
      </c>
      <c r="H44" s="575">
        <f>'Project Assumtions'!$N$34*((1+OM_Escal)^('Book Income Statement'!H4-'Project Assumtions'!$N$29))*H5/12</f>
        <v>307.20762968949998</v>
      </c>
      <c r="I44" s="575">
        <f>'Project Assumtions'!$N$34*((1+OM_Escal)^('Book Income Statement'!I4-'Project Assumtions'!$N$29))*I5/12</f>
        <v>316.42385858018497</v>
      </c>
      <c r="J44" s="575">
        <f>'Project Assumtions'!$N$34*((1+OM_Escal)^('Book Income Statement'!J4-'Project Assumtions'!$N$29))*J5/12</f>
        <v>325.91657433759053</v>
      </c>
      <c r="K44" s="575">
        <f>'Project Assumtions'!$N$34*((1+OM_Escal)^('Book Income Statement'!K4-'Project Assumtions'!$N$29))*K5/12</f>
        <v>335.6940715677182</v>
      </c>
      <c r="L44" s="575">
        <f>'Project Assumtions'!$N$34*((1+OM_Escal)^('Book Income Statement'!L4-'Project Assumtions'!$N$29))*L5/12</f>
        <v>345.7648937147498</v>
      </c>
      <c r="M44" s="575">
        <f>'Project Assumtions'!$N$34*((1+OM_Escal)^('Book Income Statement'!M4-'Project Assumtions'!$N$29))*M5/12</f>
        <v>356.13784052619229</v>
      </c>
      <c r="N44" s="575">
        <f>'Project Assumtions'!$N$34*((1+OM_Escal)^('Book Income Statement'!N4-'Project Assumtions'!$N$29))*N5/12</f>
        <v>366.82197574197806</v>
      </c>
      <c r="O44" s="575">
        <f>'Project Assumtions'!$N$34*((1+OM_Escal)^('Book Income Statement'!O4-'Project Assumtions'!$N$29))*O5/12</f>
        <v>377.82663501423735</v>
      </c>
      <c r="P44" s="575">
        <f>'Project Assumtions'!$N$34*((1+OM_Escal)^('Book Income Statement'!P4-'Project Assumtions'!$N$29))*P5/12</f>
        <v>389.16143406466443</v>
      </c>
      <c r="Q44" s="575">
        <f>'Project Assumtions'!$N$34*((1+OM_Escal)^('Book Income Statement'!Q4-'Project Assumtions'!$N$29))*Q5/12</f>
        <v>400.83627708660441</v>
      </c>
      <c r="R44" s="575">
        <f>'Project Assumtions'!$N$34*((1+OM_Escal)^('Book Income Statement'!R4-'Project Assumtions'!$N$29))*R5/12</f>
        <v>412.86136539920261</v>
      </c>
      <c r="S44" s="575">
        <f>'Project Assumtions'!$N$34*((1+OM_Escal)^('Book Income Statement'!S4-'Project Assumtions'!$N$29))*S5/12</f>
        <v>425.2472063611786</v>
      </c>
      <c r="T44" s="575">
        <f>'Project Assumtions'!$N$34*((1+OM_Escal)^('Book Income Statement'!T4-'Project Assumtions'!$N$29))*T5/12</f>
        <v>438.00462255201393</v>
      </c>
      <c r="U44" s="575">
        <f>'Project Assumtions'!$N$34*((1+OM_Escal)^('Book Income Statement'!U4-'Project Assumtions'!$N$29))*U5/12</f>
        <v>451.1447612285744</v>
      </c>
      <c r="V44" s="575">
        <f>'Project Assumtions'!$N$34*((1+OM_Escal)^('Book Income Statement'!V4-'Project Assumtions'!$N$29))*V5/12</f>
        <v>464.6791040654316</v>
      </c>
      <c r="W44" s="575">
        <f>'Project Assumtions'!$N$34*((1+OM_Escal)^('Book Income Statement'!W4-'Project Assumtions'!$N$29))*W5/12</f>
        <v>478.61947718739452</v>
      </c>
      <c r="X44" s="575">
        <f>'Project Assumtions'!$N$34*((1+OM_Escal)^('Book Income Statement'!X4-'Project Assumtions'!$N$29))*X5/12</f>
        <v>205.40752562625678</v>
      </c>
      <c r="Y44" s="575">
        <f>'Project Assumtions'!$N$34*((1+OM_Escal)^('Book Income Statement'!Y4-'Project Assumtions'!$N$29))*Y5/12</f>
        <v>0</v>
      </c>
      <c r="Z44" s="575">
        <f>'Project Assumtions'!$N$34*((1+OM_Escal)^('Book Income Statement'!Z4-'Project Assumtions'!$N$29))*Z5/12</f>
        <v>0</v>
      </c>
      <c r="AA44" s="575">
        <f>'Project Assumtions'!$N$34*((1+OM_Escal)^('Book Income Statement'!AA4-'Project Assumtions'!$N$29))*AA5/12</f>
        <v>0</v>
      </c>
      <c r="AB44" s="576">
        <f>'Project Assumtions'!$N$34*((1+OM_Escal)^('Book Income Statement'!AB4-'Project Assumtions'!$N$29))*AB5/12</f>
        <v>0</v>
      </c>
    </row>
    <row r="45" spans="1:28" ht="12.6" customHeight="1">
      <c r="A45" s="1">
        <v>7</v>
      </c>
      <c r="B45" s="522" t="s">
        <v>589</v>
      </c>
      <c r="C45" s="885">
        <f t="shared" si="6"/>
        <v>131.46330718733688</v>
      </c>
      <c r="D45" s="575">
        <f>IF(D3&gt;ProjectLife+1,0,'Project Assumtions'!$N$35*((1+OM_Escal)^('Book Income Statement'!D4-'Project Assumtions'!$N$29)))</f>
        <v>97.850000000000009</v>
      </c>
      <c r="E45" s="575">
        <f>IF(E3&gt;ProjectLife+1,0,'Project Assumtions'!$N$35*((1+OM_Escal)^('Book Income Statement'!E4-'Project Assumtions'!$N$29)))</f>
        <v>100.7855</v>
      </c>
      <c r="F45" s="575">
        <f>IF(F3&gt;ProjectLife+1,0,'Project Assumtions'!$N$35*((1+OM_Escal)^('Book Income Statement'!F4-'Project Assumtions'!$N$29)))</f>
        <v>103.809065</v>
      </c>
      <c r="G45" s="575">
        <f>IF(G3&gt;ProjectLife+1,0,'Project Assumtions'!$N$35*((1+OM_Escal)^('Book Income Statement'!G4-'Project Assumtions'!$N$29)))</f>
        <v>106.92333694999999</v>
      </c>
      <c r="H45" s="575">
        <f>IF(H3&gt;ProjectLife+1,0,'Project Assumtions'!$N$35*((1+OM_Escal)^('Book Income Statement'!H4-'Project Assumtions'!$N$29)))</f>
        <v>110.13103705849998</v>
      </c>
      <c r="I45" s="575">
        <f>IF(I3&gt;ProjectLife+1,0,'Project Assumtions'!$N$35*((1+OM_Escal)^('Book Income Statement'!I4-'Project Assumtions'!$N$29)))</f>
        <v>113.43496817025499</v>
      </c>
      <c r="J45" s="575">
        <f>IF(J3&gt;ProjectLife+1,0,'Project Assumtions'!$N$35*((1+OM_Escal)^('Book Income Statement'!J4-'Project Assumtions'!$N$29)))</f>
        <v>116.83801721536265</v>
      </c>
      <c r="K45" s="575">
        <f>IF(K3&gt;ProjectLife+1,0,'Project Assumtions'!$N$35*((1+OM_Escal)^('Book Income Statement'!K4-'Project Assumtions'!$N$29)))</f>
        <v>120.34315773182351</v>
      </c>
      <c r="L45" s="575">
        <f>IF(L3&gt;ProjectLife+1,0,'Project Assumtions'!$N$35*((1+OM_Escal)^('Book Income Statement'!L4-'Project Assumtions'!$N$29)))</f>
        <v>123.95345246377822</v>
      </c>
      <c r="M45" s="575">
        <f>IF(M3&gt;ProjectLife+1,0,'Project Assumtions'!$N$35*((1+OM_Escal)^('Book Income Statement'!M4-'Project Assumtions'!$N$29)))</f>
        <v>127.67205603769158</v>
      </c>
      <c r="N45" s="575">
        <f>IF(N3&gt;ProjectLife+1,0,'Project Assumtions'!$N$35*((1+OM_Escal)^('Book Income Statement'!N4-'Project Assumtions'!$N$29)))</f>
        <v>131.50221771882232</v>
      </c>
      <c r="O45" s="575">
        <f>IF(O3&gt;ProjectLife+1,0,'Project Assumtions'!$N$35*((1+OM_Escal)^('Book Income Statement'!O4-'Project Assumtions'!$N$29)))</f>
        <v>135.44728425038696</v>
      </c>
      <c r="P45" s="575">
        <f>IF(P3&gt;ProjectLife+1,0,'Project Assumtions'!$N$35*((1+OM_Escal)^('Book Income Statement'!P4-'Project Assumtions'!$N$29)))</f>
        <v>139.51070277789856</v>
      </c>
      <c r="Q45" s="575">
        <f>IF(Q3&gt;ProjectLife+1,0,'Project Assumtions'!$N$35*((1+OM_Escal)^('Book Income Statement'!Q4-'Project Assumtions'!$N$29)))</f>
        <v>143.69602386123555</v>
      </c>
      <c r="R45" s="575">
        <f>IF(R3&gt;ProjectLife+1,0,'Project Assumtions'!$N$35*((1+OM_Escal)^('Book Income Statement'!R4-'Project Assumtions'!$N$29)))</f>
        <v>148.00690457707262</v>
      </c>
      <c r="S45" s="575">
        <f>IF(S3&gt;ProjectLife+1,0,'Project Assumtions'!$N$35*((1+OM_Escal)^('Book Income Statement'!S4-'Project Assumtions'!$N$29)))</f>
        <v>152.44711171438476</v>
      </c>
      <c r="T45" s="575">
        <f>IF(T3&gt;ProjectLife+1,0,'Project Assumtions'!$N$35*((1+OM_Escal)^('Book Income Statement'!T4-'Project Assumtions'!$N$29)))</f>
        <v>157.02052506581632</v>
      </c>
      <c r="U45" s="575">
        <f>IF(U3&gt;ProjectLife+1,0,'Project Assumtions'!$N$35*((1+OM_Escal)^('Book Income Statement'!U4-'Project Assumtions'!$N$29)))</f>
        <v>161.73114081779082</v>
      </c>
      <c r="V45" s="575">
        <f>IF(V3&gt;ProjectLife+1,0,'Project Assumtions'!$N$35*((1+OM_Escal)^('Book Income Statement'!V4-'Project Assumtions'!$N$29)))</f>
        <v>166.58307504232454</v>
      </c>
      <c r="W45" s="575">
        <f>IF(W3&gt;ProjectLife+1,0,'Project Assumtions'!$N$35*((1+OM_Escal)^('Book Income Statement'!W4-'Project Assumtions'!$N$29)))</f>
        <v>171.58056729359427</v>
      </c>
      <c r="X45" s="575">
        <f>IF(X3&gt;ProjectLife+1,0,'Project Assumtions'!$N$35*((1+OM_Escal)^('Book Income Statement'!X4-'Project Assumtions'!$N$29)))</f>
        <v>176.72798431240207</v>
      </c>
      <c r="Y45" s="575">
        <f>IF(Y3&gt;ProjectLife+1,0,'Project Assumtions'!$N$35*((1+OM_Escal)^('Book Income Statement'!Y4-'Project Assumtions'!$N$29)))</f>
        <v>0</v>
      </c>
      <c r="Z45" s="575">
        <f>IF(Z3&gt;ProjectLife+1,0,'Project Assumtions'!$N$35*((1+OM_Escal)^('Book Income Statement'!Z4-'Project Assumtions'!$N$29)))</f>
        <v>0</v>
      </c>
      <c r="AA45" s="575">
        <f>IF(AA3&gt;ProjectLife+1,0,'Project Assumtions'!$N$35*((1+OM_Escal)^('Book Income Statement'!AA4-'Project Assumtions'!$N$29)))</f>
        <v>0</v>
      </c>
      <c r="AB45" s="576">
        <f>IF(AB3&gt;ProjectLife+1,0,'Project Assumtions'!$N$35*((1+OM_Escal)^('Book Income Statement'!AB4-'Project Assumtions'!$N$29)))</f>
        <v>0</v>
      </c>
    </row>
    <row r="46" spans="1:28" ht="12.6" customHeight="1">
      <c r="B46" s="522" t="s">
        <v>590</v>
      </c>
      <c r="C46" s="885">
        <f t="shared" si="6"/>
        <v>190.73123339888247</v>
      </c>
      <c r="D46" s="575">
        <f>'Project Assumtions'!$N$36*((1+OM_Escal)^('Book Income Statement'!D4-'Project Assumtions'!$N$29))*(D5/12)</f>
        <v>84.116666666666688</v>
      </c>
      <c r="E46" s="575">
        <f>'Project Assumtions'!$N$36*((1+OM_Escal)^('Book Income Statement'!E4-'Project Assumtions'!$N$29))*(E5/12)</f>
        <v>148.52599999999998</v>
      </c>
      <c r="F46" s="575">
        <f>'Project Assumtions'!$N$36*((1+OM_Escal)^('Book Income Statement'!F4-'Project Assumtions'!$N$29))*(F5/12)</f>
        <v>152.98178000000001</v>
      </c>
      <c r="G46" s="575">
        <f>'Project Assumtions'!$N$36*((1+OM_Escal)^('Book Income Statement'!G4-'Project Assumtions'!$N$29))*(G5/12)</f>
        <v>157.57123339999998</v>
      </c>
      <c r="H46" s="575">
        <f>'Project Assumtions'!$N$36*((1+OM_Escal)^('Book Income Statement'!H4-'Project Assumtions'!$N$29))*(H5/12)</f>
        <v>162.29837040199999</v>
      </c>
      <c r="I46" s="575">
        <f>'Project Assumtions'!$N$36*((1+OM_Escal)^('Book Income Statement'!I4-'Project Assumtions'!$N$29))*(I5/12)</f>
        <v>167.16732151405998</v>
      </c>
      <c r="J46" s="575">
        <f>'Project Assumtions'!$N$36*((1+OM_Escal)^('Book Income Statement'!J4-'Project Assumtions'!$N$29))*(J5/12)</f>
        <v>172.18234115948181</v>
      </c>
      <c r="K46" s="575">
        <f>'Project Assumtions'!$N$36*((1+OM_Escal)^('Book Income Statement'!K4-'Project Assumtions'!$N$29))*(K5/12)</f>
        <v>177.34781139426622</v>
      </c>
      <c r="L46" s="575">
        <f>'Project Assumtions'!$N$36*((1+OM_Escal)^('Book Income Statement'!L4-'Project Assumtions'!$N$29))*(L5/12)</f>
        <v>182.66824573609424</v>
      </c>
      <c r="M46" s="575">
        <f>'Project Assumtions'!$N$36*((1+OM_Escal)^('Book Income Statement'!M4-'Project Assumtions'!$N$29))*(M5/12)</f>
        <v>188.14829310817706</v>
      </c>
      <c r="N46" s="575">
        <f>'Project Assumtions'!$N$36*((1+OM_Escal)^('Book Income Statement'!N4-'Project Assumtions'!$N$29))*(N5/12)</f>
        <v>193.79274190142237</v>
      </c>
      <c r="O46" s="575">
        <f>'Project Assumtions'!$N$36*((1+OM_Escal)^('Book Income Statement'!O4-'Project Assumtions'!$N$29))*(O5/12)</f>
        <v>199.60652415846502</v>
      </c>
      <c r="P46" s="575">
        <f>'Project Assumtions'!$N$36*((1+OM_Escal)^('Book Income Statement'!P4-'Project Assumtions'!$N$29))*(P5/12)</f>
        <v>205.59471988321894</v>
      </c>
      <c r="Q46" s="575">
        <f>'Project Assumtions'!$N$36*((1+OM_Escal)^('Book Income Statement'!Q4-'Project Assumtions'!$N$29))*(Q5/12)</f>
        <v>211.76256147971554</v>
      </c>
      <c r="R46" s="575">
        <f>'Project Assumtions'!$N$36*((1+OM_Escal)^('Book Income Statement'!R4-'Project Assumtions'!$N$29))*(R5/12)</f>
        <v>218.11543832410703</v>
      </c>
      <c r="S46" s="575">
        <f>'Project Assumtions'!$N$36*((1+OM_Escal)^('Book Income Statement'!S4-'Project Assumtions'!$N$29))*(S5/12)</f>
        <v>224.65890147383018</v>
      </c>
      <c r="T46" s="575">
        <f>'Project Assumtions'!$N$36*((1+OM_Escal)^('Book Income Statement'!T4-'Project Assumtions'!$N$29))*(T5/12)</f>
        <v>231.3986685180451</v>
      </c>
      <c r="U46" s="575">
        <f>'Project Assumtions'!$N$36*((1+OM_Escal)^('Book Income Statement'!U4-'Project Assumtions'!$N$29))*(U5/12)</f>
        <v>238.34062857358646</v>
      </c>
      <c r="V46" s="575">
        <f>'Project Assumtions'!$N$36*((1+OM_Escal)^('Book Income Statement'!V4-'Project Assumtions'!$N$29))*(V5/12)</f>
        <v>245.49084743079405</v>
      </c>
      <c r="W46" s="575">
        <f>'Project Assumtions'!$N$36*((1+OM_Escal)^('Book Income Statement'!W4-'Project Assumtions'!$N$29))*(W5/12)</f>
        <v>252.85557285371786</v>
      </c>
      <c r="X46" s="575">
        <f>'Project Assumtions'!$N$36*((1+OM_Escal)^('Book Income Statement'!X4-'Project Assumtions'!$N$29))*(X5/12)</f>
        <v>108.51718334972058</v>
      </c>
      <c r="Y46" s="575">
        <f>'Project Assumtions'!$N$36*((1+OM_Escal)^('Book Income Statement'!Y4-'Project Assumtions'!$N$29))*(Y5/12)</f>
        <v>0</v>
      </c>
      <c r="Z46" s="575">
        <f>'Project Assumtions'!$N$36*((1+OM_Escal)^('Book Income Statement'!Z4-'Project Assumtions'!$N$29))*(Z5/12)</f>
        <v>0</v>
      </c>
      <c r="AA46" s="575">
        <f>'Project Assumtions'!$N$36*((1+OM_Escal)^('Book Income Statement'!AA4-'Project Assumtions'!$N$29))*(AA5/12)</f>
        <v>0</v>
      </c>
      <c r="AB46" s="576">
        <f>'Project Assumtions'!$N$36*((1+OM_Escal)^('Book Income Statement'!AB4-'Project Assumtions'!$N$29))*(AB5/12)</f>
        <v>0</v>
      </c>
    </row>
    <row r="47" spans="1:28" ht="12.6" customHeight="1">
      <c r="A47" s="1">
        <v>7</v>
      </c>
      <c r="B47" s="522" t="s">
        <v>79</v>
      </c>
      <c r="C47" s="885">
        <f t="shared" si="6"/>
        <v>111.71400813363114</v>
      </c>
      <c r="D47" s="575">
        <f>'Project Assumtions'!$N$37*(1+OM_Escal)^('Book Income Statement'!D4-'Project Assumtions'!$N$29)*(D5/12)</f>
        <v>49.268333333333338</v>
      </c>
      <c r="E47" s="575">
        <f>'Project Assumtions'!$N$37*(1+OM_Escal)^('Book Income Statement'!E4-'Project Assumtions'!$N$29)*(E5/12)</f>
        <v>86.993799999999993</v>
      </c>
      <c r="F47" s="575">
        <f>'Project Assumtions'!$N$37*(1+OM_Escal)^('Book Income Statement'!F4-'Project Assumtions'!$N$29)*(F5/12)</f>
        <v>89.603613999999993</v>
      </c>
      <c r="G47" s="575">
        <f>'Project Assumtions'!$N$37*(1+OM_Escal)^('Book Income Statement'!G4-'Project Assumtions'!$N$29)*(G5/12)</f>
        <v>92.291722419999999</v>
      </c>
      <c r="H47" s="575">
        <f>'Project Assumtions'!$N$37*(1+OM_Escal)^('Book Income Statement'!H4-'Project Assumtions'!$N$29)*(H5/12)</f>
        <v>95.060474092599989</v>
      </c>
      <c r="I47" s="575">
        <f>'Project Assumtions'!$N$37*(1+OM_Escal)^('Book Income Statement'!I4-'Project Assumtions'!$N$29)*(I5/12)</f>
        <v>97.912288315377992</v>
      </c>
      <c r="J47" s="575">
        <f>'Project Assumtions'!$N$37*(1+OM_Escal)^('Book Income Statement'!J4-'Project Assumtions'!$N$29)*(J5/12)</f>
        <v>100.84965696483934</v>
      </c>
      <c r="K47" s="575">
        <f>'Project Assumtions'!$N$37*(1+OM_Escal)^('Book Income Statement'!K4-'Project Assumtions'!$N$29)*(K5/12)</f>
        <v>103.87514667378451</v>
      </c>
      <c r="L47" s="575">
        <f>'Project Assumtions'!$N$37*(1+OM_Escal)^('Book Income Statement'!L4-'Project Assumtions'!$N$29)*(L5/12)</f>
        <v>106.99140107399805</v>
      </c>
      <c r="M47" s="575">
        <f>'Project Assumtions'!$N$37*(1+OM_Escal)^('Book Income Statement'!M4-'Project Assumtions'!$N$29)*(M5/12)</f>
        <v>110.20114310621798</v>
      </c>
      <c r="N47" s="575">
        <f>'Project Assumtions'!$N$37*(1+OM_Escal)^('Book Income Statement'!N4-'Project Assumtions'!$N$29)*(N5/12)</f>
        <v>113.50717739940453</v>
      </c>
      <c r="O47" s="575">
        <f>'Project Assumtions'!$N$37*(1+OM_Escal)^('Book Income Statement'!O4-'Project Assumtions'!$N$29)*(O5/12)</f>
        <v>116.91239272138665</v>
      </c>
      <c r="P47" s="575">
        <f>'Project Assumtions'!$N$37*(1+OM_Escal)^('Book Income Statement'!P4-'Project Assumtions'!$N$29)*(P5/12)</f>
        <v>120.41976450302825</v>
      </c>
      <c r="Q47" s="575">
        <f>'Project Assumtions'!$N$37*(1+OM_Escal)^('Book Income Statement'!Q4-'Project Assumtions'!$N$29)*(Q5/12)</f>
        <v>124.03235743811911</v>
      </c>
      <c r="R47" s="575">
        <f>'Project Assumtions'!$N$37*(1+OM_Escal)^('Book Income Statement'!R4-'Project Assumtions'!$N$29)*(R5/12)</f>
        <v>127.75332816126269</v>
      </c>
      <c r="S47" s="575">
        <f>'Project Assumtions'!$N$37*(1+OM_Escal)^('Book Income Statement'!S4-'Project Assumtions'!$N$29)*(S5/12)</f>
        <v>131.58592800610054</v>
      </c>
      <c r="T47" s="575">
        <f>'Project Assumtions'!$N$37*(1+OM_Escal)^('Book Income Statement'!T4-'Project Assumtions'!$N$29)*(T5/12)</f>
        <v>135.53350584628356</v>
      </c>
      <c r="U47" s="575">
        <f>'Project Assumtions'!$N$37*(1+OM_Escal)^('Book Income Statement'!U4-'Project Assumtions'!$N$29)*(U5/12)</f>
        <v>139.59951102167207</v>
      </c>
      <c r="V47" s="575">
        <f>'Project Assumtions'!$N$37*(1+OM_Escal)^('Book Income Statement'!V4-'Project Assumtions'!$N$29)*(V5/12)</f>
        <v>143.78749635232222</v>
      </c>
      <c r="W47" s="575">
        <f>'Project Assumtions'!$N$37*(1+OM_Escal)^('Book Income Statement'!W4-'Project Assumtions'!$N$29)*(W5/12)</f>
        <v>148.10112124289188</v>
      </c>
      <c r="X47" s="575">
        <f>'Project Assumtions'!$N$37*(1+OM_Escal)^('Book Income Statement'!X4-'Project Assumtions'!$N$29)*(X5/12)</f>
        <v>63.560064533407754</v>
      </c>
      <c r="Y47" s="575">
        <f>'Project Assumtions'!$N$37*(1+OM_Escal)^('Book Income Statement'!Y4-'Project Assumtions'!$N$29)*(Y5/12)</f>
        <v>0</v>
      </c>
      <c r="Z47" s="575">
        <f>'Project Assumtions'!$N$37*(1+OM_Escal)^('Book Income Statement'!Z4-'Project Assumtions'!$N$29)*(Z5/12)</f>
        <v>0</v>
      </c>
      <c r="AA47" s="575">
        <f>'Project Assumtions'!$N$37*(1+OM_Escal)^('Book Income Statement'!AA4-'Project Assumtions'!$N$29)*(AA5/12)</f>
        <v>0</v>
      </c>
      <c r="AB47" s="576">
        <f>'Project Assumtions'!$N$37*(1+OM_Escal)^('Book Income Statement'!AB4-'Project Assumtions'!$N$29)*(AB5/12)</f>
        <v>0</v>
      </c>
    </row>
    <row r="48" spans="1:28" ht="12.6" customHeight="1">
      <c r="A48" s="1">
        <v>7</v>
      </c>
      <c r="B48" s="522" t="s">
        <v>459</v>
      </c>
      <c r="C48" s="885">
        <f t="shared" si="6"/>
        <v>40.870978585474802</v>
      </c>
      <c r="D48" s="575">
        <f>'Project Assumtions'!$N$38*(1+OM_Escal)^('Book Income Statement'!D4-'Project Assumtions'!$N$29)*(D5/12)</f>
        <v>18.025000000000002</v>
      </c>
      <c r="E48" s="575">
        <f>'Project Assumtions'!$N$38*(1+OM_Escal)^('Book Income Statement'!E4-'Project Assumtions'!$N$29)*(E5/12)</f>
        <v>31.826999999999998</v>
      </c>
      <c r="F48" s="575">
        <f>'Project Assumtions'!$N$38*(1+OM_Escal)^('Book Income Statement'!F4-'Project Assumtions'!$N$29)*(F5/12)</f>
        <v>32.78181</v>
      </c>
      <c r="G48" s="575">
        <f>'Project Assumtions'!$N$38*(1+OM_Escal)^('Book Income Statement'!G4-'Project Assumtions'!$N$29)*(G5/12)</f>
        <v>33.765264299999998</v>
      </c>
      <c r="H48" s="575">
        <f>'Project Assumtions'!$N$38*(1+OM_Escal)^('Book Income Statement'!H4-'Project Assumtions'!$N$29)*(H5/12)</f>
        <v>34.778222228999994</v>
      </c>
      <c r="I48" s="575">
        <f>'Project Assumtions'!$N$38*(1+OM_Escal)^('Book Income Statement'!I4-'Project Assumtions'!$N$29)*(I5/12)</f>
        <v>35.821568895869994</v>
      </c>
      <c r="J48" s="575">
        <f>'Project Assumtions'!$N$38*(1+OM_Escal)^('Book Income Statement'!J4-'Project Assumtions'!$N$29)*(J5/12)</f>
        <v>36.896215962746098</v>
      </c>
      <c r="K48" s="575">
        <f>'Project Assumtions'!$N$38*(1+OM_Escal)^('Book Income Statement'!K4-'Project Assumtions'!$N$29)*(K5/12)</f>
        <v>38.003102441628478</v>
      </c>
      <c r="L48" s="575">
        <f>'Project Assumtions'!$N$38*(1+OM_Escal)^('Book Income Statement'!L4-'Project Assumtions'!$N$29)*(L5/12)</f>
        <v>39.143195514877334</v>
      </c>
      <c r="M48" s="575">
        <f>'Project Assumtions'!$N$38*(1+OM_Escal)^('Book Income Statement'!M4-'Project Assumtions'!$N$29)*(M5/12)</f>
        <v>40.317491380323652</v>
      </c>
      <c r="N48" s="575">
        <f>'Project Assumtions'!$N$38*(1+OM_Escal)^('Book Income Statement'!N4-'Project Assumtions'!$N$29)*(N5/12)</f>
        <v>41.527016121733368</v>
      </c>
      <c r="O48" s="575">
        <f>'Project Assumtions'!$N$38*(1+OM_Escal)^('Book Income Statement'!O4-'Project Assumtions'!$N$29)*(O5/12)</f>
        <v>42.772826605385362</v>
      </c>
      <c r="P48" s="575">
        <f>'Project Assumtions'!$N$38*(1+OM_Escal)^('Book Income Statement'!P4-'Project Assumtions'!$N$29)*(P5/12)</f>
        <v>44.056011403546918</v>
      </c>
      <c r="Q48" s="575">
        <f>'Project Assumtions'!$N$38*(1+OM_Escal)^('Book Income Statement'!Q4-'Project Assumtions'!$N$29)*(Q5/12)</f>
        <v>45.37769174565333</v>
      </c>
      <c r="R48" s="575">
        <f>'Project Assumtions'!$N$38*(1+OM_Escal)^('Book Income Statement'!R4-'Project Assumtions'!$N$29)*(R5/12)</f>
        <v>46.739022498022933</v>
      </c>
      <c r="S48" s="575">
        <f>'Project Assumtions'!$N$38*(1+OM_Escal)^('Book Income Statement'!S4-'Project Assumtions'!$N$29)*(S5/12)</f>
        <v>48.141193172963611</v>
      </c>
      <c r="T48" s="575">
        <f>'Project Assumtions'!$N$38*(1+OM_Escal)^('Book Income Statement'!T4-'Project Assumtions'!$N$29)*(T5/12)</f>
        <v>49.58542896815252</v>
      </c>
      <c r="U48" s="575">
        <f>'Project Assumtions'!$N$38*(1+OM_Escal)^('Book Income Statement'!U4-'Project Assumtions'!$N$29)*(U5/12)</f>
        <v>51.072991837197094</v>
      </c>
      <c r="V48" s="575">
        <f>'Project Assumtions'!$N$38*(1+OM_Escal)^('Book Income Statement'!V4-'Project Assumtions'!$N$29)*(V5/12)</f>
        <v>52.605181592313009</v>
      </c>
      <c r="W48" s="575">
        <f>'Project Assumtions'!$N$38*(1+OM_Escal)^('Book Income Statement'!W4-'Project Assumtions'!$N$29)*(W5/12)</f>
        <v>54.183337040082399</v>
      </c>
      <c r="X48" s="575">
        <f>'Project Assumtions'!$N$38*(1+OM_Escal)^('Book Income Statement'!X4-'Project Assumtions'!$N$29)*(X5/12)</f>
        <v>23.253682146368693</v>
      </c>
      <c r="Y48" s="575">
        <f>'Project Assumtions'!$N$38*(1+OM_Escal)^('Book Income Statement'!Y4-'Project Assumtions'!$N$29)*(Y5/12)</f>
        <v>0</v>
      </c>
      <c r="Z48" s="575">
        <f>'Project Assumtions'!$N$38*(1+OM_Escal)^('Book Income Statement'!Z4-'Project Assumtions'!$N$29)*(Z5/12)</f>
        <v>0</v>
      </c>
      <c r="AA48" s="575">
        <f>'Project Assumtions'!$N$38*(1+OM_Escal)^('Book Income Statement'!AA4-'Project Assumtions'!$N$29)*(AA5/12)</f>
        <v>0</v>
      </c>
      <c r="AB48" s="576">
        <f>'Project Assumtions'!$N$38*(1+OM_Escal)^('Book Income Statement'!AB4-'Project Assumtions'!$N$29)*(AB5/12)</f>
        <v>0</v>
      </c>
    </row>
    <row r="49" spans="1:28" ht="12.6" customHeight="1">
      <c r="A49" s="1">
        <v>7</v>
      </c>
      <c r="B49" s="522" t="s">
        <v>80</v>
      </c>
      <c r="C49" s="888">
        <f t="shared" si="6"/>
        <v>102.17744646368701</v>
      </c>
      <c r="D49" s="577">
        <f>'Project Assumtions'!$N$39*((1+OM_Escal)^('Book Income Statement'!D4-'Project Assumtions'!$N$29))*(D5/12)</f>
        <v>45.0625</v>
      </c>
      <c r="E49" s="577">
        <f>'Project Assumtions'!$N$39*((1+OM_Escal)^('Book Income Statement'!E4-'Project Assumtions'!$N$29))*(E5/12)</f>
        <v>79.567499999999995</v>
      </c>
      <c r="F49" s="577">
        <f>'Project Assumtions'!$N$39*((1+OM_Escal)^('Book Income Statement'!F4-'Project Assumtions'!$N$29))*(F5/12)</f>
        <v>81.954525000000004</v>
      </c>
      <c r="G49" s="577">
        <f>'Project Assumtions'!$N$39*((1+OM_Escal)^('Book Income Statement'!G4-'Project Assumtions'!$N$29))*(G5/12)</f>
        <v>84.413160749999989</v>
      </c>
      <c r="H49" s="577">
        <f>'Project Assumtions'!$N$39*((1+OM_Escal)^('Book Income Statement'!H4-'Project Assumtions'!$N$29))*(H5/12)</f>
        <v>86.945555572499984</v>
      </c>
      <c r="I49" s="577">
        <f>'Project Assumtions'!$N$39*((1+OM_Escal)^('Book Income Statement'!I4-'Project Assumtions'!$N$29))*(I5/12)</f>
        <v>89.553922239674989</v>
      </c>
      <c r="J49" s="577">
        <f>'Project Assumtions'!$N$39*((1+OM_Escal)^('Book Income Statement'!J4-'Project Assumtions'!$N$29))*(J5/12)</f>
        <v>92.240539906865251</v>
      </c>
      <c r="K49" s="577">
        <f>'Project Assumtions'!$N$39*((1+OM_Escal)^('Book Income Statement'!K4-'Project Assumtions'!$N$29))*(K5/12)</f>
        <v>95.007756104071191</v>
      </c>
      <c r="L49" s="577">
        <f>'Project Assumtions'!$N$39*((1+OM_Escal)^('Book Income Statement'!L4-'Project Assumtions'!$N$29))*(L5/12)</f>
        <v>97.857988787193335</v>
      </c>
      <c r="M49" s="577">
        <f>'Project Assumtions'!$N$39*((1+OM_Escal)^('Book Income Statement'!M4-'Project Assumtions'!$N$29))*(M5/12)</f>
        <v>100.79372845080913</v>
      </c>
      <c r="N49" s="577">
        <f>'Project Assumtions'!$N$39*((1+OM_Escal)^('Book Income Statement'!N4-'Project Assumtions'!$N$29))*(N5/12)</f>
        <v>103.81754030433341</v>
      </c>
      <c r="O49" s="577">
        <f>'Project Assumtions'!$N$39*((1+OM_Escal)^('Book Income Statement'!O4-'Project Assumtions'!$N$29))*(O5/12)</f>
        <v>106.9320665134634</v>
      </c>
      <c r="P49" s="577">
        <f>'Project Assumtions'!$N$39*((1+OM_Escal)^('Book Income Statement'!P4-'Project Assumtions'!$N$29))*(P5/12)</f>
        <v>110.14002850886729</v>
      </c>
      <c r="Q49" s="577">
        <f>'Project Assumtions'!$N$39*((1+OM_Escal)^('Book Income Statement'!Q4-'Project Assumtions'!$N$29))*(Q5/12)</f>
        <v>113.44422936413332</v>
      </c>
      <c r="R49" s="577">
        <f>'Project Assumtions'!$N$39*((1+OM_Escal)^('Book Income Statement'!R4-'Project Assumtions'!$N$29))*(R5/12)</f>
        <v>116.84755624505733</v>
      </c>
      <c r="S49" s="577">
        <f>'Project Assumtions'!$N$39*((1+OM_Escal)^('Book Income Statement'!S4-'Project Assumtions'!$N$29))*(S5/12)</f>
        <v>120.35298293240903</v>
      </c>
      <c r="T49" s="577">
        <f>'Project Assumtions'!$N$39*((1+OM_Escal)^('Book Income Statement'!T4-'Project Assumtions'!$N$29))*(T5/12)</f>
        <v>123.9635724203813</v>
      </c>
      <c r="U49" s="577">
        <f>'Project Assumtions'!$N$39*((1+OM_Escal)^('Book Income Statement'!U4-'Project Assumtions'!$N$29))*(U5/12)</f>
        <v>127.68247959299275</v>
      </c>
      <c r="V49" s="577">
        <f>'Project Assumtions'!$N$39*((1+OM_Escal)^('Book Income Statement'!V4-'Project Assumtions'!$N$29))*(V5/12)</f>
        <v>131.51295398078253</v>
      </c>
      <c r="W49" s="577">
        <f>'Project Assumtions'!$N$39*((1+OM_Escal)^('Book Income Statement'!W4-'Project Assumtions'!$N$29))*(W5/12)</f>
        <v>135.45834260020598</v>
      </c>
      <c r="X49" s="577">
        <f>'Project Assumtions'!$N$39*((1+OM_Escal)^('Book Income Statement'!X4-'Project Assumtions'!$N$29))*(X5/12)</f>
        <v>58.134205365921737</v>
      </c>
      <c r="Y49" s="577">
        <f>'Project Assumtions'!$N$39*((1+OM_Escal)^('Book Income Statement'!Y4-'Project Assumtions'!$N$29))*(Y5/12)</f>
        <v>0</v>
      </c>
      <c r="Z49" s="577">
        <f>'Project Assumtions'!$N$39*((1+OM_Escal)^('Book Income Statement'!Z4-'Project Assumtions'!$N$29))*(Z5/12)</f>
        <v>0</v>
      </c>
      <c r="AA49" s="577">
        <f>'Project Assumtions'!$N$39*((1+OM_Escal)^('Book Income Statement'!AA4-'Project Assumtions'!$N$29))*(AA5/12)</f>
        <v>0</v>
      </c>
      <c r="AB49" s="578">
        <f>'Project Assumtions'!$N$39*((1+OM_Escal)^('Book Income Statement'!AB4-'Project Assumtions'!$N$29))*(AB5/12)</f>
        <v>0</v>
      </c>
    </row>
    <row r="50" spans="1:28" ht="12.6" customHeight="1">
      <c r="B50" s="521" t="s">
        <v>431</v>
      </c>
      <c r="C50" s="611"/>
      <c r="D50" s="962">
        <f t="shared" ref="D50:AB50" si="8">D44+SUM(D45:D49)</f>
        <v>453.54333333333341</v>
      </c>
      <c r="E50" s="962">
        <f t="shared" si="8"/>
        <v>728.83829999999989</v>
      </c>
      <c r="F50" s="962">
        <f t="shared" si="8"/>
        <v>750.70344899999998</v>
      </c>
      <c r="G50" s="962">
        <f t="shared" si="8"/>
        <v>773.22455246999994</v>
      </c>
      <c r="H50" s="962">
        <f t="shared" si="8"/>
        <v>796.42128904409992</v>
      </c>
      <c r="I50" s="962">
        <f t="shared" si="8"/>
        <v>820.31392771542289</v>
      </c>
      <c r="J50" s="962">
        <f t="shared" si="8"/>
        <v>844.9233455468858</v>
      </c>
      <c r="K50" s="962">
        <f t="shared" si="8"/>
        <v>870.27104591329214</v>
      </c>
      <c r="L50" s="962">
        <f t="shared" si="8"/>
        <v>896.3791772906909</v>
      </c>
      <c r="M50" s="962">
        <f t="shared" si="8"/>
        <v>923.27055260941165</v>
      </c>
      <c r="N50" s="962">
        <f t="shared" si="8"/>
        <v>950.9686691876941</v>
      </c>
      <c r="O50" s="962">
        <f t="shared" si="8"/>
        <v>979.4977292633248</v>
      </c>
      <c r="P50" s="962">
        <f t="shared" si="8"/>
        <v>1008.8826611412244</v>
      </c>
      <c r="Q50" s="962">
        <f t="shared" si="8"/>
        <v>1039.1491409754613</v>
      </c>
      <c r="R50" s="962">
        <f t="shared" si="8"/>
        <v>1070.3236152047252</v>
      </c>
      <c r="S50" s="962">
        <f t="shared" si="8"/>
        <v>1102.4333236608668</v>
      </c>
      <c r="T50" s="962">
        <f t="shared" si="8"/>
        <v>1135.5063233706928</v>
      </c>
      <c r="U50" s="962">
        <f t="shared" si="8"/>
        <v>1169.5715130718136</v>
      </c>
      <c r="V50" s="962">
        <f t="shared" si="8"/>
        <v>1204.6586584639681</v>
      </c>
      <c r="W50" s="962">
        <f t="shared" si="8"/>
        <v>1240.7984182178868</v>
      </c>
      <c r="X50" s="962">
        <f t="shared" si="8"/>
        <v>635.60064533407763</v>
      </c>
      <c r="Y50" s="962">
        <f t="shared" si="8"/>
        <v>0</v>
      </c>
      <c r="Z50" s="962">
        <f t="shared" si="8"/>
        <v>0</v>
      </c>
      <c r="AA50" s="962">
        <f t="shared" si="8"/>
        <v>0</v>
      </c>
      <c r="AB50" s="963">
        <f t="shared" si="8"/>
        <v>0</v>
      </c>
    </row>
    <row r="51" spans="1:28" ht="12.6" customHeight="1">
      <c r="B51" s="522"/>
      <c r="C51" s="611"/>
      <c r="D51" s="577"/>
      <c r="E51" s="577"/>
      <c r="F51" s="577"/>
      <c r="G51" s="577"/>
      <c r="H51" s="577"/>
      <c r="I51" s="577"/>
      <c r="J51" s="577"/>
      <c r="K51" s="577"/>
      <c r="L51" s="577"/>
      <c r="M51" s="577"/>
      <c r="N51" s="577"/>
      <c r="O51" s="577"/>
      <c r="P51" s="577"/>
      <c r="Q51" s="577"/>
      <c r="R51" s="577"/>
      <c r="S51" s="577"/>
      <c r="T51" s="577"/>
      <c r="U51" s="577"/>
      <c r="V51" s="577"/>
      <c r="W51" s="577"/>
      <c r="X51" s="577"/>
      <c r="Y51" s="577"/>
      <c r="Z51" s="577"/>
      <c r="AA51" s="577"/>
      <c r="AB51" s="578"/>
    </row>
    <row r="52" spans="1:28" ht="12.6" customHeight="1">
      <c r="B52" s="521"/>
      <c r="C52" s="611"/>
      <c r="D52" s="940"/>
      <c r="E52" s="940"/>
      <c r="F52" s="940"/>
      <c r="G52" s="940"/>
      <c r="H52" s="940"/>
      <c r="I52" s="940"/>
      <c r="J52" s="940"/>
      <c r="K52" s="940"/>
      <c r="L52" s="940"/>
      <c r="M52" s="940"/>
      <c r="N52" s="940"/>
      <c r="O52" s="940"/>
      <c r="P52" s="940"/>
      <c r="Q52" s="940"/>
      <c r="R52" s="940"/>
      <c r="S52" s="940"/>
      <c r="T52" s="940"/>
      <c r="U52" s="940"/>
      <c r="V52" s="940"/>
      <c r="W52" s="940"/>
      <c r="X52" s="940"/>
      <c r="Y52" s="940"/>
      <c r="Z52" s="940"/>
      <c r="AA52" s="940"/>
      <c r="AB52" s="941"/>
    </row>
    <row r="53" spans="1:28" ht="12.6" customHeight="1">
      <c r="A53" s="1">
        <v>8</v>
      </c>
      <c r="B53" s="521" t="s">
        <v>499</v>
      </c>
      <c r="C53" s="964">
        <f>AVERAGE(D53:W53)</f>
        <v>471.26507258682051</v>
      </c>
      <c r="D53" s="935">
        <f>IF(D3&gt;'Project Assumtions'!$I$15+1,0,Depreciation!D64)</f>
        <v>146.77966132968001</v>
      </c>
      <c r="E53" s="935">
        <f>IF(E3&gt;'Project Assumtions'!$I$15+1,0,Depreciation!E64)</f>
        <v>0</v>
      </c>
      <c r="F53" s="935">
        <f>IF(F3&gt;'Project Assumtions'!$I$15+1,0,Depreciation!F64)</f>
        <v>87.389186058051934</v>
      </c>
      <c r="G53" s="935">
        <f>IF(G3&gt;'Project Assumtions'!$I$15+1,0,Depreciation!G64)</f>
        <v>162.25722812182451</v>
      </c>
      <c r="H53" s="935">
        <f>IF(H3&gt;'Project Assumtions'!$I$15+1,0,Depreciation!H64)</f>
        <v>221.38767575294543</v>
      </c>
      <c r="I53" s="935">
        <f>IF(I3&gt;'Project Assumtions'!$I$15+1,0,Depreciation!I64)</f>
        <v>267.21788876867009</v>
      </c>
      <c r="J53" s="935">
        <f>IF(J3&gt;'Project Assumtions'!$I$15+1,0,Depreciation!J64)</f>
        <v>353.45828178270818</v>
      </c>
      <c r="K53" s="935">
        <f>IF(K3&gt;'Project Assumtions'!$I$15+1,0,Depreciation!K64)</f>
        <v>461.59047473625338</v>
      </c>
      <c r="L53" s="935">
        <f>IF(L3&gt;'Project Assumtions'!$I$15+1,0,Depreciation!L64)</f>
        <v>530.06817208874804</v>
      </c>
      <c r="M53" s="935">
        <f>IF(M3&gt;'Project Assumtions'!$I$15+1,0,Depreciation!M64)</f>
        <v>522.92142236624431</v>
      </c>
      <c r="N53" s="935">
        <f>IF(N3&gt;'Project Assumtions'!$I$15+1,0,Depreciation!N64)</f>
        <v>517.60989500579763</v>
      </c>
      <c r="O53" s="935">
        <f>IF(O3&gt;'Project Assumtions'!$I$15+1,0,Depreciation!O64)</f>
        <v>683.84684063616498</v>
      </c>
      <c r="P53" s="935">
        <f>IF(P3&gt;'Project Assumtions'!$I$15+1,0,Depreciation!P64)</f>
        <v>683.84684063616498</v>
      </c>
      <c r="Q53" s="935">
        <f>IF(Q3&gt;'Project Assumtions'!$I$15+1,0,Depreciation!Q64)</f>
        <v>683.84684063616498</v>
      </c>
      <c r="R53" s="935">
        <f>IF(R3&gt;'Project Assumtions'!$I$15+1,0,Depreciation!R64)</f>
        <v>683.84684063616498</v>
      </c>
      <c r="S53" s="935">
        <f>IF(S3&gt;'Project Assumtions'!$I$15+1,0,Depreciation!S64)</f>
        <v>683.84684063616498</v>
      </c>
      <c r="T53" s="935">
        <f>IF(T3&gt;'Project Assumtions'!$I$15+1,0,Depreciation!T64)</f>
        <v>683.84684063616498</v>
      </c>
      <c r="U53" s="935">
        <f>IF(U3&gt;'Project Assumtions'!$I$15+1,0,Depreciation!U64)</f>
        <v>683.84684063616498</v>
      </c>
      <c r="V53" s="935">
        <f>IF(V3&gt;'Project Assumtions'!$I$15+1,0,Depreciation!V64)</f>
        <v>683.84684063616498</v>
      </c>
      <c r="W53" s="935">
        <f>IF(W3&gt;'Project Assumtions'!$I$15+1,0,Depreciation!W64)</f>
        <v>683.84684063616498</v>
      </c>
      <c r="X53" s="935">
        <f>IF(X3&gt;'Project Assumtions'!$I$15+1,0,Depreciation!X64)</f>
        <v>683.84684063616498</v>
      </c>
      <c r="Y53" s="935">
        <f>IF(Y3&gt;'Project Assumtions'!$I$15+1,0,Depreciation!Y64)</f>
        <v>0</v>
      </c>
      <c r="Z53" s="935">
        <f>IF(Z3&gt;'Project Assumtions'!$I$15+1,0,Depreciation!Z64)</f>
        <v>0</v>
      </c>
      <c r="AA53" s="935">
        <f>IF(AA3&gt;'Project Assumtions'!$I$15+1,0,Depreciation!AA64)</f>
        <v>0</v>
      </c>
      <c r="AB53" s="937">
        <f>IF(AB3&gt;'Project Assumtions'!$I$15+1,0,Depreciation!AB64)</f>
        <v>0</v>
      </c>
    </row>
    <row r="54" spans="1:28" ht="12.6" customHeight="1">
      <c r="B54" s="521"/>
      <c r="C54" s="611"/>
      <c r="D54" s="757"/>
      <c r="E54" s="757"/>
      <c r="F54" s="757"/>
      <c r="G54" s="757"/>
      <c r="H54" s="757"/>
      <c r="I54" s="757"/>
      <c r="J54" s="757"/>
      <c r="K54" s="757"/>
      <c r="L54" s="757"/>
      <c r="M54" s="757"/>
      <c r="N54" s="757"/>
      <c r="O54" s="757"/>
      <c r="P54" s="757"/>
      <c r="Q54" s="757"/>
      <c r="R54" s="757"/>
      <c r="S54" s="757"/>
      <c r="T54" s="757"/>
      <c r="U54" s="757"/>
      <c r="V54" s="757"/>
      <c r="W54" s="757"/>
      <c r="X54" s="757"/>
      <c r="Y54" s="757"/>
      <c r="Z54" s="757"/>
      <c r="AA54" s="757"/>
      <c r="AB54" s="758"/>
    </row>
    <row r="55" spans="1:28" ht="12.6" customHeight="1">
      <c r="B55" s="521" t="s">
        <v>479</v>
      </c>
      <c r="C55" s="611"/>
      <c r="D55" s="757"/>
      <c r="E55" s="757"/>
      <c r="F55" s="757"/>
      <c r="G55" s="757"/>
      <c r="H55" s="757"/>
      <c r="I55" s="757"/>
      <c r="J55" s="757"/>
      <c r="K55" s="757"/>
      <c r="L55" s="757"/>
      <c r="M55" s="757"/>
      <c r="N55" s="757"/>
      <c r="O55" s="757"/>
      <c r="P55" s="757"/>
      <c r="Q55" s="757"/>
      <c r="R55" s="757"/>
      <c r="S55" s="757"/>
      <c r="T55" s="757"/>
      <c r="U55" s="757"/>
      <c r="V55" s="757"/>
      <c r="W55" s="757"/>
      <c r="X55" s="757"/>
      <c r="Y55" s="757"/>
      <c r="Z55" s="757"/>
      <c r="AA55" s="757"/>
      <c r="AB55" s="758"/>
    </row>
    <row r="56" spans="1:28" ht="12.6" customHeight="1">
      <c r="B56" s="522" t="s">
        <v>480</v>
      </c>
      <c r="C56" s="611"/>
      <c r="D56" s="881">
        <v>0</v>
      </c>
      <c r="E56" s="881">
        <v>0</v>
      </c>
      <c r="F56" s="881">
        <v>0</v>
      </c>
      <c r="G56" s="881">
        <v>0</v>
      </c>
      <c r="H56" s="881">
        <v>0</v>
      </c>
      <c r="I56" s="881">
        <v>0</v>
      </c>
      <c r="J56" s="881">
        <v>0</v>
      </c>
      <c r="K56" s="881">
        <v>0</v>
      </c>
      <c r="L56" s="881">
        <v>0</v>
      </c>
      <c r="M56" s="881">
        <v>0</v>
      </c>
      <c r="N56" s="881">
        <v>0</v>
      </c>
      <c r="O56" s="881">
        <v>0</v>
      </c>
      <c r="P56" s="881">
        <v>0</v>
      </c>
      <c r="Q56" s="881">
        <v>0</v>
      </c>
      <c r="R56" s="881">
        <v>0</v>
      </c>
      <c r="S56" s="881">
        <v>0</v>
      </c>
      <c r="T56" s="881">
        <v>0</v>
      </c>
      <c r="U56" s="881">
        <v>0</v>
      </c>
      <c r="V56" s="881">
        <v>0</v>
      </c>
      <c r="W56" s="881">
        <v>0</v>
      </c>
      <c r="X56" s="881">
        <v>0</v>
      </c>
      <c r="Y56" s="881">
        <v>0</v>
      </c>
      <c r="Z56" s="881">
        <v>0</v>
      </c>
      <c r="AA56" s="881">
        <v>0</v>
      </c>
      <c r="AB56" s="882">
        <v>0</v>
      </c>
    </row>
    <row r="57" spans="1:28" ht="12.6" customHeight="1">
      <c r="AB57" s="647"/>
    </row>
    <row r="58" spans="1:28" ht="12.6" customHeight="1">
      <c r="B58" s="521" t="s">
        <v>481</v>
      </c>
      <c r="C58" s="611"/>
      <c r="D58" s="575">
        <f>D56</f>
        <v>0</v>
      </c>
      <c r="E58" s="575">
        <f t="shared" ref="E58:AB58" si="9">E56</f>
        <v>0</v>
      </c>
      <c r="F58" s="575">
        <f t="shared" si="9"/>
        <v>0</v>
      </c>
      <c r="G58" s="575">
        <f t="shared" si="9"/>
        <v>0</v>
      </c>
      <c r="H58" s="575">
        <f t="shared" si="9"/>
        <v>0</v>
      </c>
      <c r="I58" s="575">
        <f t="shared" si="9"/>
        <v>0</v>
      </c>
      <c r="J58" s="575">
        <f t="shared" si="9"/>
        <v>0</v>
      </c>
      <c r="K58" s="575">
        <f t="shared" si="9"/>
        <v>0</v>
      </c>
      <c r="L58" s="575">
        <f t="shared" si="9"/>
        <v>0</v>
      </c>
      <c r="M58" s="575">
        <f t="shared" si="9"/>
        <v>0</v>
      </c>
      <c r="N58" s="575">
        <f t="shared" si="9"/>
        <v>0</v>
      </c>
      <c r="O58" s="575">
        <f t="shared" si="9"/>
        <v>0</v>
      </c>
      <c r="P58" s="575">
        <f t="shared" si="9"/>
        <v>0</v>
      </c>
      <c r="Q58" s="575">
        <f t="shared" si="9"/>
        <v>0</v>
      </c>
      <c r="R58" s="575">
        <f t="shared" si="9"/>
        <v>0</v>
      </c>
      <c r="S58" s="575">
        <f t="shared" si="9"/>
        <v>0</v>
      </c>
      <c r="T58" s="575">
        <f t="shared" si="9"/>
        <v>0</v>
      </c>
      <c r="U58" s="575">
        <f t="shared" si="9"/>
        <v>0</v>
      </c>
      <c r="V58" s="575">
        <f t="shared" si="9"/>
        <v>0</v>
      </c>
      <c r="W58" s="575">
        <f t="shared" si="9"/>
        <v>0</v>
      </c>
      <c r="X58" s="575">
        <f t="shared" si="9"/>
        <v>0</v>
      </c>
      <c r="Y58" s="575">
        <f t="shared" si="9"/>
        <v>0</v>
      </c>
      <c r="Z58" s="575">
        <f t="shared" si="9"/>
        <v>0</v>
      </c>
      <c r="AA58" s="575">
        <f t="shared" si="9"/>
        <v>0</v>
      </c>
      <c r="AB58" s="576">
        <f t="shared" si="9"/>
        <v>0</v>
      </c>
    </row>
    <row r="59" spans="1:28" ht="12.6" customHeight="1">
      <c r="B59" s="521"/>
      <c r="C59" s="611"/>
      <c r="D59" s="577"/>
      <c r="E59" s="577"/>
      <c r="F59" s="577"/>
      <c r="G59" s="577"/>
      <c r="H59" s="577"/>
      <c r="I59" s="577"/>
      <c r="J59" s="577"/>
      <c r="K59" s="577"/>
      <c r="L59" s="577"/>
      <c r="M59" s="577"/>
      <c r="N59" s="577"/>
      <c r="O59" s="577"/>
      <c r="P59" s="577"/>
      <c r="Q59" s="577"/>
      <c r="R59" s="577"/>
      <c r="S59" s="577"/>
      <c r="T59" s="577"/>
      <c r="U59" s="577"/>
      <c r="V59" s="577"/>
      <c r="W59" s="577"/>
      <c r="X59" s="577"/>
      <c r="Y59" s="577"/>
      <c r="Z59" s="577"/>
      <c r="AA59" s="577"/>
      <c r="AB59" s="578"/>
    </row>
    <row r="60" spans="1:28" ht="15.75" customHeight="1">
      <c r="B60" s="743" t="s">
        <v>432</v>
      </c>
      <c r="C60" s="615"/>
      <c r="D60" s="965">
        <f t="shared" ref="D60:AB60" si="10">D28+D33+D41+D50+D53+D58</f>
        <v>13735.271874132448</v>
      </c>
      <c r="E60" s="965">
        <f t="shared" si="10"/>
        <v>21850.0328500346</v>
      </c>
      <c r="F60" s="965">
        <f t="shared" si="10"/>
        <v>22096.53252159369</v>
      </c>
      <c r="G60" s="965">
        <f t="shared" si="10"/>
        <v>23413.601741481685</v>
      </c>
      <c r="H60" s="965">
        <f t="shared" si="10"/>
        <v>24271.789190606411</v>
      </c>
      <c r="I60" s="965">
        <f t="shared" si="10"/>
        <v>24506.506554867738</v>
      </c>
      <c r="J60" s="965">
        <f t="shared" si="10"/>
        <v>24787.300713664747</v>
      </c>
      <c r="K60" s="965">
        <f t="shared" si="10"/>
        <v>25095.823285374754</v>
      </c>
      <c r="L60" s="965">
        <f t="shared" si="10"/>
        <v>25370.703072846401</v>
      </c>
      <c r="M60" s="965">
        <f t="shared" si="10"/>
        <v>25576.150475946626</v>
      </c>
      <c r="N60" s="965">
        <f t="shared" si="10"/>
        <v>25789.810925993592</v>
      </c>
      <c r="O60" s="965">
        <f t="shared" si="10"/>
        <v>26181.589008353592</v>
      </c>
      <c r="P60" s="965">
        <f t="shared" si="10"/>
        <v>26413.896379185117</v>
      </c>
      <c r="Q60" s="965">
        <f t="shared" si="10"/>
        <v>26653.172971141583</v>
      </c>
      <c r="R60" s="965">
        <f t="shared" si="10"/>
        <v>26899.627860856748</v>
      </c>
      <c r="S60" s="965">
        <f t="shared" si="10"/>
        <v>27153.476397263359</v>
      </c>
      <c r="T60" s="965">
        <f t="shared" si="10"/>
        <v>27414.940389762178</v>
      </c>
      <c r="U60" s="965">
        <f t="shared" si="10"/>
        <v>27684.248302035958</v>
      </c>
      <c r="V60" s="965">
        <f t="shared" si="10"/>
        <v>27961.635451677954</v>
      </c>
      <c r="W60" s="965">
        <f t="shared" si="10"/>
        <v>28247.344215809204</v>
      </c>
      <c r="X60" s="965">
        <f t="shared" si="10"/>
        <v>25770.43099873039</v>
      </c>
      <c r="Y60" s="965">
        <f t="shared" si="10"/>
        <v>0</v>
      </c>
      <c r="Z60" s="965">
        <f t="shared" si="10"/>
        <v>0</v>
      </c>
      <c r="AA60" s="965">
        <f t="shared" si="10"/>
        <v>0</v>
      </c>
      <c r="AB60" s="1066">
        <f t="shared" si="10"/>
        <v>0</v>
      </c>
    </row>
    <row r="61" spans="1:28" ht="15.75" customHeight="1" thickBot="1">
      <c r="B61" s="746"/>
      <c r="C61" s="747"/>
      <c r="D61" s="760"/>
      <c r="E61" s="760"/>
      <c r="F61" s="760"/>
      <c r="G61" s="760"/>
      <c r="H61" s="760"/>
      <c r="I61" s="760"/>
      <c r="J61" s="760"/>
      <c r="K61" s="760"/>
      <c r="L61" s="760"/>
      <c r="M61" s="760"/>
      <c r="N61" s="760"/>
      <c r="O61" s="760"/>
      <c r="P61" s="760"/>
      <c r="Q61" s="760"/>
      <c r="R61" s="760"/>
      <c r="S61" s="760"/>
      <c r="T61" s="760"/>
      <c r="U61" s="760"/>
      <c r="V61" s="760"/>
      <c r="W61" s="760"/>
      <c r="X61" s="760"/>
      <c r="Y61" s="760"/>
      <c r="Z61" s="760"/>
      <c r="AA61" s="760"/>
      <c r="AB61" s="760"/>
    </row>
    <row r="62" spans="1:28" ht="12.75" customHeight="1">
      <c r="B62" s="184"/>
      <c r="D62" s="187"/>
      <c r="E62" s="187"/>
      <c r="F62" s="187"/>
      <c r="G62" s="187"/>
      <c r="H62" s="187"/>
      <c r="I62" s="187"/>
      <c r="J62" s="187"/>
      <c r="K62" s="187"/>
      <c r="L62" s="187"/>
      <c r="M62" s="187"/>
      <c r="N62" s="187"/>
      <c r="O62" s="187"/>
      <c r="P62" s="187"/>
      <c r="Q62" s="187"/>
      <c r="R62" s="187"/>
      <c r="S62" s="187"/>
      <c r="T62" s="187"/>
      <c r="U62" s="187"/>
      <c r="V62" s="187"/>
      <c r="W62" s="187"/>
      <c r="X62" s="187"/>
      <c r="Y62" s="187"/>
      <c r="Z62" s="187"/>
      <c r="AA62" s="187"/>
      <c r="AB62" s="187"/>
    </row>
    <row r="63" spans="1:28" ht="12.6" customHeight="1">
      <c r="B63" s="734" t="s">
        <v>2</v>
      </c>
      <c r="C63" s="610"/>
      <c r="D63" s="617">
        <f t="shared" ref="D63:AB63" si="11">D17-D60</f>
        <v>11611.784459200886</v>
      </c>
      <c r="E63" s="617">
        <f t="shared" si="11"/>
        <v>20157.454289965397</v>
      </c>
      <c r="F63" s="617">
        <f t="shared" si="11"/>
        <v>19997.988732606311</v>
      </c>
      <c r="G63" s="617">
        <f t="shared" si="11"/>
        <v>27255.055919231749</v>
      </c>
      <c r="H63" s="617">
        <f t="shared" si="11"/>
        <v>33472.1040708492</v>
      </c>
      <c r="I63" s="617">
        <f t="shared" si="11"/>
        <v>34436.715508471534</v>
      </c>
      <c r="J63" s="617">
        <f t="shared" si="11"/>
        <v>34765.164575134375</v>
      </c>
      <c r="K63" s="617">
        <f t="shared" si="11"/>
        <v>35065.380562433609</v>
      </c>
      <c r="L63" s="617">
        <f t="shared" si="11"/>
        <v>35398.156068630618</v>
      </c>
      <c r="M63" s="617">
        <f t="shared" si="11"/>
        <v>35798.66783323494</v>
      </c>
      <c r="N63" s="617">
        <f t="shared" si="11"/>
        <v>36188.621767606266</v>
      </c>
      <c r="O63" s="617">
        <f t="shared" si="11"/>
        <v>36397.427236130192</v>
      </c>
      <c r="P63" s="617">
        <f t="shared" si="11"/>
        <v>36761.947479690192</v>
      </c>
      <c r="Q63" s="617">
        <f t="shared" si="11"/>
        <v>36344.995160955033</v>
      </c>
      <c r="R63" s="617">
        <f t="shared" si="11"/>
        <v>36662.416350251529</v>
      </c>
      <c r="S63" s="617">
        <f t="shared" si="11"/>
        <v>36965.567746157169</v>
      </c>
      <c r="T63" s="617">
        <f t="shared" si="11"/>
        <v>37253.307481998141</v>
      </c>
      <c r="U63" s="617">
        <f t="shared" si="11"/>
        <v>37524.438021914277</v>
      </c>
      <c r="V63" s="617">
        <f t="shared" si="11"/>
        <v>37777.703848387799</v>
      </c>
      <c r="W63" s="617">
        <f t="shared" si="11"/>
        <v>37092.390854953963</v>
      </c>
      <c r="X63" s="617">
        <f t="shared" si="11"/>
        <v>13524.081601163027</v>
      </c>
      <c r="Y63" s="617">
        <f t="shared" si="11"/>
        <v>0</v>
      </c>
      <c r="Z63" s="617">
        <f t="shared" si="11"/>
        <v>0</v>
      </c>
      <c r="AA63" s="617">
        <f t="shared" si="11"/>
        <v>0</v>
      </c>
      <c r="AB63" s="618">
        <f t="shared" si="11"/>
        <v>0</v>
      </c>
    </row>
    <row r="64" spans="1:28" ht="12.6" customHeight="1">
      <c r="B64" s="522"/>
      <c r="C64" s="611"/>
      <c r="D64" s="557"/>
      <c r="E64" s="557"/>
      <c r="F64" s="557"/>
      <c r="G64" s="557"/>
      <c r="H64" s="557"/>
      <c r="I64" s="557"/>
      <c r="J64" s="557"/>
      <c r="K64" s="557"/>
      <c r="L64" s="557"/>
      <c r="M64" s="557"/>
      <c r="N64" s="557"/>
      <c r="O64" s="557"/>
      <c r="P64" s="557"/>
      <c r="Q64" s="557"/>
      <c r="R64" s="557"/>
      <c r="S64" s="557"/>
      <c r="T64" s="557"/>
      <c r="U64" s="557"/>
      <c r="V64" s="557"/>
      <c r="W64" s="557"/>
      <c r="X64" s="557"/>
      <c r="Y64" s="557"/>
      <c r="Z64" s="557"/>
      <c r="AA64" s="557"/>
      <c r="AB64" s="614"/>
    </row>
    <row r="65" spans="1:29" ht="12.6" customHeight="1">
      <c r="A65" s="1">
        <v>11</v>
      </c>
      <c r="B65" s="522" t="s">
        <v>81</v>
      </c>
      <c r="C65" s="611"/>
      <c r="D65" s="573">
        <f>Depreciation!D40</f>
        <v>2958.4263041666673</v>
      </c>
      <c r="E65" s="573">
        <f>IF(E3&gt;'Project Assumtions'!$I$15+1,0,Depreciation!E40)</f>
        <v>5071.587950000001</v>
      </c>
      <c r="F65" s="573">
        <f>IF(F3&gt;'Project Assumtions'!$I$15+1,0,Depreciation!F40)</f>
        <v>5071.587950000001</v>
      </c>
      <c r="G65" s="573">
        <f>IF(G3&gt;'Project Assumtions'!$I$15+1,0,Depreciation!G40)</f>
        <v>5071.587950000001</v>
      </c>
      <c r="H65" s="573">
        <f>IF(H3&gt;'Project Assumtions'!$I$15+1,0,Depreciation!H40)</f>
        <v>5071.587950000001</v>
      </c>
      <c r="I65" s="573">
        <f>IF(I3&gt;'Project Assumtions'!$I$15+1,0,Depreciation!I40)</f>
        <v>4873.3072333333339</v>
      </c>
      <c r="J65" s="573">
        <f>IF(J3&gt;'Project Assumtions'!$I$15+1,0,Depreciation!J40)</f>
        <v>4731.6781500000006</v>
      </c>
      <c r="K65" s="573">
        <f>IF(K3&gt;'Project Assumtions'!$I$15+1,0,Depreciation!K40)</f>
        <v>4731.6781500000006</v>
      </c>
      <c r="L65" s="573">
        <f>IF(L3&gt;'Project Assumtions'!$I$15+1,0,Depreciation!L40)</f>
        <v>4731.6781500000006</v>
      </c>
      <c r="M65" s="573">
        <f>IF(M3&gt;'Project Assumtions'!$I$15+1,0,Depreciation!M40)</f>
        <v>4731.6781500000006</v>
      </c>
      <c r="N65" s="573">
        <f>IF(N3&gt;'Project Assumtions'!$I$15+1,0,Depreciation!N40)</f>
        <v>4731.6781500000006</v>
      </c>
      <c r="O65" s="573">
        <f>IF(O3&gt;'Project Assumtions'!$I$15+1,0,Depreciation!O40)</f>
        <v>4731.6781500000006</v>
      </c>
      <c r="P65" s="573">
        <f>IF(P3&gt;'Project Assumtions'!$I$15+1,0,Depreciation!P40)</f>
        <v>4731.6781500000006</v>
      </c>
      <c r="Q65" s="573">
        <f>IF(Q3&gt;'Project Assumtions'!$I$15+1,0,Depreciation!Q40)</f>
        <v>4731.6781500000006</v>
      </c>
      <c r="R65" s="573">
        <f>IF(R3&gt;'Project Assumtions'!$I$15+1,0,Depreciation!R40)</f>
        <v>4731.6781500000006</v>
      </c>
      <c r="S65" s="573">
        <f>IF(S3&gt;'Project Assumtions'!$I$15+1,0,Depreciation!S40)</f>
        <v>4731.6781500000006</v>
      </c>
      <c r="T65" s="573">
        <f>IF(T3&gt;'Project Assumtions'!$I$15+1,0,Depreciation!T40)</f>
        <v>4731.6781500000006</v>
      </c>
      <c r="U65" s="573">
        <f>IF(U3&gt;'Project Assumtions'!$I$15+1,0,Depreciation!U40)</f>
        <v>4731.6781500000006</v>
      </c>
      <c r="V65" s="573">
        <f>IF(V3&gt;'Project Assumtions'!$I$15+1,0,Depreciation!V40)</f>
        <v>4731.6781500000006</v>
      </c>
      <c r="W65" s="573">
        <f>IF(W3&gt;'Project Assumtions'!$I$15+1,0,Depreciation!W40)</f>
        <v>4731.6781500000006</v>
      </c>
      <c r="X65" s="573">
        <f>IF(X3&gt;'Project Assumtions'!$I$15+1,0,Depreciation!X40)</f>
        <v>4731.6781500000006</v>
      </c>
      <c r="Y65" s="573">
        <f>IF(Y3&gt;'Project Assumtions'!$I$15+1,0,Depreciation!Y40)</f>
        <v>0</v>
      </c>
      <c r="Z65" s="573">
        <f>IF(Z3&gt;'Project Assumtions'!$I$15+1,0,Depreciation!Z40)</f>
        <v>0</v>
      </c>
      <c r="AA65" s="573">
        <f>IF(AA3&gt;'Project Assumtions'!$I$15+1,0,Depreciation!AA40)</f>
        <v>0</v>
      </c>
      <c r="AB65" s="574">
        <f>IF(AB3&gt;'Project Assumtions'!$I$15+1,0,Depreciation!AB40)</f>
        <v>0</v>
      </c>
    </row>
    <row r="66" spans="1:29" ht="12.6" customHeight="1">
      <c r="B66" s="522" t="s">
        <v>698</v>
      </c>
      <c r="C66" s="611"/>
      <c r="D66" s="1073">
        <f>'Project Assumtions'!C41+'Project Assumtions'!C40</f>
        <v>247.38800000000001</v>
      </c>
      <c r="E66" s="759">
        <v>0</v>
      </c>
      <c r="F66" s="759">
        <v>0</v>
      </c>
      <c r="G66" s="759">
        <v>0</v>
      </c>
      <c r="H66" s="759">
        <v>0</v>
      </c>
      <c r="I66" s="759">
        <v>0</v>
      </c>
      <c r="J66" s="759">
        <v>0</v>
      </c>
      <c r="K66" s="759">
        <v>0</v>
      </c>
      <c r="L66" s="759">
        <v>0</v>
      </c>
      <c r="M66" s="759">
        <v>0</v>
      </c>
      <c r="N66" s="759">
        <v>0</v>
      </c>
      <c r="O66" s="759">
        <v>0</v>
      </c>
      <c r="P66" s="759">
        <v>0</v>
      </c>
      <c r="Q66" s="759">
        <v>0</v>
      </c>
      <c r="R66" s="759">
        <v>0</v>
      </c>
      <c r="S66" s="759">
        <v>0</v>
      </c>
      <c r="T66" s="759">
        <v>0</v>
      </c>
      <c r="U66" s="759">
        <v>0</v>
      </c>
      <c r="V66" s="759">
        <v>0</v>
      </c>
      <c r="W66" s="759">
        <v>0</v>
      </c>
      <c r="X66" s="759">
        <v>0</v>
      </c>
      <c r="Y66" s="759">
        <v>0</v>
      </c>
      <c r="Z66" s="759">
        <v>0</v>
      </c>
      <c r="AA66" s="759">
        <v>0</v>
      </c>
      <c r="AB66" s="761">
        <v>0</v>
      </c>
    </row>
    <row r="67" spans="1:29" ht="12.6" customHeight="1">
      <c r="B67" s="521" t="s">
        <v>3</v>
      </c>
      <c r="C67" s="611"/>
      <c r="D67" s="573">
        <f>D63-D65+D66</f>
        <v>8900.7461550342196</v>
      </c>
      <c r="E67" s="573">
        <f t="shared" ref="E67:AB67" si="12">E63-E65+E66</f>
        <v>15085.866339965396</v>
      </c>
      <c r="F67" s="573">
        <f t="shared" si="12"/>
        <v>14926.40078260631</v>
      </c>
      <c r="G67" s="573">
        <f t="shared" si="12"/>
        <v>22183.467969231748</v>
      </c>
      <c r="H67" s="573">
        <f t="shared" si="12"/>
        <v>28400.516120849199</v>
      </c>
      <c r="I67" s="573">
        <f t="shared" si="12"/>
        <v>29563.408275138201</v>
      </c>
      <c r="J67" s="573">
        <f t="shared" si="12"/>
        <v>30033.486425134375</v>
      </c>
      <c r="K67" s="573">
        <f t="shared" si="12"/>
        <v>30333.702412433609</v>
      </c>
      <c r="L67" s="573">
        <f t="shared" si="12"/>
        <v>30666.477918630619</v>
      </c>
      <c r="M67" s="573">
        <f t="shared" si="12"/>
        <v>31066.98968323494</v>
      </c>
      <c r="N67" s="573">
        <f t="shared" si="12"/>
        <v>31456.943617606266</v>
      </c>
      <c r="O67" s="573">
        <f t="shared" si="12"/>
        <v>31665.749086130192</v>
      </c>
      <c r="P67" s="573">
        <f t="shared" si="12"/>
        <v>32030.269329690193</v>
      </c>
      <c r="Q67" s="573">
        <f t="shared" si="12"/>
        <v>31613.317010955034</v>
      </c>
      <c r="R67" s="573">
        <f t="shared" si="12"/>
        <v>31930.73820025153</v>
      </c>
      <c r="S67" s="573">
        <f t="shared" si="12"/>
        <v>32233.889596157169</v>
      </c>
      <c r="T67" s="573">
        <f t="shared" si="12"/>
        <v>32521.629331998141</v>
      </c>
      <c r="U67" s="573">
        <f t="shared" si="12"/>
        <v>32792.759871914277</v>
      </c>
      <c r="V67" s="573">
        <f t="shared" si="12"/>
        <v>33046.025698387799</v>
      </c>
      <c r="W67" s="573">
        <f t="shared" si="12"/>
        <v>32360.712704953963</v>
      </c>
      <c r="X67" s="573">
        <f t="shared" si="12"/>
        <v>8792.4034511630271</v>
      </c>
      <c r="Y67" s="573">
        <f t="shared" si="12"/>
        <v>0</v>
      </c>
      <c r="Z67" s="573">
        <f t="shared" si="12"/>
        <v>0</v>
      </c>
      <c r="AA67" s="573">
        <f t="shared" si="12"/>
        <v>0</v>
      </c>
      <c r="AB67" s="574">
        <f t="shared" si="12"/>
        <v>0</v>
      </c>
    </row>
    <row r="68" spans="1:29" ht="12.6" customHeight="1">
      <c r="B68" s="762"/>
      <c r="C68" s="611"/>
      <c r="D68" s="611"/>
      <c r="E68" s="611"/>
      <c r="F68" s="611"/>
      <c r="G68" s="611"/>
      <c r="H68" s="611"/>
      <c r="I68" s="611"/>
      <c r="J68" s="611"/>
      <c r="K68" s="611"/>
      <c r="L68" s="611"/>
      <c r="M68" s="611"/>
      <c r="N68" s="611"/>
      <c r="O68" s="611"/>
      <c r="P68" s="611"/>
      <c r="Q68" s="611"/>
      <c r="R68" s="611"/>
      <c r="S68" s="611"/>
      <c r="T68" s="611"/>
      <c r="U68" s="611"/>
      <c r="V68" s="611"/>
      <c r="W68" s="611"/>
      <c r="X68" s="611"/>
      <c r="Y68" s="611"/>
      <c r="Z68" s="611"/>
      <c r="AA68" s="611"/>
      <c r="AB68" s="647"/>
    </row>
    <row r="69" spans="1:29" ht="12.6" customHeight="1">
      <c r="B69" s="522" t="s">
        <v>82</v>
      </c>
      <c r="C69" s="611"/>
      <c r="D69" s="573">
        <f>'Debt Amortization'!E$52</f>
        <v>9363.5700284249997</v>
      </c>
      <c r="E69" s="573">
        <f>'Debt Amortization'!F$52</f>
        <v>9038.9501891910004</v>
      </c>
      <c r="F69" s="573">
        <f>'Debt Amortization'!G$52</f>
        <v>8714.3303499569993</v>
      </c>
      <c r="G69" s="573">
        <f>'Debt Amortization'!H$52</f>
        <v>8252.7841260832502</v>
      </c>
      <c r="H69" s="573">
        <f>'Debt Amortization'!I$52</f>
        <v>7654.3115175697494</v>
      </c>
      <c r="I69" s="573">
        <f>'Debt Amortization'!J$52</f>
        <v>7273.9274887163692</v>
      </c>
      <c r="J69" s="573">
        <f>'Debt Amortization'!K$52</f>
        <v>6893.543459862989</v>
      </c>
      <c r="K69" s="573">
        <f>'Debt Amortization'!L$52</f>
        <v>6459.893801222669</v>
      </c>
      <c r="L69" s="573">
        <f>'Debt Amortization'!M$52</f>
        <v>6026.244142582349</v>
      </c>
      <c r="M69" s="573">
        <f>'Debt Amortization'!N$52</f>
        <v>5318.7417146625294</v>
      </c>
      <c r="N69" s="573">
        <f>'Debt Amortization'!O$52</f>
        <v>4421.0472723160192</v>
      </c>
      <c r="O69" s="573">
        <f>'Debt Amortization'!P$52</f>
        <v>4207.984753168259</v>
      </c>
      <c r="P69" s="573">
        <f>'Debt Amortization'!Q$52</f>
        <v>3941.6566042335589</v>
      </c>
      <c r="Q69" s="573">
        <f>'Debt Amortization'!R$52</f>
        <v>3675.3284552988594</v>
      </c>
      <c r="R69" s="573">
        <f>'Debt Amortization'!S$52</f>
        <v>3409.0003063641598</v>
      </c>
      <c r="S69" s="573">
        <f>'Debt Amortization'!T$52</f>
        <v>3142.6721574294597</v>
      </c>
      <c r="T69" s="573">
        <f>'Debt Amortization'!U$52</f>
        <v>2876.3440084947601</v>
      </c>
      <c r="U69" s="573">
        <f>'Debt Amortization'!V$52</f>
        <v>2343.6877106253601</v>
      </c>
      <c r="V69" s="573">
        <f>'Debt Amortization'!W$52</f>
        <v>1704.5001531820801</v>
      </c>
      <c r="W69" s="573">
        <f>'Debt Amortization'!X$52</f>
        <v>905.51570637798011</v>
      </c>
      <c r="X69" s="573">
        <f>'Debt Amortization'!Y$52</f>
        <v>0</v>
      </c>
      <c r="Y69" s="573">
        <f>'Debt Amortization'!Z$52</f>
        <v>0</v>
      </c>
      <c r="Z69" s="573">
        <f>'Debt Amortization'!AA$52</f>
        <v>0</v>
      </c>
      <c r="AA69" s="573">
        <f>'Debt Amortization'!AB$52</f>
        <v>0</v>
      </c>
      <c r="AB69" s="574">
        <f>'Debt Amortization'!AC$52</f>
        <v>0</v>
      </c>
      <c r="AC69" s="4"/>
    </row>
    <row r="70" spans="1:29" ht="12.6" customHeight="1">
      <c r="A70" s="1">
        <v>10</v>
      </c>
      <c r="B70" s="522" t="s">
        <v>83</v>
      </c>
      <c r="C70" s="611"/>
      <c r="D70" s="575">
        <f>0.05*0.25*D63</f>
        <v>145.14730574001109</v>
      </c>
      <c r="E70" s="575">
        <f t="shared" ref="E70:AB70" si="13">0.05*0.25*E63</f>
        <v>251.96817862456749</v>
      </c>
      <c r="F70" s="575">
        <f t="shared" si="13"/>
        <v>249.97485915757889</v>
      </c>
      <c r="G70" s="575">
        <f t="shared" si="13"/>
        <v>340.68819899039687</v>
      </c>
      <c r="H70" s="575">
        <f t="shared" si="13"/>
        <v>418.401300885615</v>
      </c>
      <c r="I70" s="575">
        <f t="shared" si="13"/>
        <v>430.45894385589418</v>
      </c>
      <c r="J70" s="575">
        <f t="shared" si="13"/>
        <v>434.56455718917971</v>
      </c>
      <c r="K70" s="575">
        <f t="shared" si="13"/>
        <v>438.31725703042014</v>
      </c>
      <c r="L70" s="575">
        <f t="shared" si="13"/>
        <v>442.47695085788274</v>
      </c>
      <c r="M70" s="575">
        <f t="shared" si="13"/>
        <v>447.48334791543675</v>
      </c>
      <c r="N70" s="575">
        <f t="shared" si="13"/>
        <v>452.35777209507836</v>
      </c>
      <c r="O70" s="575">
        <f t="shared" si="13"/>
        <v>454.96784045162741</v>
      </c>
      <c r="P70" s="575">
        <f t="shared" si="13"/>
        <v>459.52434349612741</v>
      </c>
      <c r="Q70" s="575">
        <f t="shared" si="13"/>
        <v>454.31243951193795</v>
      </c>
      <c r="R70" s="575">
        <f t="shared" si="13"/>
        <v>458.28020437814416</v>
      </c>
      <c r="S70" s="575">
        <f t="shared" si="13"/>
        <v>462.06959682696464</v>
      </c>
      <c r="T70" s="575">
        <f t="shared" si="13"/>
        <v>465.66634352497681</v>
      </c>
      <c r="U70" s="575">
        <f t="shared" si="13"/>
        <v>469.05547527392849</v>
      </c>
      <c r="V70" s="575">
        <f t="shared" si="13"/>
        <v>472.22129810484751</v>
      </c>
      <c r="W70" s="575">
        <f t="shared" si="13"/>
        <v>463.65488568692456</v>
      </c>
      <c r="X70" s="575">
        <f t="shared" si="13"/>
        <v>169.05102001453784</v>
      </c>
      <c r="Y70" s="575">
        <f t="shared" si="13"/>
        <v>0</v>
      </c>
      <c r="Z70" s="575">
        <f t="shared" si="13"/>
        <v>0</v>
      </c>
      <c r="AA70" s="575">
        <f t="shared" si="13"/>
        <v>0</v>
      </c>
      <c r="AB70" s="576">
        <f t="shared" si="13"/>
        <v>0</v>
      </c>
    </row>
    <row r="71" spans="1:29" ht="12.6" customHeight="1">
      <c r="B71" s="522" t="s">
        <v>84</v>
      </c>
      <c r="C71" s="611"/>
      <c r="D71" s="577">
        <f>D69-D70</f>
        <v>9218.4227226849889</v>
      </c>
      <c r="E71" s="577">
        <f t="shared" ref="E71:AB71" si="14">E69-E70</f>
        <v>8786.982010566433</v>
      </c>
      <c r="F71" s="577">
        <f t="shared" si="14"/>
        <v>8464.3554907994203</v>
      </c>
      <c r="G71" s="577">
        <f t="shared" si="14"/>
        <v>7912.0959270928533</v>
      </c>
      <c r="H71" s="577">
        <f t="shared" si="14"/>
        <v>7235.9102166841349</v>
      </c>
      <c r="I71" s="577">
        <f t="shared" si="14"/>
        <v>6843.468544860475</v>
      </c>
      <c r="J71" s="577">
        <f t="shared" si="14"/>
        <v>6458.978902673809</v>
      </c>
      <c r="K71" s="577">
        <f t="shared" si="14"/>
        <v>6021.5765441922485</v>
      </c>
      <c r="L71" s="577">
        <f t="shared" si="14"/>
        <v>5583.7671917244661</v>
      </c>
      <c r="M71" s="577">
        <f t="shared" si="14"/>
        <v>4871.2583667470926</v>
      </c>
      <c r="N71" s="577">
        <f t="shared" si="14"/>
        <v>3968.6895002209408</v>
      </c>
      <c r="O71" s="577">
        <f t="shared" si="14"/>
        <v>3753.0169127166314</v>
      </c>
      <c r="P71" s="577">
        <f t="shared" si="14"/>
        <v>3482.1322607374314</v>
      </c>
      <c r="Q71" s="577">
        <f t="shared" si="14"/>
        <v>3221.0160157869213</v>
      </c>
      <c r="R71" s="577">
        <f t="shared" si="14"/>
        <v>2950.7201019860158</v>
      </c>
      <c r="S71" s="577">
        <f t="shared" si="14"/>
        <v>2680.602560602495</v>
      </c>
      <c r="T71" s="577">
        <f t="shared" si="14"/>
        <v>2410.6776649697831</v>
      </c>
      <c r="U71" s="577">
        <f t="shared" si="14"/>
        <v>1874.6322353514315</v>
      </c>
      <c r="V71" s="577">
        <f t="shared" si="14"/>
        <v>1232.2788550772325</v>
      </c>
      <c r="W71" s="577">
        <f t="shared" si="14"/>
        <v>441.86082069105555</v>
      </c>
      <c r="X71" s="577">
        <f t="shared" si="14"/>
        <v>-169.05102001453784</v>
      </c>
      <c r="Y71" s="577">
        <f t="shared" si="14"/>
        <v>0</v>
      </c>
      <c r="Z71" s="577">
        <f t="shared" si="14"/>
        <v>0</v>
      </c>
      <c r="AA71" s="577">
        <f t="shared" si="14"/>
        <v>0</v>
      </c>
      <c r="AB71" s="578">
        <f t="shared" si="14"/>
        <v>0</v>
      </c>
    </row>
    <row r="72" spans="1:29" ht="12.6" customHeight="1">
      <c r="B72" s="521" t="s">
        <v>4</v>
      </c>
      <c r="C72" s="611"/>
      <c r="D72" s="573">
        <f>D67-D71</f>
        <v>-317.67656765076936</v>
      </c>
      <c r="E72" s="573">
        <f>IF(E3&gt;'Project Assumtions'!$I$15+1,0,E67-E71)</f>
        <v>6298.884329398963</v>
      </c>
      <c r="F72" s="573">
        <f>IF(F3&gt;'Project Assumtions'!$I$15+1,0,F67-F71)</f>
        <v>6462.0452918068895</v>
      </c>
      <c r="G72" s="573">
        <f>IF(G3&gt;'Project Assumtions'!$I$15+1,0,G67-G71)</f>
        <v>14271.372042138893</v>
      </c>
      <c r="H72" s="573">
        <f>IF(H3&gt;'Project Assumtions'!$I$15+1,0,H67-H71)</f>
        <v>21164.605904165066</v>
      </c>
      <c r="I72" s="573">
        <f>IF(I3&gt;'Project Assumtions'!$I$15+1,0,I67-I71)</f>
        <v>22719.939730277725</v>
      </c>
      <c r="J72" s="573">
        <f>IF(J3&gt;'Project Assumtions'!$I$15+1,0,J67-J71)</f>
        <v>23574.507522460568</v>
      </c>
      <c r="K72" s="573">
        <f>IF(K3&gt;'Project Assumtions'!$I$15+1,0,K67-K71)</f>
        <v>24312.125868241361</v>
      </c>
      <c r="L72" s="573">
        <f>IF(L3&gt;'Project Assumtions'!$I$15+1,0,L67-L71)</f>
        <v>25082.710726906153</v>
      </c>
      <c r="M72" s="573">
        <f>IF(M3&gt;'Project Assumtions'!$I$15+1,0,M67-M71)</f>
        <v>26195.731316487847</v>
      </c>
      <c r="N72" s="573">
        <f>IF(N3&gt;'Project Assumtions'!$I$15+1,0,N67-N71)</f>
        <v>27488.254117385324</v>
      </c>
      <c r="O72" s="573">
        <f>IF(O3&gt;'Project Assumtions'!$I$15+1,0,O67-O71)</f>
        <v>27912.732173413562</v>
      </c>
      <c r="P72" s="573">
        <f>IF(P3&gt;'Project Assumtions'!$I$15+1,0,P67-P71)</f>
        <v>28548.137068952761</v>
      </c>
      <c r="Q72" s="573">
        <f>IF(Q3&gt;'Project Assumtions'!$I$15+1,0,Q67-Q71)</f>
        <v>28392.300995168112</v>
      </c>
      <c r="R72" s="573">
        <f>IF(R3&gt;'Project Assumtions'!$I$15+1,0,R67-R71)</f>
        <v>28980.018098265515</v>
      </c>
      <c r="S72" s="573">
        <f>IF(S3&gt;'Project Assumtions'!$I$15+1,0,S67-S71)</f>
        <v>29553.287035554673</v>
      </c>
      <c r="T72" s="573">
        <f>IF(T3&gt;'Project Assumtions'!$I$15+1,0,T67-T71)</f>
        <v>30110.951667028359</v>
      </c>
      <c r="U72" s="573">
        <f>IF(U3&gt;'Project Assumtions'!$I$15+1,0,U67-U71)</f>
        <v>30918.127636562844</v>
      </c>
      <c r="V72" s="573">
        <f>IF(V3&gt;'Project Assumtions'!$I$15+1,0,V67-V71)</f>
        <v>31813.746843310568</v>
      </c>
      <c r="W72" s="573">
        <f>IF(W3&gt;'Project Assumtions'!$I$15+1,0,W67-W71)</f>
        <v>31918.851884262909</v>
      </c>
      <c r="X72" s="573">
        <f>IF(X3&gt;'Project Assumtions'!$I$15+1,0,X67-X71)</f>
        <v>8961.4544711775652</v>
      </c>
      <c r="Y72" s="573">
        <f>IF(Y3&gt;'Project Assumtions'!$I$15+1,0,Y67-Y71)</f>
        <v>0</v>
      </c>
      <c r="Z72" s="573">
        <f>IF(Z3&gt;'Project Assumtions'!$I$15+1,0,Z67-Z71)</f>
        <v>0</v>
      </c>
      <c r="AA72" s="573">
        <f>IF(AA3&gt;'Project Assumtions'!$I$15+1,0,AA67-AA71)</f>
        <v>0</v>
      </c>
      <c r="AB72" s="574">
        <f>IF(AB3&gt;'Project Assumtions'!$I$15+1,0,AB67-AB71)</f>
        <v>0</v>
      </c>
    </row>
    <row r="73" spans="1:29" ht="12.6" customHeight="1">
      <c r="B73" s="521"/>
      <c r="C73" s="611"/>
      <c r="D73" s="573"/>
      <c r="E73" s="573"/>
      <c r="F73" s="573"/>
      <c r="G73" s="573"/>
      <c r="H73" s="573"/>
      <c r="I73" s="573"/>
      <c r="J73" s="573"/>
      <c r="K73" s="573"/>
      <c r="L73" s="573"/>
      <c r="M73" s="573"/>
      <c r="N73" s="573"/>
      <c r="O73" s="573"/>
      <c r="P73" s="573"/>
      <c r="Q73" s="573"/>
      <c r="R73" s="573"/>
      <c r="S73" s="573"/>
      <c r="T73" s="573"/>
      <c r="U73" s="573"/>
      <c r="V73" s="573"/>
      <c r="W73" s="573"/>
      <c r="X73" s="573"/>
      <c r="Y73" s="573"/>
      <c r="Z73" s="573"/>
      <c r="AA73" s="573"/>
      <c r="AB73" s="574"/>
    </row>
    <row r="74" spans="1:29" ht="12.6" customHeight="1">
      <c r="B74" s="522" t="s">
        <v>678</v>
      </c>
      <c r="C74" s="611"/>
      <c r="D74" s="557">
        <f>'Project Assumtions'!$N$65*D72</f>
        <v>-14.29544554428462</v>
      </c>
      <c r="E74" s="557">
        <f>'Project Assumtions'!$N$65*E72</f>
        <v>283.44979482295332</v>
      </c>
      <c r="F74" s="557">
        <f>'Project Assumtions'!$N$65*F72</f>
        <v>290.79203813130999</v>
      </c>
      <c r="G74" s="557">
        <f>'Project Assumtions'!$N$65*G72</f>
        <v>642.21174189625015</v>
      </c>
      <c r="H74" s="557">
        <f>'Project Assumtions'!$N$65*H72</f>
        <v>952.40726568742798</v>
      </c>
      <c r="I74" s="557">
        <f>'Project Assumtions'!$N$65*I72</f>
        <v>1022.3972878624976</v>
      </c>
      <c r="J74" s="557">
        <f>'Project Assumtions'!$N$65*J72</f>
        <v>1060.8528385107256</v>
      </c>
      <c r="K74" s="557">
        <f>'Project Assumtions'!$N$65*K72</f>
        <v>1094.0456640708612</v>
      </c>
      <c r="L74" s="557">
        <f>'Project Assumtions'!$N$65*L72</f>
        <v>1128.7219827107767</v>
      </c>
      <c r="M74" s="557">
        <f>'Project Assumtions'!$N$65*M72</f>
        <v>1178.807909241953</v>
      </c>
      <c r="N74" s="557">
        <f>'Project Assumtions'!$N$65*N72</f>
        <v>1236.9714352823396</v>
      </c>
      <c r="O74" s="557">
        <f>'Project Assumtions'!$N$65*O72</f>
        <v>1256.0729478036103</v>
      </c>
      <c r="P74" s="557">
        <f>'Project Assumtions'!$N$65*P72</f>
        <v>1284.6661681028743</v>
      </c>
      <c r="Q74" s="557">
        <f>'Project Assumtions'!$N$65*Q72</f>
        <v>1277.6535447825649</v>
      </c>
      <c r="R74" s="557">
        <f>'Project Assumtions'!$N$65*R72</f>
        <v>1304.1008144219481</v>
      </c>
      <c r="S74" s="557">
        <f>'Project Assumtions'!$N$65*S72</f>
        <v>1329.8979165999601</v>
      </c>
      <c r="T74" s="557">
        <f>'Project Assumtions'!$N$65*T72</f>
        <v>1354.9928250162761</v>
      </c>
      <c r="U74" s="557">
        <f>'Project Assumtions'!$N$65*U72</f>
        <v>1391.315743645328</v>
      </c>
      <c r="V74" s="557">
        <f>'Project Assumtions'!$N$65*V72</f>
        <v>1431.6186079489755</v>
      </c>
      <c r="W74" s="557">
        <f>'Project Assumtions'!$N$65*W72</f>
        <v>1436.3483347918309</v>
      </c>
      <c r="X74" s="557">
        <f>'Project Assumtions'!$N$65*X72</f>
        <v>403.26545120299039</v>
      </c>
      <c r="Y74" s="557">
        <f>'Project Assumtions'!$N$65*Y72</f>
        <v>0</v>
      </c>
      <c r="Z74" s="557">
        <f>'Project Assumtions'!$N$65*Z72</f>
        <v>0</v>
      </c>
      <c r="AA74" s="557">
        <f>'Project Assumtions'!$N$65*AA72</f>
        <v>0</v>
      </c>
      <c r="AB74" s="614">
        <f>'Project Assumtions'!$N$65*AB72</f>
        <v>0</v>
      </c>
    </row>
    <row r="75" spans="1:29" ht="12.6" customHeight="1">
      <c r="B75" s="522" t="s">
        <v>699</v>
      </c>
      <c r="C75" s="611"/>
      <c r="D75" s="757">
        <f>'Tax Calculations'!D17</f>
        <v>188.340226</v>
      </c>
      <c r="E75" s="757">
        <f>'Tax Calculations'!E17</f>
        <v>305.53364568000001</v>
      </c>
      <c r="F75" s="757">
        <f>'Tax Calculations'!F17</f>
        <v>306.57805505040005</v>
      </c>
      <c r="G75" s="757">
        <f>'Tax Calculations'!G17</f>
        <v>485.22664943272241</v>
      </c>
      <c r="H75" s="757">
        <f>'Tax Calculations'!H17</f>
        <v>719.59660074161229</v>
      </c>
      <c r="I75" s="757">
        <f>'Tax Calculations'!I17</f>
        <v>772.47795082944276</v>
      </c>
      <c r="J75" s="757">
        <f>'Tax Calculations'!J17</f>
        <v>801.53325576365933</v>
      </c>
      <c r="K75" s="757">
        <f>'Tax Calculations'!K17</f>
        <v>826.61227952020636</v>
      </c>
      <c r="L75" s="757">
        <f>'Tax Calculations'!L17</f>
        <v>852.81216471480923</v>
      </c>
      <c r="M75" s="757">
        <f>'Tax Calculations'!M17</f>
        <v>890.65486476058686</v>
      </c>
      <c r="N75" s="757">
        <f>'Tax Calculations'!N17</f>
        <v>934.60063999110105</v>
      </c>
      <c r="O75" s="757">
        <f>'Tax Calculations'!O17</f>
        <v>949.03289389606118</v>
      </c>
      <c r="P75" s="757">
        <f>'Tax Calculations'!P17</f>
        <v>970.63666034439393</v>
      </c>
      <c r="Q75" s="757">
        <f>'Tax Calculations'!Q17</f>
        <v>965.33823383571587</v>
      </c>
      <c r="R75" s="757">
        <f>'Tax Calculations'!R17</f>
        <v>985.32061534102752</v>
      </c>
      <c r="S75" s="757">
        <f>'Tax Calculations'!S17</f>
        <v>1004.8117592088589</v>
      </c>
      <c r="T75" s="757">
        <f>'Tax Calculations'!T17</f>
        <v>1023.7723566789643</v>
      </c>
      <c r="U75" s="757">
        <f>'Tax Calculations'!U17</f>
        <v>1051.2163396431367</v>
      </c>
      <c r="V75" s="757">
        <f>'Tax Calculations'!V17</f>
        <v>1081.6673926725593</v>
      </c>
      <c r="W75" s="757">
        <f>'Tax Calculations'!W17</f>
        <v>1085.2409640649389</v>
      </c>
      <c r="X75" s="757">
        <f>'Tax Calculations'!X17</f>
        <v>304.68945202003727</v>
      </c>
      <c r="Y75" s="757">
        <f>'Tax Calculations'!Y17</f>
        <v>0</v>
      </c>
      <c r="Z75" s="757">
        <f>'Tax Calculations'!Z17</f>
        <v>0</v>
      </c>
      <c r="AA75" s="757">
        <f>'Tax Calculations'!AA17</f>
        <v>0</v>
      </c>
      <c r="AB75" s="758">
        <v>0</v>
      </c>
    </row>
    <row r="76" spans="1:29" ht="12.6" customHeight="1">
      <c r="B76" s="522"/>
      <c r="C76" s="611"/>
      <c r="D76" s="623"/>
      <c r="E76" s="623"/>
      <c r="F76" s="623"/>
      <c r="G76" s="623"/>
      <c r="H76" s="623"/>
      <c r="I76" s="623"/>
      <c r="J76" s="623"/>
      <c r="K76" s="623"/>
      <c r="L76" s="623"/>
      <c r="M76" s="623"/>
      <c r="N76" s="623"/>
      <c r="O76" s="623"/>
      <c r="P76" s="623"/>
      <c r="Q76" s="623"/>
      <c r="R76" s="623"/>
      <c r="S76" s="623"/>
      <c r="T76" s="623"/>
      <c r="U76" s="623"/>
      <c r="V76" s="623"/>
      <c r="W76" s="623"/>
      <c r="X76" s="623"/>
      <c r="Y76" s="623"/>
      <c r="Z76" s="623"/>
      <c r="AA76" s="623"/>
      <c r="AB76" s="624"/>
    </row>
    <row r="77" spans="1:29" ht="12.6" customHeight="1">
      <c r="B77" s="521" t="s">
        <v>679</v>
      </c>
      <c r="C77" s="611"/>
      <c r="D77" s="1064">
        <f>D72-D74-D75</f>
        <v>-491.7213481064847</v>
      </c>
      <c r="E77" s="1064">
        <f t="shared" ref="E77:AB77" si="15">E72-E74-E75</f>
        <v>5709.9008888960097</v>
      </c>
      <c r="F77" s="1064">
        <f t="shared" si="15"/>
        <v>5864.6751986251802</v>
      </c>
      <c r="G77" s="1064">
        <f t="shared" si="15"/>
        <v>13143.93365080992</v>
      </c>
      <c r="H77" s="1064">
        <f t="shared" si="15"/>
        <v>19492.602037736026</v>
      </c>
      <c r="I77" s="1064">
        <f t="shared" si="15"/>
        <v>20925.064491585785</v>
      </c>
      <c r="J77" s="1064">
        <f t="shared" si="15"/>
        <v>21712.121428186183</v>
      </c>
      <c r="K77" s="1064">
        <f t="shared" si="15"/>
        <v>22391.467924650293</v>
      </c>
      <c r="L77" s="1064">
        <f t="shared" si="15"/>
        <v>23101.176579480565</v>
      </c>
      <c r="M77" s="1064">
        <f t="shared" si="15"/>
        <v>24126.268542485304</v>
      </c>
      <c r="N77" s="1064">
        <f t="shared" si="15"/>
        <v>25316.682042111883</v>
      </c>
      <c r="O77" s="1064">
        <f t="shared" si="15"/>
        <v>25707.626331713887</v>
      </c>
      <c r="P77" s="1064">
        <f t="shared" si="15"/>
        <v>26292.834240505494</v>
      </c>
      <c r="Q77" s="1064">
        <f t="shared" si="15"/>
        <v>26149.309216549831</v>
      </c>
      <c r="R77" s="1064">
        <f t="shared" si="15"/>
        <v>26690.596668502538</v>
      </c>
      <c r="S77" s="1064">
        <f t="shared" si="15"/>
        <v>27218.577359745854</v>
      </c>
      <c r="T77" s="1064">
        <f t="shared" si="15"/>
        <v>27732.186485333117</v>
      </c>
      <c r="U77" s="1064">
        <f t="shared" si="15"/>
        <v>28475.595553274379</v>
      </c>
      <c r="V77" s="1064">
        <f t="shared" si="15"/>
        <v>29300.460842689034</v>
      </c>
      <c r="W77" s="1064">
        <f t="shared" si="15"/>
        <v>29397.262585406141</v>
      </c>
      <c r="X77" s="1064">
        <f t="shared" si="15"/>
        <v>8253.4995679545373</v>
      </c>
      <c r="Y77" s="1064">
        <f t="shared" si="15"/>
        <v>0</v>
      </c>
      <c r="Z77" s="1064">
        <f t="shared" si="15"/>
        <v>0</v>
      </c>
      <c r="AA77" s="1064">
        <f t="shared" si="15"/>
        <v>0</v>
      </c>
      <c r="AB77" s="1065">
        <f t="shared" si="15"/>
        <v>0</v>
      </c>
    </row>
    <row r="78" spans="1:29" ht="12.6" customHeight="1">
      <c r="B78" s="521"/>
      <c r="C78" s="611"/>
      <c r="D78" s="1062"/>
      <c r="E78" s="1062"/>
      <c r="F78" s="1062"/>
      <c r="G78" s="1062"/>
      <c r="H78" s="1062"/>
      <c r="I78" s="1062"/>
      <c r="J78" s="1062"/>
      <c r="K78" s="1062"/>
      <c r="L78" s="1062"/>
      <c r="M78" s="1062"/>
      <c r="N78" s="1062"/>
      <c r="O78" s="1062"/>
      <c r="P78" s="1062"/>
      <c r="Q78" s="1062"/>
      <c r="R78" s="1062"/>
      <c r="S78" s="1062"/>
      <c r="T78" s="1062"/>
      <c r="U78" s="1062"/>
      <c r="V78" s="1062"/>
      <c r="W78" s="1062"/>
      <c r="X78" s="1062"/>
      <c r="Y78" s="1062"/>
      <c r="Z78" s="1062"/>
      <c r="AA78" s="1062"/>
      <c r="AB78" s="1063"/>
    </row>
    <row r="79" spans="1:29" ht="12.6" customHeight="1">
      <c r="B79" s="522" t="s">
        <v>676</v>
      </c>
      <c r="C79" s="611"/>
      <c r="D79" s="623">
        <f>'Project Assumtions'!$N$64*'Book Income Statement'!D77</f>
        <v>-172.10247183726963</v>
      </c>
      <c r="E79" s="623">
        <f>'Project Assumtions'!$N$64*'Book Income Statement'!E77</f>
        <v>1998.4653111136033</v>
      </c>
      <c r="F79" s="623">
        <f>'Project Assumtions'!$N$64*'Book Income Statement'!F77</f>
        <v>2052.6363195188128</v>
      </c>
      <c r="G79" s="623">
        <f>'Project Assumtions'!$N$64*'Book Income Statement'!G77</f>
        <v>4600.3767777834719</v>
      </c>
      <c r="H79" s="623">
        <f>'Project Assumtions'!$N$64*'Book Income Statement'!H77</f>
        <v>6822.4107132076088</v>
      </c>
      <c r="I79" s="623">
        <f>'Project Assumtions'!$N$64*'Book Income Statement'!I77</f>
        <v>7323.7725720550243</v>
      </c>
      <c r="J79" s="623">
        <f>'Project Assumtions'!$N$64*'Book Income Statement'!J77</f>
        <v>7599.2424998651632</v>
      </c>
      <c r="K79" s="623">
        <f>'Project Assumtions'!$N$64*'Book Income Statement'!K77</f>
        <v>7837.0137736276019</v>
      </c>
      <c r="L79" s="623">
        <f>'Project Assumtions'!$N$64*'Book Income Statement'!L77</f>
        <v>8085.4118028181974</v>
      </c>
      <c r="M79" s="623">
        <f>'Project Assumtions'!$N$64*'Book Income Statement'!M77</f>
        <v>8444.1939898698565</v>
      </c>
      <c r="N79" s="623">
        <f>'Project Assumtions'!$N$64*'Book Income Statement'!N77</f>
        <v>8860.8387147391586</v>
      </c>
      <c r="O79" s="623">
        <f>'Project Assumtions'!$N$64*'Book Income Statement'!O77</f>
        <v>8997.6692160998591</v>
      </c>
      <c r="P79" s="623">
        <f>'Project Assumtions'!$N$64*'Book Income Statement'!P77</f>
        <v>9202.4919841769224</v>
      </c>
      <c r="Q79" s="623">
        <f>'Project Assumtions'!$N$64*'Book Income Statement'!Q77</f>
        <v>9152.2582257924405</v>
      </c>
      <c r="R79" s="623">
        <f>'Project Assumtions'!$N$64*'Book Income Statement'!R77</f>
        <v>9341.7088339758884</v>
      </c>
      <c r="S79" s="623">
        <f>'Project Assumtions'!$N$64*'Book Income Statement'!S77</f>
        <v>9526.5020759110485</v>
      </c>
      <c r="T79" s="623">
        <f>'Project Assumtions'!$N$64*'Book Income Statement'!T77</f>
        <v>9706.2652698665897</v>
      </c>
      <c r="U79" s="623">
        <f>'Project Assumtions'!$N$64*'Book Income Statement'!U77</f>
        <v>9966.4584436460318</v>
      </c>
      <c r="V79" s="623">
        <f>'Project Assumtions'!$N$64*'Book Income Statement'!V77</f>
        <v>10255.161294941161</v>
      </c>
      <c r="W79" s="623">
        <f>'Project Assumtions'!$N$64*'Book Income Statement'!W77</f>
        <v>10289.041904892149</v>
      </c>
      <c r="X79" s="623">
        <f>'Project Assumtions'!$N$64*'Book Income Statement'!X77</f>
        <v>2888.724848784088</v>
      </c>
      <c r="Y79" s="623">
        <f>'Project Assumtions'!$N$64*'Book Income Statement'!Y77</f>
        <v>0</v>
      </c>
      <c r="Z79" s="623">
        <f>'Project Assumtions'!$N$64*'Book Income Statement'!Z77</f>
        <v>0</v>
      </c>
      <c r="AA79" s="623">
        <f>'Project Assumtions'!$N$64*'Book Income Statement'!AA77</f>
        <v>0</v>
      </c>
      <c r="AB79" s="624">
        <f>'Project Assumtions'!$N$64*'Book Income Statement'!AB77</f>
        <v>0</v>
      </c>
    </row>
    <row r="80" spans="1:29" ht="12.6" customHeight="1">
      <c r="B80" s="522"/>
      <c r="C80" s="611"/>
      <c r="D80" s="557"/>
      <c r="E80" s="557"/>
      <c r="F80" s="557"/>
      <c r="G80" s="557"/>
      <c r="H80" s="557"/>
      <c r="I80" s="557"/>
      <c r="J80" s="557"/>
      <c r="K80" s="557"/>
      <c r="L80" s="557"/>
      <c r="M80" s="557"/>
      <c r="N80" s="557"/>
      <c r="O80" s="557"/>
      <c r="P80" s="557"/>
      <c r="Q80" s="557"/>
      <c r="R80" s="557"/>
      <c r="S80" s="557"/>
      <c r="T80" s="557"/>
      <c r="U80" s="557"/>
      <c r="V80" s="557"/>
      <c r="W80" s="557"/>
      <c r="X80" s="557"/>
      <c r="Y80" s="557"/>
      <c r="Z80" s="557"/>
      <c r="AA80" s="557"/>
      <c r="AB80" s="614"/>
    </row>
    <row r="81" spans="2:28" ht="12.6" customHeight="1">
      <c r="B81" s="743" t="s">
        <v>34</v>
      </c>
      <c r="C81" s="615"/>
      <c r="D81" s="763">
        <f>D77-D79</f>
        <v>-319.61887626921509</v>
      </c>
      <c r="E81" s="763">
        <f>E77-E79</f>
        <v>3711.4355777824067</v>
      </c>
      <c r="F81" s="763">
        <f t="shared" ref="F81:AB81" si="16">F77-F79</f>
        <v>3812.0388791063674</v>
      </c>
      <c r="G81" s="763">
        <f t="shared" si="16"/>
        <v>8543.5568730264495</v>
      </c>
      <c r="H81" s="763">
        <f t="shared" si="16"/>
        <v>12670.191324528416</v>
      </c>
      <c r="I81" s="763">
        <f t="shared" si="16"/>
        <v>13601.29191953076</v>
      </c>
      <c r="J81" s="763">
        <f t="shared" si="16"/>
        <v>14112.878928321021</v>
      </c>
      <c r="K81" s="763">
        <f t="shared" si="16"/>
        <v>14554.454151022692</v>
      </c>
      <c r="L81" s="763">
        <f t="shared" si="16"/>
        <v>15015.764776662367</v>
      </c>
      <c r="M81" s="763">
        <f t="shared" si="16"/>
        <v>15682.074552615448</v>
      </c>
      <c r="N81" s="763">
        <f t="shared" si="16"/>
        <v>16455.843327372724</v>
      </c>
      <c r="O81" s="763">
        <f t="shared" si="16"/>
        <v>16709.95711561403</v>
      </c>
      <c r="P81" s="763">
        <f t="shared" si="16"/>
        <v>17090.342256328571</v>
      </c>
      <c r="Q81" s="763">
        <f t="shared" si="16"/>
        <v>16997.050990757391</v>
      </c>
      <c r="R81" s="763">
        <f t="shared" si="16"/>
        <v>17348.887834526649</v>
      </c>
      <c r="S81" s="763">
        <f t="shared" si="16"/>
        <v>17692.075283834805</v>
      </c>
      <c r="T81" s="763">
        <f t="shared" si="16"/>
        <v>18025.921215466529</v>
      </c>
      <c r="U81" s="763">
        <f t="shared" si="16"/>
        <v>18509.137109628347</v>
      </c>
      <c r="V81" s="763">
        <f t="shared" si="16"/>
        <v>19045.299547747873</v>
      </c>
      <c r="W81" s="763">
        <f t="shared" si="16"/>
        <v>19108.220680513994</v>
      </c>
      <c r="X81" s="763">
        <f t="shared" si="16"/>
        <v>5364.7747191704493</v>
      </c>
      <c r="Y81" s="763">
        <f t="shared" si="16"/>
        <v>0</v>
      </c>
      <c r="Z81" s="763">
        <f t="shared" si="16"/>
        <v>0</v>
      </c>
      <c r="AA81" s="763">
        <f t="shared" si="16"/>
        <v>0</v>
      </c>
      <c r="AB81" s="764">
        <f t="shared" si="16"/>
        <v>0</v>
      </c>
    </row>
    <row r="82" spans="2:28" ht="12.6" customHeight="1">
      <c r="B82" s="160"/>
      <c r="C82" s="86"/>
      <c r="D82" s="147"/>
      <c r="E82" s="147"/>
      <c r="F82" s="147"/>
      <c r="G82" s="147"/>
      <c r="H82" s="147"/>
      <c r="I82" s="147"/>
      <c r="J82" s="147"/>
      <c r="K82" s="147"/>
      <c r="L82" s="147"/>
      <c r="M82" s="147"/>
      <c r="N82" s="147"/>
      <c r="O82" s="147"/>
      <c r="P82" s="147"/>
      <c r="Q82" s="147"/>
      <c r="R82" s="147"/>
      <c r="S82" s="147"/>
      <c r="T82" s="147"/>
      <c r="U82" s="147"/>
      <c r="V82" s="147"/>
      <c r="W82" s="147"/>
      <c r="X82" s="147"/>
      <c r="Y82" s="147"/>
      <c r="Z82" s="147"/>
      <c r="AA82" s="147"/>
      <c r="AB82" s="147"/>
    </row>
    <row r="83" spans="2:28" ht="12.6" customHeight="1">
      <c r="B83" s="160" t="s">
        <v>296</v>
      </c>
      <c r="C83" s="85">
        <f>NPV('Project Assumtions'!$I$56,'Book Income Statement'!D83:F83)</f>
        <v>8209.4123270423024</v>
      </c>
      <c r="D83" s="146">
        <v>0</v>
      </c>
      <c r="E83" s="146">
        <v>0</v>
      </c>
      <c r="F83" s="146">
        <f>F72+F65</f>
        <v>11533.633241806891</v>
      </c>
      <c r="G83" s="146"/>
      <c r="H83" s="146"/>
      <c r="I83" s="146"/>
      <c r="J83" s="146"/>
      <c r="K83" s="146"/>
      <c r="L83" s="146"/>
      <c r="M83" s="146"/>
      <c r="N83" s="146"/>
      <c r="O83" s="146"/>
      <c r="P83" s="146"/>
      <c r="Q83" s="146"/>
      <c r="R83" s="146"/>
      <c r="S83" s="146"/>
      <c r="T83" s="146"/>
      <c r="U83" s="146"/>
      <c r="V83" s="146"/>
      <c r="W83" s="146"/>
      <c r="X83" s="146"/>
      <c r="Y83" s="146"/>
      <c r="Z83" s="146"/>
      <c r="AA83" s="146"/>
      <c r="AB83" s="146"/>
    </row>
    <row r="84" spans="2:28" ht="12.6" customHeight="1">
      <c r="B84" s="185" t="s">
        <v>289</v>
      </c>
      <c r="C84" s="85">
        <f>NPV('Project Assumtions'!$I$56,'Book Income Statement'!D84:F84)</f>
        <v>2713.3339780446872</v>
      </c>
      <c r="D84" s="85">
        <v>0</v>
      </c>
      <c r="E84" s="85">
        <v>0</v>
      </c>
      <c r="F84" s="146">
        <f>F81</f>
        <v>3812.0388791063674</v>
      </c>
    </row>
    <row r="85" spans="2:28" ht="13.2" customHeight="1">
      <c r="B85" s="185"/>
      <c r="D85" s="146"/>
      <c r="E85" s="146"/>
      <c r="F85" s="146"/>
      <c r="G85" s="146"/>
      <c r="H85" s="146"/>
      <c r="I85" s="146"/>
      <c r="J85" s="146"/>
      <c r="K85" s="146"/>
      <c r="L85" s="146"/>
      <c r="M85" s="146"/>
      <c r="N85" s="146"/>
      <c r="O85" s="146"/>
      <c r="P85" s="146"/>
      <c r="Q85" s="146"/>
      <c r="R85" s="146"/>
      <c r="S85" s="146"/>
      <c r="T85" s="146"/>
      <c r="U85" s="146"/>
      <c r="V85" s="146"/>
      <c r="W85" s="146"/>
      <c r="X85" s="146"/>
      <c r="Y85" s="146"/>
      <c r="Z85" s="146"/>
      <c r="AA85" s="146"/>
      <c r="AB85" s="146"/>
    </row>
    <row r="86" spans="2:28" customFormat="1" ht="12.6" customHeight="1">
      <c r="B86" s="60"/>
      <c r="C86" s="60"/>
      <c r="D86" s="60"/>
      <c r="E86" s="60"/>
      <c r="F86" s="60"/>
      <c r="G86" s="60"/>
      <c r="H86" s="60"/>
      <c r="I86" s="60"/>
      <c r="J86" s="60"/>
      <c r="K86" s="60"/>
      <c r="L86" s="60"/>
      <c r="M86" s="60"/>
      <c r="N86" s="60"/>
      <c r="O86" s="60"/>
      <c r="P86" s="60"/>
      <c r="Q86" s="60"/>
      <c r="R86" s="60"/>
      <c r="S86" s="60"/>
      <c r="T86" s="60"/>
      <c r="U86" s="60"/>
      <c r="V86" s="60"/>
      <c r="W86" s="60"/>
      <c r="X86" s="60"/>
      <c r="Y86" s="60"/>
      <c r="Z86" s="60"/>
      <c r="AA86" s="60"/>
      <c r="AB86" s="60"/>
    </row>
    <row r="87" spans="2:28" ht="12.6" customHeight="1">
      <c r="B87" s="160"/>
      <c r="C87" s="86"/>
      <c r="D87" s="147"/>
      <c r="E87" s="147"/>
      <c r="F87" s="147"/>
      <c r="G87" s="147"/>
      <c r="H87" s="147"/>
      <c r="I87" s="147"/>
      <c r="J87" s="147"/>
      <c r="K87" s="147"/>
      <c r="L87" s="147"/>
      <c r="M87" s="147"/>
      <c r="N87" s="147"/>
      <c r="O87" s="147"/>
      <c r="P87" s="147"/>
      <c r="Q87" s="147"/>
      <c r="R87" s="147"/>
      <c r="S87" s="147"/>
      <c r="T87" s="147"/>
      <c r="U87" s="147"/>
      <c r="V87" s="147"/>
      <c r="W87" s="147"/>
      <c r="X87" s="147"/>
      <c r="Y87" s="147"/>
      <c r="Z87" s="147"/>
      <c r="AA87" s="147"/>
      <c r="AB87" s="147"/>
    </row>
    <row r="88" spans="2:28" ht="12.6" customHeight="1">
      <c r="B88" s="184"/>
      <c r="D88" s="188"/>
      <c r="E88" s="188"/>
      <c r="F88" s="188"/>
      <c r="G88" s="188"/>
      <c r="H88" s="188"/>
      <c r="I88" s="188"/>
      <c r="J88" s="188"/>
      <c r="K88" s="188"/>
      <c r="L88" s="188"/>
      <c r="M88" s="188"/>
      <c r="N88" s="188"/>
      <c r="O88" s="188"/>
      <c r="P88" s="188"/>
      <c r="Q88" s="188"/>
      <c r="R88" s="188"/>
      <c r="S88" s="188"/>
      <c r="T88" s="188"/>
      <c r="U88" s="188"/>
      <c r="V88" s="188"/>
      <c r="W88" s="188"/>
      <c r="X88" s="188"/>
      <c r="Y88" s="188"/>
      <c r="Z88" s="188"/>
      <c r="AA88" s="188"/>
      <c r="AB88" s="188"/>
    </row>
    <row r="89" spans="2:28" ht="12.6" customHeight="1">
      <c r="B89" s="185"/>
      <c r="D89" s="146"/>
      <c r="E89" s="146"/>
      <c r="F89" s="146"/>
      <c r="G89" s="146"/>
      <c r="H89" s="146"/>
      <c r="I89" s="146"/>
      <c r="J89" s="146"/>
      <c r="K89" s="146"/>
      <c r="L89" s="146"/>
      <c r="M89" s="146"/>
      <c r="N89" s="146"/>
      <c r="O89" s="146"/>
      <c r="P89" s="146"/>
      <c r="Q89" s="146"/>
      <c r="R89" s="146"/>
      <c r="S89" s="146"/>
      <c r="T89" s="146"/>
      <c r="U89" s="146"/>
      <c r="V89" s="146"/>
      <c r="W89" s="146"/>
      <c r="X89" s="146"/>
      <c r="Y89" s="146"/>
      <c r="Z89" s="146"/>
      <c r="AA89" s="146"/>
      <c r="AB89" s="146"/>
    </row>
    <row r="90" spans="2:28" ht="12.6" customHeight="1">
      <c r="B90" s="185"/>
      <c r="D90" s="189"/>
      <c r="E90" s="189"/>
      <c r="F90" s="189"/>
      <c r="G90" s="189"/>
      <c r="H90" s="189"/>
      <c r="I90" s="189"/>
      <c r="J90" s="189"/>
      <c r="K90" s="189"/>
      <c r="L90" s="189"/>
      <c r="M90" s="189"/>
      <c r="N90" s="189"/>
      <c r="O90" s="189"/>
      <c r="P90" s="189"/>
      <c r="Q90" s="189"/>
      <c r="R90" s="189"/>
      <c r="S90" s="189"/>
      <c r="T90" s="189"/>
      <c r="U90" s="189"/>
      <c r="V90" s="189"/>
      <c r="W90" s="189"/>
      <c r="X90" s="189"/>
      <c r="Y90" s="189"/>
      <c r="Z90" s="189"/>
      <c r="AA90" s="189"/>
      <c r="AB90" s="189"/>
    </row>
    <row r="91" spans="2:28" ht="12.6" customHeight="1">
      <c r="B91" s="185"/>
      <c r="D91" s="146"/>
      <c r="E91" s="146"/>
      <c r="F91" s="146"/>
      <c r="G91" s="146"/>
      <c r="H91" s="146"/>
      <c r="I91" s="146"/>
      <c r="J91" s="146"/>
      <c r="K91" s="146"/>
      <c r="L91" s="146"/>
      <c r="M91" s="146"/>
      <c r="N91" s="146"/>
      <c r="O91" s="146"/>
      <c r="P91" s="146"/>
      <c r="Q91" s="146"/>
      <c r="R91" s="146"/>
      <c r="S91" s="146"/>
      <c r="T91" s="146"/>
      <c r="U91" s="146"/>
      <c r="V91" s="146"/>
      <c r="W91" s="146"/>
      <c r="X91" s="146"/>
      <c r="Y91" s="146"/>
      <c r="Z91" s="146"/>
      <c r="AA91" s="146"/>
      <c r="AB91" s="146"/>
    </row>
    <row r="92" spans="2:28" customFormat="1" ht="12.6" customHeight="1">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c r="AB92" s="60"/>
    </row>
    <row r="93" spans="2:28" ht="12.6" customHeight="1">
      <c r="B93" s="185"/>
      <c r="D93" s="190"/>
      <c r="E93" s="189"/>
      <c r="F93" s="189"/>
      <c r="G93" s="189"/>
      <c r="H93" s="189"/>
      <c r="I93" s="189"/>
      <c r="J93" s="189"/>
      <c r="K93" s="189"/>
      <c r="L93" s="189"/>
      <c r="M93" s="189"/>
      <c r="N93" s="189"/>
      <c r="O93" s="189"/>
      <c r="P93" s="189"/>
      <c r="Q93" s="189"/>
      <c r="R93" s="189"/>
      <c r="S93" s="189"/>
      <c r="T93" s="189"/>
      <c r="U93" s="189"/>
      <c r="V93" s="189"/>
      <c r="W93" s="189"/>
      <c r="X93" s="189"/>
      <c r="Y93" s="189"/>
      <c r="Z93" s="189"/>
      <c r="AA93" s="189"/>
      <c r="AB93" s="189"/>
    </row>
    <row r="94" spans="2:28" customFormat="1" ht="12.6" customHeight="1">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c r="AB94" s="60"/>
    </row>
    <row r="95" spans="2:28" customFormat="1" ht="12.6" customHeight="1">
      <c r="B95" s="60"/>
      <c r="C95" s="60"/>
      <c r="D95" s="60"/>
      <c r="E95" s="60"/>
      <c r="F95" s="60"/>
      <c r="G95" s="60"/>
      <c r="H95" s="60"/>
      <c r="I95" s="60"/>
      <c r="J95" s="60"/>
      <c r="K95" s="60"/>
      <c r="L95" s="60"/>
      <c r="M95" s="60"/>
      <c r="N95" s="60"/>
      <c r="O95" s="60"/>
      <c r="P95" s="60"/>
      <c r="Q95" s="60"/>
      <c r="R95" s="60"/>
      <c r="S95" s="60"/>
      <c r="T95" s="60"/>
      <c r="U95" s="60"/>
      <c r="V95" s="60"/>
      <c r="W95" s="60"/>
      <c r="X95" s="60"/>
      <c r="Y95" s="60"/>
      <c r="Z95" s="60"/>
      <c r="AA95" s="60"/>
      <c r="AB95" s="60"/>
    </row>
    <row r="96" spans="2:28" customFormat="1" ht="12.6" customHeight="1">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c r="AB96" s="60"/>
    </row>
    <row r="97" spans="2:28" customFormat="1" ht="12.6" customHeight="1">
      <c r="B97" s="60"/>
      <c r="C97" s="60"/>
      <c r="D97" s="60"/>
      <c r="E97" s="60"/>
      <c r="F97" s="60"/>
      <c r="G97" s="60"/>
      <c r="H97" s="60"/>
      <c r="I97" s="60"/>
      <c r="J97" s="60"/>
      <c r="K97" s="60"/>
      <c r="L97" s="60"/>
      <c r="M97" s="60"/>
      <c r="N97" s="60"/>
      <c r="O97" s="60"/>
      <c r="P97" s="60"/>
      <c r="Q97" s="60"/>
      <c r="R97" s="60"/>
      <c r="S97" s="60"/>
      <c r="T97" s="60"/>
      <c r="U97" s="60"/>
      <c r="V97" s="60"/>
      <c r="W97" s="60"/>
      <c r="X97" s="60"/>
      <c r="Y97" s="60"/>
      <c r="Z97" s="60"/>
      <c r="AA97" s="60"/>
      <c r="AB97" s="60"/>
    </row>
    <row r="98" spans="2:28" ht="12.6" customHeight="1">
      <c r="B98" s="160"/>
      <c r="C98" s="86"/>
      <c r="D98" s="191"/>
      <c r="E98" s="191"/>
      <c r="F98" s="191"/>
      <c r="G98" s="191"/>
      <c r="H98" s="191"/>
      <c r="I98" s="191"/>
      <c r="J98" s="191"/>
      <c r="K98" s="191"/>
      <c r="L98" s="191"/>
      <c r="M98" s="191"/>
      <c r="N98" s="191"/>
      <c r="O98" s="191"/>
      <c r="P98" s="191"/>
      <c r="Q98" s="191"/>
      <c r="R98" s="191"/>
      <c r="S98" s="191"/>
      <c r="T98" s="191"/>
      <c r="U98" s="191"/>
      <c r="V98" s="191"/>
      <c r="W98" s="191"/>
      <c r="X98" s="191"/>
      <c r="Y98" s="191"/>
      <c r="Z98" s="191"/>
      <c r="AA98" s="191"/>
      <c r="AB98" s="191"/>
    </row>
    <row r="99" spans="2:28" customFormat="1" ht="12.6" customHeight="1">
      <c r="B99" s="60"/>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60"/>
    </row>
    <row r="100" spans="2:28" customFormat="1" ht="12.6" customHeight="1">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c r="AB100" s="60"/>
    </row>
    <row r="101" spans="2:28" customFormat="1" ht="12.6" customHeight="1">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c r="AA101" s="60"/>
      <c r="AB101" s="60"/>
    </row>
    <row r="102" spans="2:28" customFormat="1" ht="12.6" customHeight="1">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c r="AB102" s="60"/>
    </row>
    <row r="103" spans="2:28" customFormat="1" ht="12.6" customHeight="1">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c r="AA103" s="60"/>
      <c r="AB103" s="60"/>
    </row>
    <row r="104" spans="2:28" customFormat="1" ht="12.6" customHeight="1">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c r="AB104" s="60"/>
    </row>
    <row r="105" spans="2:28" customFormat="1" ht="12.6" customHeight="1">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c r="AA105" s="60"/>
      <c r="AB105" s="60"/>
    </row>
    <row r="106" spans="2:28" customFormat="1" ht="12.6" customHeight="1">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c r="AB106" s="60"/>
    </row>
    <row r="107" spans="2:28" customFormat="1" ht="12.6" customHeight="1">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60"/>
      <c r="AB107" s="60"/>
    </row>
    <row r="108" spans="2:28" customFormat="1" ht="12.6" customHeight="1">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c r="AB108" s="60"/>
    </row>
    <row r="109" spans="2:28" ht="12.6" customHeight="1">
      <c r="B109" s="184"/>
      <c r="D109" s="192"/>
      <c r="E109" s="192"/>
      <c r="F109" s="192"/>
      <c r="G109" s="192"/>
      <c r="H109" s="192"/>
      <c r="I109" s="192"/>
      <c r="J109" s="192"/>
      <c r="K109" s="192"/>
      <c r="L109" s="192"/>
      <c r="M109" s="192"/>
      <c r="N109" s="192"/>
      <c r="O109" s="192"/>
      <c r="P109" s="192"/>
      <c r="Q109" s="192"/>
      <c r="R109" s="192"/>
      <c r="S109" s="192"/>
      <c r="T109" s="192"/>
      <c r="U109" s="192"/>
      <c r="V109" s="192"/>
      <c r="W109" s="192"/>
      <c r="X109" s="192"/>
      <c r="Y109" s="192"/>
      <c r="Z109" s="192"/>
      <c r="AA109" s="192"/>
      <c r="AB109" s="192"/>
    </row>
    <row r="110" spans="2:28" ht="12.6" customHeight="1">
      <c r="B110" s="184"/>
      <c r="D110" s="192"/>
      <c r="E110" s="192"/>
      <c r="F110" s="192"/>
      <c r="G110" s="192"/>
      <c r="H110" s="192"/>
      <c r="I110" s="192"/>
      <c r="J110" s="192"/>
      <c r="K110" s="192"/>
      <c r="L110" s="192"/>
      <c r="M110" s="146"/>
      <c r="N110" s="146"/>
      <c r="O110" s="146"/>
      <c r="P110" s="146"/>
      <c r="Q110" s="146"/>
      <c r="R110" s="146"/>
      <c r="S110" s="146"/>
      <c r="T110" s="146"/>
      <c r="U110" s="146"/>
      <c r="V110" s="146"/>
      <c r="W110" s="146"/>
      <c r="X110" s="146"/>
      <c r="Y110" s="146"/>
      <c r="Z110" s="146"/>
      <c r="AA110" s="146"/>
      <c r="AB110" s="146"/>
    </row>
    <row r="111" spans="2:28" ht="12.6" customHeight="1">
      <c r="B111" s="184"/>
      <c r="D111" s="192"/>
      <c r="E111" s="192"/>
      <c r="F111" s="192"/>
      <c r="G111" s="192"/>
      <c r="H111" s="192"/>
      <c r="I111" s="192"/>
      <c r="J111" s="192"/>
      <c r="K111" s="192"/>
      <c r="L111" s="192"/>
      <c r="M111" s="146"/>
      <c r="N111" s="146"/>
      <c r="O111" s="146"/>
      <c r="P111" s="146"/>
      <c r="Q111" s="146"/>
      <c r="R111" s="146"/>
      <c r="S111" s="146"/>
      <c r="T111" s="146"/>
      <c r="U111" s="146"/>
      <c r="V111" s="146"/>
      <c r="W111" s="146"/>
      <c r="X111" s="146"/>
      <c r="Y111" s="146"/>
      <c r="Z111" s="146"/>
      <c r="AA111" s="146"/>
      <c r="AB111" s="146"/>
    </row>
    <row r="112" spans="2:28" ht="12.6" customHeight="1">
      <c r="B112" s="184"/>
      <c r="D112" s="146"/>
      <c r="E112" s="146"/>
      <c r="F112" s="146"/>
      <c r="G112" s="146"/>
      <c r="H112" s="146"/>
      <c r="I112" s="146"/>
      <c r="J112" s="146"/>
      <c r="K112" s="146"/>
      <c r="L112" s="146"/>
      <c r="M112" s="146"/>
      <c r="N112" s="146"/>
      <c r="O112" s="146"/>
      <c r="P112" s="146"/>
      <c r="Q112" s="146"/>
      <c r="R112" s="146"/>
      <c r="S112" s="146"/>
      <c r="T112" s="146"/>
      <c r="U112" s="146"/>
      <c r="V112" s="146"/>
      <c r="W112" s="146"/>
      <c r="X112" s="146"/>
      <c r="Y112" s="146"/>
      <c r="Z112" s="146"/>
      <c r="AA112" s="146"/>
      <c r="AB112" s="146"/>
    </row>
    <row r="113" spans="2:28" ht="12.6" customHeight="1">
      <c r="B113" s="184"/>
      <c r="D113" s="146"/>
      <c r="E113" s="146"/>
      <c r="F113" s="146"/>
      <c r="G113" s="146"/>
      <c r="H113" s="146"/>
      <c r="I113" s="146"/>
      <c r="J113" s="146"/>
      <c r="K113" s="146"/>
      <c r="L113" s="146"/>
      <c r="M113" s="146"/>
      <c r="N113" s="146"/>
      <c r="O113" s="146"/>
      <c r="P113" s="146"/>
      <c r="Q113" s="146"/>
      <c r="R113" s="146"/>
      <c r="S113" s="146"/>
      <c r="T113" s="146"/>
      <c r="U113" s="146"/>
      <c r="V113" s="146"/>
      <c r="W113" s="146"/>
      <c r="X113" s="146"/>
      <c r="Y113" s="146"/>
      <c r="Z113" s="146"/>
      <c r="AA113" s="146"/>
      <c r="AB113" s="146"/>
    </row>
    <row r="114" spans="2:28" customFormat="1" ht="12.6" customHeight="1">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c r="AB114" s="60"/>
    </row>
    <row r="115" spans="2:28" customFormat="1" ht="12.6" customHeight="1">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c r="AA115" s="60"/>
      <c r="AB115" s="60"/>
    </row>
    <row r="116" spans="2:28" customFormat="1" ht="12.6" customHeight="1">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c r="AB116" s="60"/>
    </row>
    <row r="117" spans="2:28" ht="12.6" customHeight="1">
      <c r="B117" s="184"/>
      <c r="D117" s="193"/>
      <c r="E117" s="193"/>
      <c r="F117" s="193"/>
      <c r="G117" s="193"/>
      <c r="H117" s="193"/>
      <c r="I117" s="193"/>
      <c r="J117" s="193"/>
      <c r="K117" s="193"/>
      <c r="L117" s="193"/>
      <c r="M117" s="193"/>
      <c r="N117" s="193"/>
      <c r="O117" s="193"/>
      <c r="P117" s="193"/>
      <c r="Q117" s="193"/>
      <c r="R117" s="193"/>
      <c r="S117" s="193"/>
      <c r="T117" s="193"/>
      <c r="U117" s="193"/>
      <c r="V117" s="193"/>
      <c r="W117" s="193"/>
      <c r="X117" s="193"/>
      <c r="Y117" s="193"/>
      <c r="Z117" s="193"/>
      <c r="AA117" s="193"/>
      <c r="AB117" s="193"/>
    </row>
    <row r="118" spans="2:28" ht="12.6" customHeight="1">
      <c r="B118" s="184"/>
      <c r="D118" s="146"/>
      <c r="E118" s="146"/>
      <c r="F118" s="146"/>
      <c r="G118" s="146"/>
      <c r="H118" s="146"/>
      <c r="I118" s="146"/>
      <c r="J118" s="146"/>
      <c r="K118" s="146"/>
      <c r="L118" s="146"/>
      <c r="M118" s="146"/>
      <c r="N118" s="146"/>
      <c r="O118" s="146"/>
      <c r="P118" s="146"/>
      <c r="Q118" s="146"/>
      <c r="R118" s="146"/>
      <c r="S118" s="146"/>
      <c r="T118" s="146"/>
      <c r="U118" s="146"/>
      <c r="V118" s="146"/>
      <c r="W118" s="146"/>
      <c r="X118" s="146"/>
      <c r="Y118" s="146"/>
      <c r="Z118" s="146"/>
      <c r="AA118" s="146"/>
      <c r="AB118" s="146"/>
    </row>
    <row r="129" spans="2:28" customFormat="1" ht="12.6" customHeight="1">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c r="AA129" s="60"/>
      <c r="AB129" s="60"/>
    </row>
    <row r="130" spans="2:28" customFormat="1" ht="12.6" customHeight="1">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c r="AB130" s="60"/>
    </row>
    <row r="131" spans="2:28" customFormat="1" ht="12.6" customHeight="1">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c r="AA131" s="60"/>
      <c r="AB131" s="60"/>
    </row>
    <row r="132" spans="2:28" customFormat="1" ht="12.6" customHeight="1">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c r="AB132" s="60"/>
    </row>
    <row r="133" spans="2:28" customFormat="1" ht="12.6" customHeight="1">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c r="AA133" s="60"/>
      <c r="AB133" s="60"/>
    </row>
    <row r="134" spans="2:28" customFormat="1" ht="12.6" customHeight="1">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c r="AB134" s="60"/>
    </row>
    <row r="135" spans="2:28" customFormat="1" ht="12.6" customHeight="1">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c r="AA135" s="60"/>
      <c r="AB135" s="60"/>
    </row>
    <row r="136" spans="2:28" customFormat="1" ht="12.6" customHeight="1">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c r="AB136" s="60"/>
    </row>
    <row r="137" spans="2:28" customFormat="1" ht="12.6" customHeight="1">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c r="AA137" s="60"/>
      <c r="AB137" s="60"/>
    </row>
    <row r="138" spans="2:28" customFormat="1" ht="12.6" customHeight="1">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c r="AB138" s="60"/>
    </row>
    <row r="139" spans="2:28" customFormat="1" ht="12.6" customHeight="1">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c r="AA139" s="60"/>
      <c r="AB139" s="60"/>
    </row>
    <row r="140" spans="2:28" customFormat="1" ht="12.6" customHeight="1">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c r="AB140" s="60"/>
    </row>
    <row r="141" spans="2:28" customFormat="1" ht="12.6" customHeight="1">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c r="AA141" s="60"/>
      <c r="AB141" s="60"/>
    </row>
    <row r="142" spans="2:28" customFormat="1" ht="12.6" customHeight="1">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c r="AB142" s="60"/>
    </row>
    <row r="143" spans="2:28" customFormat="1" ht="12.6" customHeight="1">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c r="AA143" s="60"/>
      <c r="AB143" s="60"/>
    </row>
    <row r="144" spans="2:28" customFormat="1" ht="12.6" customHeight="1">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c r="AB144" s="60"/>
    </row>
    <row r="145" spans="2:28" customFormat="1" ht="12.6" customHeight="1">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c r="AA145" s="60"/>
      <c r="AB145" s="60"/>
    </row>
    <row r="146" spans="2:28" customFormat="1" ht="12.6" customHeight="1">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c r="AB146" s="60"/>
    </row>
    <row r="147" spans="2:28" customFormat="1" ht="12.6" customHeight="1">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c r="AA147" s="60"/>
      <c r="AB147" s="60"/>
    </row>
    <row r="148" spans="2:28" customFormat="1" ht="12.6" customHeight="1">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c r="AB148" s="60"/>
    </row>
    <row r="149" spans="2:28" customFormat="1" ht="12.6" customHeight="1">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c r="AA149" s="60"/>
      <c r="AB149" s="60"/>
    </row>
    <row r="150" spans="2:28" customFormat="1" ht="12.6" customHeight="1">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c r="AB150" s="60"/>
    </row>
    <row r="151" spans="2:28" customFormat="1" ht="12.6" customHeight="1">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c r="AA151" s="60"/>
      <c r="AB151" s="60"/>
    </row>
    <row r="152" spans="2:28" customFormat="1" ht="12.6" customHeight="1">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c r="AA152" s="60"/>
      <c r="AB152" s="60"/>
    </row>
    <row r="153" spans="2:28" customFormat="1" ht="12.6" customHeight="1">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c r="AA153" s="60"/>
      <c r="AB153" s="60"/>
    </row>
    <row r="154" spans="2:28" customFormat="1" ht="12.6" customHeight="1">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c r="AA154" s="60"/>
      <c r="AB154" s="60"/>
    </row>
    <row r="248" spans="4:28" ht="12.6" customHeight="1">
      <c r="D248" s="147"/>
      <c r="E248" s="147"/>
      <c r="F248" s="147"/>
      <c r="G248" s="147"/>
      <c r="H248" s="147"/>
      <c r="I248" s="147"/>
      <c r="J248" s="147"/>
      <c r="K248" s="147"/>
      <c r="L248" s="147"/>
      <c r="M248" s="147"/>
      <c r="N248" s="147"/>
      <c r="O248" s="147"/>
      <c r="P248" s="147"/>
      <c r="Q248" s="147"/>
      <c r="R248" s="147"/>
      <c r="S248" s="147"/>
      <c r="T248" s="147"/>
      <c r="U248" s="147"/>
      <c r="V248" s="147"/>
      <c r="W248" s="147"/>
      <c r="X248" s="147"/>
      <c r="Y248" s="147"/>
      <c r="Z248" s="147"/>
      <c r="AA248" s="147"/>
      <c r="AB248" s="147">
        <v>0</v>
      </c>
    </row>
    <row r="249" spans="4:28" ht="12.6" customHeight="1">
      <c r="D249" s="147"/>
      <c r="E249" s="147"/>
      <c r="F249" s="147"/>
      <c r="G249" s="147"/>
      <c r="H249" s="147"/>
      <c r="I249" s="147"/>
      <c r="J249" s="147"/>
      <c r="K249" s="147"/>
      <c r="L249" s="147"/>
      <c r="M249" s="147"/>
      <c r="N249" s="147"/>
      <c r="O249" s="147"/>
      <c r="P249" s="147"/>
      <c r="Q249" s="147"/>
      <c r="R249" s="147"/>
      <c r="S249" s="147"/>
      <c r="T249" s="147"/>
      <c r="U249" s="147"/>
      <c r="V249" s="147"/>
      <c r="W249" s="147"/>
      <c r="X249" s="147"/>
      <c r="Y249" s="147"/>
      <c r="Z249" s="147"/>
      <c r="AA249" s="147"/>
      <c r="AB249" s="147">
        <v>0</v>
      </c>
    </row>
    <row r="250" spans="4:28" ht="12.6" customHeight="1">
      <c r="D250" s="147"/>
      <c r="E250" s="147"/>
      <c r="F250" s="147"/>
      <c r="G250" s="147"/>
      <c r="H250" s="147"/>
      <c r="I250" s="147"/>
      <c r="J250" s="147"/>
      <c r="K250" s="147"/>
      <c r="L250" s="147"/>
      <c r="M250" s="147"/>
      <c r="N250" s="147"/>
      <c r="O250" s="147"/>
      <c r="P250" s="147"/>
      <c r="Q250" s="147"/>
      <c r="R250" s="147"/>
      <c r="S250" s="147"/>
      <c r="T250" s="147"/>
      <c r="U250" s="147"/>
      <c r="V250" s="147"/>
      <c r="W250" s="147"/>
      <c r="X250" s="147"/>
      <c r="Y250" s="147"/>
      <c r="Z250" s="147"/>
      <c r="AA250" s="147"/>
      <c r="AB250" s="147">
        <v>0</v>
      </c>
    </row>
    <row r="251" spans="4:28" ht="12.6" customHeight="1">
      <c r="D251" s="147"/>
      <c r="E251" s="147"/>
      <c r="F251" s="147"/>
      <c r="G251" s="147"/>
      <c r="H251" s="147"/>
      <c r="I251" s="147"/>
      <c r="J251" s="147"/>
      <c r="K251" s="147"/>
      <c r="L251" s="147"/>
      <c r="M251" s="147"/>
      <c r="N251" s="147"/>
      <c r="O251" s="147"/>
      <c r="P251" s="147"/>
      <c r="Q251" s="147"/>
      <c r="R251" s="147"/>
      <c r="S251" s="147"/>
      <c r="T251" s="147"/>
      <c r="U251" s="147"/>
      <c r="V251" s="147"/>
      <c r="W251" s="147"/>
      <c r="X251" s="147"/>
      <c r="Y251" s="147"/>
      <c r="Z251" s="147"/>
      <c r="AA251" s="147"/>
      <c r="AB251" s="147">
        <v>0</v>
      </c>
    </row>
    <row r="252" spans="4:28" ht="12.6" customHeight="1">
      <c r="D252" s="147"/>
      <c r="E252" s="147"/>
      <c r="F252" s="147"/>
      <c r="G252" s="147"/>
      <c r="H252" s="147"/>
      <c r="I252" s="147"/>
      <c r="J252" s="147"/>
      <c r="K252" s="147"/>
      <c r="L252" s="147"/>
      <c r="M252" s="147"/>
      <c r="N252" s="147"/>
      <c r="O252" s="147"/>
      <c r="P252" s="147"/>
      <c r="Q252" s="147"/>
      <c r="R252" s="147"/>
      <c r="S252" s="147"/>
      <c r="T252" s="147"/>
      <c r="U252" s="147"/>
      <c r="V252" s="147"/>
      <c r="W252" s="147"/>
      <c r="X252" s="147"/>
      <c r="Y252" s="147"/>
      <c r="Z252" s="147"/>
      <c r="AA252" s="147"/>
      <c r="AB252" s="147">
        <v>0</v>
      </c>
    </row>
    <row r="253" spans="4:28" ht="12.6" customHeight="1">
      <c r="D253" s="147"/>
      <c r="E253" s="147"/>
      <c r="F253" s="147"/>
      <c r="G253" s="147"/>
      <c r="H253" s="147"/>
      <c r="I253" s="147"/>
      <c r="J253" s="147"/>
      <c r="K253" s="147"/>
      <c r="L253" s="147"/>
      <c r="M253" s="147"/>
      <c r="N253" s="147"/>
      <c r="O253" s="147"/>
      <c r="P253" s="147"/>
      <c r="Q253" s="147"/>
      <c r="R253" s="147"/>
      <c r="S253" s="147"/>
      <c r="T253" s="147"/>
      <c r="U253" s="147"/>
      <c r="V253" s="147"/>
      <c r="W253" s="147"/>
      <c r="X253" s="147"/>
      <c r="Y253" s="147"/>
      <c r="Z253" s="147"/>
      <c r="AA253" s="147"/>
      <c r="AB253" s="147">
        <v>0</v>
      </c>
    </row>
    <row r="254" spans="4:28" ht="12.6" customHeight="1">
      <c r="D254" s="147"/>
      <c r="E254" s="147"/>
      <c r="F254" s="147"/>
      <c r="G254" s="147"/>
      <c r="H254" s="147"/>
      <c r="I254" s="147"/>
      <c r="J254" s="147"/>
      <c r="K254" s="147"/>
      <c r="L254" s="147"/>
      <c r="M254" s="147"/>
      <c r="N254" s="147"/>
      <c r="O254" s="147"/>
      <c r="P254" s="147"/>
      <c r="Q254" s="147"/>
      <c r="R254" s="147"/>
      <c r="S254" s="147"/>
      <c r="T254" s="147"/>
      <c r="U254" s="147"/>
      <c r="V254" s="147"/>
      <c r="W254" s="147"/>
      <c r="X254" s="147"/>
      <c r="Y254" s="147"/>
      <c r="Z254" s="147"/>
      <c r="AA254" s="147"/>
      <c r="AB254" s="147">
        <v>0</v>
      </c>
    </row>
    <row r="255" spans="4:28" ht="12.6" customHeight="1">
      <c r="D255" s="147"/>
      <c r="E255" s="147"/>
      <c r="F255" s="147"/>
      <c r="G255" s="147"/>
      <c r="H255" s="147"/>
      <c r="I255" s="147"/>
      <c r="J255" s="147"/>
      <c r="K255" s="147"/>
      <c r="L255" s="147"/>
      <c r="M255" s="147"/>
      <c r="N255" s="147"/>
      <c r="O255" s="147"/>
      <c r="P255" s="147"/>
      <c r="Q255" s="147"/>
      <c r="R255" s="147"/>
      <c r="S255" s="147"/>
      <c r="T255" s="147"/>
      <c r="U255" s="147"/>
      <c r="V255" s="147"/>
      <c r="W255" s="147"/>
      <c r="X255" s="147"/>
      <c r="Y255" s="147"/>
      <c r="Z255" s="147"/>
      <c r="AA255" s="147"/>
      <c r="AB255" s="147">
        <v>0</v>
      </c>
    </row>
    <row r="256" spans="4:28" ht="12.6" customHeight="1">
      <c r="D256" s="147"/>
      <c r="E256" s="147"/>
      <c r="F256" s="147"/>
      <c r="G256" s="147"/>
      <c r="H256" s="147"/>
      <c r="I256" s="147"/>
      <c r="J256" s="147"/>
      <c r="K256" s="147"/>
      <c r="L256" s="147"/>
      <c r="M256" s="147"/>
      <c r="N256" s="147"/>
      <c r="O256" s="147"/>
      <c r="P256" s="147"/>
      <c r="Q256" s="147"/>
      <c r="R256" s="147"/>
      <c r="S256" s="147"/>
      <c r="T256" s="147"/>
      <c r="U256" s="147"/>
      <c r="V256" s="147"/>
      <c r="W256" s="147"/>
      <c r="X256" s="147"/>
      <c r="Y256" s="147"/>
      <c r="Z256" s="147"/>
      <c r="AA256" s="147"/>
      <c r="AB256" s="147">
        <v>0</v>
      </c>
    </row>
    <row r="257" spans="2:28" ht="12.6" customHeight="1">
      <c r="D257" s="147"/>
      <c r="E257" s="147"/>
      <c r="F257" s="147"/>
      <c r="G257" s="147"/>
      <c r="H257" s="147"/>
      <c r="I257" s="147"/>
      <c r="J257" s="147"/>
      <c r="K257" s="147"/>
      <c r="L257" s="147"/>
      <c r="M257" s="147"/>
      <c r="N257" s="147"/>
      <c r="O257" s="147"/>
      <c r="P257" s="147"/>
      <c r="Q257" s="147"/>
      <c r="R257" s="147"/>
      <c r="S257" s="147"/>
      <c r="T257" s="147"/>
      <c r="U257" s="147"/>
      <c r="V257" s="147"/>
      <c r="W257" s="147"/>
      <c r="X257" s="147"/>
      <c r="Y257" s="147"/>
      <c r="Z257" s="147"/>
      <c r="AA257" s="147"/>
      <c r="AB257" s="147">
        <v>0</v>
      </c>
    </row>
    <row r="258" spans="2:28" ht="12.6" customHeight="1">
      <c r="D258" s="147"/>
      <c r="E258" s="147"/>
      <c r="F258" s="147"/>
      <c r="G258" s="147"/>
      <c r="H258" s="147"/>
      <c r="I258" s="147"/>
      <c r="J258" s="147"/>
      <c r="K258" s="147"/>
      <c r="L258" s="147"/>
      <c r="M258" s="147"/>
      <c r="N258" s="147"/>
      <c r="O258" s="147"/>
      <c r="P258" s="147"/>
      <c r="Q258" s="147"/>
      <c r="R258" s="147"/>
      <c r="S258" s="147"/>
      <c r="T258" s="147"/>
      <c r="U258" s="147"/>
      <c r="V258" s="147"/>
      <c r="W258" s="147"/>
      <c r="X258" s="147"/>
      <c r="Y258" s="147"/>
      <c r="Z258" s="147"/>
      <c r="AA258" s="147"/>
      <c r="AB258" s="147">
        <v>0</v>
      </c>
    </row>
    <row r="259" spans="2:28" ht="12.6" customHeight="1">
      <c r="D259" s="147"/>
      <c r="E259" s="147"/>
      <c r="F259" s="147"/>
      <c r="G259" s="147"/>
      <c r="H259" s="147"/>
      <c r="I259" s="147"/>
      <c r="J259" s="147"/>
      <c r="K259" s="147"/>
      <c r="L259" s="147"/>
      <c r="M259" s="147"/>
      <c r="N259" s="147"/>
      <c r="O259" s="147"/>
      <c r="P259" s="147"/>
      <c r="Q259" s="147"/>
      <c r="R259" s="147"/>
      <c r="S259" s="147"/>
      <c r="T259" s="147"/>
      <c r="U259" s="147"/>
      <c r="V259" s="147"/>
      <c r="W259" s="147"/>
      <c r="X259" s="147"/>
      <c r="Y259" s="147"/>
      <c r="Z259" s="147"/>
      <c r="AA259" s="147"/>
      <c r="AB259" s="147">
        <v>0</v>
      </c>
    </row>
    <row r="260" spans="2:28" ht="12.6" customHeight="1">
      <c r="D260" s="147"/>
      <c r="E260" s="147"/>
      <c r="F260" s="147"/>
      <c r="G260" s="147"/>
      <c r="H260" s="147"/>
      <c r="I260" s="147"/>
      <c r="J260" s="147"/>
      <c r="K260" s="147"/>
      <c r="L260" s="147"/>
      <c r="M260" s="147"/>
      <c r="N260" s="147"/>
      <c r="O260" s="147"/>
      <c r="P260" s="147"/>
      <c r="Q260" s="147"/>
      <c r="R260" s="147"/>
      <c r="S260" s="147"/>
      <c r="T260" s="147"/>
      <c r="U260" s="147"/>
      <c r="V260" s="147"/>
      <c r="W260" s="147"/>
      <c r="X260" s="147"/>
      <c r="Y260" s="147"/>
      <c r="Z260" s="147"/>
      <c r="AA260" s="147"/>
      <c r="AB260" s="147">
        <v>0</v>
      </c>
    </row>
    <row r="261" spans="2:28" ht="12.6" customHeight="1">
      <c r="D261" s="147"/>
      <c r="E261" s="147"/>
      <c r="F261" s="147"/>
      <c r="G261" s="147"/>
      <c r="H261" s="147"/>
      <c r="I261" s="147"/>
      <c r="J261" s="147"/>
      <c r="K261" s="147"/>
      <c r="L261" s="147"/>
      <c r="M261" s="147"/>
      <c r="N261" s="147"/>
      <c r="O261" s="147"/>
      <c r="P261" s="147"/>
      <c r="Q261" s="147"/>
      <c r="R261" s="147"/>
      <c r="S261" s="147"/>
      <c r="T261" s="147"/>
      <c r="U261" s="147"/>
      <c r="V261" s="147"/>
      <c r="W261" s="147"/>
      <c r="X261" s="147"/>
      <c r="Y261" s="147"/>
      <c r="Z261" s="147"/>
      <c r="AA261" s="147"/>
      <c r="AB261" s="147">
        <v>0</v>
      </c>
    </row>
    <row r="262" spans="2:28" ht="12.6" customHeight="1">
      <c r="D262" s="147"/>
      <c r="E262" s="147"/>
      <c r="F262" s="147"/>
      <c r="G262" s="147"/>
      <c r="H262" s="147"/>
      <c r="I262" s="147"/>
      <c r="J262" s="147"/>
      <c r="K262" s="147"/>
      <c r="L262" s="147"/>
      <c r="M262" s="147"/>
      <c r="N262" s="147"/>
      <c r="O262" s="147"/>
      <c r="P262" s="147"/>
      <c r="Q262" s="147"/>
      <c r="R262" s="147"/>
      <c r="S262" s="147"/>
      <c r="T262" s="147"/>
      <c r="U262" s="147"/>
      <c r="V262" s="147"/>
      <c r="W262" s="147"/>
      <c r="X262" s="147"/>
      <c r="Y262" s="147"/>
      <c r="Z262" s="147"/>
      <c r="AA262" s="147"/>
      <c r="AB262" s="147">
        <v>0</v>
      </c>
    </row>
    <row r="263" spans="2:28" customFormat="1" ht="12.6" customHeight="1">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c r="AA263" s="60"/>
      <c r="AB263" s="60"/>
    </row>
    <row r="264" spans="2:28" customFormat="1" ht="12.6" customHeight="1">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c r="AA264" s="60"/>
      <c r="AB264" s="60"/>
    </row>
    <row r="265" spans="2:28" ht="12.6" customHeight="1">
      <c r="D265" s="147"/>
      <c r="E265" s="147"/>
      <c r="F265" s="147"/>
      <c r="G265" s="147"/>
      <c r="H265" s="147"/>
      <c r="I265" s="147"/>
      <c r="J265" s="147"/>
      <c r="K265" s="147"/>
      <c r="L265" s="147"/>
      <c r="M265" s="147"/>
      <c r="N265" s="147"/>
      <c r="O265" s="147"/>
      <c r="P265" s="147"/>
      <c r="Q265" s="147"/>
      <c r="R265" s="147"/>
      <c r="S265" s="147"/>
      <c r="T265" s="147"/>
      <c r="U265" s="147"/>
      <c r="V265" s="147"/>
      <c r="W265" s="147"/>
      <c r="X265" s="147"/>
      <c r="Y265" s="147"/>
      <c r="Z265" s="147"/>
      <c r="AA265" s="147"/>
      <c r="AB265" s="147">
        <v>0</v>
      </c>
    </row>
    <row r="266" spans="2:28" ht="12.6" customHeight="1">
      <c r="D266" s="147"/>
      <c r="E266" s="147"/>
      <c r="F266" s="147"/>
      <c r="G266" s="147"/>
      <c r="H266" s="147"/>
      <c r="I266" s="147"/>
      <c r="J266" s="147"/>
      <c r="K266" s="147"/>
      <c r="L266" s="147"/>
      <c r="M266" s="147"/>
      <c r="N266" s="147"/>
      <c r="O266" s="147"/>
      <c r="P266" s="147"/>
      <c r="Q266" s="147"/>
      <c r="R266" s="147"/>
      <c r="S266" s="147"/>
      <c r="T266" s="147"/>
      <c r="U266" s="147"/>
      <c r="V266" s="147"/>
      <c r="W266" s="147"/>
      <c r="X266" s="147"/>
      <c r="Y266" s="147"/>
      <c r="Z266" s="147"/>
      <c r="AA266" s="147"/>
      <c r="AB266" s="147"/>
    </row>
    <row r="267" spans="2:28" ht="12.6" customHeight="1">
      <c r="D267" s="147"/>
      <c r="E267" s="147"/>
      <c r="F267" s="147"/>
      <c r="G267" s="147"/>
      <c r="H267" s="147"/>
      <c r="I267" s="147"/>
      <c r="J267" s="147"/>
      <c r="K267" s="147"/>
      <c r="L267" s="147"/>
      <c r="M267" s="147"/>
      <c r="N267" s="147"/>
      <c r="O267" s="147"/>
      <c r="P267" s="147"/>
      <c r="Q267" s="147"/>
      <c r="R267" s="147"/>
      <c r="S267" s="147"/>
      <c r="T267" s="147"/>
      <c r="U267" s="147"/>
      <c r="V267" s="147"/>
      <c r="W267" s="147"/>
      <c r="X267" s="147"/>
      <c r="Y267" s="147"/>
      <c r="Z267" s="147"/>
      <c r="AA267" s="147"/>
      <c r="AB267" s="147"/>
    </row>
    <row r="268" spans="2:28" ht="12.6" customHeight="1">
      <c r="D268" s="147"/>
      <c r="E268" s="147"/>
      <c r="F268" s="147"/>
      <c r="G268" s="147"/>
      <c r="H268" s="147"/>
      <c r="I268" s="147"/>
      <c r="J268" s="147"/>
      <c r="K268" s="147"/>
      <c r="L268" s="147"/>
      <c r="M268" s="147"/>
      <c r="N268" s="147"/>
      <c r="O268" s="147"/>
      <c r="P268" s="147"/>
      <c r="Q268" s="147"/>
      <c r="R268" s="147"/>
      <c r="S268" s="147"/>
      <c r="T268" s="147"/>
      <c r="U268" s="147"/>
      <c r="V268" s="147"/>
      <c r="W268" s="147"/>
      <c r="X268" s="147"/>
      <c r="Y268" s="147"/>
      <c r="Z268" s="147"/>
      <c r="AA268" s="147"/>
      <c r="AB268" s="147"/>
    </row>
    <row r="269" spans="2:28" ht="12.6" customHeight="1">
      <c r="D269" s="147"/>
      <c r="E269" s="147"/>
      <c r="F269" s="147"/>
      <c r="G269" s="147"/>
      <c r="H269" s="147"/>
      <c r="I269" s="147"/>
      <c r="J269" s="147"/>
      <c r="K269" s="147"/>
      <c r="L269" s="147"/>
      <c r="M269" s="147"/>
      <c r="N269" s="147"/>
      <c r="O269" s="147"/>
      <c r="P269" s="147"/>
      <c r="Q269" s="147"/>
      <c r="R269" s="147"/>
      <c r="S269" s="147"/>
      <c r="T269" s="147"/>
      <c r="U269" s="147"/>
      <c r="V269" s="147"/>
      <c r="W269" s="147"/>
      <c r="X269" s="147"/>
      <c r="Y269" s="147"/>
      <c r="Z269" s="147"/>
      <c r="AA269" s="147"/>
      <c r="AB269" s="147"/>
    </row>
    <row r="270" spans="2:28" ht="12.6" customHeight="1">
      <c r="D270" s="147"/>
      <c r="E270" s="147"/>
      <c r="F270" s="147"/>
      <c r="G270" s="147"/>
      <c r="H270" s="147"/>
      <c r="I270" s="147"/>
      <c r="J270" s="147"/>
      <c r="K270" s="147"/>
      <c r="L270" s="147"/>
      <c r="M270" s="147"/>
      <c r="N270" s="147"/>
      <c r="O270" s="147"/>
      <c r="P270" s="147"/>
      <c r="Q270" s="147"/>
      <c r="R270" s="147"/>
      <c r="S270" s="147"/>
      <c r="T270" s="147"/>
      <c r="U270" s="147"/>
      <c r="V270" s="147"/>
      <c r="W270" s="147"/>
      <c r="X270" s="147"/>
      <c r="Y270" s="147"/>
      <c r="Z270" s="147"/>
      <c r="AA270" s="147"/>
      <c r="AB270" s="147"/>
    </row>
    <row r="271" spans="2:28" ht="12.6" customHeight="1">
      <c r="D271" s="147"/>
      <c r="E271" s="147"/>
      <c r="F271" s="147"/>
      <c r="G271" s="147"/>
      <c r="H271" s="147"/>
      <c r="I271" s="147"/>
      <c r="J271" s="147"/>
      <c r="K271" s="147"/>
      <c r="L271" s="147"/>
      <c r="M271" s="147"/>
      <c r="N271" s="147"/>
      <c r="O271" s="147"/>
      <c r="P271" s="147"/>
      <c r="Q271" s="147"/>
      <c r="R271" s="147"/>
      <c r="S271" s="147"/>
      <c r="T271" s="147"/>
      <c r="U271" s="147"/>
      <c r="V271" s="147"/>
      <c r="W271" s="147"/>
      <c r="X271" s="147"/>
      <c r="Y271" s="147"/>
      <c r="Z271" s="147"/>
      <c r="AA271" s="147"/>
      <c r="AB271" s="147"/>
    </row>
    <row r="272" spans="2:28" ht="12.6" customHeight="1">
      <c r="D272" s="147"/>
      <c r="E272" s="147"/>
      <c r="F272" s="147"/>
      <c r="G272" s="147"/>
      <c r="H272" s="147"/>
      <c r="I272" s="147"/>
      <c r="J272" s="147"/>
      <c r="K272" s="147"/>
      <c r="L272" s="147"/>
      <c r="M272" s="147"/>
      <c r="N272" s="147"/>
      <c r="O272" s="147"/>
      <c r="P272" s="147"/>
      <c r="Q272" s="147"/>
      <c r="R272" s="147"/>
      <c r="S272" s="147"/>
      <c r="T272" s="147"/>
      <c r="U272" s="147"/>
      <c r="V272" s="147"/>
      <c r="W272" s="147"/>
      <c r="X272" s="147"/>
      <c r="Y272" s="147"/>
      <c r="Z272" s="147"/>
      <c r="AA272" s="147"/>
      <c r="AB272" s="147"/>
    </row>
    <row r="273" spans="4:28" ht="12.6" customHeight="1">
      <c r="D273" s="147"/>
      <c r="E273" s="147"/>
      <c r="F273" s="147"/>
      <c r="G273" s="147"/>
      <c r="H273" s="147"/>
      <c r="I273" s="147"/>
      <c r="J273" s="147"/>
      <c r="K273" s="147"/>
      <c r="L273" s="147"/>
      <c r="M273" s="147"/>
      <c r="N273" s="147"/>
      <c r="O273" s="147"/>
      <c r="P273" s="147"/>
      <c r="Q273" s="147"/>
      <c r="R273" s="147"/>
      <c r="S273" s="147"/>
      <c r="T273" s="147"/>
      <c r="U273" s="147"/>
      <c r="V273" s="147"/>
      <c r="W273" s="147"/>
      <c r="X273" s="147"/>
      <c r="Y273" s="147"/>
      <c r="Z273" s="147"/>
      <c r="AA273" s="147"/>
      <c r="AB273" s="147"/>
    </row>
    <row r="274" spans="4:28" ht="12.6" customHeight="1">
      <c r="D274" s="147"/>
      <c r="E274" s="147"/>
      <c r="F274" s="147"/>
      <c r="G274" s="147"/>
      <c r="H274" s="147"/>
      <c r="I274" s="147"/>
      <c r="J274" s="147"/>
      <c r="K274" s="147"/>
      <c r="L274" s="147"/>
      <c r="M274" s="147"/>
      <c r="N274" s="147"/>
      <c r="O274" s="147"/>
      <c r="P274" s="147"/>
      <c r="Q274" s="147"/>
      <c r="R274" s="147"/>
      <c r="S274" s="147"/>
      <c r="T274" s="147"/>
      <c r="U274" s="147"/>
      <c r="V274" s="147"/>
      <c r="W274" s="147"/>
      <c r="X274" s="147"/>
      <c r="Y274" s="147"/>
      <c r="Z274" s="147"/>
      <c r="AA274" s="147"/>
      <c r="AB274" s="147"/>
    </row>
    <row r="275" spans="4:28" ht="12.6" customHeight="1">
      <c r="D275" s="147"/>
      <c r="E275" s="147"/>
      <c r="F275" s="147"/>
      <c r="G275" s="147"/>
      <c r="H275" s="147"/>
      <c r="I275" s="147"/>
      <c r="J275" s="147"/>
      <c r="K275" s="147"/>
      <c r="L275" s="147"/>
      <c r="M275" s="147"/>
      <c r="N275" s="147"/>
      <c r="O275" s="147"/>
      <c r="P275" s="147"/>
      <c r="Q275" s="147"/>
      <c r="R275" s="147"/>
      <c r="S275" s="147"/>
      <c r="T275" s="147"/>
      <c r="U275" s="147"/>
      <c r="V275" s="147"/>
      <c r="W275" s="147"/>
      <c r="X275" s="147"/>
      <c r="Y275" s="147"/>
      <c r="Z275" s="147"/>
      <c r="AA275" s="147"/>
      <c r="AB275" s="147"/>
    </row>
    <row r="276" spans="4:28" ht="12.6" customHeight="1">
      <c r="D276" s="147"/>
      <c r="E276" s="147"/>
      <c r="F276" s="147"/>
      <c r="G276" s="147"/>
      <c r="H276" s="147"/>
      <c r="I276" s="147"/>
      <c r="J276" s="147"/>
      <c r="K276" s="147"/>
      <c r="L276" s="147"/>
      <c r="M276" s="147"/>
      <c r="N276" s="147"/>
      <c r="O276" s="147"/>
      <c r="P276" s="147"/>
      <c r="Q276" s="147"/>
      <c r="R276" s="147"/>
      <c r="S276" s="147"/>
      <c r="T276" s="147"/>
      <c r="U276" s="147"/>
      <c r="V276" s="147"/>
      <c r="W276" s="147"/>
      <c r="X276" s="147"/>
      <c r="Y276" s="147"/>
      <c r="Z276" s="147"/>
      <c r="AA276" s="147"/>
      <c r="AB276" s="147"/>
    </row>
    <row r="277" spans="4:28" ht="12.6" customHeight="1">
      <c r="D277" s="147"/>
      <c r="E277" s="147"/>
      <c r="F277" s="147"/>
      <c r="G277" s="147"/>
      <c r="H277" s="147"/>
      <c r="I277" s="147"/>
      <c r="J277" s="147"/>
      <c r="K277" s="147"/>
      <c r="L277" s="147"/>
      <c r="M277" s="147"/>
      <c r="N277" s="147"/>
      <c r="O277" s="147"/>
      <c r="P277" s="147"/>
      <c r="Q277" s="147"/>
      <c r="R277" s="147"/>
      <c r="S277" s="147"/>
      <c r="T277" s="147"/>
      <c r="U277" s="147"/>
      <c r="V277" s="147"/>
      <c r="W277" s="147"/>
      <c r="X277" s="147"/>
      <c r="Y277" s="147"/>
      <c r="Z277" s="147"/>
      <c r="AA277" s="147"/>
      <c r="AB277" s="147"/>
    </row>
    <row r="278" spans="4:28" ht="12.6" customHeight="1">
      <c r="D278" s="147"/>
      <c r="E278" s="147"/>
      <c r="F278" s="147"/>
      <c r="G278" s="147"/>
      <c r="H278" s="147"/>
      <c r="I278" s="147"/>
      <c r="J278" s="147"/>
      <c r="K278" s="147"/>
      <c r="L278" s="147"/>
      <c r="M278" s="147"/>
      <c r="N278" s="147"/>
      <c r="O278" s="147"/>
      <c r="P278" s="147"/>
      <c r="Q278" s="147"/>
      <c r="R278" s="147"/>
      <c r="S278" s="147"/>
      <c r="T278" s="147"/>
      <c r="U278" s="147"/>
      <c r="V278" s="147"/>
      <c r="W278" s="147"/>
      <c r="X278" s="147"/>
      <c r="Y278" s="147"/>
      <c r="Z278" s="147"/>
      <c r="AA278" s="147"/>
      <c r="AB278" s="147"/>
    </row>
    <row r="279" spans="4:28" ht="12.6" customHeight="1">
      <c r="D279" s="147"/>
      <c r="E279" s="147"/>
      <c r="F279" s="147"/>
      <c r="G279" s="147"/>
      <c r="H279" s="147"/>
      <c r="I279" s="147"/>
      <c r="J279" s="147"/>
      <c r="K279" s="147"/>
      <c r="L279" s="147"/>
      <c r="M279" s="147"/>
      <c r="N279" s="147"/>
      <c r="O279" s="147"/>
      <c r="P279" s="147"/>
      <c r="Q279" s="147"/>
      <c r="R279" s="147"/>
      <c r="S279" s="147"/>
      <c r="T279" s="147"/>
      <c r="U279" s="147"/>
      <c r="V279" s="147"/>
      <c r="W279" s="147"/>
      <c r="X279" s="147"/>
      <c r="Y279" s="147"/>
      <c r="Z279" s="147"/>
      <c r="AA279" s="147"/>
      <c r="AB279" s="147"/>
    </row>
    <row r="280" spans="4:28" ht="12.6" customHeight="1">
      <c r="D280" s="147"/>
      <c r="E280" s="147"/>
      <c r="F280" s="147"/>
      <c r="G280" s="147"/>
      <c r="H280" s="147"/>
      <c r="I280" s="147"/>
      <c r="J280" s="147"/>
      <c r="K280" s="147"/>
      <c r="L280" s="147"/>
      <c r="M280" s="147"/>
      <c r="N280" s="147"/>
      <c r="O280" s="147"/>
      <c r="P280" s="147"/>
      <c r="Q280" s="147"/>
      <c r="R280" s="147"/>
      <c r="S280" s="147"/>
      <c r="T280" s="147"/>
      <c r="U280" s="147"/>
      <c r="V280" s="147"/>
      <c r="W280" s="147"/>
      <c r="X280" s="147"/>
      <c r="Y280" s="147"/>
      <c r="Z280" s="147"/>
      <c r="AA280" s="147"/>
      <c r="AB280" s="147"/>
    </row>
    <row r="281" spans="4:28" ht="12.6" customHeight="1">
      <c r="D281" s="147"/>
      <c r="E281" s="147"/>
      <c r="F281" s="147"/>
      <c r="G281" s="147"/>
      <c r="H281" s="147"/>
      <c r="I281" s="147"/>
      <c r="J281" s="147"/>
      <c r="K281" s="147"/>
      <c r="L281" s="147"/>
      <c r="M281" s="147"/>
      <c r="N281" s="147"/>
      <c r="O281" s="147"/>
      <c r="P281" s="147"/>
      <c r="Q281" s="147"/>
      <c r="R281" s="147"/>
      <c r="S281" s="147"/>
      <c r="T281" s="147"/>
      <c r="U281" s="147"/>
      <c r="V281" s="147"/>
      <c r="W281" s="147"/>
      <c r="X281" s="147"/>
      <c r="Y281" s="147"/>
      <c r="Z281" s="147"/>
      <c r="AA281" s="147"/>
      <c r="AB281" s="147"/>
    </row>
    <row r="282" spans="4:28" ht="12.6" customHeight="1">
      <c r="D282" s="147"/>
      <c r="E282" s="147"/>
      <c r="F282" s="147"/>
      <c r="G282" s="147"/>
      <c r="H282" s="147"/>
      <c r="I282" s="147"/>
      <c r="J282" s="147"/>
      <c r="K282" s="147"/>
      <c r="L282" s="147"/>
      <c r="M282" s="147"/>
      <c r="N282" s="147"/>
      <c r="O282" s="147"/>
      <c r="P282" s="147"/>
      <c r="Q282" s="147"/>
      <c r="R282" s="147"/>
      <c r="S282" s="147"/>
      <c r="T282" s="147"/>
      <c r="U282" s="147"/>
      <c r="V282" s="147"/>
      <c r="W282" s="147"/>
      <c r="X282" s="147"/>
      <c r="Y282" s="147"/>
      <c r="Z282" s="147"/>
      <c r="AA282" s="147"/>
      <c r="AB282" s="147"/>
    </row>
    <row r="283" spans="4:28" ht="12.6" customHeight="1">
      <c r="D283" s="147"/>
      <c r="E283" s="147"/>
      <c r="F283" s="147"/>
      <c r="G283" s="147"/>
      <c r="H283" s="147"/>
      <c r="I283" s="147"/>
      <c r="J283" s="147"/>
      <c r="K283" s="147"/>
      <c r="L283" s="147"/>
      <c r="M283" s="147"/>
      <c r="N283" s="147"/>
      <c r="O283" s="147"/>
      <c r="P283" s="147"/>
      <c r="Q283" s="147"/>
      <c r="R283" s="147"/>
      <c r="S283" s="147"/>
      <c r="T283" s="147"/>
      <c r="U283" s="147"/>
      <c r="V283" s="147"/>
      <c r="W283" s="147"/>
      <c r="X283" s="147"/>
      <c r="Y283" s="147"/>
      <c r="Z283" s="147"/>
      <c r="AA283" s="147"/>
      <c r="AB283" s="147"/>
    </row>
    <row r="284" spans="4:28" ht="12.6" customHeight="1">
      <c r="D284" s="147"/>
      <c r="E284" s="147"/>
      <c r="F284" s="147"/>
      <c r="G284" s="147"/>
      <c r="H284" s="147"/>
      <c r="I284" s="147"/>
      <c r="J284" s="147"/>
      <c r="K284" s="147"/>
      <c r="L284" s="147"/>
      <c r="M284" s="147"/>
      <c r="N284" s="147"/>
      <c r="O284" s="147"/>
      <c r="P284" s="147"/>
      <c r="Q284" s="147"/>
      <c r="R284" s="147"/>
      <c r="S284" s="147"/>
      <c r="T284" s="147"/>
      <c r="U284" s="147"/>
      <c r="V284" s="147"/>
      <c r="W284" s="147"/>
      <c r="X284" s="147"/>
      <c r="Y284" s="147"/>
      <c r="Z284" s="147"/>
      <c r="AA284" s="147"/>
      <c r="AB284" s="147"/>
    </row>
    <row r="285" spans="4:28" ht="12.6" customHeight="1">
      <c r="D285" s="147"/>
      <c r="E285" s="147"/>
      <c r="F285" s="147"/>
      <c r="G285" s="147"/>
      <c r="H285" s="147"/>
      <c r="I285" s="147"/>
      <c r="J285" s="147"/>
      <c r="K285" s="147"/>
      <c r="L285" s="147"/>
      <c r="M285" s="147"/>
      <c r="N285" s="147"/>
      <c r="O285" s="147"/>
      <c r="P285" s="147"/>
      <c r="Q285" s="147"/>
      <c r="R285" s="147"/>
      <c r="S285" s="147"/>
      <c r="T285" s="147"/>
      <c r="U285" s="147"/>
      <c r="V285" s="147"/>
      <c r="W285" s="147"/>
      <c r="X285" s="147"/>
      <c r="Y285" s="147"/>
      <c r="Z285" s="147"/>
      <c r="AA285" s="147"/>
      <c r="AB285" s="147"/>
    </row>
    <row r="286" spans="4:28" ht="12.6" customHeight="1">
      <c r="D286" s="147"/>
      <c r="E286" s="147"/>
      <c r="F286" s="147"/>
      <c r="G286" s="147"/>
      <c r="H286" s="147"/>
      <c r="I286" s="147"/>
      <c r="J286" s="147"/>
      <c r="K286" s="147"/>
      <c r="L286" s="147"/>
      <c r="M286" s="147"/>
      <c r="N286" s="147"/>
      <c r="O286" s="147"/>
      <c r="P286" s="147"/>
      <c r="Q286" s="147"/>
      <c r="R286" s="147"/>
      <c r="S286" s="147"/>
      <c r="T286" s="147"/>
      <c r="U286" s="147"/>
      <c r="V286" s="147"/>
      <c r="W286" s="147"/>
      <c r="X286" s="147"/>
      <c r="Y286" s="147"/>
      <c r="Z286" s="147"/>
      <c r="AA286" s="147"/>
      <c r="AB286" s="147"/>
    </row>
    <row r="287" spans="4:28" ht="12.6" customHeight="1">
      <c r="D287" s="147"/>
      <c r="E287" s="147"/>
      <c r="F287" s="147"/>
      <c r="G287" s="147"/>
      <c r="H287" s="147"/>
      <c r="I287" s="147"/>
      <c r="J287" s="147"/>
      <c r="K287" s="147"/>
      <c r="L287" s="147"/>
      <c r="M287" s="147"/>
      <c r="N287" s="147"/>
      <c r="O287" s="147"/>
      <c r="P287" s="147"/>
      <c r="Q287" s="147"/>
      <c r="R287" s="147"/>
      <c r="S287" s="147"/>
      <c r="T287" s="147"/>
      <c r="U287" s="147"/>
      <c r="V287" s="147"/>
      <c r="W287" s="147"/>
      <c r="X287" s="147"/>
      <c r="Y287" s="147"/>
      <c r="Z287" s="147"/>
      <c r="AA287" s="147"/>
      <c r="AB287" s="147"/>
    </row>
    <row r="288" spans="4:28" ht="12.6" customHeight="1">
      <c r="D288" s="147"/>
      <c r="E288" s="147"/>
      <c r="F288" s="147"/>
      <c r="G288" s="147"/>
      <c r="H288" s="147"/>
      <c r="I288" s="147"/>
      <c r="J288" s="147"/>
      <c r="K288" s="147"/>
      <c r="L288" s="147"/>
      <c r="M288" s="147"/>
      <c r="N288" s="147"/>
      <c r="O288" s="147"/>
      <c r="P288" s="147"/>
      <c r="Q288" s="147"/>
      <c r="R288" s="147"/>
      <c r="S288" s="147"/>
      <c r="T288" s="147"/>
      <c r="U288" s="147"/>
      <c r="V288" s="147"/>
      <c r="W288" s="147"/>
      <c r="X288" s="147"/>
      <c r="Y288" s="147"/>
      <c r="Z288" s="147"/>
      <c r="AA288" s="147"/>
      <c r="AB288" s="147"/>
    </row>
    <row r="289" spans="4:28" ht="12.6" customHeight="1">
      <c r="D289" s="147"/>
      <c r="E289" s="147"/>
      <c r="F289" s="147"/>
      <c r="G289" s="147"/>
      <c r="H289" s="147"/>
      <c r="I289" s="147"/>
      <c r="J289" s="147"/>
      <c r="K289" s="147"/>
      <c r="L289" s="147"/>
      <c r="M289" s="147"/>
      <c r="N289" s="147"/>
      <c r="O289" s="147"/>
      <c r="P289" s="147"/>
      <c r="Q289" s="147"/>
      <c r="R289" s="147"/>
      <c r="S289" s="147"/>
      <c r="T289" s="147"/>
      <c r="U289" s="147"/>
      <c r="V289" s="147"/>
      <c r="W289" s="147"/>
      <c r="X289" s="147"/>
      <c r="Y289" s="147"/>
      <c r="Z289" s="147"/>
      <c r="AA289" s="147"/>
      <c r="AB289" s="147"/>
    </row>
    <row r="290" spans="4:28" ht="12.6" customHeight="1">
      <c r="D290" s="147"/>
      <c r="E290" s="147"/>
      <c r="F290" s="147"/>
      <c r="G290" s="147"/>
      <c r="H290" s="147"/>
      <c r="I290" s="147"/>
      <c r="J290" s="147"/>
      <c r="K290" s="147"/>
      <c r="L290" s="147"/>
      <c r="M290" s="147"/>
      <c r="N290" s="147"/>
      <c r="O290" s="147"/>
      <c r="P290" s="147"/>
      <c r="Q290" s="147"/>
      <c r="R290" s="147"/>
      <c r="S290" s="147"/>
      <c r="T290" s="147"/>
      <c r="U290" s="147"/>
      <c r="V290" s="147"/>
      <c r="W290" s="147"/>
      <c r="X290" s="147"/>
      <c r="Y290" s="147"/>
      <c r="Z290" s="147"/>
      <c r="AA290" s="147"/>
      <c r="AB290" s="147"/>
    </row>
    <row r="291" spans="4:28" ht="12.6" customHeight="1">
      <c r="D291" s="147"/>
      <c r="E291" s="147"/>
      <c r="F291" s="147"/>
      <c r="G291" s="147"/>
      <c r="H291" s="147"/>
      <c r="I291" s="147"/>
      <c r="J291" s="147"/>
      <c r="K291" s="147"/>
      <c r="L291" s="147"/>
      <c r="M291" s="147"/>
      <c r="N291" s="147"/>
      <c r="O291" s="147"/>
      <c r="P291" s="147"/>
      <c r="Q291" s="147"/>
      <c r="R291" s="147"/>
      <c r="S291" s="147"/>
      <c r="T291" s="147"/>
      <c r="U291" s="147"/>
      <c r="V291" s="147"/>
      <c r="W291" s="147"/>
      <c r="X291" s="147"/>
      <c r="Y291" s="147"/>
      <c r="Z291" s="147"/>
      <c r="AA291" s="147"/>
      <c r="AB291" s="147"/>
    </row>
    <row r="292" spans="4:28" ht="12.6" customHeight="1">
      <c r="D292" s="147"/>
      <c r="E292" s="147"/>
      <c r="F292" s="147"/>
      <c r="G292" s="147"/>
      <c r="H292" s="147"/>
      <c r="I292" s="147"/>
      <c r="J292" s="147"/>
      <c r="K292" s="147"/>
      <c r="L292" s="147"/>
      <c r="M292" s="147"/>
      <c r="N292" s="147"/>
      <c r="O292" s="147"/>
      <c r="P292" s="147"/>
      <c r="Q292" s="147"/>
      <c r="R292" s="147"/>
      <c r="S292" s="147"/>
      <c r="T292" s="147"/>
      <c r="U292" s="147"/>
      <c r="V292" s="147"/>
      <c r="W292" s="147"/>
      <c r="X292" s="147"/>
      <c r="Y292" s="147"/>
      <c r="Z292" s="147"/>
      <c r="AA292" s="147"/>
      <c r="AB292" s="147"/>
    </row>
    <row r="293" spans="4:28" ht="12.6" customHeight="1">
      <c r="D293" s="147"/>
      <c r="E293" s="147"/>
      <c r="F293" s="147"/>
      <c r="G293" s="147"/>
      <c r="H293" s="147"/>
      <c r="I293" s="147"/>
      <c r="J293" s="147"/>
      <c r="K293" s="147"/>
      <c r="L293" s="147"/>
      <c r="M293" s="147"/>
      <c r="N293" s="147"/>
      <c r="O293" s="147"/>
      <c r="P293" s="147"/>
      <c r="Q293" s="147"/>
      <c r="R293" s="147"/>
      <c r="S293" s="147"/>
      <c r="T293" s="147"/>
      <c r="U293" s="147"/>
      <c r="V293" s="147"/>
      <c r="W293" s="147"/>
      <c r="X293" s="147"/>
      <c r="Y293" s="147"/>
      <c r="Z293" s="147"/>
      <c r="AA293" s="147"/>
      <c r="AB293" s="147"/>
    </row>
    <row r="294" spans="4:28" ht="12.6" customHeight="1">
      <c r="D294" s="147"/>
      <c r="E294" s="147"/>
      <c r="F294" s="147"/>
      <c r="G294" s="147"/>
      <c r="H294" s="147"/>
      <c r="I294" s="147"/>
      <c r="J294" s="147"/>
      <c r="K294" s="147"/>
      <c r="L294" s="147"/>
      <c r="M294" s="147"/>
      <c r="N294" s="147"/>
      <c r="O294" s="147"/>
      <c r="P294" s="147"/>
      <c r="Q294" s="147"/>
      <c r="R294" s="147"/>
      <c r="S294" s="147"/>
      <c r="T294" s="147"/>
      <c r="U294" s="147"/>
      <c r="V294" s="147"/>
      <c r="W294" s="147"/>
      <c r="X294" s="147"/>
      <c r="Y294" s="147"/>
      <c r="Z294" s="147"/>
      <c r="AA294" s="147"/>
      <c r="AB294" s="147"/>
    </row>
    <row r="295" spans="4:28" ht="12.6" customHeight="1">
      <c r="D295" s="147"/>
      <c r="E295" s="147"/>
      <c r="F295" s="147"/>
      <c r="G295" s="147"/>
      <c r="H295" s="147"/>
      <c r="I295" s="147"/>
      <c r="J295" s="147"/>
      <c r="K295" s="147"/>
      <c r="L295" s="147"/>
      <c r="M295" s="147"/>
      <c r="N295" s="147"/>
      <c r="O295" s="147"/>
      <c r="P295" s="147"/>
      <c r="Q295" s="147"/>
      <c r="R295" s="147"/>
      <c r="S295" s="147"/>
      <c r="T295" s="147"/>
      <c r="U295" s="147"/>
      <c r="V295" s="147"/>
      <c r="W295" s="147"/>
      <c r="X295" s="147"/>
      <c r="Y295" s="147"/>
      <c r="Z295" s="147"/>
      <c r="AA295" s="147"/>
      <c r="AB295" s="147"/>
    </row>
    <row r="296" spans="4:28" ht="12.6" customHeight="1">
      <c r="D296" s="147"/>
      <c r="E296" s="147"/>
      <c r="F296" s="147"/>
      <c r="G296" s="147"/>
      <c r="H296" s="147"/>
      <c r="I296" s="147"/>
      <c r="J296" s="147"/>
      <c r="K296" s="147"/>
      <c r="L296" s="147"/>
      <c r="M296" s="147"/>
      <c r="N296" s="147"/>
      <c r="O296" s="147"/>
      <c r="P296" s="147"/>
      <c r="Q296" s="147"/>
      <c r="R296" s="147"/>
      <c r="S296" s="147"/>
      <c r="T296" s="147"/>
      <c r="U296" s="147"/>
      <c r="V296" s="147"/>
      <c r="W296" s="147"/>
      <c r="X296" s="147"/>
      <c r="Y296" s="147"/>
      <c r="Z296" s="147"/>
      <c r="AA296" s="147"/>
      <c r="AB296" s="147"/>
    </row>
    <row r="297" spans="4:28" ht="12.6" customHeight="1">
      <c r="D297" s="147"/>
      <c r="E297" s="147"/>
      <c r="F297" s="147"/>
      <c r="G297" s="147"/>
      <c r="H297" s="147"/>
      <c r="I297" s="147"/>
      <c r="J297" s="147"/>
      <c r="K297" s="147"/>
      <c r="L297" s="147"/>
      <c r="M297" s="147"/>
      <c r="N297" s="147"/>
      <c r="O297" s="147"/>
      <c r="P297" s="147"/>
      <c r="Q297" s="147"/>
      <c r="R297" s="147"/>
      <c r="S297" s="147"/>
      <c r="T297" s="147"/>
      <c r="U297" s="147"/>
      <c r="V297" s="147"/>
      <c r="W297" s="147"/>
      <c r="X297" s="147"/>
      <c r="Y297" s="147"/>
      <c r="Z297" s="147"/>
      <c r="AA297" s="147"/>
      <c r="AB297" s="147"/>
    </row>
    <row r="298" spans="4:28" ht="12.6" customHeight="1">
      <c r="D298" s="147"/>
      <c r="E298" s="147"/>
      <c r="F298" s="147"/>
      <c r="G298" s="147"/>
      <c r="H298" s="147"/>
      <c r="I298" s="147"/>
      <c r="J298" s="147"/>
      <c r="K298" s="147"/>
      <c r="L298" s="147"/>
      <c r="M298" s="147"/>
      <c r="N298" s="147"/>
      <c r="O298" s="147"/>
      <c r="P298" s="147"/>
      <c r="Q298" s="147"/>
      <c r="R298" s="147"/>
      <c r="S298" s="147"/>
      <c r="T298" s="147"/>
      <c r="U298" s="147"/>
      <c r="V298" s="147"/>
      <c r="W298" s="147"/>
      <c r="X298" s="147"/>
      <c r="Y298" s="147"/>
      <c r="Z298" s="147"/>
      <c r="AA298" s="147"/>
      <c r="AB298" s="147"/>
    </row>
    <row r="299" spans="4:28" ht="12.6" customHeight="1">
      <c r="D299" s="147"/>
      <c r="E299" s="147"/>
      <c r="F299" s="147"/>
      <c r="G299" s="147"/>
      <c r="H299" s="147"/>
      <c r="I299" s="147"/>
      <c r="J299" s="147"/>
      <c r="K299" s="147"/>
      <c r="L299" s="147"/>
      <c r="M299" s="147"/>
      <c r="N299" s="147"/>
      <c r="O299" s="147"/>
      <c r="P299" s="147"/>
      <c r="Q299" s="147"/>
      <c r="R299" s="147"/>
      <c r="S299" s="147"/>
      <c r="T299" s="147"/>
      <c r="U299" s="147"/>
      <c r="V299" s="147"/>
      <c r="W299" s="147"/>
      <c r="X299" s="147"/>
      <c r="Y299" s="147"/>
      <c r="Z299" s="147"/>
      <c r="AA299" s="147"/>
      <c r="AB299" s="147"/>
    </row>
  </sheetData>
  <customSheetViews>
    <customSheetView guid="{9D7575BF-255B-11D2-8267-00A0D1027254}" showPageBreaks="1" printArea="1" hiddenRows="1" showRuler="0" topLeftCell="A32">
      <selection activeCell="C48" sqref="C48"/>
      <colBreaks count="1" manualBreakCount="1">
        <brk id="14" max="57" man="1"/>
      </colBreaks>
      <pageMargins left="0.5" right="0.5" top="0.5" bottom="0.5" header="0.5" footer="0.25"/>
      <pageSetup scale="78" fitToHeight="2" orientation="landscape" verticalDpi="300" r:id="rId1"/>
      <headerFooter alignWithMargins="0">
        <oddFooter>&amp;L&amp;D &amp;T&amp;RO:\Naes\GenSvcs\TVA\TVA Model\&amp;F
&amp;A &amp;P</oddFooter>
      </headerFooter>
    </customSheetView>
    <customSheetView guid="{773475A7-2559-11D2-A5F6-0060080AEB13}" showPageBreaks="1" showRuler="0" topLeftCell="A32">
      <selection activeCell="D49" sqref="D49"/>
      <colBreaks count="1" manualBreakCount="1">
        <brk id="16" max="40" man="1"/>
      </colBreaks>
      <pageMargins left="0.46" right="0.31" top="0.5" bottom="0.5" header="0.5" footer="0.5"/>
      <pageSetup scale="71" fitToHeight="2" orientation="landscape" verticalDpi="300" r:id="rId2"/>
      <headerFooter alignWithMargins="0">
        <oddFooter>&amp;L&amp;D   &amp;T&amp;RO:\Naes\GenSvcs\Tva\Tva\Models\&amp;F
&amp;A   &amp;P</oddFooter>
      </headerFooter>
    </customSheetView>
  </customSheetViews>
  <pageMargins left="0.25" right="0.25" top="0.25" bottom="0.5" header="0" footer="0"/>
  <pageSetup scale="44" orientation="landscape" verticalDpi="300" r:id="rId3"/>
  <headerFooter alignWithMargins="0">
    <oddFooter>&amp;L&amp;D   &amp;T&amp;R&amp;F
&amp;A &amp;P</oddFooter>
  </headerFooter>
  <colBreaks count="1" manualBreakCount="1">
    <brk id="15" max="61" man="1"/>
  </colBreak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pageSetUpPr fitToPage="1"/>
  </sheetPr>
  <dimension ref="A1:BB52"/>
  <sheetViews>
    <sheetView zoomScale="75" zoomScaleNormal="75" workbookViewId="0">
      <selection activeCell="D22" sqref="D22:X22"/>
    </sheetView>
  </sheetViews>
  <sheetFormatPr defaultColWidth="9.33203125" defaultRowHeight="12.6" customHeight="1"/>
  <cols>
    <col min="1" max="1" width="24.6640625" style="72" customWidth="1"/>
    <col min="2" max="2" width="14.6640625" style="72" customWidth="1"/>
    <col min="3" max="3" width="9.6640625" style="72" bestFit="1" customWidth="1"/>
    <col min="4" max="25" width="9.33203125" style="72" bestFit="1" customWidth="1"/>
    <col min="26" max="27" width="9.33203125" style="72" hidden="1" customWidth="1"/>
    <col min="28" max="28" width="9.33203125" style="72" bestFit="1" customWidth="1"/>
    <col min="29" max="30" width="9.33203125" style="15" customWidth="1"/>
    <col min="31" max="16384" width="9.33203125" style="8"/>
  </cols>
  <sheetData>
    <row r="1" spans="1:54" ht="20.399999999999999">
      <c r="A1" s="525" t="str">
        <f>'Project Assumtions'!$A$2</f>
        <v>WHEATLAND POWER IN, L.L.C.</v>
      </c>
      <c r="B1" s="765"/>
      <c r="C1" s="766"/>
    </row>
    <row r="2" spans="1:54" ht="15.6" customHeight="1">
      <c r="A2" s="527" t="s">
        <v>41</v>
      </c>
      <c r="B2" s="767"/>
      <c r="C2" s="768"/>
    </row>
    <row r="3" spans="1:54" s="1" customFormat="1" ht="12.6" customHeight="1">
      <c r="A3" s="158"/>
      <c r="B3" s="60"/>
      <c r="C3" s="85"/>
      <c r="D3" s="85">
        <v>1</v>
      </c>
      <c r="E3" s="85">
        <f>D3+1</f>
        <v>2</v>
      </c>
      <c r="F3" s="85">
        <f t="shared" ref="F3:AB3" si="0">E3+1</f>
        <v>3</v>
      </c>
      <c r="G3" s="85">
        <f t="shared" si="0"/>
        <v>4</v>
      </c>
      <c r="H3" s="85">
        <f t="shared" si="0"/>
        <v>5</v>
      </c>
      <c r="I3" s="86">
        <f t="shared" si="0"/>
        <v>6</v>
      </c>
      <c r="J3" s="85">
        <f t="shared" si="0"/>
        <v>7</v>
      </c>
      <c r="K3" s="85">
        <f t="shared" si="0"/>
        <v>8</v>
      </c>
      <c r="L3" s="85">
        <f t="shared" si="0"/>
        <v>9</v>
      </c>
      <c r="M3" s="85">
        <f t="shared" si="0"/>
        <v>10</v>
      </c>
      <c r="N3" s="85">
        <f t="shared" si="0"/>
        <v>11</v>
      </c>
      <c r="O3" s="86">
        <f t="shared" si="0"/>
        <v>12</v>
      </c>
      <c r="P3" s="85">
        <f t="shared" si="0"/>
        <v>13</v>
      </c>
      <c r="Q3" s="85">
        <f t="shared" si="0"/>
        <v>14</v>
      </c>
      <c r="R3" s="85">
        <f t="shared" si="0"/>
        <v>15</v>
      </c>
      <c r="S3" s="85">
        <f t="shared" si="0"/>
        <v>16</v>
      </c>
      <c r="T3" s="85">
        <f t="shared" si="0"/>
        <v>17</v>
      </c>
      <c r="U3" s="86">
        <f t="shared" si="0"/>
        <v>18</v>
      </c>
      <c r="V3" s="85">
        <f t="shared" si="0"/>
        <v>19</v>
      </c>
      <c r="W3" s="85">
        <f t="shared" si="0"/>
        <v>20</v>
      </c>
      <c r="X3" s="85">
        <f t="shared" si="0"/>
        <v>21</v>
      </c>
      <c r="Y3" s="85">
        <f t="shared" si="0"/>
        <v>22</v>
      </c>
      <c r="Z3" s="85">
        <f t="shared" si="0"/>
        <v>23</v>
      </c>
      <c r="AA3" s="86">
        <f t="shared" si="0"/>
        <v>24</v>
      </c>
      <c r="AB3" s="85">
        <f t="shared" si="0"/>
        <v>25</v>
      </c>
      <c r="AC3" s="6"/>
      <c r="AD3"/>
    </row>
    <row r="4" spans="1:54" s="1" customFormat="1" ht="12.6" customHeight="1">
      <c r="A4" s="609"/>
      <c r="B4" s="610"/>
      <c r="C4" s="769"/>
      <c r="D4" s="531">
        <f>YEAR('Project Assumtions'!G16)</f>
        <v>2000</v>
      </c>
      <c r="E4" s="531">
        <f t="shared" ref="E4:AB4" si="1">D4+1</f>
        <v>2001</v>
      </c>
      <c r="F4" s="531">
        <f t="shared" si="1"/>
        <v>2002</v>
      </c>
      <c r="G4" s="531">
        <f t="shared" si="1"/>
        <v>2003</v>
      </c>
      <c r="H4" s="531">
        <f t="shared" si="1"/>
        <v>2004</v>
      </c>
      <c r="I4" s="531">
        <f t="shared" si="1"/>
        <v>2005</v>
      </c>
      <c r="J4" s="531">
        <f t="shared" si="1"/>
        <v>2006</v>
      </c>
      <c r="K4" s="531">
        <f t="shared" si="1"/>
        <v>2007</v>
      </c>
      <c r="L4" s="531">
        <f t="shared" si="1"/>
        <v>2008</v>
      </c>
      <c r="M4" s="531">
        <f t="shared" si="1"/>
        <v>2009</v>
      </c>
      <c r="N4" s="531">
        <f t="shared" si="1"/>
        <v>2010</v>
      </c>
      <c r="O4" s="531">
        <f t="shared" si="1"/>
        <v>2011</v>
      </c>
      <c r="P4" s="531">
        <f t="shared" si="1"/>
        <v>2012</v>
      </c>
      <c r="Q4" s="531">
        <f t="shared" si="1"/>
        <v>2013</v>
      </c>
      <c r="R4" s="531">
        <f t="shared" si="1"/>
        <v>2014</v>
      </c>
      <c r="S4" s="531">
        <f t="shared" si="1"/>
        <v>2015</v>
      </c>
      <c r="T4" s="531">
        <f t="shared" si="1"/>
        <v>2016</v>
      </c>
      <c r="U4" s="531">
        <f t="shared" si="1"/>
        <v>2017</v>
      </c>
      <c r="V4" s="531">
        <f t="shared" si="1"/>
        <v>2018</v>
      </c>
      <c r="W4" s="531">
        <f t="shared" si="1"/>
        <v>2019</v>
      </c>
      <c r="X4" s="531">
        <f t="shared" si="1"/>
        <v>2020</v>
      </c>
      <c r="Y4" s="531">
        <f t="shared" si="1"/>
        <v>2021</v>
      </c>
      <c r="Z4" s="531">
        <f t="shared" si="1"/>
        <v>2022</v>
      </c>
      <c r="AA4" s="531">
        <f t="shared" si="1"/>
        <v>2023</v>
      </c>
      <c r="AB4" s="532">
        <f t="shared" si="1"/>
        <v>2024</v>
      </c>
      <c r="AC4" s="31"/>
      <c r="AD4"/>
      <c r="AE4" s="31"/>
      <c r="AF4" s="31"/>
      <c r="AG4" s="31"/>
      <c r="AH4" s="31"/>
      <c r="AI4" s="31"/>
      <c r="AJ4" s="31"/>
      <c r="AK4" s="31"/>
      <c r="AL4" s="31"/>
      <c r="AM4" s="31"/>
      <c r="AN4" s="31"/>
      <c r="AO4" s="31"/>
      <c r="AP4" s="31"/>
      <c r="AQ4" s="31"/>
      <c r="AR4" s="31"/>
      <c r="AS4" s="31"/>
      <c r="AT4" s="31"/>
      <c r="AU4" s="31"/>
      <c r="AV4" s="31"/>
      <c r="AW4" s="31"/>
      <c r="AX4" s="31"/>
      <c r="AY4" s="31"/>
      <c r="AZ4" s="31"/>
    </row>
    <row r="5" spans="1:54" ht="12.6" customHeight="1">
      <c r="A5" s="553"/>
      <c r="B5" s="79"/>
      <c r="C5" s="770"/>
      <c r="D5" s="770"/>
      <c r="E5" s="770"/>
      <c r="F5" s="770"/>
      <c r="G5" s="770"/>
      <c r="H5" s="770"/>
      <c r="I5" s="770"/>
      <c r="J5" s="770"/>
      <c r="K5" s="770"/>
      <c r="L5" s="770"/>
      <c r="M5" s="770"/>
      <c r="N5" s="770"/>
      <c r="O5" s="770"/>
      <c r="P5" s="770"/>
      <c r="Q5" s="770"/>
      <c r="R5" s="770"/>
      <c r="S5" s="770"/>
      <c r="T5" s="770"/>
      <c r="U5" s="770"/>
      <c r="V5" s="770"/>
      <c r="W5" s="770"/>
      <c r="X5" s="770"/>
      <c r="Y5" s="770"/>
      <c r="Z5" s="770"/>
      <c r="AA5" s="770"/>
      <c r="AB5" s="771"/>
      <c r="AC5" s="9"/>
      <c r="AD5" s="9"/>
      <c r="AI5" s="10"/>
      <c r="AM5" s="10"/>
      <c r="AX5" s="10"/>
      <c r="BB5" s="10"/>
    </row>
    <row r="6" spans="1:54" ht="12.6" customHeight="1">
      <c r="A6" s="772" t="s">
        <v>680</v>
      </c>
      <c r="B6" s="79"/>
      <c r="C6" s="773">
        <f>SUM(D6:AD6)</f>
        <v>474362.10815531487</v>
      </c>
      <c r="D6" s="712">
        <f>IF(D3&gt;'Project Assumtions'!$I$15+1,0,'Book Income Statement'!D72)</f>
        <v>-317.67656765076936</v>
      </c>
      <c r="E6" s="712">
        <f>IF(E3&gt;'Project Assumtions'!$I$15+1,0,'Book Income Statement'!E72)</f>
        <v>6298.884329398963</v>
      </c>
      <c r="F6" s="712">
        <f>IF(F3&gt;'Project Assumtions'!$I$15+1,0,'Book Income Statement'!F72)</f>
        <v>6462.0452918068895</v>
      </c>
      <c r="G6" s="712">
        <f>IF(G3&gt;'Project Assumtions'!$I$15+1,0,'Book Income Statement'!G72)</f>
        <v>14271.372042138893</v>
      </c>
      <c r="H6" s="712">
        <f>IF(H3&gt;'Project Assumtions'!$I$15+1,0,'Book Income Statement'!H72)</f>
        <v>21164.605904165066</v>
      </c>
      <c r="I6" s="712">
        <f>IF(I3&gt;'Project Assumtions'!$I$15+1,0,'Book Income Statement'!I72)</f>
        <v>22719.939730277725</v>
      </c>
      <c r="J6" s="712">
        <f>IF(J3&gt;'Project Assumtions'!$I$15+1,0,'Book Income Statement'!J72)</f>
        <v>23574.507522460568</v>
      </c>
      <c r="K6" s="712">
        <f>IF(K3&gt;'Project Assumtions'!$I$15+1,0,'Book Income Statement'!K72)</f>
        <v>24312.125868241361</v>
      </c>
      <c r="L6" s="712">
        <f>IF(L3&gt;'Project Assumtions'!$I$15+1,0,'Book Income Statement'!L72)</f>
        <v>25082.710726906153</v>
      </c>
      <c r="M6" s="712">
        <f>IF(M3&gt;'Project Assumtions'!$I$15+1,0,'Book Income Statement'!M72)</f>
        <v>26195.731316487847</v>
      </c>
      <c r="N6" s="712">
        <f>IF(N3&gt;'Project Assumtions'!$I$15+1,0,'Book Income Statement'!N72)</f>
        <v>27488.254117385324</v>
      </c>
      <c r="O6" s="712">
        <f>IF(O3&gt;'Project Assumtions'!$I$15+1,0,'Book Income Statement'!O72)</f>
        <v>27912.732173413562</v>
      </c>
      <c r="P6" s="712">
        <f>IF(P3&gt;'Project Assumtions'!$I$15+1,0,'Book Income Statement'!P72)</f>
        <v>28548.137068952761</v>
      </c>
      <c r="Q6" s="712">
        <f>IF(Q3&gt;'Project Assumtions'!$I$15+1,0,'Book Income Statement'!Q72)</f>
        <v>28392.300995168112</v>
      </c>
      <c r="R6" s="712">
        <f>IF(R3&gt;'Project Assumtions'!$I$15+1,0,'Book Income Statement'!R72)</f>
        <v>28980.018098265515</v>
      </c>
      <c r="S6" s="712">
        <f>IF(S3&gt;'Project Assumtions'!$I$15+1,0,'Book Income Statement'!S72)</f>
        <v>29553.287035554673</v>
      </c>
      <c r="T6" s="712">
        <f>IF(T3&gt;'Project Assumtions'!$I$15+1,0,'Book Income Statement'!T72)</f>
        <v>30110.951667028359</v>
      </c>
      <c r="U6" s="712">
        <f>IF(U3&gt;'Project Assumtions'!$I$15+1,0,'Book Income Statement'!U72)</f>
        <v>30918.127636562844</v>
      </c>
      <c r="V6" s="712">
        <f>IF(V3&gt;'Project Assumtions'!$I$15+1,0,'Book Income Statement'!V72)</f>
        <v>31813.746843310568</v>
      </c>
      <c r="W6" s="712">
        <f>IF(W3&gt;'Project Assumtions'!$I$15+1,0,'Book Income Statement'!W72)</f>
        <v>31918.851884262909</v>
      </c>
      <c r="X6" s="712">
        <f>IF(X3&gt;'Project Assumtions'!$I$15+1,0,'Book Income Statement'!X72)</f>
        <v>8961.4544711775652</v>
      </c>
      <c r="Y6" s="712">
        <f>IF(Y3&gt;'Project Assumtions'!$I$15+1,0,'Book Income Statement'!Y72)</f>
        <v>0</v>
      </c>
      <c r="Z6" s="712">
        <f>IF(Z3&gt;'Project Assumtions'!$I$15+1,0,'Book Income Statement'!Z72)</f>
        <v>0</v>
      </c>
      <c r="AA6" s="712">
        <f>IF(AA3&gt;'Project Assumtions'!$I$15+1,0,'Book Income Statement'!AA72)</f>
        <v>0</v>
      </c>
      <c r="AB6" s="712">
        <f>IF(AB3&gt;'Project Assumtions'!$I$15+1,0,'Book Income Statement'!AB72)</f>
        <v>0</v>
      </c>
      <c r="AC6" s="12"/>
      <c r="AD6" s="12"/>
    </row>
    <row r="7" spans="1:54" ht="12.6" customHeight="1">
      <c r="A7" s="774" t="s">
        <v>25</v>
      </c>
      <c r="B7" s="79"/>
      <c r="C7" s="773">
        <f>SUM(D7:AD7)</f>
        <v>99093.257587500062</v>
      </c>
      <c r="D7" s="164">
        <f>IF(D3&gt;'Project Assumtions'!$I$15+1,0,'Book Income Statement'!D65)</f>
        <v>2958.4263041666673</v>
      </c>
      <c r="E7" s="164">
        <f>IF(E3&gt;'Project Assumtions'!$I$15+1,0,'Book Income Statement'!E65)</f>
        <v>5071.587950000001</v>
      </c>
      <c r="F7" s="164">
        <f>IF(F3&gt;'Project Assumtions'!$I$15+1,0,'Book Income Statement'!F65)</f>
        <v>5071.587950000001</v>
      </c>
      <c r="G7" s="164">
        <f>IF(G3&gt;'Project Assumtions'!$I$15+1,0,'Book Income Statement'!G65)</f>
        <v>5071.587950000001</v>
      </c>
      <c r="H7" s="164">
        <f>IF(H3&gt;'Project Assumtions'!$I$15+1,0,'Book Income Statement'!H65)</f>
        <v>5071.587950000001</v>
      </c>
      <c r="I7" s="164">
        <f>IF(I3&gt;'Project Assumtions'!$I$15+1,0,'Book Income Statement'!I65)</f>
        <v>4873.3072333333339</v>
      </c>
      <c r="J7" s="164">
        <f>IF(J3&gt;'Project Assumtions'!$I$15+1,0,'Book Income Statement'!J65)</f>
        <v>4731.6781500000006</v>
      </c>
      <c r="K7" s="164">
        <f>IF(K3&gt;'Project Assumtions'!$I$15+1,0,'Book Income Statement'!K65)</f>
        <v>4731.6781500000006</v>
      </c>
      <c r="L7" s="164">
        <f>IF(L3&gt;'Project Assumtions'!$I$15+1,0,'Book Income Statement'!L65)</f>
        <v>4731.6781500000006</v>
      </c>
      <c r="M7" s="164">
        <f>IF(M3&gt;'Project Assumtions'!$I$15+1,0,'Book Income Statement'!M65)</f>
        <v>4731.6781500000006</v>
      </c>
      <c r="N7" s="164">
        <f>IF(N3&gt;'Project Assumtions'!$I$15+1,0,'Book Income Statement'!N65)</f>
        <v>4731.6781500000006</v>
      </c>
      <c r="O7" s="164">
        <f>IF(O3&gt;'Project Assumtions'!$I$15+1,0,'Book Income Statement'!O65)</f>
        <v>4731.6781500000006</v>
      </c>
      <c r="P7" s="164">
        <f>IF(P3&gt;'Project Assumtions'!$I$15+1,0,'Book Income Statement'!P65)</f>
        <v>4731.6781500000006</v>
      </c>
      <c r="Q7" s="164">
        <f>IF(Q3&gt;'Project Assumtions'!$I$15+1,0,'Book Income Statement'!Q65)</f>
        <v>4731.6781500000006</v>
      </c>
      <c r="R7" s="164">
        <f>IF(R3&gt;'Project Assumtions'!$I$15+1,0,'Book Income Statement'!R65)</f>
        <v>4731.6781500000006</v>
      </c>
      <c r="S7" s="164">
        <f>IF(S3&gt;'Project Assumtions'!$I$15+1,0,'Book Income Statement'!S65)</f>
        <v>4731.6781500000006</v>
      </c>
      <c r="T7" s="164">
        <f>IF(T3&gt;'Project Assumtions'!$I$15+1,0,'Book Income Statement'!T65)</f>
        <v>4731.6781500000006</v>
      </c>
      <c r="U7" s="164">
        <f>IF(U3&gt;'Project Assumtions'!$I$15+1,0,'Book Income Statement'!U65)</f>
        <v>4731.6781500000006</v>
      </c>
      <c r="V7" s="164">
        <f>IF(V3&gt;'Project Assumtions'!$I$15+1,0,'Book Income Statement'!V65)</f>
        <v>4731.6781500000006</v>
      </c>
      <c r="W7" s="164">
        <f>IF(W3&gt;'Project Assumtions'!$I$15+1,0,'Book Income Statement'!W65)</f>
        <v>4731.6781500000006</v>
      </c>
      <c r="X7" s="164">
        <f>IF(X3&gt;'Project Assumtions'!$I$15+1,0,'Book Income Statement'!X65)</f>
        <v>4731.6781500000006</v>
      </c>
      <c r="Y7" s="164">
        <f>IF(Y3&gt;'Project Assumtions'!$I$15+1,0,'Book Income Statement'!Y65)</f>
        <v>0</v>
      </c>
      <c r="Z7" s="164">
        <f>IF(Z3&gt;'Project Assumtions'!$I$15+1,0,'Book Income Statement'!Z65)</f>
        <v>0</v>
      </c>
      <c r="AA7" s="164">
        <f>IF(AA3&gt;'Project Assumtions'!$I$15+1,0,'Book Income Statement'!AA65)</f>
        <v>0</v>
      </c>
      <c r="AB7" s="775">
        <f>IF(AB3&gt;'Project Assumtions'!$I$15+1,0,'Book Income Statement'!AB65)</f>
        <v>0</v>
      </c>
      <c r="AC7" s="12"/>
      <c r="AD7" s="12"/>
      <c r="AF7" s="13"/>
      <c r="AH7" s="13"/>
      <c r="AL7" s="13"/>
      <c r="AU7" s="13"/>
    </row>
    <row r="8" spans="1:54" ht="12.6" customHeight="1">
      <c r="A8" s="774" t="s">
        <v>26</v>
      </c>
      <c r="B8" s="79"/>
      <c r="C8" s="773"/>
      <c r="D8" s="165">
        <f>IF(D3&gt;'Project Assumtions'!$I$15+1,0,'Book Income Statement'!D53)</f>
        <v>146.77966132968001</v>
      </c>
      <c r="E8" s="165">
        <f>IF(E3&gt;'Project Assumtions'!$I$15+1,0,'Book Income Statement'!E53)</f>
        <v>0</v>
      </c>
      <c r="F8" s="165">
        <f>IF(F3&gt;'Project Assumtions'!$I$15+1,0,'Book Income Statement'!F53)</f>
        <v>87.389186058051934</v>
      </c>
      <c r="G8" s="165">
        <f>IF(G3&gt;'Project Assumtions'!$I$15+1,0,'Book Income Statement'!G53)</f>
        <v>162.25722812182451</v>
      </c>
      <c r="H8" s="165">
        <f>IF(H3&gt;'Project Assumtions'!$I$15+1,0,'Book Income Statement'!H53)</f>
        <v>221.38767575294543</v>
      </c>
      <c r="I8" s="165">
        <f>IF(I3&gt;'Project Assumtions'!$I$15+1,0,'Book Income Statement'!I53)</f>
        <v>267.21788876867009</v>
      </c>
      <c r="J8" s="165">
        <f>IF(J3&gt;'Project Assumtions'!$I$15+1,0,'Book Income Statement'!J53)</f>
        <v>353.45828178270818</v>
      </c>
      <c r="K8" s="165">
        <f>IF(K3&gt;'Project Assumtions'!$I$15+1,0,'Book Income Statement'!K53)</f>
        <v>461.59047473625338</v>
      </c>
      <c r="L8" s="165">
        <f>IF(L3&gt;'Project Assumtions'!$I$15+1,0,'Book Income Statement'!L53)</f>
        <v>530.06817208874804</v>
      </c>
      <c r="M8" s="165">
        <f>IF(M3&gt;'Project Assumtions'!$I$15+1,0,'Book Income Statement'!M53)</f>
        <v>522.92142236624431</v>
      </c>
      <c r="N8" s="165">
        <f>IF(N3&gt;'Project Assumtions'!$I$15+1,0,'Book Income Statement'!N53)</f>
        <v>517.60989500579763</v>
      </c>
      <c r="O8" s="165">
        <f>IF(O3&gt;'Project Assumtions'!$I$15+1,0,'Book Income Statement'!O53)</f>
        <v>683.84684063616498</v>
      </c>
      <c r="P8" s="165">
        <f>IF(P3&gt;'Project Assumtions'!$I$15+1,0,'Book Income Statement'!P53)</f>
        <v>683.84684063616498</v>
      </c>
      <c r="Q8" s="165">
        <f>IF(Q3&gt;'Project Assumtions'!$I$15+1,0,'Book Income Statement'!Q53)</f>
        <v>683.84684063616498</v>
      </c>
      <c r="R8" s="165">
        <f>IF(R3&gt;'Project Assumtions'!$I$15+1,0,'Book Income Statement'!R53)</f>
        <v>683.84684063616498</v>
      </c>
      <c r="S8" s="165">
        <f>IF(S3&gt;'Project Assumtions'!$I$15+1,0,'Book Income Statement'!S53)</f>
        <v>683.84684063616498</v>
      </c>
      <c r="T8" s="165">
        <f>IF(T3&gt;'Project Assumtions'!$I$15+1,0,'Book Income Statement'!T53)</f>
        <v>683.84684063616498</v>
      </c>
      <c r="U8" s="165">
        <f>IF(U3&gt;'Project Assumtions'!$I$15+1,0,'Book Income Statement'!U53)</f>
        <v>683.84684063616498</v>
      </c>
      <c r="V8" s="165">
        <f>IF(V3&gt;'Project Assumtions'!$I$15+1,0,'Book Income Statement'!V53)</f>
        <v>683.84684063616498</v>
      </c>
      <c r="W8" s="165">
        <f>IF(W3&gt;'Project Assumtions'!$I$15+1,0,'Book Income Statement'!W53)</f>
        <v>683.84684063616498</v>
      </c>
      <c r="X8" s="165">
        <f>IF(X3&gt;'Project Assumtions'!$I$15+1,0,'Book Income Statement'!X53)</f>
        <v>683.84684063616498</v>
      </c>
      <c r="Y8" s="165">
        <f>IF(Y3&gt;'Project Assumtions'!$I$15+1,0,'Book Income Statement'!Y53)</f>
        <v>0</v>
      </c>
      <c r="Z8" s="165">
        <f>IF(Z3&gt;'Project Assumtions'!$I$15+1,0,'Book Income Statement'!Z53)</f>
        <v>0</v>
      </c>
      <c r="AA8" s="165">
        <f>IF(AA3&gt;'Project Assumtions'!$I$15+1,0,'Book Income Statement'!AA53)</f>
        <v>0</v>
      </c>
      <c r="AB8" s="776">
        <f>IF(AB3&gt;'Project Assumtions'!$I$15+1,0,'Book Income Statement'!AB53)</f>
        <v>0</v>
      </c>
      <c r="AC8" s="12"/>
      <c r="AD8" s="12"/>
      <c r="AF8" s="13"/>
      <c r="AH8" s="13"/>
      <c r="AL8" s="13"/>
      <c r="AU8" s="13"/>
    </row>
    <row r="9" spans="1:54" ht="12.6" customHeight="1">
      <c r="A9" s="774" t="s">
        <v>27</v>
      </c>
      <c r="B9" s="79"/>
      <c r="C9" s="773"/>
      <c r="D9" s="165">
        <f>IF(D3&gt;'Project Assumtions'!$I$15+1,0,0)</f>
        <v>0</v>
      </c>
      <c r="E9" s="165">
        <f>IF(E3&gt;'Project Assumtions'!$I$15+1,0,Depreciation!D64)</f>
        <v>146.77966132968001</v>
      </c>
      <c r="F9" s="165">
        <f>IF(F3&gt;'Project Assumtions'!$I$15+1,0,Depreciation!E64)</f>
        <v>0</v>
      </c>
      <c r="G9" s="165">
        <f>IF(G3&gt;'Project Assumtions'!$I$15+1,0,Depreciation!F64)</f>
        <v>87.389186058051934</v>
      </c>
      <c r="H9" s="165">
        <f>IF(H3&gt;'Project Assumtions'!$I$15+1,0,Depreciation!G64)</f>
        <v>162.25722812182451</v>
      </c>
      <c r="I9" s="165">
        <f>IF(I3&gt;'Project Assumtions'!$I$15+1,0,Depreciation!H64)</f>
        <v>221.38767575294543</v>
      </c>
      <c r="J9" s="165">
        <f>IF(J3&gt;'Project Assumtions'!$I$15+1,0,Depreciation!I64)</f>
        <v>267.21788876867009</v>
      </c>
      <c r="K9" s="165">
        <f>IF(K3&gt;'Project Assumtions'!$I$15+1,0,Depreciation!J64)</f>
        <v>353.45828178270818</v>
      </c>
      <c r="L9" s="165">
        <f>IF(L3&gt;'Project Assumtions'!$I$15+1,0,Depreciation!K64)</f>
        <v>461.59047473625338</v>
      </c>
      <c r="M9" s="165">
        <f>IF(M3&gt;'Project Assumtions'!$I$15+1,0,Depreciation!L64)</f>
        <v>530.06817208874804</v>
      </c>
      <c r="N9" s="165">
        <f>IF(N3&gt;'Project Assumtions'!$I$15+1,0,Depreciation!M64)</f>
        <v>522.92142236624431</v>
      </c>
      <c r="O9" s="165">
        <f>IF(O3&gt;'Project Assumtions'!$I$15+1,0,Depreciation!N64)</f>
        <v>517.60989500579763</v>
      </c>
      <c r="P9" s="165">
        <f>IF(P3&gt;'Project Assumtions'!$I$15+1,0,Depreciation!O64)</f>
        <v>683.84684063616498</v>
      </c>
      <c r="Q9" s="165">
        <f>IF(Q3&gt;'Project Assumtions'!$I$15+1,0,Depreciation!P64)</f>
        <v>683.84684063616498</v>
      </c>
      <c r="R9" s="165">
        <f>IF(R3&gt;'Project Assumtions'!$I$15+1,0,Depreciation!Q64)</f>
        <v>683.84684063616498</v>
      </c>
      <c r="S9" s="165">
        <f>IF(S3&gt;'Project Assumtions'!$I$15+1,0,Depreciation!R64)</f>
        <v>683.84684063616498</v>
      </c>
      <c r="T9" s="165">
        <f>IF(T3&gt;'Project Assumtions'!$I$15+1,0,Depreciation!S64)</f>
        <v>683.84684063616498</v>
      </c>
      <c r="U9" s="165">
        <f>IF(U3&gt;'Project Assumtions'!$I$15+1,0,Depreciation!T64)</f>
        <v>683.84684063616498</v>
      </c>
      <c r="V9" s="165">
        <f>IF(V3&gt;'Project Assumtions'!$I$15+1,0,Depreciation!U64)</f>
        <v>683.84684063616498</v>
      </c>
      <c r="W9" s="165">
        <f>IF(W3&gt;'Project Assumtions'!$I$15+1,0,Depreciation!V64)</f>
        <v>683.84684063616498</v>
      </c>
      <c r="X9" s="165">
        <f>IF(X3&gt;'Project Assumtions'!$I$15+1,0,Depreciation!W64)</f>
        <v>683.84684063616498</v>
      </c>
      <c r="Y9" s="165">
        <f>IF(Y3&gt;'Project Assumtions'!$I$15+1,0,Depreciation!X64)</f>
        <v>0</v>
      </c>
      <c r="Z9" s="165">
        <f>IF(Z3&gt;'Project Assumtions'!$I$15+1,0,Depreciation!Y64)</f>
        <v>0</v>
      </c>
      <c r="AA9" s="165">
        <f>IF(AA3&gt;'Project Assumtions'!$I$15+1,0,Depreciation!Z64)</f>
        <v>0</v>
      </c>
      <c r="AB9" s="776">
        <f>IF(AB3&gt;'Project Assumtions'!$I$15+1,0,Depreciation!AA64)</f>
        <v>0</v>
      </c>
      <c r="AC9" s="12"/>
      <c r="AD9" s="12"/>
      <c r="AF9" s="13"/>
      <c r="AP9" s="14"/>
      <c r="AQ9" s="14"/>
      <c r="AR9" s="14"/>
      <c r="AS9" s="14"/>
      <c r="AU9" s="13"/>
    </row>
    <row r="10" spans="1:54" ht="12.6" customHeight="1">
      <c r="A10" s="774" t="s">
        <v>28</v>
      </c>
      <c r="B10" s="79"/>
      <c r="C10" s="773">
        <f>SUM(D10:AD10)</f>
        <v>105624.03394576341</v>
      </c>
      <c r="D10" s="168">
        <f>IF(D3&gt;'Project Assumtions'!$I$15+1,0,'Book Income Statement'!D69)</f>
        <v>9363.5700284249997</v>
      </c>
      <c r="E10" s="168">
        <f>IF(E3&gt;'Project Assumtions'!$I$15+1,0,'Book Income Statement'!E69)</f>
        <v>9038.9501891910004</v>
      </c>
      <c r="F10" s="168">
        <f>IF(F3&gt;'Project Assumtions'!$I$15+1,0,'Book Income Statement'!F69)</f>
        <v>8714.3303499569993</v>
      </c>
      <c r="G10" s="168">
        <f>IF(G3&gt;'Project Assumtions'!$I$15+1,0,'Book Income Statement'!G69)</f>
        <v>8252.7841260832502</v>
      </c>
      <c r="H10" s="168">
        <f>IF(H3&gt;'Project Assumtions'!$I$15+1,0,'Book Income Statement'!H69)</f>
        <v>7654.3115175697494</v>
      </c>
      <c r="I10" s="168">
        <f>IF(I3&gt;'Project Assumtions'!$I$15+1,0,'Book Income Statement'!I69)</f>
        <v>7273.9274887163692</v>
      </c>
      <c r="J10" s="168">
        <f>IF(J3&gt;'Project Assumtions'!$I$15+1,0,'Book Income Statement'!J69)</f>
        <v>6893.543459862989</v>
      </c>
      <c r="K10" s="168">
        <f>IF(K3&gt;'Project Assumtions'!$I$15+1,0,'Book Income Statement'!K69)</f>
        <v>6459.893801222669</v>
      </c>
      <c r="L10" s="168">
        <f>IF(L3&gt;'Project Assumtions'!$I$15+1,0,'Book Income Statement'!L69)</f>
        <v>6026.244142582349</v>
      </c>
      <c r="M10" s="168">
        <f>IF(M3&gt;'Project Assumtions'!$I$15+1,0,'Book Income Statement'!M69)</f>
        <v>5318.7417146625294</v>
      </c>
      <c r="N10" s="168">
        <f>IF(N3&gt;'Project Assumtions'!$I$15+1,0,'Book Income Statement'!N69)</f>
        <v>4421.0472723160192</v>
      </c>
      <c r="O10" s="168">
        <f>IF(O3&gt;'Project Assumtions'!$I$15+1,0,'Book Income Statement'!O69)</f>
        <v>4207.984753168259</v>
      </c>
      <c r="P10" s="168">
        <f>IF(P3&gt;'Project Assumtions'!$I$15+1,0,'Book Income Statement'!P69)</f>
        <v>3941.6566042335589</v>
      </c>
      <c r="Q10" s="168">
        <f>IF(Q3&gt;'Project Assumtions'!$I$15+1,0,'Book Income Statement'!Q69)</f>
        <v>3675.3284552988594</v>
      </c>
      <c r="R10" s="168">
        <f>IF(R3&gt;'Project Assumtions'!$I$15+1,0,'Book Income Statement'!R69)</f>
        <v>3409.0003063641598</v>
      </c>
      <c r="S10" s="168">
        <f>IF(S3&gt;'Project Assumtions'!$I$15+1,0,'Book Income Statement'!S69)</f>
        <v>3142.6721574294597</v>
      </c>
      <c r="T10" s="168">
        <f>IF(T3&gt;'Project Assumtions'!$I$15+1,0,'Book Income Statement'!T69)</f>
        <v>2876.3440084947601</v>
      </c>
      <c r="U10" s="168">
        <f>IF(U3&gt;'Project Assumtions'!$I$15+1,0,'Book Income Statement'!U69)</f>
        <v>2343.6877106253601</v>
      </c>
      <c r="V10" s="168">
        <f>IF(V3&gt;'Project Assumtions'!$I$15+1,0,'Book Income Statement'!V69)</f>
        <v>1704.5001531820801</v>
      </c>
      <c r="W10" s="168">
        <f>IF(W3&gt;'Project Assumtions'!$I$15+1,0,'Book Income Statement'!W69)</f>
        <v>905.51570637798011</v>
      </c>
      <c r="X10" s="168">
        <f>IF(X3&gt;'Project Assumtions'!$I$15+1,0,'Book Income Statement'!X69)</f>
        <v>0</v>
      </c>
      <c r="Y10" s="168">
        <f>IF(Y3&gt;'Project Assumtions'!$I$15+1,0,'Book Income Statement'!Y69)</f>
        <v>0</v>
      </c>
      <c r="Z10" s="168">
        <f>IF(Z3&gt;'Project Assumtions'!$I$15+1,0,'Book Income Statement'!Z69)</f>
        <v>0</v>
      </c>
      <c r="AA10" s="168">
        <f>IF(AA3&gt;'Project Assumtions'!$I$15+1,0,'Book Income Statement'!AA69)</f>
        <v>0</v>
      </c>
      <c r="AB10" s="777">
        <f>IF(AB3&gt;'Project Assumtions'!$I$15+1,0,'Book Income Statement'!AB69)</f>
        <v>0</v>
      </c>
      <c r="AC10" s="12"/>
      <c r="AD10" s="12"/>
      <c r="AF10" s="13"/>
      <c r="AU10" s="13"/>
    </row>
    <row r="11" spans="1:54" ht="12.6" customHeight="1">
      <c r="A11" s="774"/>
      <c r="B11" s="79"/>
      <c r="C11" s="773"/>
      <c r="D11" s="168"/>
      <c r="E11" s="168"/>
      <c r="F11" s="168"/>
      <c r="G11" s="168"/>
      <c r="H11" s="168"/>
      <c r="I11" s="168"/>
      <c r="J11" s="168"/>
      <c r="K11" s="168"/>
      <c r="L11" s="168"/>
      <c r="M11" s="168"/>
      <c r="N11" s="168"/>
      <c r="O11" s="168"/>
      <c r="P11" s="168"/>
      <c r="Q11" s="168"/>
      <c r="R11" s="168"/>
      <c r="S11" s="168"/>
      <c r="T11" s="168"/>
      <c r="U11" s="168"/>
      <c r="V11" s="168"/>
      <c r="W11" s="168"/>
      <c r="X11" s="168"/>
      <c r="Y11" s="168"/>
      <c r="Z11" s="168"/>
      <c r="AA11" s="168"/>
      <c r="AB11" s="777"/>
      <c r="AC11" s="27"/>
      <c r="AD11" s="27"/>
      <c r="AE11" s="27"/>
      <c r="AF11" s="27"/>
      <c r="AU11" s="13"/>
    </row>
    <row r="12" spans="1:54" ht="12.6" customHeight="1">
      <c r="A12" s="774" t="s">
        <v>29</v>
      </c>
      <c r="B12" s="79"/>
      <c r="C12" s="773">
        <f>SUM(D12:AD12)</f>
        <v>105624.03394576341</v>
      </c>
      <c r="D12" s="168">
        <f>'Debt Amortization'!E$52</f>
        <v>9363.5700284249997</v>
      </c>
      <c r="E12" s="168">
        <f>'Debt Amortization'!F$52</f>
        <v>9038.9501891910004</v>
      </c>
      <c r="F12" s="168">
        <f>'Debt Amortization'!G$52</f>
        <v>8714.3303499569993</v>
      </c>
      <c r="G12" s="168">
        <f>'Debt Amortization'!H$52</f>
        <v>8252.7841260832502</v>
      </c>
      <c r="H12" s="168">
        <f>'Debt Amortization'!I$52</f>
        <v>7654.3115175697494</v>
      </c>
      <c r="I12" s="168">
        <f>'Debt Amortization'!J$52</f>
        <v>7273.9274887163692</v>
      </c>
      <c r="J12" s="168">
        <f>'Debt Amortization'!K$52</f>
        <v>6893.543459862989</v>
      </c>
      <c r="K12" s="168">
        <f>'Debt Amortization'!L$52</f>
        <v>6459.893801222669</v>
      </c>
      <c r="L12" s="168">
        <f>'Debt Amortization'!M$52</f>
        <v>6026.244142582349</v>
      </c>
      <c r="M12" s="168">
        <f>'Debt Amortization'!N$52</f>
        <v>5318.7417146625294</v>
      </c>
      <c r="N12" s="168">
        <f>'Debt Amortization'!O$52</f>
        <v>4421.0472723160192</v>
      </c>
      <c r="O12" s="168">
        <f>'Debt Amortization'!P$52</f>
        <v>4207.984753168259</v>
      </c>
      <c r="P12" s="168">
        <f>'Debt Amortization'!Q$52</f>
        <v>3941.6566042335589</v>
      </c>
      <c r="Q12" s="168">
        <f>'Debt Amortization'!R$52</f>
        <v>3675.3284552988594</v>
      </c>
      <c r="R12" s="168">
        <f>'Debt Amortization'!S$52</f>
        <v>3409.0003063641598</v>
      </c>
      <c r="S12" s="168">
        <f>'Debt Amortization'!T$52</f>
        <v>3142.6721574294597</v>
      </c>
      <c r="T12" s="168">
        <f>'Debt Amortization'!U$52</f>
        <v>2876.3440084947601</v>
      </c>
      <c r="U12" s="168">
        <f>'Debt Amortization'!V$52</f>
        <v>2343.6877106253601</v>
      </c>
      <c r="V12" s="168">
        <f>'Debt Amortization'!W$52</f>
        <v>1704.5001531820801</v>
      </c>
      <c r="W12" s="168">
        <f>'Debt Amortization'!X$52</f>
        <v>905.51570637798011</v>
      </c>
      <c r="X12" s="168">
        <f>'Debt Amortization'!Y$52</f>
        <v>0</v>
      </c>
      <c r="Y12" s="168">
        <f>'Debt Amortization'!Z$52</f>
        <v>0</v>
      </c>
      <c r="Z12" s="168">
        <f>'Debt Amortization'!AA$52</f>
        <v>0</v>
      </c>
      <c r="AA12" s="168">
        <f>'Debt Amortization'!AB$52</f>
        <v>0</v>
      </c>
      <c r="AB12" s="777">
        <f>'Debt Amortization'!AC$52</f>
        <v>0</v>
      </c>
      <c r="AC12" s="12"/>
      <c r="AD12" s="12"/>
      <c r="AF12" s="13"/>
      <c r="AP12" s="14"/>
      <c r="AQ12" s="14"/>
      <c r="AR12" s="14"/>
      <c r="AS12" s="14"/>
      <c r="AU12" s="13"/>
    </row>
    <row r="13" spans="1:54" ht="12.6" customHeight="1">
      <c r="A13" s="553" t="s">
        <v>30</v>
      </c>
      <c r="B13" s="79"/>
      <c r="C13" s="712">
        <f>SUM(D13:AB13)</f>
        <v>120586.86450000001</v>
      </c>
      <c r="D13" s="778">
        <f>IF(D3&gt;'Project Assumtions'!$I$15+1,0,'Debt Amortization'!E$53)</f>
        <v>4823.4745800000001</v>
      </c>
      <c r="E13" s="778">
        <f>IF(E3&gt;'Project Assumtions'!$I$15+1,0,'Debt Amortization'!F$53)</f>
        <v>4823.4745800000001</v>
      </c>
      <c r="F13" s="778">
        <f>IF(F3&gt;'Project Assumtions'!$I$15+1,0,'Debt Amortization'!G$53)</f>
        <v>6632.2775474999999</v>
      </c>
      <c r="G13" s="778">
        <f>IF(G3&gt;'Project Assumtions'!$I$15+1,0,'Debt Amortization'!H$53)</f>
        <v>8441.0805149999997</v>
      </c>
      <c r="H13" s="778">
        <f>IF(H3&gt;'Project Assumtions'!$I$15+1,0,'Debt Amortization'!I$53)</f>
        <v>4919.9440715999999</v>
      </c>
      <c r="I13" s="778">
        <f>IF(I3&gt;'Project Assumtions'!$I$15+1,0,'Debt Amortization'!J$53)</f>
        <v>4919.9440715999999</v>
      </c>
      <c r="J13" s="778">
        <f>IF(J3&gt;'Project Assumtions'!$I$15+1,0,'Debt Amortization'!K$53)</f>
        <v>5571.1131398999996</v>
      </c>
      <c r="K13" s="778">
        <f>IF(K3&gt;'Project Assumtions'!$I$15+1,0,'Debt Amortization'!L$53)</f>
        <v>5571.1131398999996</v>
      </c>
      <c r="L13" s="778">
        <f>IF(L3&gt;'Project Assumtions'!$I$15+1,0,'Debt Amortization'!M$53)</f>
        <v>9188.7190749000001</v>
      </c>
      <c r="M13" s="778">
        <f>IF(M3&gt;'Project Assumtions'!$I$15+1,0,'Debt Amortization'!N$53)</f>
        <v>11648.6911107</v>
      </c>
      <c r="N13" s="778">
        <f>IF(N3&gt;'Project Assumtions'!$I$15+1,0,'Debt Amortization'!O$53)</f>
        <v>2604.6762732000002</v>
      </c>
      <c r="O13" s="778">
        <f>IF(O3&gt;'Project Assumtions'!$I$15+1,0,'Debt Amortization'!P$53)</f>
        <v>3255.8453415000004</v>
      </c>
      <c r="P13" s="778">
        <f>IF(P3&gt;'Project Assumtions'!$I$15+1,0,'Debt Amortization'!Q$53)</f>
        <v>3255.8453415000004</v>
      </c>
      <c r="Q13" s="778">
        <f>IF(Q3&gt;'Project Assumtions'!$I$15+1,0,'Debt Amortization'!R$53)</f>
        <v>3255.8453415000004</v>
      </c>
      <c r="R13" s="778">
        <f>IF(R3&gt;'Project Assumtions'!$I$15+1,0,'Debt Amortization'!S$53)</f>
        <v>3255.8453415000004</v>
      </c>
      <c r="S13" s="778">
        <f>IF(S3&gt;'Project Assumtions'!$I$15+1,0,'Debt Amortization'!T$53)</f>
        <v>3255.8453415000004</v>
      </c>
      <c r="T13" s="778">
        <f>IF(T3&gt;'Project Assumtions'!$I$15+1,0,'Debt Amortization'!U$53)</f>
        <v>6511.6906830000007</v>
      </c>
      <c r="U13" s="778">
        <f>IF(U3&gt;'Project Assumtions'!$I$15+1,0,'Debt Amortization'!V$53)</f>
        <v>7814.0288196000001</v>
      </c>
      <c r="V13" s="778">
        <f>IF(V3&gt;'Project Assumtions'!$I$15+1,0,'Debt Amortization'!W$53)</f>
        <v>9767.5360244999993</v>
      </c>
      <c r="W13" s="778">
        <f>IF(W3&gt;'Project Assumtions'!$I$15+1,0,'Debt Amortization'!X$53)</f>
        <v>11069.8741611</v>
      </c>
      <c r="X13" s="778">
        <f>IF(X3&gt;'Project Assumtions'!$I$15+1,0,'Debt Amortization'!Y$53)</f>
        <v>0</v>
      </c>
      <c r="Y13" s="778">
        <f>IF(Y3&gt;'Project Assumtions'!$I$15+1,0,'Debt Amortization'!Z$53)</f>
        <v>0</v>
      </c>
      <c r="Z13" s="778">
        <f>IF(Z3&gt;'Project Assumtions'!$I$15+1,0,'Debt Amortization'!AA$53)</f>
        <v>0</v>
      </c>
      <c r="AA13" s="778">
        <f>IF(AA3&gt;'Project Assumtions'!$I$15+1,0,'Debt Amortization'!AB$53)</f>
        <v>0</v>
      </c>
      <c r="AB13" s="779">
        <f>IF(AB3&gt;'Project Assumtions'!$I$15+1,0,'Debt Amortization'!AC$53)</f>
        <v>0</v>
      </c>
      <c r="AF13" s="13"/>
      <c r="AU13" s="13"/>
    </row>
    <row r="14" spans="1:54" ht="12.6" customHeight="1">
      <c r="A14" s="571" t="s">
        <v>132</v>
      </c>
      <c r="B14" s="79"/>
      <c r="C14" s="712"/>
      <c r="D14" s="168">
        <f>IF(D3&gt;'Project Assumtions'!$I$15+1,0,D6+D7+D8-D9+D10+D11-D12-D13)</f>
        <v>-2035.9451821544226</v>
      </c>
      <c r="E14" s="168">
        <f>IF(E3&gt;'Project Assumtions'!$I$15+1,0,E6+E7+E8-E9+E10+E11-E12-E13)</f>
        <v>6400.2180380692862</v>
      </c>
      <c r="F14" s="168">
        <f>IF(F3&gt;'Project Assumtions'!$I$15+1,0,F6+F7+F8-F9+F10+F11-F12-F13)</f>
        <v>4988.744880364944</v>
      </c>
      <c r="G14" s="168">
        <f>IF(G3&gt;'Project Assumtions'!$I$15+1,0,G6+G7+G8-G9+G10+G11-G12-G13)</f>
        <v>10976.747519202667</v>
      </c>
      <c r="H14" s="168">
        <f>IF(H3&gt;'Project Assumtions'!$I$15+1,0,H6+H7+H8-H9+H10+H11-H12-H13)</f>
        <v>21375.380230196191</v>
      </c>
      <c r="I14" s="168">
        <f>IF(I3&gt;'Project Assumtions'!$I$15+1,0,I6+I7+I8-I9+I10+I11-I12-I13)</f>
        <v>22719.13310502678</v>
      </c>
      <c r="J14" s="168">
        <f>IF(J3&gt;'Project Assumtions'!$I$15+1,0,J6+J7+J8-J9+J10+J11-J12-J13)</f>
        <v>22821.312925574603</v>
      </c>
      <c r="K14" s="168">
        <f>IF(K3&gt;'Project Assumtions'!$I$15+1,0,K6+K7+K8-K9+K10+K11-K12-K13)</f>
        <v>23580.823071294912</v>
      </c>
      <c r="L14" s="168">
        <f>IF(L3&gt;'Project Assumtions'!$I$15+1,0,L6+L7+L8-L9+L10+L11-L12-L13)</f>
        <v>20694.147499358645</v>
      </c>
      <c r="M14" s="168">
        <f>IF(M3&gt;'Project Assumtions'!$I$15+1,0,M6+M7+M8-M9+M10+M11-M12-M13)</f>
        <v>19271.571606065343</v>
      </c>
      <c r="N14" s="168">
        <f>IF(N3&gt;'Project Assumtions'!$I$15+1,0,N6+N7+N8-N9+N10+N11-N12-N13)</f>
        <v>29609.944466824876</v>
      </c>
      <c r="O14" s="168">
        <f>IF(O3&gt;'Project Assumtions'!$I$15+1,0,O6+O7+O8-O9+O10+O11-O12-O13)</f>
        <v>29554.801927543926</v>
      </c>
      <c r="P14" s="168">
        <f>IF(P3&gt;'Project Assumtions'!$I$15+1,0,P6+P7+P8-P9+P10+P11-P12-P13)</f>
        <v>30023.969877452761</v>
      </c>
      <c r="Q14" s="168">
        <f>IF(Q3&gt;'Project Assumtions'!$I$15+1,0,Q6+Q7+Q8-Q9+Q10+Q11-Q12-Q13)</f>
        <v>29868.133803668115</v>
      </c>
      <c r="R14" s="168">
        <f>IF(R3&gt;'Project Assumtions'!$I$15+1,0,R6+R7+R8-R9+R10+R11-R12-R13)</f>
        <v>30455.850906765507</v>
      </c>
      <c r="S14" s="168">
        <f>IF(S3&gt;'Project Assumtions'!$I$15+1,0,S6+S7+S8-S9+S10+S11-S12-S13)</f>
        <v>31029.119844054676</v>
      </c>
      <c r="T14" s="168">
        <f>IF(T3&gt;'Project Assumtions'!$I$15+1,0,T6+T7+T8-T9+T10+T11-T12-T13)</f>
        <v>28330.939134028362</v>
      </c>
      <c r="U14" s="168">
        <f>IF(U3&gt;'Project Assumtions'!$I$15+1,0,U6+U7+U8-U9+U10+U11-U12-U13)</f>
        <v>27835.776966962843</v>
      </c>
      <c r="V14" s="168">
        <f>IF(V3&gt;'Project Assumtions'!$I$15+1,0,V6+V7+V8-V9+V10+V11-V12-V13)</f>
        <v>26777.88896881057</v>
      </c>
      <c r="W14" s="168">
        <f>IF(W3&gt;'Project Assumtions'!$I$15+1,0,W6+W7+W8-W9+W10+W11-W12-W13)</f>
        <v>25580.655873162912</v>
      </c>
      <c r="X14" s="168">
        <f>IF(X3&gt;'Project Assumtions'!$I$15+1,0,X6+X7+X8-X9+X10+X11-X12-X13)</f>
        <v>13693.132621177567</v>
      </c>
      <c r="Y14" s="168">
        <f>IF(Y3&gt;'Project Assumtions'!$I$15+1,0,Y6+Y7+Y8-Y9+Y10+Y11-Y12-Y13)</f>
        <v>0</v>
      </c>
      <c r="Z14" s="168">
        <f>IF(Z3&gt;'Project Assumtions'!$I$15+1,0,Z6+Z7+Z8-Z9+Z10+Z11-Z12-Z13)</f>
        <v>0</v>
      </c>
      <c r="AA14" s="168">
        <f>IF(AA3&gt;'Project Assumtions'!$I$15+1,0,AA6+AA7+AA8-AA9+AA10+AA11-AA12-AA13)</f>
        <v>0</v>
      </c>
      <c r="AB14" s="777">
        <f>IF(AB3&gt;'Project Assumtions'!$I$15+1,0,AB6+AB7+AB8-AB9+AB10+AB11-AB12-AB13)</f>
        <v>0</v>
      </c>
      <c r="AC14" s="27">
        <f>IF(AC3&gt;'Project Assumtions'!$I$15,0,AC6+AC7+AC8-AC9+AC10+AC11-AC12-AC13)</f>
        <v>0</v>
      </c>
      <c r="AD14" s="27">
        <f>IF(AD3&gt;'Project Assumtions'!$I$15,0,AD6+AD7+AD8-AD9+AD10+AD11-AD12-AD13)</f>
        <v>0</v>
      </c>
      <c r="AE14" s="27">
        <f>IF(AE3&gt;'Project Assumtions'!$I$15,0,AE6+AE7+AE8-AE9+AE10+AE11-AE12-AE13)</f>
        <v>0</v>
      </c>
      <c r="AF14" s="27">
        <f>IF(AF3&gt;'Project Assumtions'!$I$15,0,AF6+AF7+AF8-AF9+AF10+AF11-AF12-AF13)</f>
        <v>0</v>
      </c>
      <c r="AG14" s="27">
        <f>IF(AG3&gt;'Project Assumtions'!$I$15,0,AG6+AG7+AG8-AG9+AG10+AG11-AG12-AG13)</f>
        <v>0</v>
      </c>
      <c r="AU14" s="13"/>
    </row>
    <row r="15" spans="1:54" ht="12.6" customHeight="1">
      <c r="A15" s="553"/>
      <c r="B15" s="79"/>
      <c r="C15" s="712"/>
      <c r="D15" s="168"/>
      <c r="E15" s="168"/>
      <c r="F15" s="168"/>
      <c r="G15" s="168"/>
      <c r="H15" s="168"/>
      <c r="I15" s="168"/>
      <c r="J15" s="168"/>
      <c r="K15" s="168"/>
      <c r="L15" s="168"/>
      <c r="M15" s="168"/>
      <c r="N15" s="168"/>
      <c r="O15" s="168"/>
      <c r="P15" s="168"/>
      <c r="Q15" s="168"/>
      <c r="R15" s="168"/>
      <c r="S15" s="168"/>
      <c r="T15" s="168"/>
      <c r="U15" s="168"/>
      <c r="V15" s="168"/>
      <c r="W15" s="168"/>
      <c r="X15" s="168"/>
      <c r="Y15" s="168"/>
      <c r="Z15" s="168"/>
      <c r="AA15" s="168"/>
      <c r="AB15" s="777"/>
      <c r="AF15" s="13"/>
      <c r="AU15" s="13"/>
    </row>
    <row r="16" spans="1:54" ht="12.6" customHeight="1">
      <c r="A16" s="553" t="s">
        <v>131</v>
      </c>
      <c r="B16" s="79"/>
      <c r="C16" s="712"/>
      <c r="D16" s="168">
        <v>0</v>
      </c>
      <c r="E16" s="168">
        <v>0</v>
      </c>
      <c r="F16" s="168">
        <v>0</v>
      </c>
      <c r="G16" s="168">
        <v>0</v>
      </c>
      <c r="H16" s="168">
        <v>0</v>
      </c>
      <c r="I16" s="168">
        <v>0</v>
      </c>
      <c r="J16" s="168">
        <v>0</v>
      </c>
      <c r="K16" s="168">
        <v>0</v>
      </c>
      <c r="L16" s="168">
        <v>0</v>
      </c>
      <c r="M16" s="168">
        <v>0</v>
      </c>
      <c r="N16" s="168">
        <v>0</v>
      </c>
      <c r="O16" s="168">
        <v>0</v>
      </c>
      <c r="P16" s="168">
        <v>0</v>
      </c>
      <c r="Q16" s="168">
        <v>0</v>
      </c>
      <c r="R16" s="168">
        <v>0</v>
      </c>
      <c r="S16" s="168">
        <v>0</v>
      </c>
      <c r="T16" s="168">
        <v>0</v>
      </c>
      <c r="U16" s="168">
        <v>0</v>
      </c>
      <c r="V16" s="168">
        <v>0</v>
      </c>
      <c r="W16" s="168">
        <v>0</v>
      </c>
      <c r="X16" s="168">
        <v>0</v>
      </c>
      <c r="Y16" s="168">
        <v>0</v>
      </c>
      <c r="Z16" s="168">
        <v>0</v>
      </c>
      <c r="AA16" s="168">
        <v>0</v>
      </c>
      <c r="AB16" s="777">
        <v>0</v>
      </c>
      <c r="AF16" s="13"/>
      <c r="AU16" s="13"/>
    </row>
    <row r="17" spans="1:47" s="15" customFormat="1" ht="12.6" customHeight="1">
      <c r="A17" s="553" t="s">
        <v>133</v>
      </c>
      <c r="B17" s="79"/>
      <c r="C17" s="773">
        <f>SUM(D17:AD17)</f>
        <v>0</v>
      </c>
      <c r="D17" s="168">
        <v>0</v>
      </c>
      <c r="E17" s="168">
        <v>0</v>
      </c>
      <c r="F17" s="168">
        <v>0</v>
      </c>
      <c r="G17" s="168">
        <v>0</v>
      </c>
      <c r="H17" s="168">
        <v>0</v>
      </c>
      <c r="I17" s="168">
        <v>0</v>
      </c>
      <c r="J17" s="168">
        <v>0</v>
      </c>
      <c r="K17" s="168">
        <v>0</v>
      </c>
      <c r="L17" s="168">
        <v>0</v>
      </c>
      <c r="M17" s="168">
        <v>0</v>
      </c>
      <c r="N17" s="168">
        <v>0</v>
      </c>
      <c r="O17" s="168">
        <v>0</v>
      </c>
      <c r="P17" s="168">
        <v>0</v>
      </c>
      <c r="Q17" s="168">
        <v>0</v>
      </c>
      <c r="R17" s="168">
        <v>0</v>
      </c>
      <c r="S17" s="168">
        <v>0</v>
      </c>
      <c r="T17" s="168">
        <v>0</v>
      </c>
      <c r="U17" s="168">
        <v>0</v>
      </c>
      <c r="V17" s="168">
        <v>0</v>
      </c>
      <c r="W17" s="168">
        <v>0</v>
      </c>
      <c r="X17" s="168">
        <v>0</v>
      </c>
      <c r="Y17" s="168">
        <v>0</v>
      </c>
      <c r="Z17" s="168">
        <v>0</v>
      </c>
      <c r="AA17" s="168">
        <v>0</v>
      </c>
      <c r="AB17" s="777">
        <v>0</v>
      </c>
      <c r="AF17" s="16"/>
      <c r="AU17" s="16"/>
    </row>
    <row r="18" spans="1:47" s="15" customFormat="1" ht="12.6" customHeight="1">
      <c r="A18" s="553" t="s">
        <v>134</v>
      </c>
      <c r="B18" s="79"/>
      <c r="C18" s="773"/>
      <c r="D18" s="168">
        <v>0</v>
      </c>
      <c r="E18" s="168">
        <v>0</v>
      </c>
      <c r="F18" s="168">
        <v>0</v>
      </c>
      <c r="G18" s="168">
        <v>0</v>
      </c>
      <c r="H18" s="168">
        <v>0</v>
      </c>
      <c r="I18" s="168">
        <v>0</v>
      </c>
      <c r="J18" s="168">
        <v>0</v>
      </c>
      <c r="K18" s="168">
        <v>0</v>
      </c>
      <c r="L18" s="168">
        <v>0</v>
      </c>
      <c r="M18" s="168">
        <v>0</v>
      </c>
      <c r="N18" s="168">
        <v>0</v>
      </c>
      <c r="O18" s="168">
        <v>0</v>
      </c>
      <c r="P18" s="168">
        <v>0</v>
      </c>
      <c r="Q18" s="168">
        <v>0</v>
      </c>
      <c r="R18" s="168">
        <v>0</v>
      </c>
      <c r="S18" s="168">
        <v>0</v>
      </c>
      <c r="T18" s="168">
        <v>0</v>
      </c>
      <c r="U18" s="168">
        <v>0</v>
      </c>
      <c r="V18" s="168">
        <v>0</v>
      </c>
      <c r="W18" s="168">
        <v>0</v>
      </c>
      <c r="X18" s="168">
        <v>0</v>
      </c>
      <c r="Y18" s="168">
        <v>0</v>
      </c>
      <c r="Z18" s="168">
        <v>0</v>
      </c>
      <c r="AA18" s="168">
        <v>0</v>
      </c>
      <c r="AB18" s="777">
        <v>0</v>
      </c>
      <c r="AF18" s="16"/>
      <c r="AU18" s="16"/>
    </row>
    <row r="19" spans="1:47" ht="12.6" customHeight="1">
      <c r="A19" s="553"/>
      <c r="B19" s="79"/>
      <c r="C19" s="773"/>
      <c r="D19" s="176"/>
      <c r="E19" s="79"/>
      <c r="F19" s="79"/>
      <c r="G19" s="79"/>
      <c r="H19" s="79"/>
      <c r="I19" s="79"/>
      <c r="J19" s="79"/>
      <c r="K19" s="79"/>
      <c r="L19" s="79"/>
      <c r="M19" s="79"/>
      <c r="N19" s="79"/>
      <c r="O19" s="79"/>
      <c r="P19" s="79"/>
      <c r="Q19" s="79"/>
      <c r="R19" s="79"/>
      <c r="S19" s="79"/>
      <c r="T19" s="79"/>
      <c r="U19" s="79"/>
      <c r="V19" s="79"/>
      <c r="W19" s="79"/>
      <c r="X19" s="79"/>
      <c r="Y19" s="79"/>
      <c r="Z19" s="79"/>
      <c r="AA19" s="79"/>
      <c r="AB19" s="556"/>
      <c r="AF19" s="13"/>
      <c r="AU19" s="13"/>
    </row>
    <row r="20" spans="1:47" ht="12.6" customHeight="1">
      <c r="A20" s="772" t="s">
        <v>31</v>
      </c>
      <c r="B20" s="780"/>
      <c r="C20" s="177">
        <f>SUM(C6:C13)</f>
        <v>905290.29813434172</v>
      </c>
      <c r="D20" s="164">
        <f>IF(D3&gt;'Project Assumtions'!$I$15+1,0,D6+D7+D8-D9+D10+D11-D12-D13-D17-D18-D16)</f>
        <v>-2035.9451821544226</v>
      </c>
      <c r="E20" s="164">
        <f>IF(E3&gt;'Project Assumtions'!$I$15+1,0,E6+E7+E8-E9+E10+E11-E12-E13-E17-E18-E16)</f>
        <v>6400.2180380692862</v>
      </c>
      <c r="F20" s="164">
        <f>IF(F3&gt;'Project Assumtions'!$I$15+1,0,F6+F7+F8-F9+F10+F11-F12-F13-F17-F18-F16)</f>
        <v>4988.744880364944</v>
      </c>
      <c r="G20" s="164">
        <f>IF(G3&gt;'Project Assumtions'!$I$15+1,0,G6+G7+G8-G9+G10+G11-G12-G13-G17-G18-G16)</f>
        <v>10976.747519202667</v>
      </c>
      <c r="H20" s="164">
        <f>IF(H3&gt;'Project Assumtions'!$I$15+1,0,H6+H7+H8-H9+H10+H11-H12-H13-H17-H18-H16)</f>
        <v>21375.380230196191</v>
      </c>
      <c r="I20" s="164">
        <f>IF(I3&gt;'Project Assumtions'!$I$15+1,0,I6+I7+I8-I9+I10+I11-I12-I13-I17-I18-I16)</f>
        <v>22719.13310502678</v>
      </c>
      <c r="J20" s="164">
        <f>IF(J3&gt;'Project Assumtions'!$I$15+1,0,J6+J7+J8-J9+J10+J11-J12-J13-J17-J18-J16)</f>
        <v>22821.312925574603</v>
      </c>
      <c r="K20" s="164">
        <f>IF(K3&gt;'Project Assumtions'!$I$15+1,0,K6+K7+K8-K9+K10+K11-K12-K13-K17-K18-K16)</f>
        <v>23580.823071294912</v>
      </c>
      <c r="L20" s="164">
        <f>IF(L3&gt;'Project Assumtions'!$I$15+1,0,L6+L7+L8-L9+L10+L11-L12-L13-L17-L18-L16)</f>
        <v>20694.147499358645</v>
      </c>
      <c r="M20" s="164">
        <f>IF(M3&gt;'Project Assumtions'!$I$15+1,0,M6+M7+M8-M9+M10+M11-M12-M13-M17-M18-M16)</f>
        <v>19271.571606065343</v>
      </c>
      <c r="N20" s="164">
        <f>IF(N3&gt;'Project Assumtions'!$I$15+1,0,N6+N7+N8-N9+N10+N11-N12-N13-N17-N18-N16)</f>
        <v>29609.944466824876</v>
      </c>
      <c r="O20" s="164">
        <f>IF(O3&gt;'Project Assumtions'!$I$15+1,0,O6+O7+O8-O9+O10+O11-O12-O13-O17-O18-O16)</f>
        <v>29554.801927543926</v>
      </c>
      <c r="P20" s="164">
        <f>IF(P3&gt;'Project Assumtions'!$I$15+1,0,P6+P7+P8-P9+P10+P11-P12-P13-P17-P18-P16)</f>
        <v>30023.969877452761</v>
      </c>
      <c r="Q20" s="164">
        <f>IF(Q3&gt;'Project Assumtions'!$I$15+1,0,Q6+Q7+Q8-Q9+Q10+Q11-Q12-Q13-Q17-Q18-Q16)</f>
        <v>29868.133803668115</v>
      </c>
      <c r="R20" s="164">
        <f>IF(R3&gt;'Project Assumtions'!$I$15+1,0,R6+R7+R8-R9+R10+R11-R12-R13-R17-R18-R16)</f>
        <v>30455.850906765507</v>
      </c>
      <c r="S20" s="164">
        <f>IF(S3&gt;'Project Assumtions'!$I$15+1,0,S6+S7+S8-S9+S10+S11-S12-S13-S17-S18-S16)</f>
        <v>31029.119844054676</v>
      </c>
      <c r="T20" s="164">
        <f>IF(T3&gt;'Project Assumtions'!$I$15+1,0,T6+T7+T8-T9+T10+T11-T12-T13-T17-T18-T16)</f>
        <v>28330.939134028362</v>
      </c>
      <c r="U20" s="164">
        <f>IF(U3&gt;'Project Assumtions'!$I$15+1,0,U6+U7+U8-U9+U10+U11-U12-U13-U17-U18-U16)</f>
        <v>27835.776966962843</v>
      </c>
      <c r="V20" s="164">
        <f>IF(V3&gt;'Project Assumtions'!$I$15+1,0,V6+V7+V8-V9+V10+V11-V12-V13-V17-V18-V16)</f>
        <v>26777.88896881057</v>
      </c>
      <c r="W20" s="164">
        <f>IF(W3&gt;'Project Assumtions'!$I$15+1,0,W6+W7+W8-W9+W10+W11-W12-W13-W17-W18-W16)</f>
        <v>25580.655873162912</v>
      </c>
      <c r="X20" s="164">
        <f>IF(X3&gt;'Project Assumtions'!$I$15+1,0,X6+X7+X8-X9+X10+X11-X12-X13-X17-X18-X16)</f>
        <v>13693.132621177567</v>
      </c>
      <c r="Y20" s="164">
        <f>IF(Y3&gt;'Project Assumtions'!$I$15+1,0,Y6+Y7+Y8-Y9+Y10+Y11-Y12-Y13-Y17-Y18-Y16)</f>
        <v>0</v>
      </c>
      <c r="Z20" s="164">
        <f>IF(Z3&gt;'Project Assumtions'!$I$15+1,0,Z6+Z7+Z8-Z9+Z10+Z11-Z12-Z13-Z17-Z18-Z16)</f>
        <v>0</v>
      </c>
      <c r="AA20" s="164">
        <f>IF(AA3&gt;'Project Assumtions'!$I$15+1,0,AA6+AA7+AA8-AA9+AA10+AA11-AA12-AA13-AA17-AA18-AA16)</f>
        <v>0</v>
      </c>
      <c r="AB20" s="775">
        <f>IF(AB3&gt;'Project Assumtions'!$I$15+1,0,AB6+AB7+AB8-AB9+AB10+AB11-AB12-AB13-AB17-AB18-AB16)</f>
        <v>0</v>
      </c>
      <c r="AC20" s="12"/>
      <c r="AD20" s="12"/>
      <c r="AF20" s="13"/>
      <c r="AP20" s="14"/>
      <c r="AQ20" s="14"/>
      <c r="AR20" s="14"/>
      <c r="AS20" s="14"/>
      <c r="AU20" s="13"/>
    </row>
    <row r="21" spans="1:47" s="17" customFormat="1" ht="12.6" customHeight="1">
      <c r="A21" s="553" t="s">
        <v>135</v>
      </c>
      <c r="B21" s="173"/>
      <c r="C21" s="781"/>
      <c r="D21" s="178">
        <f>'Tax Calculations'!D40+'Tax Calculations'!D55</f>
        <v>188.340226</v>
      </c>
      <c r="E21" s="178">
        <f>'Tax Calculations'!E40+'Tax Calculations'!E55</f>
        <v>305.53364568000001</v>
      </c>
      <c r="F21" s="178">
        <f>'Tax Calculations'!F40+'Tax Calculations'!F55</f>
        <v>306.57805505040005</v>
      </c>
      <c r="G21" s="178">
        <f>'Tax Calculations'!G40+'Tax Calculations'!G55</f>
        <v>485.22664943272241</v>
      </c>
      <c r="H21" s="178">
        <f>'Tax Calculations'!H40+'Tax Calculations'!H55</f>
        <v>3861.9085469838715</v>
      </c>
      <c r="I21" s="178">
        <f>'Tax Calculations'!I40+'Tax Calculations'!I55</f>
        <v>7186.5813870830898</v>
      </c>
      <c r="J21" s="178">
        <f>'Tax Calculations'!J40+'Tax Calculations'!J55</f>
        <v>7726.9559536982997</v>
      </c>
      <c r="K21" s="178">
        <f>'Tax Calculations'!K40+'Tax Calculations'!K55</f>
        <v>8017.0174469827944</v>
      </c>
      <c r="L21" s="178">
        <f>'Tax Calculations'!L40+'Tax Calculations'!L55</f>
        <v>8332.2733098025346</v>
      </c>
      <c r="M21" s="178">
        <f>'Tax Calculations'!M40+'Tax Calculations'!M55</f>
        <v>8773.0024936365207</v>
      </c>
      <c r="N21" s="178">
        <f>'Tax Calculations'!N40+'Tax Calculations'!N55</f>
        <v>9297.7381495713489</v>
      </c>
      <c r="O21" s="178">
        <f>'Tax Calculations'!O40+'Tax Calculations'!O55</f>
        <v>9462.1207875636574</v>
      </c>
      <c r="P21" s="178">
        <f>'Tax Calculations'!P40+'Tax Calculations'!P55</f>
        <v>9723.1221721829406</v>
      </c>
      <c r="Q21" s="178">
        <f>'Tax Calculations'!Q40+'Tax Calculations'!Q55</f>
        <v>9654.5957341748472</v>
      </c>
      <c r="R21" s="178">
        <f>'Tax Calculations'!R40+'Tax Calculations'!R55</f>
        <v>9896.4576232976142</v>
      </c>
      <c r="S21" s="178">
        <f>'Tax Calculations'!S40+'Tax Calculations'!S55</f>
        <v>11891.119900692995</v>
      </c>
      <c r="T21" s="178">
        <f>'Tax Calculations'!T40+'Tax Calculations'!T55</f>
        <v>13879.519389949332</v>
      </c>
      <c r="U21" s="178">
        <f>'Tax Calculations'!U40+'Tax Calculations'!U55</f>
        <v>14203.479465321996</v>
      </c>
      <c r="V21" s="178">
        <f>'Tax Calculations'!V40+'Tax Calculations'!V55</f>
        <v>14562.936233950197</v>
      </c>
      <c r="W21" s="178">
        <f>'Tax Calculations'!W40+'Tax Calculations'!W55</f>
        <v>14605.12014213642</v>
      </c>
      <c r="X21" s="178">
        <f>'Tax Calculations'!X40+'Tax Calculations'!X55</f>
        <v>4990.6445612251728</v>
      </c>
      <c r="Y21" s="178">
        <f>'Tax Calculations'!Y40+'Tax Calculations'!Y55</f>
        <v>0</v>
      </c>
      <c r="Z21" s="178">
        <f>'Tax Calculations'!Z40+'Tax Calculations'!Z55</f>
        <v>0</v>
      </c>
      <c r="AA21" s="178">
        <f>'Tax Calculations'!AA40+'Tax Calculations'!AA55</f>
        <v>0</v>
      </c>
      <c r="AB21" s="782">
        <f>'Tax Calculations'!AB40+'Tax Calculations'!AB55</f>
        <v>0</v>
      </c>
      <c r="AC21" s="19"/>
      <c r="AD21" s="19"/>
      <c r="AF21" s="18"/>
      <c r="AP21" s="18"/>
      <c r="AQ21" s="18"/>
      <c r="AR21" s="18"/>
      <c r="AS21" s="18"/>
      <c r="AU21" s="18"/>
    </row>
    <row r="22" spans="1:47" s="26" customFormat="1" ht="12.6" customHeight="1">
      <c r="A22" s="783" t="s">
        <v>32</v>
      </c>
      <c r="B22" s="784"/>
      <c r="C22" s="785">
        <f>C20-C21</f>
        <v>905290.29813434172</v>
      </c>
      <c r="D22" s="786">
        <f>IF(D3&gt;'Project Assumtions'!$I$15+1,0,D20-D21)</f>
        <v>-2224.2854081544224</v>
      </c>
      <c r="E22" s="786">
        <f>IF(E3&gt;'Project Assumtions'!$I$15+1,0,E20-E21)</f>
        <v>6094.6843923892866</v>
      </c>
      <c r="F22" s="786">
        <f>IF(F3&gt;'Project Assumtions'!$I$15+1,0,F20-F21)</f>
        <v>4682.1668253145435</v>
      </c>
      <c r="G22" s="786">
        <f>IF(G3&gt;'Project Assumtions'!$I$15+1,0,G20-G21)</f>
        <v>10491.520869769944</v>
      </c>
      <c r="H22" s="786">
        <f>IF(H3&gt;'Project Assumtions'!$I$15+1,0,H20-H21)</f>
        <v>17513.471683212319</v>
      </c>
      <c r="I22" s="786">
        <f>IF(I3&gt;'Project Assumtions'!$I$15+1,0,I20-I21)</f>
        <v>15532.55171794369</v>
      </c>
      <c r="J22" s="786">
        <f>IF(J3&gt;'Project Assumtions'!$I$15+1,0,J20-J21)</f>
        <v>15094.356971876303</v>
      </c>
      <c r="K22" s="786">
        <f>IF(K3&gt;'Project Assumtions'!$I$15+1,0,K20-K21)</f>
        <v>15563.805624312117</v>
      </c>
      <c r="L22" s="786">
        <f>IF(L3&gt;'Project Assumtions'!$I$15+1,0,L20-L21)</f>
        <v>12361.874189556111</v>
      </c>
      <c r="M22" s="786">
        <f>IF(M3&gt;'Project Assumtions'!$I$15+1,0,M20-M21)</f>
        <v>10498.569112428822</v>
      </c>
      <c r="N22" s="786">
        <f>IF(N3&gt;'Project Assumtions'!$I$15+1,0,N20-N21)</f>
        <v>20312.206317253527</v>
      </c>
      <c r="O22" s="786">
        <f>IF(O3&gt;'Project Assumtions'!$I$15+1,0,O20-O21)</f>
        <v>20092.681139980268</v>
      </c>
      <c r="P22" s="786">
        <f>IF(P3&gt;'Project Assumtions'!$I$15+1,0,P20-P21)</f>
        <v>20300.847705269822</v>
      </c>
      <c r="Q22" s="786">
        <f>IF(Q3&gt;'Project Assumtions'!$I$15+1,0,Q20-Q21)</f>
        <v>20213.538069493268</v>
      </c>
      <c r="R22" s="786">
        <f>IF(R3&gt;'Project Assumtions'!$I$15+1,0,R20-R21)</f>
        <v>20559.393283467893</v>
      </c>
      <c r="S22" s="786">
        <f>IF(S3&gt;'Project Assumtions'!$I$15+1,0,S20-S21)</f>
        <v>19137.999943361683</v>
      </c>
      <c r="T22" s="786">
        <f>IF(T3&gt;'Project Assumtions'!$I$15+1,0,T20-T21)</f>
        <v>14451.41974407903</v>
      </c>
      <c r="U22" s="786">
        <f>IF(U3&gt;'Project Assumtions'!$I$15+1,0,U20-U21)</f>
        <v>13632.297501640847</v>
      </c>
      <c r="V22" s="786">
        <f>IF(V3&gt;'Project Assumtions'!$I$15+1,0,V20-V21)</f>
        <v>12214.952734860373</v>
      </c>
      <c r="W22" s="786">
        <f>IF(W3&gt;'Project Assumtions'!$I$15+1,0,W20-W21)</f>
        <v>10975.535731026492</v>
      </c>
      <c r="X22" s="786">
        <f>IF(X3&gt;'Project Assumtions'!$I$15+1,0,X20-X21)</f>
        <v>8702.4880599523931</v>
      </c>
      <c r="Y22" s="786">
        <f>IF(Y3&gt;'Project Assumtions'!$I$15+1,0,Y20-Y21)</f>
        <v>0</v>
      </c>
      <c r="Z22" s="786">
        <f>IF(Z3&gt;'Project Assumtions'!$I$15+1,0,Z20-Z21)</f>
        <v>0</v>
      </c>
      <c r="AA22" s="786">
        <f>IF(AA3&gt;'Project Assumtions'!$I$15+1,0,AA20-AA21)</f>
        <v>0</v>
      </c>
      <c r="AB22" s="787">
        <f>IF(AB3&gt;'Project Assumtions'!$I$15+1,0,AB20-AB21)</f>
        <v>0</v>
      </c>
      <c r="AC22" s="28"/>
      <c r="AD22" s="28"/>
      <c r="AF22" s="29"/>
      <c r="AU22" s="29"/>
    </row>
    <row r="23" spans="1:47" s="17" customFormat="1" ht="12.6" customHeight="1">
      <c r="A23" s="77"/>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30"/>
      <c r="AD23" s="30"/>
    </row>
    <row r="25" spans="1:47" ht="12.6" customHeight="1">
      <c r="A25" s="788" t="s">
        <v>207</v>
      </c>
      <c r="B25" s="530"/>
      <c r="C25" s="530"/>
      <c r="D25" s="789"/>
      <c r="E25" s="530"/>
      <c r="F25" s="530"/>
      <c r="G25" s="530"/>
      <c r="H25" s="530"/>
      <c r="I25" s="530"/>
      <c r="J25" s="530"/>
      <c r="K25" s="530"/>
      <c r="L25" s="530"/>
      <c r="M25" s="530"/>
      <c r="N25" s="530"/>
      <c r="O25" s="530"/>
      <c r="P25" s="530"/>
      <c r="Q25" s="530"/>
      <c r="R25" s="530"/>
      <c r="S25" s="530"/>
      <c r="T25" s="530"/>
      <c r="U25" s="530"/>
      <c r="V25" s="530"/>
      <c r="W25" s="530"/>
      <c r="X25" s="530"/>
      <c r="Y25" s="530"/>
      <c r="Z25" s="530"/>
      <c r="AA25" s="530"/>
      <c r="AB25" s="629"/>
    </row>
    <row r="26" spans="1:47" ht="12.6" customHeight="1">
      <c r="A26" s="553"/>
      <c r="B26" s="714"/>
      <c r="C26" s="79"/>
      <c r="D26" s="790"/>
      <c r="E26" s="79"/>
      <c r="F26" s="79"/>
      <c r="G26" s="79"/>
      <c r="H26" s="79"/>
      <c r="I26" s="79"/>
      <c r="J26" s="79"/>
      <c r="K26" s="79"/>
      <c r="L26" s="79"/>
      <c r="M26" s="79"/>
      <c r="N26" s="79"/>
      <c r="O26" s="79"/>
      <c r="P26" s="79"/>
      <c r="Q26" s="79"/>
      <c r="R26" s="79"/>
      <c r="S26" s="79"/>
      <c r="T26" s="79"/>
      <c r="U26" s="79"/>
      <c r="V26" s="79"/>
      <c r="W26" s="79"/>
      <c r="X26" s="79"/>
      <c r="Y26" s="79"/>
      <c r="Z26" s="79"/>
      <c r="AA26" s="79"/>
      <c r="AB26" s="556"/>
    </row>
    <row r="27" spans="1:47" ht="12.6" customHeight="1">
      <c r="A27" s="553" t="s">
        <v>212</v>
      </c>
      <c r="B27" s="714"/>
      <c r="C27" s="79"/>
      <c r="D27" s="549">
        <f>+IF(OR(AND(D3&gt;'Project Assumtions'!$I$51,D30=0), 'Project Assumtions'!$I$51=0), 0, IF(D22&gt;0, D22, 0))</f>
        <v>0</v>
      </c>
      <c r="E27" s="549">
        <f>+IF(OR(AND(E3&gt;'Project Assumtions'!$I$51,E30=0), 'Project Assumtions'!$I$51=0), 0, IF(E22&gt;0, E22, 0))</f>
        <v>0</v>
      </c>
      <c r="F27" s="549">
        <f>+IF(OR(AND(F3&gt;'Project Assumtions'!$I$51,F30=0), 'Project Assumtions'!$I$51=0), 0, IF(F22&gt;0, F22, 0))</f>
        <v>0</v>
      </c>
      <c r="G27" s="549">
        <f>+IF(OR(AND(G3&gt;'Project Assumtions'!$I$51,G30=0), 'Project Assumtions'!$I$51=0), 0, IF(G22&gt;0, G22, 0))</f>
        <v>0</v>
      </c>
      <c r="H27" s="549">
        <f>+IF(OR(AND(H3&gt;'Project Assumtions'!$I$51,H30=0), 'Project Assumtions'!$I$51=0), 0, IF(H22&gt;0, H22, 0))</f>
        <v>0</v>
      </c>
      <c r="I27" s="549">
        <f>+IF(OR(AND(I3&gt;'Project Assumtions'!$I$51,I30=0), 'Project Assumtions'!$I$51=0), 0, IF(I22&gt;0, I22, 0))</f>
        <v>0</v>
      </c>
      <c r="J27" s="549">
        <f>+IF(OR(AND(J3&gt;'Project Assumtions'!$I$51,J30=0), 'Project Assumtions'!$I$51=0), 0, IF(J22&gt;0, J22, 0))</f>
        <v>0</v>
      </c>
      <c r="K27" s="549">
        <f>+IF(OR(AND(K3&gt;'Project Assumtions'!$I$51,K30=0), 'Project Assumtions'!$I$51=0), 0, IF(K22&gt;0, K22, 0))</f>
        <v>0</v>
      </c>
      <c r="L27" s="549">
        <f>+IF(OR(AND(L3&gt;'Project Assumtions'!$I$51,L30=0), 'Project Assumtions'!$I$51=0), 0, IF(L22&gt;0, L22, 0))</f>
        <v>0</v>
      </c>
      <c r="M27" s="549">
        <f>+IF(OR(AND(M3&gt;'Project Assumtions'!$I$51,M30=0), 'Project Assumtions'!$I$51=0), 0, IF(M22&gt;0, M22, 0))</f>
        <v>0</v>
      </c>
      <c r="N27" s="549">
        <f>+IF(OR(AND(N3&gt;'Project Assumtions'!$I$51,N30=0), 'Project Assumtions'!$I$51=0), 0, IF(N22&gt;0, N22, 0))</f>
        <v>0</v>
      </c>
      <c r="O27" s="549">
        <f>+IF(OR(AND(O3&gt;'Project Assumtions'!$I$51,O30=0), 'Project Assumtions'!$I$51=0), 0, IF(O22&gt;0, O22, 0))</f>
        <v>0</v>
      </c>
      <c r="P27" s="549">
        <f>+IF(OR(AND(P3&gt;'Project Assumtions'!$I$51,P30=0), 'Project Assumtions'!$I$51=0), 0, IF(P22&gt;0, P22, 0))</f>
        <v>0</v>
      </c>
      <c r="Q27" s="549">
        <f>+IF(OR(AND(Q3&gt;'Project Assumtions'!$I$51,Q30=0), 'Project Assumtions'!$I$51=0), 0, IF(Q22&gt;0, Q22, 0))</f>
        <v>0</v>
      </c>
      <c r="R27" s="549">
        <f>+IF(OR(AND(R3&gt;'Project Assumtions'!$I$51,R30=0), 'Project Assumtions'!$I$51=0), 0, IF(R22&gt;0, R22, 0))</f>
        <v>0</v>
      </c>
      <c r="S27" s="549">
        <f>+IF(OR(AND(S3&gt;'Project Assumtions'!$I$51,S30=0), 'Project Assumtions'!$I$51=0), 0, IF(S22&gt;0, S22, 0))</f>
        <v>0</v>
      </c>
      <c r="T27" s="549">
        <f>+IF(OR(AND(T3&gt;'Project Assumtions'!$I$51,T30=0), 'Project Assumtions'!$I$51=0), 0, IF(T22&gt;0, T22, 0))</f>
        <v>0</v>
      </c>
      <c r="U27" s="549">
        <f>+IF(OR(AND(U3&gt;'Project Assumtions'!$I$51,U30=0), 'Project Assumtions'!$I$51=0), 0, IF(U22&gt;0, U22, 0))</f>
        <v>0</v>
      </c>
      <c r="V27" s="549">
        <f>+IF(OR(AND(V3&gt;'Project Assumtions'!$I$51,V30=0), 'Project Assumtions'!$I$51=0), 0, IF(V22&gt;0, V22, 0))</f>
        <v>0</v>
      </c>
      <c r="W27" s="549">
        <f>+IF(OR(AND(W3&gt;'Project Assumtions'!$I$51,W30=0), 'Project Assumtions'!$I$51=0), 0, IF(W22&gt;0, W22, 0))</f>
        <v>0</v>
      </c>
      <c r="X27" s="549">
        <f>+IF(OR(AND(X3&gt;'Project Assumtions'!$I$51,X30=0), 'Project Assumtions'!$I$51=0), 0, IF(X22&gt;0, X22, 0))</f>
        <v>0</v>
      </c>
      <c r="Y27" s="549">
        <f>+IF(OR(AND(Y3&gt;'Project Assumtions'!$I$51,Y30=0), 'Project Assumtions'!$I$51=0), 0, IF(Y22&gt;0, Y22, 0))</f>
        <v>0</v>
      </c>
      <c r="Z27" s="549">
        <f>+IF(OR(AND(Z3&gt;'Project Assumtions'!$I$51,Z30=0), 'Project Assumtions'!$I$51=0), 0, IF(Z22&gt;0, Z22, 0))</f>
        <v>0</v>
      </c>
      <c r="AA27" s="549">
        <f>+IF(OR(AND(AA3&gt;'Project Assumtions'!$I$51,AA30=0), 'Project Assumtions'!$I$51=0), 0, IF(AA22&gt;0, AA22, 0))</f>
        <v>0</v>
      </c>
      <c r="AB27" s="791">
        <f>+IF(OR(AND(AB3&gt;'Project Assumtions'!$I$51,AB30=0), 'Project Assumtions'!$I$51=0), 0, IF(AB22&gt;0, AB22, 0))</f>
        <v>0</v>
      </c>
    </row>
    <row r="28" spans="1:47" ht="12.6" customHeight="1">
      <c r="A28" s="553" t="s">
        <v>97</v>
      </c>
      <c r="B28" s="792"/>
      <c r="C28" s="79"/>
      <c r="D28" s="170">
        <f>IF('Project Assumtions'!$I$51=0, 0, +'Project Assumtions'!$I$53)</f>
        <v>0</v>
      </c>
      <c r="E28" s="79"/>
      <c r="F28" s="79"/>
      <c r="G28" s="79"/>
      <c r="H28" s="79"/>
      <c r="I28" s="79"/>
      <c r="J28" s="79"/>
      <c r="K28" s="79"/>
      <c r="L28" s="79"/>
      <c r="M28" s="79"/>
      <c r="N28" s="79"/>
      <c r="O28" s="79"/>
      <c r="P28" s="79"/>
      <c r="Q28" s="79"/>
      <c r="R28" s="79"/>
      <c r="S28" s="79"/>
      <c r="T28" s="79"/>
      <c r="U28" s="79"/>
      <c r="V28" s="79"/>
      <c r="W28" s="79"/>
      <c r="X28" s="79"/>
      <c r="Y28" s="79"/>
      <c r="Z28" s="79"/>
      <c r="AA28" s="79"/>
      <c r="AB28" s="556"/>
    </row>
    <row r="29" spans="1:47" ht="12.6" customHeight="1">
      <c r="A29" s="553" t="s">
        <v>209</v>
      </c>
      <c r="B29" s="714"/>
      <c r="C29" s="79"/>
      <c r="D29" s="164">
        <f>D28*'Project Assumtions'!$I$52</f>
        <v>0</v>
      </c>
      <c r="E29" s="164">
        <f>+D32*'Project Assumtions'!$I$52</f>
        <v>0</v>
      </c>
      <c r="F29" s="164">
        <f>+E32*'Project Assumtions'!$I$52</f>
        <v>0</v>
      </c>
      <c r="G29" s="164">
        <f>+F32*'Project Assumtions'!$I$52</f>
        <v>0</v>
      </c>
      <c r="H29" s="164">
        <f>+G32*'Project Assumtions'!$I$52</f>
        <v>0</v>
      </c>
      <c r="I29" s="164">
        <f>+H32*'Project Assumtions'!$I$52</f>
        <v>0</v>
      </c>
      <c r="J29" s="164">
        <f>+I32*'Project Assumtions'!$I$52</f>
        <v>0</v>
      </c>
      <c r="K29" s="164">
        <f>+J32*'Project Assumtions'!$I$52</f>
        <v>0</v>
      </c>
      <c r="L29" s="164">
        <f>+K32*'Project Assumtions'!$I$52</f>
        <v>0</v>
      </c>
      <c r="M29" s="164">
        <f>+L32*'Project Assumtions'!$I$52</f>
        <v>0</v>
      </c>
      <c r="N29" s="164">
        <f>+M32*'Project Assumtions'!$I$52</f>
        <v>0</v>
      </c>
      <c r="O29" s="164">
        <f>+N32*'Project Assumtions'!$I$52</f>
        <v>0</v>
      </c>
      <c r="P29" s="164">
        <f>+O32*'Project Assumtions'!$I$52</f>
        <v>0</v>
      </c>
      <c r="Q29" s="164">
        <f>+P32*'Project Assumtions'!$I$52</f>
        <v>0</v>
      </c>
      <c r="R29" s="164">
        <f>+Q32*'Project Assumtions'!$I$52</f>
        <v>0</v>
      </c>
      <c r="S29" s="164">
        <f>+R32*'Project Assumtions'!$I$52</f>
        <v>0</v>
      </c>
      <c r="T29" s="164">
        <f>+S32*'Project Assumtions'!$I$52</f>
        <v>0</v>
      </c>
      <c r="U29" s="164">
        <f>+T32*'Project Assumtions'!$I$52</f>
        <v>0</v>
      </c>
      <c r="V29" s="164">
        <f>+U32*'Project Assumtions'!$I$52</f>
        <v>0</v>
      </c>
      <c r="W29" s="164">
        <f>+V32*'Project Assumtions'!$I$52</f>
        <v>0</v>
      </c>
      <c r="X29" s="164">
        <f>+W32*'Project Assumtions'!$I$52</f>
        <v>0</v>
      </c>
      <c r="Y29" s="164">
        <f>+X32*'Project Assumtions'!$I$52</f>
        <v>0</v>
      </c>
      <c r="Z29" s="164">
        <f>+Y32*'Project Assumtions'!$I$52</f>
        <v>0</v>
      </c>
      <c r="AA29" s="164">
        <f>+Z32*'Project Assumtions'!$I$52</f>
        <v>0</v>
      </c>
      <c r="AB29" s="775">
        <f>+AA32*'Project Assumtions'!$I$52</f>
        <v>0</v>
      </c>
    </row>
    <row r="30" spans="1:47" ht="12.6" customHeight="1">
      <c r="A30" s="553" t="s">
        <v>213</v>
      </c>
      <c r="B30" s="714"/>
      <c r="C30" s="793">
        <v>0</v>
      </c>
      <c r="D30" s="170">
        <f>+C30+D29</f>
        <v>0</v>
      </c>
      <c r="E30" s="794">
        <f>+D30-D31+E29</f>
        <v>0</v>
      </c>
      <c r="F30" s="794">
        <f>+E30-E31+F29</f>
        <v>0</v>
      </c>
      <c r="G30" s="794">
        <f>+F30-F31+G29</f>
        <v>0</v>
      </c>
      <c r="H30" s="794">
        <f t="shared" ref="H30:AB30" si="2">+G30-G31+H29</f>
        <v>0</v>
      </c>
      <c r="I30" s="794">
        <f t="shared" si="2"/>
        <v>0</v>
      </c>
      <c r="J30" s="794">
        <f t="shared" si="2"/>
        <v>0</v>
      </c>
      <c r="K30" s="794">
        <f t="shared" si="2"/>
        <v>0</v>
      </c>
      <c r="L30" s="794">
        <f t="shared" si="2"/>
        <v>0</v>
      </c>
      <c r="M30" s="794">
        <f t="shared" si="2"/>
        <v>0</v>
      </c>
      <c r="N30" s="794">
        <f t="shared" si="2"/>
        <v>0</v>
      </c>
      <c r="O30" s="794">
        <f t="shared" si="2"/>
        <v>0</v>
      </c>
      <c r="P30" s="794">
        <f t="shared" si="2"/>
        <v>0</v>
      </c>
      <c r="Q30" s="794">
        <f t="shared" si="2"/>
        <v>0</v>
      </c>
      <c r="R30" s="794">
        <f t="shared" si="2"/>
        <v>0</v>
      </c>
      <c r="S30" s="794">
        <f t="shared" si="2"/>
        <v>0</v>
      </c>
      <c r="T30" s="794">
        <f t="shared" si="2"/>
        <v>0</v>
      </c>
      <c r="U30" s="794">
        <f t="shared" si="2"/>
        <v>0</v>
      </c>
      <c r="V30" s="794">
        <f t="shared" si="2"/>
        <v>0</v>
      </c>
      <c r="W30" s="794">
        <f t="shared" si="2"/>
        <v>0</v>
      </c>
      <c r="X30" s="794">
        <f t="shared" si="2"/>
        <v>0</v>
      </c>
      <c r="Y30" s="794">
        <f t="shared" si="2"/>
        <v>0</v>
      </c>
      <c r="Z30" s="794">
        <f t="shared" si="2"/>
        <v>0</v>
      </c>
      <c r="AA30" s="794">
        <f t="shared" si="2"/>
        <v>0</v>
      </c>
      <c r="AB30" s="795">
        <f t="shared" si="2"/>
        <v>0</v>
      </c>
    </row>
    <row r="31" spans="1:47" ht="12.6" customHeight="1">
      <c r="A31" s="553" t="s">
        <v>210</v>
      </c>
      <c r="B31" s="79"/>
      <c r="C31" s="79"/>
      <c r="D31" s="173">
        <f>+IF(D27&gt;D30, D30, D27)</f>
        <v>0</v>
      </c>
      <c r="E31" s="173">
        <f>+IF(E27&gt;E30, E30, E27)</f>
        <v>0</v>
      </c>
      <c r="F31" s="173">
        <f>+IF(F27&gt;F30, F30, F27)</f>
        <v>0</v>
      </c>
      <c r="G31" s="173">
        <f>+IF(G27&gt;G30, G30, G27)</f>
        <v>0</v>
      </c>
      <c r="H31" s="173">
        <f t="shared" ref="H31:AB31" si="3">+IF(H27&gt;H30, H30, H27)</f>
        <v>0</v>
      </c>
      <c r="I31" s="173">
        <f t="shared" si="3"/>
        <v>0</v>
      </c>
      <c r="J31" s="173">
        <f t="shared" si="3"/>
        <v>0</v>
      </c>
      <c r="K31" s="173">
        <f t="shared" si="3"/>
        <v>0</v>
      </c>
      <c r="L31" s="173">
        <f t="shared" si="3"/>
        <v>0</v>
      </c>
      <c r="M31" s="173">
        <f t="shared" si="3"/>
        <v>0</v>
      </c>
      <c r="N31" s="173">
        <f t="shared" si="3"/>
        <v>0</v>
      </c>
      <c r="O31" s="173">
        <f t="shared" si="3"/>
        <v>0</v>
      </c>
      <c r="P31" s="173">
        <f t="shared" si="3"/>
        <v>0</v>
      </c>
      <c r="Q31" s="173">
        <f t="shared" si="3"/>
        <v>0</v>
      </c>
      <c r="R31" s="173">
        <f t="shared" si="3"/>
        <v>0</v>
      </c>
      <c r="S31" s="173">
        <f t="shared" si="3"/>
        <v>0</v>
      </c>
      <c r="T31" s="173">
        <f t="shared" si="3"/>
        <v>0</v>
      </c>
      <c r="U31" s="173">
        <f t="shared" si="3"/>
        <v>0</v>
      </c>
      <c r="V31" s="173">
        <f t="shared" si="3"/>
        <v>0</v>
      </c>
      <c r="W31" s="173">
        <f t="shared" si="3"/>
        <v>0</v>
      </c>
      <c r="X31" s="173">
        <f t="shared" si="3"/>
        <v>0</v>
      </c>
      <c r="Y31" s="173">
        <f t="shared" si="3"/>
        <v>0</v>
      </c>
      <c r="Z31" s="173">
        <f t="shared" si="3"/>
        <v>0</v>
      </c>
      <c r="AA31" s="173">
        <f t="shared" si="3"/>
        <v>0</v>
      </c>
      <c r="AB31" s="796">
        <f t="shared" si="3"/>
        <v>0</v>
      </c>
    </row>
    <row r="32" spans="1:47" ht="12.6" customHeight="1">
      <c r="A32" s="553" t="s">
        <v>211</v>
      </c>
      <c r="B32" s="79"/>
      <c r="C32" s="79"/>
      <c r="D32" s="794">
        <f>+IF(D3&lt;'Project Assumtions'!$I$51, 'Project Assumtions'!$I$53, 0)</f>
        <v>0</v>
      </c>
      <c r="E32" s="794">
        <f>+IF(E3&lt;'Project Assumtions'!$I$51, D32, 0)</f>
        <v>0</v>
      </c>
      <c r="F32" s="794">
        <f>+IF(F3&lt;'Project Assumtions'!$I$51, E32, 0)</f>
        <v>0</v>
      </c>
      <c r="G32" s="794">
        <f>+IF(G3&lt;'Project Assumtions'!$I$51, F32, 0)</f>
        <v>0</v>
      </c>
      <c r="H32" s="794">
        <f>+IF(H3&lt;'Project Assumtions'!$I$51, G32, 0)</f>
        <v>0</v>
      </c>
      <c r="I32" s="794">
        <f>+IF(I3&lt;'Project Assumtions'!$I$51, H32, 0)</f>
        <v>0</v>
      </c>
      <c r="J32" s="794">
        <f>+IF(J3&lt;'Project Assumtions'!$I$51, I32, 0)</f>
        <v>0</v>
      </c>
      <c r="K32" s="794">
        <f>+IF(K3&lt;'Project Assumtions'!$I$51, J32, 0)</f>
        <v>0</v>
      </c>
      <c r="L32" s="794">
        <f>+IF(L3&lt;'Project Assumtions'!$I$51, K32, 0)</f>
        <v>0</v>
      </c>
      <c r="M32" s="794">
        <f>+IF(M3&lt;'Project Assumtions'!$I$51, L32, 0)</f>
        <v>0</v>
      </c>
      <c r="N32" s="794">
        <f>+IF(N3&lt;'Project Assumtions'!$I$51, M32, 0)</f>
        <v>0</v>
      </c>
      <c r="O32" s="794">
        <f>+IF(O3&lt;'Project Assumtions'!$I$51, N32, 0)</f>
        <v>0</v>
      </c>
      <c r="P32" s="794">
        <f>+IF(P3&lt;'Project Assumtions'!$I$51, O32, 0)</f>
        <v>0</v>
      </c>
      <c r="Q32" s="794">
        <f>+IF(Q3&lt;'Project Assumtions'!$I$51, P32, 0)</f>
        <v>0</v>
      </c>
      <c r="R32" s="794">
        <f>+IF(R3&lt;'Project Assumtions'!$I$51, Q32, 0)</f>
        <v>0</v>
      </c>
      <c r="S32" s="794">
        <f>+IF(S3&lt;'Project Assumtions'!$I$51, R32, 0)</f>
        <v>0</v>
      </c>
      <c r="T32" s="794">
        <f>+IF(T3&lt;'Project Assumtions'!$I$51, S32, 0)</f>
        <v>0</v>
      </c>
      <c r="U32" s="794">
        <f>+IF(U3&lt;'Project Assumtions'!$I$51, T32, 0)</f>
        <v>0</v>
      </c>
      <c r="V32" s="794">
        <f>+IF(V3&lt;'Project Assumtions'!$I$51, U32, 0)</f>
        <v>0</v>
      </c>
      <c r="W32" s="794">
        <f>+IF(W3&lt;'Project Assumtions'!$I$51, V32, 0)</f>
        <v>0</v>
      </c>
      <c r="X32" s="794">
        <f>+IF(X3&lt;'Project Assumtions'!$I$51, W32, 0)</f>
        <v>0</v>
      </c>
      <c r="Y32" s="794">
        <f>+IF(Y3&lt;'Project Assumtions'!$I$51, X32, 0)</f>
        <v>0</v>
      </c>
      <c r="Z32" s="794">
        <f>+IF(Z3&lt;'Project Assumtions'!$I$51, Y32, 0)</f>
        <v>0</v>
      </c>
      <c r="AA32" s="794">
        <f>+IF(AA3&lt;'Project Assumtions'!$I$51, Z32, 0)</f>
        <v>0</v>
      </c>
      <c r="AB32" s="795">
        <f>+IF(AB3&lt;'Project Assumtions'!$I$51, AA32, 0)</f>
        <v>0</v>
      </c>
    </row>
    <row r="33" spans="1:47" ht="12.6" customHeight="1">
      <c r="A33" s="553"/>
      <c r="B33" s="79"/>
      <c r="C33" s="79"/>
      <c r="D33" s="79"/>
      <c r="E33" s="79"/>
      <c r="F33" s="79"/>
      <c r="G33" s="79"/>
      <c r="H33" s="79"/>
      <c r="I33" s="79"/>
      <c r="J33" s="79"/>
      <c r="K33" s="79"/>
      <c r="L33" s="79"/>
      <c r="M33" s="79"/>
      <c r="N33" s="79"/>
      <c r="O33" s="79"/>
      <c r="P33" s="79"/>
      <c r="Q33" s="79"/>
      <c r="R33" s="79"/>
      <c r="S33" s="79"/>
      <c r="T33" s="79"/>
      <c r="U33" s="79"/>
      <c r="V33" s="79"/>
      <c r="W33" s="79"/>
      <c r="X33" s="79"/>
      <c r="Y33" s="79"/>
      <c r="Z33" s="79"/>
      <c r="AA33" s="79"/>
      <c r="AB33" s="556"/>
    </row>
    <row r="34" spans="1:47" ht="12.6" customHeight="1">
      <c r="A34" s="571" t="s">
        <v>208</v>
      </c>
      <c r="B34" s="79"/>
      <c r="C34" s="79"/>
      <c r="D34" s="79"/>
      <c r="E34" s="79"/>
      <c r="F34" s="79"/>
      <c r="G34" s="79"/>
      <c r="H34" s="79"/>
      <c r="I34" s="79"/>
      <c r="J34" s="79"/>
      <c r="K34" s="79"/>
      <c r="L34" s="79"/>
      <c r="M34" s="79"/>
      <c r="N34" s="79"/>
      <c r="O34" s="79"/>
      <c r="P34" s="79"/>
      <c r="Q34" s="79"/>
      <c r="R34" s="79"/>
      <c r="S34" s="79"/>
      <c r="T34" s="79"/>
      <c r="U34" s="79"/>
      <c r="V34" s="79"/>
      <c r="W34" s="79"/>
      <c r="X34" s="79"/>
      <c r="Y34" s="79"/>
      <c r="Z34" s="79"/>
      <c r="AA34" s="79"/>
      <c r="AB34" s="556"/>
    </row>
    <row r="35" spans="1:47" ht="12.6" customHeight="1">
      <c r="A35" s="553"/>
      <c r="B35" s="79"/>
      <c r="C35" s="79"/>
      <c r="D35" s="79"/>
      <c r="E35" s="79"/>
      <c r="F35" s="79"/>
      <c r="G35" s="79"/>
      <c r="H35" s="79"/>
      <c r="I35" s="79"/>
      <c r="J35" s="79"/>
      <c r="K35" s="79"/>
      <c r="L35" s="79"/>
      <c r="M35" s="79"/>
      <c r="N35" s="79"/>
      <c r="O35" s="79"/>
      <c r="P35" s="79"/>
      <c r="Q35" s="79"/>
      <c r="R35" s="79"/>
      <c r="S35" s="79"/>
      <c r="T35" s="79"/>
      <c r="U35" s="79"/>
      <c r="V35" s="79"/>
      <c r="W35" s="79"/>
      <c r="X35" s="79"/>
      <c r="Y35" s="79"/>
      <c r="Z35" s="79"/>
      <c r="AA35" s="79"/>
      <c r="AB35" s="556"/>
    </row>
    <row r="36" spans="1:47" ht="12.6" customHeight="1">
      <c r="A36" s="589" t="s">
        <v>214</v>
      </c>
      <c r="B36" s="724"/>
      <c r="C36" s="724"/>
      <c r="D36" s="797">
        <f>+D22-D31+(D32-'Project Assumtions'!$I$53)</f>
        <v>-2224.2854081544224</v>
      </c>
      <c r="E36" s="798">
        <f t="shared" ref="E36:AB36" si="4">+E22-E31+(E32-D32)</f>
        <v>6094.6843923892866</v>
      </c>
      <c r="F36" s="798">
        <f t="shared" si="4"/>
        <v>4682.1668253145435</v>
      </c>
      <c r="G36" s="798">
        <f t="shared" si="4"/>
        <v>10491.520869769944</v>
      </c>
      <c r="H36" s="798">
        <f t="shared" si="4"/>
        <v>17513.471683212319</v>
      </c>
      <c r="I36" s="798">
        <f t="shared" si="4"/>
        <v>15532.55171794369</v>
      </c>
      <c r="J36" s="798">
        <f t="shared" si="4"/>
        <v>15094.356971876303</v>
      </c>
      <c r="K36" s="798">
        <f t="shared" si="4"/>
        <v>15563.805624312117</v>
      </c>
      <c r="L36" s="798">
        <f t="shared" si="4"/>
        <v>12361.874189556111</v>
      </c>
      <c r="M36" s="798">
        <f t="shared" si="4"/>
        <v>10498.569112428822</v>
      </c>
      <c r="N36" s="798">
        <f t="shared" si="4"/>
        <v>20312.206317253527</v>
      </c>
      <c r="O36" s="798">
        <f t="shared" si="4"/>
        <v>20092.681139980268</v>
      </c>
      <c r="P36" s="798">
        <f t="shared" si="4"/>
        <v>20300.847705269822</v>
      </c>
      <c r="Q36" s="798">
        <f t="shared" si="4"/>
        <v>20213.538069493268</v>
      </c>
      <c r="R36" s="798">
        <f t="shared" si="4"/>
        <v>20559.393283467893</v>
      </c>
      <c r="S36" s="798">
        <f t="shared" si="4"/>
        <v>19137.999943361683</v>
      </c>
      <c r="T36" s="798">
        <f t="shared" si="4"/>
        <v>14451.41974407903</v>
      </c>
      <c r="U36" s="798">
        <f t="shared" si="4"/>
        <v>13632.297501640847</v>
      </c>
      <c r="V36" s="798">
        <f t="shared" si="4"/>
        <v>12214.952734860373</v>
      </c>
      <c r="W36" s="798">
        <f t="shared" si="4"/>
        <v>10975.535731026492</v>
      </c>
      <c r="X36" s="798">
        <f t="shared" si="4"/>
        <v>8702.4880599523931</v>
      </c>
      <c r="Y36" s="798">
        <f t="shared" si="4"/>
        <v>0</v>
      </c>
      <c r="Z36" s="798">
        <f t="shared" si="4"/>
        <v>0</v>
      </c>
      <c r="AA36" s="798">
        <f t="shared" si="4"/>
        <v>0</v>
      </c>
      <c r="AB36" s="799">
        <f t="shared" si="4"/>
        <v>0</v>
      </c>
    </row>
    <row r="38" spans="1:47" ht="12.6" customHeight="1">
      <c r="D38" s="77"/>
      <c r="E38" s="77"/>
      <c r="F38" s="77"/>
      <c r="G38" s="77"/>
      <c r="H38" s="77"/>
      <c r="I38" s="77"/>
      <c r="J38" s="77"/>
      <c r="K38" s="77"/>
      <c r="L38" s="77"/>
      <c r="M38" s="77"/>
      <c r="N38" s="77"/>
      <c r="O38" s="77"/>
      <c r="P38" s="77"/>
      <c r="Q38" s="77"/>
      <c r="R38" s="77"/>
      <c r="S38" s="77"/>
      <c r="T38" s="77"/>
      <c r="U38" s="77"/>
      <c r="V38" s="77"/>
      <c r="W38" s="77"/>
      <c r="X38" s="77"/>
      <c r="Y38" s="77"/>
      <c r="Z38" s="77"/>
      <c r="AA38" s="77"/>
      <c r="AB38" s="77"/>
    </row>
    <row r="39" spans="1:47" ht="12.6" customHeight="1">
      <c r="D39" s="180"/>
    </row>
    <row r="42" spans="1:47" ht="12.6" customHeight="1">
      <c r="AF42" s="13"/>
      <c r="AU42" s="13"/>
    </row>
    <row r="43" spans="1:47" customFormat="1" ht="12.6" customHeight="1">
      <c r="A43" s="60"/>
      <c r="B43" s="60"/>
      <c r="C43" s="60"/>
      <c r="D43" s="60"/>
      <c r="E43" s="60"/>
      <c r="F43" s="60"/>
      <c r="G43" s="60"/>
      <c r="H43" s="60"/>
      <c r="I43" s="60"/>
      <c r="J43" s="60"/>
      <c r="K43" s="60"/>
      <c r="L43" s="60"/>
      <c r="M43" s="60"/>
      <c r="N43" s="60"/>
      <c r="O43" s="60"/>
      <c r="P43" s="60"/>
      <c r="Q43" s="60"/>
      <c r="R43" s="60"/>
      <c r="S43" s="60"/>
      <c r="T43" s="60"/>
      <c r="U43" s="60"/>
      <c r="V43" s="60"/>
      <c r="W43" s="60"/>
      <c r="X43" s="60"/>
      <c r="Y43" s="60"/>
      <c r="Z43" s="60"/>
      <c r="AA43" s="60"/>
      <c r="AB43" s="60"/>
    </row>
    <row r="44" spans="1:47" customFormat="1" ht="12.6" customHeight="1">
      <c r="A44" s="60"/>
      <c r="B44" s="60"/>
      <c r="C44" s="60"/>
      <c r="D44" s="60"/>
      <c r="E44" s="60"/>
      <c r="F44" s="60"/>
      <c r="G44" s="60"/>
      <c r="H44" s="60"/>
      <c r="I44" s="60"/>
      <c r="J44" s="60"/>
      <c r="K44" s="60"/>
      <c r="L44" s="60"/>
      <c r="M44" s="60"/>
      <c r="N44" s="60"/>
      <c r="O44" s="60"/>
      <c r="P44" s="60"/>
      <c r="Q44" s="60"/>
      <c r="R44" s="60"/>
      <c r="S44" s="60"/>
      <c r="T44" s="60"/>
      <c r="U44" s="60"/>
      <c r="V44" s="60"/>
      <c r="W44" s="60"/>
      <c r="X44" s="60"/>
      <c r="Y44" s="60"/>
      <c r="Z44" s="60"/>
      <c r="AA44" s="60"/>
      <c r="AB44" s="60"/>
    </row>
    <row r="45" spans="1:47" customFormat="1" ht="12.6" customHeight="1">
      <c r="A45" s="60"/>
      <c r="B45" s="60"/>
      <c r="C45" s="60"/>
      <c r="D45" s="60"/>
      <c r="E45" s="60"/>
      <c r="F45" s="60"/>
      <c r="G45" s="60"/>
      <c r="H45" s="60"/>
      <c r="I45" s="60"/>
      <c r="J45" s="60"/>
      <c r="K45" s="60"/>
      <c r="L45" s="60"/>
      <c r="M45" s="60"/>
      <c r="N45" s="60"/>
      <c r="O45" s="60"/>
      <c r="P45" s="60"/>
      <c r="Q45" s="60"/>
      <c r="R45" s="60"/>
      <c r="S45" s="60"/>
      <c r="T45" s="60"/>
      <c r="U45" s="60"/>
      <c r="V45" s="60"/>
      <c r="W45" s="60"/>
      <c r="X45" s="60"/>
      <c r="Y45" s="60"/>
      <c r="Z45" s="60"/>
      <c r="AA45" s="60"/>
      <c r="AB45" s="60"/>
    </row>
    <row r="46" spans="1:47" customFormat="1" ht="12.6" customHeight="1">
      <c r="A46" s="60"/>
      <c r="B46" s="60"/>
      <c r="C46" s="60"/>
      <c r="D46" s="60"/>
      <c r="E46" s="60"/>
      <c r="F46" s="60"/>
      <c r="G46" s="60"/>
      <c r="H46" s="60"/>
      <c r="I46" s="60"/>
      <c r="J46" s="60"/>
      <c r="K46" s="60"/>
      <c r="L46" s="60"/>
      <c r="M46" s="60"/>
      <c r="N46" s="60"/>
      <c r="O46" s="60"/>
      <c r="P46" s="60"/>
      <c r="Q46" s="60"/>
      <c r="R46" s="60"/>
      <c r="S46" s="60"/>
      <c r="T46" s="60"/>
      <c r="U46" s="60"/>
      <c r="V46" s="60"/>
      <c r="W46" s="60"/>
      <c r="X46" s="60"/>
      <c r="Y46" s="60"/>
      <c r="Z46" s="60"/>
      <c r="AA46" s="60"/>
      <c r="AB46" s="60"/>
    </row>
    <row r="47" spans="1:47" customFormat="1" ht="12.6" customHeight="1">
      <c r="A47" s="60"/>
      <c r="B47" s="60"/>
      <c r="C47" s="60"/>
      <c r="D47" s="60"/>
      <c r="E47" s="60"/>
      <c r="F47" s="60"/>
      <c r="G47" s="60"/>
      <c r="H47" s="60"/>
      <c r="I47" s="60"/>
      <c r="J47" s="60"/>
      <c r="K47" s="60"/>
      <c r="L47" s="60"/>
      <c r="M47" s="60"/>
      <c r="N47" s="60"/>
      <c r="O47" s="60"/>
      <c r="P47" s="60"/>
      <c r="Q47" s="60"/>
      <c r="R47" s="60"/>
      <c r="S47" s="60"/>
      <c r="T47" s="60"/>
      <c r="U47" s="60"/>
      <c r="V47" s="60"/>
      <c r="W47" s="60"/>
      <c r="X47" s="60"/>
      <c r="Y47" s="60"/>
      <c r="Z47" s="60"/>
      <c r="AA47" s="60"/>
      <c r="AB47" s="60"/>
    </row>
    <row r="48" spans="1:47" customFormat="1" ht="12.6" customHeight="1">
      <c r="A48" s="60"/>
      <c r="B48" s="60"/>
      <c r="C48" s="60"/>
      <c r="D48" s="60"/>
      <c r="E48" s="60"/>
      <c r="F48" s="60"/>
      <c r="G48" s="60"/>
      <c r="H48" s="60"/>
      <c r="I48" s="60"/>
      <c r="J48" s="60"/>
      <c r="K48" s="60"/>
      <c r="L48" s="60"/>
      <c r="M48" s="60"/>
      <c r="N48" s="60"/>
      <c r="O48" s="60"/>
      <c r="P48" s="60"/>
      <c r="Q48" s="60"/>
      <c r="R48" s="60"/>
      <c r="S48" s="60"/>
      <c r="T48" s="60"/>
      <c r="U48" s="60"/>
      <c r="V48" s="60"/>
      <c r="W48" s="60"/>
      <c r="X48" s="60"/>
      <c r="Y48" s="60"/>
      <c r="Z48" s="60"/>
      <c r="AA48" s="60"/>
      <c r="AB48" s="60"/>
    </row>
    <row r="49" spans="1:28" customFormat="1" ht="12.6" customHeight="1">
      <c r="A49" s="60"/>
      <c r="B49" s="60"/>
      <c r="C49" s="60"/>
      <c r="D49" s="60"/>
      <c r="E49" s="60"/>
      <c r="F49" s="60"/>
      <c r="G49" s="60"/>
      <c r="H49" s="60"/>
      <c r="I49" s="60"/>
      <c r="J49" s="60"/>
      <c r="K49" s="60"/>
      <c r="L49" s="60"/>
      <c r="M49" s="60"/>
      <c r="N49" s="60"/>
      <c r="O49" s="60"/>
      <c r="P49" s="60"/>
      <c r="Q49" s="60"/>
      <c r="R49" s="60"/>
      <c r="S49" s="60"/>
      <c r="T49" s="60"/>
      <c r="U49" s="60"/>
      <c r="V49" s="60"/>
      <c r="W49" s="60"/>
      <c r="X49" s="60"/>
      <c r="Y49" s="60"/>
      <c r="Z49" s="60"/>
      <c r="AA49" s="60"/>
      <c r="AB49" s="60"/>
    </row>
    <row r="50" spans="1:28" customFormat="1" ht="12.6" customHeight="1">
      <c r="A50" s="60"/>
      <c r="B50" s="60"/>
      <c r="C50" s="60"/>
      <c r="D50" s="60"/>
      <c r="E50" s="60"/>
      <c r="F50" s="60"/>
      <c r="G50" s="60"/>
      <c r="H50" s="60"/>
      <c r="I50" s="60"/>
      <c r="J50" s="60"/>
      <c r="K50" s="60"/>
      <c r="L50" s="60"/>
      <c r="M50" s="60"/>
      <c r="N50" s="60"/>
      <c r="O50" s="60"/>
      <c r="P50" s="60"/>
      <c r="Q50" s="60"/>
      <c r="R50" s="60"/>
      <c r="S50" s="60"/>
      <c r="T50" s="60"/>
      <c r="U50" s="60"/>
      <c r="V50" s="60"/>
      <c r="W50" s="60"/>
      <c r="X50" s="60"/>
      <c r="Y50" s="60"/>
      <c r="Z50" s="60"/>
      <c r="AA50" s="60"/>
      <c r="AB50" s="60"/>
    </row>
    <row r="51" spans="1:28" customFormat="1" ht="12.6" customHeight="1">
      <c r="A51" s="60"/>
      <c r="B51" s="60"/>
      <c r="C51" s="60"/>
      <c r="D51" s="60"/>
      <c r="E51" s="60"/>
      <c r="F51" s="60"/>
      <c r="G51" s="60"/>
      <c r="H51" s="60"/>
      <c r="I51" s="60"/>
      <c r="J51" s="60"/>
      <c r="K51" s="60"/>
      <c r="L51" s="60"/>
      <c r="M51" s="60"/>
      <c r="N51" s="60"/>
      <c r="O51" s="60"/>
      <c r="P51" s="60"/>
      <c r="Q51" s="60"/>
      <c r="R51" s="60"/>
      <c r="S51" s="60"/>
      <c r="T51" s="60"/>
      <c r="U51" s="60"/>
      <c r="V51" s="60"/>
      <c r="W51" s="60"/>
      <c r="X51" s="60"/>
      <c r="Y51" s="60"/>
      <c r="Z51" s="60"/>
      <c r="AA51" s="60"/>
      <c r="AB51" s="60"/>
    </row>
    <row r="52" spans="1:28" customFormat="1" ht="12.6" customHeight="1">
      <c r="A52" s="60"/>
      <c r="B52" s="60"/>
      <c r="C52" s="60"/>
      <c r="D52" s="60"/>
      <c r="E52" s="60"/>
      <c r="F52" s="60"/>
      <c r="G52" s="60"/>
      <c r="H52" s="60"/>
      <c r="I52" s="60"/>
      <c r="J52" s="60"/>
      <c r="K52" s="60"/>
      <c r="L52" s="60"/>
      <c r="M52" s="60"/>
      <c r="N52" s="60"/>
      <c r="O52" s="60"/>
      <c r="P52" s="60"/>
      <c r="Q52" s="60"/>
      <c r="R52" s="60"/>
      <c r="S52" s="60"/>
      <c r="T52" s="60"/>
      <c r="U52" s="60"/>
      <c r="V52" s="60"/>
      <c r="W52" s="60"/>
      <c r="X52" s="60"/>
      <c r="Y52" s="60"/>
      <c r="Z52" s="60"/>
      <c r="AA52" s="60"/>
      <c r="AB52" s="60"/>
    </row>
  </sheetData>
  <customSheetViews>
    <customSheetView guid="{9D7575BF-255B-11D2-8267-00A0D1027254}" showPageBreaks="1" printArea="1" showRuler="0" topLeftCell="A7">
      <selection activeCell="E19" sqref="E19"/>
      <colBreaks count="1" manualBreakCount="1">
        <brk id="15" max="37" man="1"/>
      </colBreaks>
      <pageMargins left="0.75" right="0.75" top="1" bottom="1" header="0.5" footer="0.5"/>
      <pageSetup scale="77" orientation="landscape" r:id="rId1"/>
      <headerFooter alignWithMargins="0">
        <oddFooter>&amp;L&amp;D   &amp;T&amp;RO:\Naes\GenSvcs\TVA\TVA Model\&amp;F
&amp;A &amp;P</oddFooter>
      </headerFooter>
    </customSheetView>
    <customSheetView guid="{773475A7-2559-11D2-A5F6-0060080AEB13}" showPageBreaks="1" showRuler="0" topLeftCell="A7">
      <selection activeCell="A26" sqref="A26"/>
      <colBreaks count="2" manualBreakCount="2">
        <brk id="16" max="34" man="1"/>
        <brk id="33" max="1048575" man="1"/>
      </colBreaks>
      <pageMargins left="0.41" right="0.38" top="1" bottom="1" header="0.5" footer="0.5"/>
      <pageSetup scale="80" pageOrder="overThenDown" orientation="landscape" r:id="rId2"/>
      <headerFooter alignWithMargins="0">
        <oddFooter>&amp;L&amp;D   &amp;T&amp;RO:\Naes\GenSvcs\Tva\Tva Models\&amp;F
&amp;A   &amp;P</oddFooter>
      </headerFooter>
    </customSheetView>
  </customSheetViews>
  <pageMargins left="0.25" right="0.25" top="0.25" bottom="0.5" header="0" footer="0"/>
  <pageSetup scale="44" orientation="landscape" r:id="rId3"/>
  <headerFooter alignWithMargins="0">
    <oddFooter>&amp;L&amp;D   &amp;T&amp;R&amp;F
&amp;A &amp;P</oddFooter>
  </headerFooter>
  <colBreaks count="1" manualBreakCount="1">
    <brk id="15" max="35" man="1"/>
  </colBreaks>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87</vt:i4>
      </vt:variant>
    </vt:vector>
  </HeadingPairs>
  <TitlesOfParts>
    <vt:vector size="101" baseType="lpstr">
      <vt:lpstr>Tracking sheet</vt:lpstr>
      <vt:lpstr>Value</vt:lpstr>
      <vt:lpstr>Project Assumtions</vt:lpstr>
      <vt:lpstr>PPA Assumptions &amp;Summary</vt:lpstr>
      <vt:lpstr>Operations</vt:lpstr>
      <vt:lpstr>Debt Amortization</vt:lpstr>
      <vt:lpstr>Returns Summary</vt:lpstr>
      <vt:lpstr>Book Income Statement</vt:lpstr>
      <vt:lpstr>Cash Flow Statement</vt:lpstr>
      <vt:lpstr>BS</vt:lpstr>
      <vt:lpstr>Tax Calculations</vt:lpstr>
      <vt:lpstr>Depreciation</vt:lpstr>
      <vt:lpstr>Interest During Construction</vt:lpstr>
      <vt:lpstr>Maintenance Reserves</vt:lpstr>
      <vt:lpstr>AnnualHours</vt:lpstr>
      <vt:lpstr>AssessedValueMultiplier</vt:lpstr>
      <vt:lpstr>BI</vt:lpstr>
      <vt:lpstr>BusnIInsr</vt:lpstr>
      <vt:lpstr>Cap_Factor_Energy</vt:lpstr>
      <vt:lpstr>CF</vt:lpstr>
      <vt:lpstr>CityTaxRate</vt:lpstr>
      <vt:lpstr>CountyMillageTaxRate</vt:lpstr>
      <vt:lpstr>Debt</vt:lpstr>
      <vt:lpstr>DebtTerm</vt:lpstr>
      <vt:lpstr>Deg_Rate</vt:lpstr>
      <vt:lpstr>Deprec</vt:lpstr>
      <vt:lpstr>Ebitda</vt:lpstr>
      <vt:lpstr>Energy_Margin</vt:lpstr>
      <vt:lpstr>FercMWh</vt:lpstr>
      <vt:lpstr>Fixed</vt:lpstr>
      <vt:lpstr>FracYr1</vt:lpstr>
      <vt:lpstr>Fuel_Start</vt:lpstr>
      <vt:lpstr>HeatRate</vt:lpstr>
      <vt:lpstr>idc</vt:lpstr>
      <vt:lpstr>inf_rate</vt:lpstr>
      <vt:lpstr>Int1</vt:lpstr>
      <vt:lpstr>Int2</vt:lpstr>
      <vt:lpstr>Int3</vt:lpstr>
      <vt:lpstr>InterestExpense</vt:lpstr>
      <vt:lpstr>ISO_NetMW</vt:lpstr>
      <vt:lpstr>Labor</vt:lpstr>
      <vt:lpstr>LiabInsr</vt:lpstr>
      <vt:lpstr>MAIN</vt:lpstr>
      <vt:lpstr>Main_Escal</vt:lpstr>
      <vt:lpstr>Main_Start</vt:lpstr>
      <vt:lpstr>Main_Table</vt:lpstr>
      <vt:lpstr>MainMWh</vt:lpstr>
      <vt:lpstr>NetMW</vt:lpstr>
      <vt:lpstr>OM_Escal</vt:lpstr>
      <vt:lpstr>Opcostescalation</vt:lpstr>
      <vt:lpstr>OpMachInsr</vt:lpstr>
      <vt:lpstr>ops</vt:lpstr>
      <vt:lpstr>Perc_Draw</vt:lpstr>
      <vt:lpstr>ppa</vt:lpstr>
      <vt:lpstr>PPA_Price</vt:lpstr>
      <vt:lpstr>PPACAPACITY</vt:lpstr>
      <vt:lpstr>PPAHours</vt:lpstr>
      <vt:lpstr>PPATerm</vt:lpstr>
      <vt:lpstr>principal</vt:lpstr>
      <vt:lpstr>Principal1</vt:lpstr>
      <vt:lpstr>Principal2</vt:lpstr>
      <vt:lpstr>Principal3</vt:lpstr>
      <vt:lpstr>'Book Income Statement'!Print_Area</vt:lpstr>
      <vt:lpstr>'Cash Flow Statement'!Print_Area</vt:lpstr>
      <vt:lpstr>'Debt Amortization'!Print_Area</vt:lpstr>
      <vt:lpstr>Depreciation!Print_Area</vt:lpstr>
      <vt:lpstr>'Maintenance Reserves'!Print_Area</vt:lpstr>
      <vt:lpstr>Operations!Print_Area</vt:lpstr>
      <vt:lpstr>'PPA Assumptions &amp;Summary'!Print_Area</vt:lpstr>
      <vt:lpstr>'Project Assumtions'!Print_Area</vt:lpstr>
      <vt:lpstr>'Returns Summary'!Print_Area</vt:lpstr>
      <vt:lpstr>'Tax Calculations'!Print_Area</vt:lpstr>
      <vt:lpstr>'Tracking sheet'!Print_Area</vt:lpstr>
      <vt:lpstr>'Book Income Statement'!Print_Titles</vt:lpstr>
      <vt:lpstr>'Cash Flow Statement'!Print_Titles</vt:lpstr>
      <vt:lpstr>'Debt Amortization'!Print_Titles</vt:lpstr>
      <vt:lpstr>Depreciation!Print_Titles</vt:lpstr>
      <vt:lpstr>'Maintenance Reserves'!Print_Titles</vt:lpstr>
      <vt:lpstr>Operations!Print_Titles</vt:lpstr>
      <vt:lpstr>'PPA Assumptions &amp;Summary'!Print_Titles</vt:lpstr>
      <vt:lpstr>'Project Assumtions'!Print_Titles</vt:lpstr>
      <vt:lpstr>'Returns Summary'!Print_Titles</vt:lpstr>
      <vt:lpstr>'Tax Calculations'!Print_Titles</vt:lpstr>
      <vt:lpstr>'Tracking sheet'!Print_Titles</vt:lpstr>
      <vt:lpstr>Pro_Ass</vt:lpstr>
      <vt:lpstr>ProjectLife</vt:lpstr>
      <vt:lpstr>Returns</vt:lpstr>
      <vt:lpstr>s</vt:lpstr>
      <vt:lpstr>SchoolMillageTaxRate</vt:lpstr>
      <vt:lpstr>StartDate</vt:lpstr>
      <vt:lpstr>Tax</vt:lpstr>
      <vt:lpstr>Term1</vt:lpstr>
      <vt:lpstr>Term2</vt:lpstr>
      <vt:lpstr>Term3</vt:lpstr>
      <vt:lpstr>TVA_hours</vt:lpstr>
      <vt:lpstr>Variable</vt:lpstr>
      <vt:lpstr>VariableMwh</vt:lpstr>
      <vt:lpstr>VEP</vt:lpstr>
      <vt:lpstr>VEP_ESCAL</vt:lpstr>
      <vt:lpstr>WaterMWh</vt:lpstr>
      <vt:lpstr>WaterTreatmentVar</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ECT</dc:creator>
  <cp:lastModifiedBy>Havlíček Jan</cp:lastModifiedBy>
  <cp:lastPrinted>1999-12-15T20:32:32Z</cp:lastPrinted>
  <dcterms:created xsi:type="dcterms:W3CDTF">1997-11-13T01:38:26Z</dcterms:created>
  <dcterms:modified xsi:type="dcterms:W3CDTF">2023-09-10T11:57:37Z</dcterms:modified>
</cp:coreProperties>
</file>