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Gleason!$A$1:$X$72</definedName>
    <definedName name="_xlnm.Print_Area" localSheetId="5">Wheatland!$A$1:$W$79</definedName>
    <definedName name="_xlnm.Print_Area" localSheetId="3">Wilton!$A$1:$W$76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W2" i="9"/>
  <c r="W3" i="9"/>
  <c r="P10" i="9"/>
  <c r="V10" i="9"/>
  <c r="W10" i="9"/>
  <c r="T11" i="9"/>
  <c r="V11" i="9"/>
  <c r="W11" i="9"/>
  <c r="Y11" i="9"/>
  <c r="Z11" i="9"/>
  <c r="P12" i="9"/>
  <c r="S12" i="9"/>
  <c r="W12" i="9"/>
  <c r="Y12" i="9"/>
  <c r="Z12" i="9"/>
  <c r="N13" i="9"/>
  <c r="O13" i="9"/>
  <c r="P13" i="9"/>
  <c r="Q13" i="9"/>
  <c r="R13" i="9"/>
  <c r="S13" i="9"/>
  <c r="T13" i="9"/>
  <c r="U13" i="9"/>
  <c r="V13" i="9"/>
  <c r="W13" i="9"/>
  <c r="Y13" i="9"/>
  <c r="Z13" i="9"/>
  <c r="P14" i="9"/>
  <c r="Q14" i="9"/>
  <c r="R14" i="9"/>
  <c r="S14" i="9"/>
  <c r="T14" i="9"/>
  <c r="U14" i="9"/>
  <c r="V14" i="9"/>
  <c r="W14" i="9"/>
  <c r="Y14" i="9"/>
  <c r="Z14" i="9"/>
  <c r="W15" i="9"/>
  <c r="Y15" i="9"/>
  <c r="Z15" i="9"/>
  <c r="P16" i="9"/>
  <c r="Q16" i="9"/>
  <c r="R16" i="9"/>
  <c r="S16" i="9"/>
  <c r="T16" i="9"/>
  <c r="U16" i="9"/>
  <c r="V16" i="9"/>
  <c r="W16" i="9"/>
  <c r="Y16" i="9"/>
  <c r="Z16" i="9"/>
  <c r="P17" i="9"/>
  <c r="Q17" i="9"/>
  <c r="R17" i="9"/>
  <c r="S17" i="9"/>
  <c r="T17" i="9"/>
  <c r="U17" i="9"/>
  <c r="V17" i="9"/>
  <c r="W17" i="9"/>
  <c r="Y17" i="9"/>
  <c r="Z17" i="9"/>
  <c r="P18" i="9"/>
  <c r="Q18" i="9"/>
  <c r="R18" i="9"/>
  <c r="S18" i="9"/>
  <c r="T18" i="9"/>
  <c r="U18" i="9"/>
  <c r="V18" i="9"/>
  <c r="W18" i="9"/>
  <c r="Y18" i="9"/>
  <c r="Z18" i="9"/>
  <c r="P19" i="9"/>
  <c r="Q19" i="9"/>
  <c r="R19" i="9"/>
  <c r="S19" i="9"/>
  <c r="T19" i="9"/>
  <c r="U19" i="9"/>
  <c r="V19" i="9"/>
  <c r="W19" i="9"/>
  <c r="Y19" i="9"/>
  <c r="Z19" i="9"/>
  <c r="W20" i="9"/>
  <c r="Y20" i="9"/>
  <c r="Z20" i="9"/>
  <c r="W21" i="9"/>
  <c r="Z21" i="9"/>
  <c r="V22" i="9"/>
  <c r="W22" i="9"/>
  <c r="Y22" i="9"/>
  <c r="Z22" i="9"/>
  <c r="W23" i="9"/>
  <c r="Y23" i="9"/>
  <c r="Z23" i="9"/>
  <c r="W24" i="9"/>
  <c r="Y24" i="9"/>
  <c r="Z24" i="9"/>
  <c r="W25" i="9"/>
  <c r="X25" i="9"/>
  <c r="W26" i="9"/>
  <c r="Y26" i="9"/>
  <c r="Z26" i="9"/>
  <c r="P27" i="9"/>
  <c r="W27" i="9"/>
  <c r="Y27" i="9"/>
  <c r="Z27" i="9"/>
  <c r="W28" i="9"/>
  <c r="X28" i="9"/>
  <c r="Y28" i="9"/>
  <c r="Z28" i="9"/>
  <c r="W29" i="9"/>
  <c r="Z29" i="9"/>
  <c r="W30" i="9"/>
  <c r="Y30" i="9"/>
  <c r="Z30" i="9"/>
  <c r="Q31" i="9"/>
  <c r="R31" i="9"/>
  <c r="V31" i="9"/>
  <c r="W31" i="9"/>
  <c r="P32" i="9"/>
  <c r="Q32" i="9"/>
  <c r="S32" i="9"/>
  <c r="T32" i="9"/>
  <c r="W32" i="9"/>
  <c r="P33" i="9"/>
  <c r="Q33" i="9"/>
  <c r="R33" i="9"/>
  <c r="W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6" i="9"/>
  <c r="W38" i="9"/>
  <c r="L39" i="9"/>
  <c r="O39" i="9"/>
  <c r="P39" i="9"/>
  <c r="Q39" i="9"/>
  <c r="R39" i="9"/>
  <c r="S39" i="9"/>
  <c r="T39" i="9"/>
  <c r="U39" i="9"/>
  <c r="V39" i="9"/>
  <c r="W39" i="9"/>
  <c r="X39" i="9"/>
  <c r="W40" i="9"/>
  <c r="X40" i="9"/>
  <c r="W41" i="9"/>
  <c r="V42" i="9"/>
  <c r="W42" i="9"/>
  <c r="X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50" i="9"/>
  <c r="W54" i="9"/>
  <c r="X54" i="9"/>
  <c r="C56" i="9"/>
  <c r="D56" i="9"/>
  <c r="E56" i="9"/>
  <c r="F56" i="9"/>
  <c r="G56" i="9"/>
  <c r="H56" i="9"/>
  <c r="I56" i="9"/>
  <c r="J56" i="9"/>
  <c r="K56" i="9"/>
  <c r="M56" i="9"/>
  <c r="N56" i="9"/>
  <c r="O56" i="9"/>
  <c r="P56" i="9"/>
  <c r="Q56" i="9"/>
  <c r="R56" i="9"/>
  <c r="S56" i="9"/>
  <c r="T56" i="9"/>
  <c r="U56" i="9"/>
  <c r="V56" i="9"/>
  <c r="W56" i="9"/>
  <c r="H61" i="9"/>
  <c r="L61" i="9"/>
  <c r="W61" i="9"/>
  <c r="Z61" i="9"/>
  <c r="AA61" i="9"/>
  <c r="AB61" i="9"/>
  <c r="L62" i="9"/>
  <c r="W62" i="9"/>
  <c r="Z62" i="9"/>
  <c r="AA62" i="9"/>
  <c r="AB62" i="9"/>
  <c r="L63" i="9"/>
  <c r="W63" i="9"/>
  <c r="Z63" i="9"/>
  <c r="AB63" i="9"/>
  <c r="F64" i="9"/>
  <c r="L64" i="9"/>
  <c r="W64" i="9"/>
  <c r="Z64" i="9"/>
  <c r="AA64" i="9"/>
  <c r="AB64" i="9"/>
  <c r="H65" i="9"/>
  <c r="L65" i="9"/>
  <c r="W65" i="9"/>
  <c r="Z65" i="9"/>
  <c r="AA65" i="9"/>
  <c r="AB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O68" i="9"/>
  <c r="W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W73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V2" i="7"/>
  <c r="V3" i="7"/>
  <c r="P10" i="7"/>
  <c r="U10" i="7"/>
  <c r="V10" i="7"/>
  <c r="X10" i="7"/>
  <c r="Y10" i="7"/>
  <c r="M11" i="7"/>
  <c r="V11" i="7"/>
  <c r="X11" i="7"/>
  <c r="Y11" i="7"/>
  <c r="O12" i="7"/>
  <c r="P12" i="7"/>
  <c r="Q12" i="7"/>
  <c r="R12" i="7"/>
  <c r="S12" i="7"/>
  <c r="T12" i="7"/>
  <c r="U12" i="7"/>
  <c r="V12" i="7"/>
  <c r="X12" i="7"/>
  <c r="Y12" i="7"/>
  <c r="O13" i="7"/>
  <c r="P13" i="7"/>
  <c r="Q13" i="7"/>
  <c r="R13" i="7"/>
  <c r="S13" i="7"/>
  <c r="T13" i="7"/>
  <c r="U13" i="7"/>
  <c r="V13" i="7"/>
  <c r="X13" i="7"/>
  <c r="Y13" i="7"/>
  <c r="O14" i="7"/>
  <c r="P14" i="7"/>
  <c r="Q14" i="7"/>
  <c r="R14" i="7"/>
  <c r="S14" i="7"/>
  <c r="T14" i="7"/>
  <c r="U14" i="7"/>
  <c r="V14" i="7"/>
  <c r="X14" i="7"/>
  <c r="Y14" i="7"/>
  <c r="O15" i="7"/>
  <c r="P15" i="7"/>
  <c r="Q15" i="7"/>
  <c r="R15" i="7"/>
  <c r="S15" i="7"/>
  <c r="T15" i="7"/>
  <c r="U15" i="7"/>
  <c r="V15" i="7"/>
  <c r="X15" i="7"/>
  <c r="Y15" i="7"/>
  <c r="V16" i="7"/>
  <c r="X16" i="7"/>
  <c r="Y16" i="7"/>
  <c r="V17" i="7"/>
  <c r="Y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X18" i="7"/>
  <c r="Y18" i="7"/>
  <c r="J19" i="7"/>
  <c r="K19" i="7"/>
  <c r="L19" i="7"/>
  <c r="N19" i="7"/>
  <c r="O19" i="7"/>
  <c r="P19" i="7"/>
  <c r="Q19" i="7"/>
  <c r="R19" i="7"/>
  <c r="S19" i="7"/>
  <c r="T19" i="7"/>
  <c r="U19" i="7"/>
  <c r="V19" i="7"/>
  <c r="X19" i="7"/>
  <c r="Y19" i="7"/>
  <c r="V20" i="7"/>
  <c r="X20" i="7"/>
  <c r="Y20" i="7"/>
  <c r="U21" i="7"/>
  <c r="V21" i="7"/>
  <c r="Y21" i="7"/>
  <c r="U22" i="7"/>
  <c r="V22" i="7"/>
  <c r="X22" i="7"/>
  <c r="Y22" i="7"/>
  <c r="V23" i="7"/>
  <c r="W23" i="7"/>
  <c r="X23" i="7"/>
  <c r="Y23" i="7"/>
  <c r="L24" i="7"/>
  <c r="V24" i="7"/>
  <c r="X24" i="7"/>
  <c r="Y24" i="7"/>
  <c r="V25" i="7"/>
  <c r="W25" i="7"/>
  <c r="S26" i="7"/>
  <c r="V26" i="7"/>
  <c r="X26" i="7"/>
  <c r="Y26" i="7"/>
  <c r="V27" i="7"/>
  <c r="X27" i="7"/>
  <c r="Y27" i="7"/>
  <c r="V28" i="7"/>
  <c r="W28" i="7"/>
  <c r="X28" i="7"/>
  <c r="Y28" i="7"/>
  <c r="V29" i="7"/>
  <c r="Y29" i="7"/>
  <c r="V30" i="7"/>
  <c r="X30" i="7"/>
  <c r="Y30" i="7"/>
  <c r="U31" i="7"/>
  <c r="V31" i="7"/>
  <c r="I32" i="7"/>
  <c r="J32" i="7"/>
  <c r="L32" i="7"/>
  <c r="M32" i="7"/>
  <c r="O32" i="7"/>
  <c r="V32" i="7"/>
  <c r="W32" i="7"/>
  <c r="O33" i="7"/>
  <c r="U33" i="7"/>
  <c r="V33" i="7"/>
  <c r="W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6" i="7"/>
  <c r="G38" i="7"/>
  <c r="V38" i="7"/>
  <c r="F39" i="7"/>
  <c r="I39" i="7"/>
  <c r="J39" i="7"/>
  <c r="K39" i="7"/>
  <c r="O39" i="7"/>
  <c r="P39" i="7"/>
  <c r="Q39" i="7"/>
  <c r="R39" i="7"/>
  <c r="S39" i="7"/>
  <c r="T39" i="7"/>
  <c r="U39" i="7"/>
  <c r="V39" i="7"/>
  <c r="W39" i="7"/>
  <c r="X39" i="7"/>
  <c r="V40" i="7"/>
  <c r="W40" i="7"/>
  <c r="V41" i="7"/>
  <c r="U42" i="7"/>
  <c r="V42" i="7"/>
  <c r="W42" i="7"/>
  <c r="X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8" i="7"/>
  <c r="V52" i="7"/>
  <c r="W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V59" i="7"/>
  <c r="W59" i="7"/>
  <c r="X59" i="7"/>
  <c r="Y59" i="7"/>
  <c r="Z59" i="7"/>
  <c r="V60" i="7"/>
  <c r="W60" i="7"/>
  <c r="X60" i="7"/>
  <c r="Y60" i="7"/>
  <c r="Z60" i="7"/>
  <c r="V61" i="7"/>
  <c r="X61" i="7"/>
  <c r="Y61" i="7"/>
  <c r="Z61" i="7"/>
  <c r="V62" i="7"/>
  <c r="W62" i="7"/>
  <c r="X62" i="7"/>
  <c r="Y62" i="7"/>
  <c r="Z62" i="7"/>
  <c r="V63" i="7"/>
  <c r="W63" i="7"/>
  <c r="X63" i="7"/>
  <c r="Y63" i="7"/>
  <c r="Z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M66" i="7"/>
  <c r="N66" i="7"/>
  <c r="V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V70" i="7"/>
  <c r="W70" i="7"/>
  <c r="V71" i="7"/>
  <c r="W71" i="7"/>
  <c r="V72" i="7"/>
  <c r="W72" i="7"/>
  <c r="V73" i="7"/>
  <c r="W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V79" i="7"/>
  <c r="V2" i="5"/>
  <c r="V3" i="5"/>
  <c r="N10" i="5"/>
  <c r="O10" i="5"/>
  <c r="V10" i="5"/>
  <c r="X10" i="5"/>
  <c r="Y10" i="5"/>
  <c r="J11" i="5"/>
  <c r="V11" i="5"/>
  <c r="W11" i="5"/>
  <c r="X11" i="5"/>
  <c r="Y11" i="5"/>
  <c r="U12" i="5"/>
  <c r="V12" i="5"/>
  <c r="W12" i="5"/>
  <c r="X12" i="5"/>
  <c r="Y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J14" i="5"/>
  <c r="K14" i="5"/>
  <c r="L14" i="5"/>
  <c r="N14" i="5"/>
  <c r="O14" i="5"/>
  <c r="P14" i="5"/>
  <c r="Q14" i="5"/>
  <c r="R14" i="5"/>
  <c r="S14" i="5"/>
  <c r="T14" i="5"/>
  <c r="U14" i="5"/>
  <c r="V14" i="5"/>
  <c r="W14" i="5"/>
  <c r="X14" i="5"/>
  <c r="Y14" i="5"/>
  <c r="V15" i="5"/>
  <c r="W15" i="5"/>
  <c r="X15" i="5"/>
  <c r="Y15" i="5"/>
  <c r="O16" i="5"/>
  <c r="P16" i="5"/>
  <c r="Q16" i="5"/>
  <c r="R16" i="5"/>
  <c r="S16" i="5"/>
  <c r="T16" i="5"/>
  <c r="U16" i="5"/>
  <c r="V16" i="5"/>
  <c r="W16" i="5"/>
  <c r="X16" i="5"/>
  <c r="Y16" i="5"/>
  <c r="O17" i="5"/>
  <c r="P17" i="5"/>
  <c r="Q17" i="5"/>
  <c r="R17" i="5"/>
  <c r="S17" i="5"/>
  <c r="T17" i="5"/>
  <c r="U17" i="5"/>
  <c r="V17" i="5"/>
  <c r="W17" i="5"/>
  <c r="X17" i="5"/>
  <c r="Y17" i="5"/>
  <c r="O18" i="5"/>
  <c r="P18" i="5"/>
  <c r="Q18" i="5"/>
  <c r="R18" i="5"/>
  <c r="S18" i="5"/>
  <c r="T18" i="5"/>
  <c r="U18" i="5"/>
  <c r="V18" i="5"/>
  <c r="W18" i="5"/>
  <c r="X18" i="5"/>
  <c r="Y18" i="5"/>
  <c r="O19" i="5"/>
  <c r="P19" i="5"/>
  <c r="Q19" i="5"/>
  <c r="R19" i="5"/>
  <c r="S19" i="5"/>
  <c r="T19" i="5"/>
  <c r="U19" i="5"/>
  <c r="V19" i="5"/>
  <c r="W19" i="5"/>
  <c r="X19" i="5"/>
  <c r="Y19" i="5"/>
  <c r="V20" i="5"/>
  <c r="W20" i="5"/>
  <c r="X20" i="5"/>
  <c r="Y20" i="5"/>
  <c r="V21" i="5"/>
  <c r="W21" i="5"/>
  <c r="Y21" i="5"/>
  <c r="U22" i="5"/>
  <c r="V22" i="5"/>
  <c r="X22" i="5"/>
  <c r="Y22" i="5"/>
  <c r="U23" i="5"/>
  <c r="V23" i="5"/>
  <c r="W23" i="5"/>
  <c r="X23" i="5"/>
  <c r="Y23" i="5"/>
  <c r="G24" i="5"/>
  <c r="V24" i="5"/>
  <c r="X24" i="5"/>
  <c r="Y24" i="5"/>
  <c r="O25" i="5"/>
  <c r="V25" i="5"/>
  <c r="W25" i="5"/>
  <c r="P26" i="5"/>
  <c r="V26" i="5"/>
  <c r="X26" i="5"/>
  <c r="Y26" i="5"/>
  <c r="V27" i="5"/>
  <c r="X27" i="5"/>
  <c r="Y27" i="5"/>
  <c r="V28" i="5"/>
  <c r="W28" i="5"/>
  <c r="X28" i="5"/>
  <c r="Y28" i="5"/>
  <c r="V29" i="5"/>
  <c r="X29" i="5"/>
  <c r="Y29" i="5"/>
  <c r="O30" i="5"/>
  <c r="P30" i="5"/>
  <c r="Q30" i="5"/>
  <c r="R30" i="5"/>
  <c r="S30" i="5"/>
  <c r="U30" i="5"/>
  <c r="V30" i="5"/>
  <c r="I31" i="5"/>
  <c r="J31" i="5"/>
  <c r="L31" i="5"/>
  <c r="O31" i="5"/>
  <c r="P31" i="5"/>
  <c r="V31" i="5"/>
  <c r="S32" i="5"/>
  <c r="V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5" i="5"/>
  <c r="G37" i="5"/>
  <c r="V37" i="5"/>
  <c r="F38" i="5"/>
  <c r="I38" i="5"/>
  <c r="J38" i="5"/>
  <c r="K38" i="5"/>
  <c r="O38" i="5"/>
  <c r="P38" i="5"/>
  <c r="Q38" i="5"/>
  <c r="R38" i="5"/>
  <c r="S38" i="5"/>
  <c r="T38" i="5"/>
  <c r="U38" i="5"/>
  <c r="V38" i="5"/>
  <c r="W38" i="5"/>
  <c r="V39" i="5"/>
  <c r="W39" i="5"/>
  <c r="K40" i="5"/>
  <c r="V40" i="5"/>
  <c r="V41" i="5"/>
  <c r="W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7" i="5"/>
  <c r="V51" i="5"/>
  <c r="W51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V58" i="5"/>
  <c r="X58" i="5"/>
  <c r="Y58" i="5"/>
  <c r="Z58" i="5"/>
  <c r="E59" i="5"/>
  <c r="F59" i="5"/>
  <c r="G59" i="5"/>
  <c r="I59" i="5"/>
  <c r="J59" i="5"/>
  <c r="V59" i="5"/>
  <c r="W59" i="5"/>
  <c r="X59" i="5"/>
  <c r="Y59" i="5"/>
  <c r="Z59" i="5"/>
  <c r="V60" i="5"/>
  <c r="W60" i="5"/>
  <c r="X60" i="5"/>
  <c r="Y60" i="5"/>
  <c r="Z60" i="5"/>
  <c r="V61" i="5"/>
  <c r="W61" i="5"/>
  <c r="X61" i="5"/>
  <c r="Y61" i="5"/>
  <c r="Z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H64" i="5"/>
  <c r="K64" i="5"/>
  <c r="L64" i="5"/>
  <c r="M64" i="5"/>
  <c r="N64" i="5"/>
  <c r="V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V68" i="5"/>
  <c r="W68" i="5"/>
  <c r="E69" i="5"/>
  <c r="F69" i="5"/>
  <c r="V69" i="5"/>
  <c r="W69" i="5"/>
  <c r="V70" i="5"/>
  <c r="W70" i="5"/>
  <c r="V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V76" i="5"/>
</calcChain>
</file>

<file path=xl/comments1.xml><?xml version="1.0" encoding="utf-8"?>
<comments xmlns="http://schemas.openxmlformats.org/spreadsheetml/2006/main">
  <authors>
    <author>Shelly May</author>
  </authors>
  <commentList>
    <comment ref="V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<sst xmlns="http://schemas.openxmlformats.org/spreadsheetml/2006/main" count="586" uniqueCount="127">
  <si>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</si>
  <si>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</si>
  <si>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</si>
  <si>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</si>
  <si>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</si>
  <si>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</si>
  <si>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</si>
  <si>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</si>
  <si>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</si>
  <si>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</si>
  <si>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</si>
  <si>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</si>
  <si>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</si>
  <si>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</si>
  <si>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</si>
  <si>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</si>
  <si>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</si>
  <si>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</si>
  <si>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</si>
  <si>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</si>
  <si>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</si>
  <si>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</si>
  <si>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</si>
  <si>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</si>
  <si>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</si>
  <si>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</si>
  <si>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</si>
  <si>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</si>
  <si>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</si>
  <si>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</si>
  <si>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</si>
  <si>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</si>
  <si>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</si>
  <si>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</si>
  <si>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</si>
  <si>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</si>
  <si>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</si>
  <si>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</si>
  <si>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</si>
  <si>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</si>
  <si>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</si>
  <si>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</si>
  <si>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</si>
  <si>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</si>
  <si>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</si>
  <si>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</si>
  <si>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</si>
  <si>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</si>
  <si>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</si>
  <si>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</si>
  <si>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</si>
  <si>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</si>
  <si>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</si>
  <si>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</si>
  <si>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</si>
  <si>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</si>
  <si>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</si>
  <si>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</si>
  <si>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</si>
  <si>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</si>
  <si>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</si>
  <si>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</si>
  <si>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</si>
  <si>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</si>
  <si>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</si>
  <si>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</si>
  <si>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</si>
  <si>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</si>
  <si>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</si>
  <si>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</si>
  <si>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</si>
  <si>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</si>
  <si>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</si>
  <si>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</si>
  <si>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</si>
  <si>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</si>
  <si>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</si>
  <si>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</si>
  <si>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</si>
  <si>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</si>
  <si>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</si>
  <si>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</si>
  <si>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</si>
  <si>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</si>
  <si>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</si>
  <si>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</si>
  <si>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</si>
  <si>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</si>
  <si>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</si>
  <si>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</si>
  <si>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</si>
  <si>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</si>
  <si>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</si>
  <si>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</si>
  <si>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</si>
  <si>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</si>
  <si>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</si>
  <si>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</si>
  <si>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</si>
  <si>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</si>
  <si>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</si>
  <si>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</si>
  <si>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</si>
  <si>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</si>
  <si>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</si>
  <si>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</si>
  <si>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</si>
  <si>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</si>
  <si>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</si>
  <si>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</si>
  <si>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</si>
  <si>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</si>
  <si>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</si>
  <si>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</si>
  <si>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</si>
  <si>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</si>
  <si>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</si>
  <si>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</si>
  <si>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</si>
  <si>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</si>
  <si>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</si>
  <si>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</si>
  <si>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</si>
  <si>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</si>
  <si>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</si>
  <si>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</si>
  <si>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3,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</si>
</sst>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1214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12328422</v>
          </cell>
        </row>
        <row r="81">
          <cell r="BR81">
            <v>8059115</v>
          </cell>
        </row>
        <row r="114">
          <cell r="BR114">
            <v>32919642</v>
          </cell>
        </row>
        <row r="119">
          <cell r="BR119">
            <v>5336759</v>
          </cell>
        </row>
        <row r="126">
          <cell r="BR126">
            <v>940200</v>
          </cell>
        </row>
        <row r="127">
          <cell r="BR127">
            <v>2824800</v>
          </cell>
        </row>
        <row r="128">
          <cell r="BR128">
            <v>3066700</v>
          </cell>
        </row>
        <row r="142">
          <cell r="BR142">
            <v>9479079</v>
          </cell>
        </row>
        <row r="151">
          <cell r="BR151">
            <v>908786</v>
          </cell>
        </row>
        <row r="157">
          <cell r="BR157">
            <v>500000</v>
          </cell>
        </row>
        <row r="159">
          <cell r="BR159">
            <v>1253881</v>
          </cell>
        </row>
        <row r="166">
          <cell r="BR166">
            <v>2305818.14</v>
          </cell>
        </row>
        <row r="173">
          <cell r="BR173">
            <v>400000</v>
          </cell>
        </row>
        <row r="175">
          <cell r="BR175">
            <v>1000000</v>
          </cell>
        </row>
        <row r="177">
          <cell r="BR177">
            <v>6500000</v>
          </cell>
        </row>
        <row r="183">
          <cell r="BR183">
            <v>1500000</v>
          </cell>
        </row>
        <row r="185">
          <cell r="BR185">
            <v>266248.5</v>
          </cell>
        </row>
        <row r="187">
          <cell r="BR187">
            <v>200000</v>
          </cell>
        </row>
        <row r="196">
          <cell r="BR196">
            <v>847631.41999999993</v>
          </cell>
        </row>
        <row r="202">
          <cell r="BR202">
            <v>256751</v>
          </cell>
        </row>
        <row r="218">
          <cell r="AN218">
            <v>52217</v>
          </cell>
        </row>
        <row r="234">
          <cell r="BR234">
            <v>251611255.62346172</v>
          </cell>
        </row>
      </sheetData>
      <sheetData sheetId="6">
        <row r="216">
          <cell r="BT216">
            <v>754115.06333333324</v>
          </cell>
        </row>
      </sheetData>
      <sheetData sheetId="7">
        <row r="16">
          <cell r="BT16">
            <v>95323101</v>
          </cell>
        </row>
        <row r="35">
          <cell r="BT35">
            <v>5893811</v>
          </cell>
        </row>
        <row r="59">
          <cell r="BT59">
            <v>14950614</v>
          </cell>
        </row>
        <row r="87">
          <cell r="BT87">
            <v>5163899</v>
          </cell>
        </row>
        <row r="119">
          <cell r="BT119">
            <v>12396887</v>
          </cell>
        </row>
        <row r="124">
          <cell r="BT124">
            <v>12059700</v>
          </cell>
        </row>
        <row r="131">
          <cell r="BT131">
            <v>929800</v>
          </cell>
        </row>
        <row r="132">
          <cell r="BT132">
            <v>2840700</v>
          </cell>
        </row>
        <row r="133">
          <cell r="BT133">
            <v>3066700</v>
          </cell>
        </row>
        <row r="165">
          <cell r="BT165">
            <v>908786</v>
          </cell>
        </row>
        <row r="171">
          <cell r="BT171">
            <v>675000</v>
          </cell>
        </row>
        <row r="173">
          <cell r="BT173">
            <v>1247007</v>
          </cell>
        </row>
        <row r="180">
          <cell r="BT180">
            <v>369041</v>
          </cell>
        </row>
        <row r="190">
          <cell r="BT190">
            <v>540000</v>
          </cell>
        </row>
        <row r="197">
          <cell r="BT197">
            <v>2200000</v>
          </cell>
        </row>
        <row r="199">
          <cell r="BT199">
            <v>1100000</v>
          </cell>
        </row>
        <row r="205">
          <cell r="BT205">
            <v>500000</v>
          </cell>
        </row>
        <row r="207">
          <cell r="BT207">
            <v>200935.25</v>
          </cell>
        </row>
        <row r="209">
          <cell r="BT209">
            <v>200000</v>
          </cell>
        </row>
        <row r="218">
          <cell r="BT218">
            <v>623216.18000000005</v>
          </cell>
        </row>
        <row r="224">
          <cell r="BT224">
            <v>500000</v>
          </cell>
        </row>
        <row r="230">
          <cell r="BT230">
            <v>0</v>
          </cell>
        </row>
        <row r="240">
          <cell r="BT240">
            <v>173061680.26115832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12701255</v>
          </cell>
        </row>
        <row r="82">
          <cell r="BR82">
            <v>5240384</v>
          </cell>
        </row>
        <row r="114">
          <cell r="BR114">
            <v>12176761</v>
          </cell>
        </row>
        <row r="119">
          <cell r="BR119">
            <v>9880464</v>
          </cell>
        </row>
        <row r="127">
          <cell r="BR127">
            <v>929800</v>
          </cell>
        </row>
        <row r="128">
          <cell r="BR128">
            <v>2386700</v>
          </cell>
        </row>
        <row r="129">
          <cell r="BR129">
            <v>3066700</v>
          </cell>
        </row>
        <row r="151">
          <cell r="BR151">
            <v>1500000</v>
          </cell>
        </row>
        <row r="153">
          <cell r="BR153">
            <v>50000</v>
          </cell>
        </row>
        <row r="155">
          <cell r="BR155">
            <v>1172731</v>
          </cell>
        </row>
        <row r="162">
          <cell r="BR162">
            <v>1112944</v>
          </cell>
        </row>
        <row r="169">
          <cell r="BR169">
            <v>450000</v>
          </cell>
        </row>
        <row r="171">
          <cell r="BR171">
            <v>5000000</v>
          </cell>
        </row>
        <row r="173">
          <cell r="BR173">
            <v>1500000</v>
          </cell>
        </row>
        <row r="179">
          <cell r="BR179">
            <v>1000000</v>
          </cell>
        </row>
        <row r="181">
          <cell r="BR181">
            <v>200000</v>
          </cell>
        </row>
        <row r="183">
          <cell r="BR183">
            <v>200000</v>
          </cell>
        </row>
        <row r="192">
          <cell r="BR192">
            <v>750246.08000000007</v>
          </cell>
        </row>
        <row r="198">
          <cell r="BR198">
            <v>400000</v>
          </cell>
        </row>
        <row r="204">
          <cell r="BP204">
            <v>0.10000000009313226</v>
          </cell>
        </row>
        <row r="214">
          <cell r="AN214">
            <v>36835</v>
          </cell>
          <cell r="AP214">
            <v>-36835</v>
          </cell>
        </row>
        <row r="231">
          <cell r="BR231">
            <v>161087522.10557607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Plants\Weekly Report\[2000 Weekly Report - 121499.xls]Summary</v>
      </c>
    </row>
    <row r="3" spans="1:23" s="2" customFormat="1" ht="15.6" x14ac:dyDescent="0.3">
      <c r="A3" s="1" t="s">
        <v>2</v>
      </c>
      <c r="F3" s="3"/>
      <c r="V3" s="24">
        <f ca="1">NOW()</f>
        <v>36508.723468402779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M1" workbookViewId="0">
      <selection activeCell="W1" sqref="W1"/>
    </sheetView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Wilton!C45</f>
        <v>7140000</v>
      </c>
      <c r="D11" s="44">
        <f>Wilton!D45</f>
        <v>1296410</v>
      </c>
      <c r="E11" s="44">
        <f>Wilton!E45</f>
        <v>33024184</v>
      </c>
      <c r="F11" s="44">
        <f>Wilton!F45</f>
        <v>225882.6</v>
      </c>
      <c r="G11" s="44">
        <f>Wilton!G45</f>
        <v>1752232.9</v>
      </c>
      <c r="H11" s="44">
        <f>Wilton!H45</f>
        <v>18800373.5</v>
      </c>
      <c r="I11" s="44">
        <f>Wilton!I45</f>
        <v>8037788.4025208326</v>
      </c>
      <c r="J11" s="44">
        <f>Wilton!J45</f>
        <v>8808343.9620608743</v>
      </c>
      <c r="K11" s="44">
        <f>Wilton!K45</f>
        <v>6987028.9287220389</v>
      </c>
      <c r="L11" s="44">
        <f>Wilton!L45</f>
        <v>7789242.4890361028</v>
      </c>
      <c r="M11" s="44">
        <f>Wilton!M45</f>
        <v>11600775.830858508</v>
      </c>
      <c r="N11" s="44">
        <f>Wilton!N45</f>
        <v>17679921.627210379</v>
      </c>
      <c r="O11" s="44">
        <f>Wilton!O45</f>
        <v>42265506.27193065</v>
      </c>
      <c r="P11" s="44">
        <f>Wilton!P45</f>
        <v>33637081.490714036</v>
      </c>
      <c r="Q11" s="44">
        <f>Wilton!Q45</f>
        <v>15369763.400575899</v>
      </c>
      <c r="R11" s="44">
        <f>Wilton!R45</f>
        <v>8331270.4993161885</v>
      </c>
      <c r="S11" s="44">
        <f>Wilton!S45</f>
        <v>7493346.1084895898</v>
      </c>
      <c r="T11" s="44">
        <f>Wilton!T45</f>
        <v>5782539.0055164136</v>
      </c>
      <c r="U11" s="44">
        <f>Wilton!U45</f>
        <v>15014381.202710209</v>
      </c>
      <c r="V11" s="44">
        <f>Wilton!V45</f>
        <v>251036072.21966174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Gleason!C46</f>
        <v>0</v>
      </c>
      <c r="D13" s="44">
        <f>Gleason!D46</f>
        <v>0</v>
      </c>
      <c r="E13" s="44">
        <f>Gleason!E46</f>
        <v>0</v>
      </c>
      <c r="F13" s="44">
        <f>Gleason!F46</f>
        <v>0</v>
      </c>
      <c r="G13" s="44">
        <f>Gleason!G46</f>
        <v>0</v>
      </c>
      <c r="H13" s="44">
        <f>Gleason!H46</f>
        <v>0</v>
      </c>
      <c r="I13" s="44">
        <f>Gleason!I46</f>
        <v>0</v>
      </c>
      <c r="J13" s="44">
        <f>Gleason!J46</f>
        <v>0</v>
      </c>
      <c r="K13" s="44">
        <f>Gleason!L46</f>
        <v>93152637</v>
      </c>
      <c r="L13" s="44">
        <f>Gleason!M46</f>
        <v>709310.92999999993</v>
      </c>
      <c r="M13" s="44">
        <f>Gleason!N46</f>
        <v>2178270.2560097221</v>
      </c>
      <c r="N13" s="44">
        <f>Gleason!O46</f>
        <v>7520808.7565631075</v>
      </c>
      <c r="O13" s="44">
        <f>Gleason!P46</f>
        <v>13925350.204377824</v>
      </c>
      <c r="P13" s="44">
        <f>Gleason!Q46</f>
        <v>11492132.3197645</v>
      </c>
      <c r="Q13" s="44">
        <f>Gleason!R46</f>
        <v>9563614.5042798948</v>
      </c>
      <c r="R13" s="44">
        <f>Gleason!S46</f>
        <v>7974796.7478239061</v>
      </c>
      <c r="S13" s="44">
        <f>Gleason!T46</f>
        <v>6061492.6955204569</v>
      </c>
      <c r="T13" s="44">
        <f>Gleason!U46</f>
        <v>6772249.9155832268</v>
      </c>
      <c r="U13" s="44">
        <f>Gleason!V46</f>
        <v>13688390.125680134</v>
      </c>
      <c r="V13" s="44">
        <f>Gleason!W46</f>
        <v>173039053.45560277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10144670.968721973</v>
      </c>
      <c r="P15" s="44">
        <f>Wheatland!P46</f>
        <v>10891188.700186219</v>
      </c>
      <c r="Q15" s="44">
        <f>Wheatland!Q46</f>
        <v>10126841.39522356</v>
      </c>
      <c r="R15" s="44">
        <f>Wheatland!R46</f>
        <v>9041406.570707608</v>
      </c>
      <c r="S15" s="44">
        <f>Wheatland!S46</f>
        <v>6325567.9256022722</v>
      </c>
      <c r="T15" s="44">
        <f>Wheatland!T46</f>
        <v>7192502.4399199532</v>
      </c>
      <c r="U15" s="44">
        <f>Wheatland!U46</f>
        <v>15674237.760346778</v>
      </c>
      <c r="V15" s="44">
        <f>Wheatland!V46</f>
        <v>160876972.14769036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101635947.60513864</v>
      </c>
      <c r="L17" s="44">
        <f t="shared" si="0"/>
        <v>10278669.349036103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66335527.445030443</v>
      </c>
      <c r="P17" s="44">
        <f t="shared" si="0"/>
        <v>56020402.510664761</v>
      </c>
      <c r="Q17" s="44">
        <f t="shared" si="0"/>
        <v>35060219.300079353</v>
      </c>
      <c r="R17" s="44">
        <f t="shared" si="0"/>
        <v>25347473.817847703</v>
      </c>
      <c r="S17" s="44">
        <f t="shared" si="0"/>
        <v>19880406.729612321</v>
      </c>
      <c r="T17" s="44">
        <f t="shared" si="0"/>
        <v>19747291.361019593</v>
      </c>
      <c r="U17" s="44">
        <f t="shared" si="0"/>
        <v>44377009.088737123</v>
      </c>
      <c r="V17" s="44">
        <f t="shared" si="0"/>
        <v>584952097.82295489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261876939.00047952</v>
      </c>
      <c r="L18" s="4">
        <f t="shared" si="1"/>
        <v>272155608.34951562</v>
      </c>
      <c r="M18" s="4">
        <f t="shared" si="1"/>
        <v>287501037.84522408</v>
      </c>
      <c r="N18" s="4">
        <f t="shared" si="1"/>
        <v>318183767.56996351</v>
      </c>
      <c r="O18" s="4">
        <f t="shared" si="1"/>
        <v>384519295.01499397</v>
      </c>
      <c r="P18" s="4">
        <f t="shared" si="1"/>
        <v>440539697.52565873</v>
      </c>
      <c r="Q18" s="4">
        <f t="shared" si="1"/>
        <v>475599916.82573807</v>
      </c>
      <c r="R18" s="4">
        <f t="shared" si="1"/>
        <v>500947390.6435858</v>
      </c>
      <c r="S18" s="4">
        <f t="shared" si="1"/>
        <v>520827797.37319815</v>
      </c>
      <c r="T18" s="4">
        <f t="shared" si="1"/>
        <v>540575088.73421776</v>
      </c>
      <c r="U18" s="9">
        <f t="shared" si="1"/>
        <v>584952097.82295489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December 3, 1999</v>
      </c>
      <c r="L2" s="51"/>
      <c r="X2" s="25" t="str">
        <f ca="1">CELL("filename")</f>
        <v>O:\Fin_Ops\Engysvc\PowerPlants\2000 Plants\Weekly Report\[2000 Weekly Report - 121499.xls]Summary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36508.723468402779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-82585.193333333242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78"/>
  <sheetViews>
    <sheetView tabSelected="1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1.33203125" style="18" bestFit="1" customWidth="1"/>
    <col min="6" max="6" width="12.33203125" style="18" bestFit="1" customWidth="1"/>
    <col min="7" max="7" width="11.33203125" style="18" bestFit="1" customWidth="1"/>
    <col min="8" max="8" width="12" style="18" customWidth="1"/>
    <col min="9" max="10" width="11.33203125" style="18" bestFit="1" customWidth="1"/>
    <col min="11" max="13" width="12.33203125" style="18" bestFit="1" customWidth="1"/>
    <col min="14" max="14" width="12.88671875" style="18" bestFit="1" customWidth="1"/>
    <col min="15" max="16" width="12.33203125" style="18" bestFit="1" customWidth="1"/>
    <col min="17" max="17" width="12.88671875" style="18" bestFit="1" customWidth="1"/>
    <col min="18" max="20" width="12.33203125" style="18" bestFit="1" customWidth="1"/>
    <col min="21" max="21" width="13.88671875" style="18" customWidth="1"/>
    <col min="22" max="22" width="14.44140625" style="4" customWidth="1"/>
    <col min="23" max="23" width="20" style="18" bestFit="1" customWidth="1"/>
    <col min="24" max="24" width="12.33203125" style="18" customWidth="1"/>
    <col min="25" max="25" width="13.88671875" style="18" bestFit="1" customWidth="1"/>
    <col min="26" max="26" width="9.109375" style="18"/>
    <col min="27" max="28" width="9.33203125" style="18" bestFit="1" customWidth="1"/>
    <col min="29" max="16384" width="9.109375" style="18"/>
  </cols>
  <sheetData>
    <row r="1" spans="1:25" s="2" customFormat="1" ht="15.6" x14ac:dyDescent="0.3">
      <c r="A1" s="1" t="s">
        <v>0</v>
      </c>
      <c r="W1" s="2">
        <v>0</v>
      </c>
    </row>
    <row r="2" spans="1:25" s="2" customFormat="1" ht="15.6" x14ac:dyDescent="0.3">
      <c r="A2" s="1" t="s">
        <v>1</v>
      </c>
      <c r="D2" s="1" t="s">
        <v>126</v>
      </c>
      <c r="V2" s="25" t="str">
        <f ca="1">CELL("filename")</f>
        <v>O:\Fin_Ops\Engysvc\PowerPlants\2000 Plants\Weekly Report\[2000 Weekly Report - 121499.xls]Summary</v>
      </c>
    </row>
    <row r="3" spans="1:25" s="2" customFormat="1" ht="15.6" x14ac:dyDescent="0.3">
      <c r="A3" s="1" t="s">
        <v>2</v>
      </c>
      <c r="D3" s="26"/>
      <c r="F3" s="3"/>
      <c r="V3" s="24">
        <f ca="1">NOW()</f>
        <v>36508.723468402779</v>
      </c>
    </row>
    <row r="4" spans="1:25" ht="15" x14ac:dyDescent="0.25">
      <c r="C4" s="12"/>
      <c r="D4" s="28"/>
    </row>
    <row r="5" spans="1:25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60" t="s">
        <v>4</v>
      </c>
      <c r="Q5" s="60"/>
      <c r="R5" s="60"/>
      <c r="S5" s="60"/>
      <c r="T5" s="60"/>
      <c r="U5" s="60"/>
      <c r="V5" s="60"/>
    </row>
    <row r="6" spans="1:25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5" s="6" customFormat="1" ht="19.2" x14ac:dyDescent="0.6">
      <c r="A7" s="32" t="s">
        <v>80</v>
      </c>
      <c r="V7" s="10"/>
      <c r="W7" s="31"/>
    </row>
    <row r="8" spans="1:25" s="6" customFormat="1" x14ac:dyDescent="0.25">
      <c r="A8" s="5" t="s">
        <v>43</v>
      </c>
      <c r="V8" s="10"/>
      <c r="W8"/>
    </row>
    <row r="9" spans="1:25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10"/>
      <c r="W9"/>
    </row>
    <row r="10" spans="1:25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P10" s="18">
        <v>13325691</v>
      </c>
      <c r="Q10" s="18">
        <v>0</v>
      </c>
      <c r="R10" s="17">
        <v>0</v>
      </c>
      <c r="U10" s="18">
        <v>7103247</v>
      </c>
      <c r="V10" s="11">
        <f t="shared" ref="V10:V33" si="0">SUM(C10:U10)</f>
        <v>142064939.75</v>
      </c>
      <c r="W10" s="19" t="s">
        <v>50</v>
      </c>
      <c r="X10" s="18">
        <f>[1]Wilton!$BR$12</f>
        <v>142064940</v>
      </c>
      <c r="Y10" s="18">
        <f>V10-X10</f>
        <v>-0.25</v>
      </c>
    </row>
    <row r="11" spans="1:25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V11" s="11">
        <f t="shared" si="0"/>
        <v>5916047.5999999996</v>
      </c>
      <c r="W11" s="19" t="str">
        <f>W10</f>
        <v>Mike Miller</v>
      </c>
      <c r="X11" s="18">
        <f>[1]Wilton!$BR$31</f>
        <v>5916048</v>
      </c>
      <c r="Y11" s="18">
        <f t="shared" ref="Y11:Y29" si="1">V11-X11</f>
        <v>-0.40000000037252903</v>
      </c>
    </row>
    <row r="12" spans="1:25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O12" s="18">
        <v>1183814.8799999999</v>
      </c>
      <c r="P12" s="18">
        <v>1775722.31</v>
      </c>
      <c r="Q12" s="18">
        <v>1302196.3600000001</v>
      </c>
      <c r="U12" s="17">
        <f>473525.95+8560</f>
        <v>482085.95</v>
      </c>
      <c r="V12" s="11">
        <f t="shared" si="0"/>
        <v>9479079.2999999989</v>
      </c>
      <c r="W12" s="19" t="str">
        <f>W11</f>
        <v>Mike Miller</v>
      </c>
      <c r="X12" s="18">
        <f>[1]Wilton!$BR$142</f>
        <v>9479079</v>
      </c>
      <c r="Y12" s="18">
        <f t="shared" si="1"/>
        <v>0.29999999888241291</v>
      </c>
    </row>
    <row r="13" spans="1:25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V13" s="11">
        <f t="shared" si="0"/>
        <v>940199.99666666682</v>
      </c>
      <c r="W13" s="19" t="str">
        <f t="shared" ref="W13:W21" si="3">W12</f>
        <v>Mike Miller</v>
      </c>
      <c r="X13" s="18">
        <f>[1]Wilton!$BR$126</f>
        <v>940200</v>
      </c>
      <c r="Y13" s="18">
        <f t="shared" si="1"/>
        <v>-3.3333331812173128E-3</v>
      </c>
    </row>
    <row r="14" spans="1:25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f t="shared" si="4"/>
        <v>235400</v>
      </c>
      <c r="P14" s="18">
        <f t="shared" si="4"/>
        <v>235400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</f>
        <v>235401</v>
      </c>
      <c r="V14" s="11">
        <f t="shared" si="0"/>
        <v>2824800</v>
      </c>
      <c r="W14" s="19" t="str">
        <f t="shared" si="3"/>
        <v>Mike Miller</v>
      </c>
      <c r="X14" s="18">
        <f>[1]Wilton!$BR$127</f>
        <v>2824800</v>
      </c>
      <c r="Y14" s="18">
        <f t="shared" si="1"/>
        <v>0</v>
      </c>
    </row>
    <row r="15" spans="1:25" x14ac:dyDescent="0.25">
      <c r="A15" s="17" t="s">
        <v>107</v>
      </c>
      <c r="F15" s="8"/>
      <c r="U15" s="18">
        <v>3066700</v>
      </c>
      <c r="V15" s="11">
        <f t="shared" si="0"/>
        <v>3066700</v>
      </c>
      <c r="W15" s="19" t="str">
        <f t="shared" si="3"/>
        <v>Mike Miller</v>
      </c>
      <c r="X15" s="18">
        <f>[1]Wilton!$BR$128</f>
        <v>3066700</v>
      </c>
      <c r="Y15" s="18">
        <f t="shared" si="1"/>
        <v>0</v>
      </c>
    </row>
    <row r="16" spans="1:25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f>(0.3765-0.1751)*X16</f>
        <v>2482944.1908</v>
      </c>
      <c r="P16" s="18">
        <f>(0.6104-0.3765)*X16</f>
        <v>2883617.9058000008</v>
      </c>
      <c r="Q16" s="18">
        <f>(0.7911-0.6104)*X16</f>
        <v>2227745.8553999998</v>
      </c>
      <c r="R16" s="18">
        <f>(0.8836-0.7911)*X16</f>
        <v>1140379.0350000004</v>
      </c>
      <c r="S16" s="18">
        <f>(0.9397-0.8836)*X16</f>
        <v>691624.47419999912</v>
      </c>
      <c r="T16" s="18">
        <f>(0.9868-0.9397)*X16</f>
        <v>580668.67620000034</v>
      </c>
      <c r="U16" s="18">
        <f>(1-0.9868)*X16</f>
        <v>162735.17039999986</v>
      </c>
      <c r="V16" s="11">
        <f t="shared" si="0"/>
        <v>11031803.307799999</v>
      </c>
      <c r="W16" s="19" t="str">
        <f t="shared" si="3"/>
        <v>Mike Miller</v>
      </c>
      <c r="X16" s="18">
        <f>[1]Wilton!$BR$55</f>
        <v>12328422</v>
      </c>
      <c r="Y16" s="18">
        <f t="shared" si="1"/>
        <v>-1296618.6922000013</v>
      </c>
    </row>
    <row r="17" spans="1:25" x14ac:dyDescent="0.25">
      <c r="A17" s="17" t="s">
        <v>120</v>
      </c>
      <c r="F17" s="8"/>
      <c r="N17" s="18">
        <v>3301</v>
      </c>
      <c r="O17" s="18">
        <f>(0.3765-0.1751)*X17</f>
        <v>1623105.7609999999</v>
      </c>
      <c r="P17" s="18">
        <f>(0.6104-0.3765)*X17</f>
        <v>1885026.9985000005</v>
      </c>
      <c r="Q17" s="18">
        <f>(0.7911-0.6104)*X17</f>
        <v>1456282.0804999997</v>
      </c>
      <c r="R17" s="18">
        <f>(0.8836-0.7911)*X17</f>
        <v>745468.13750000019</v>
      </c>
      <c r="S17" s="18">
        <f>(0.9397-0.8836)*X17</f>
        <v>452116.35149999941</v>
      </c>
      <c r="T17" s="18">
        <f>(0.9868-0.9397)*X17</f>
        <v>379584.31650000025</v>
      </c>
      <c r="U17" s="18">
        <f>(1-0.9868)*X17</f>
        <v>106380.31799999991</v>
      </c>
      <c r="V17" s="11">
        <f t="shared" si="0"/>
        <v>6651264.9635000005</v>
      </c>
      <c r="W17" s="19" t="str">
        <f t="shared" si="3"/>
        <v>Mike Miller</v>
      </c>
      <c r="X17" s="18">
        <f>[1]Wilton!$BR$81</f>
        <v>8059115</v>
      </c>
      <c r="Y17" s="18">
        <f t="shared" si="1"/>
        <v>-1407850.0364999995</v>
      </c>
    </row>
    <row r="18" spans="1:25" x14ac:dyDescent="0.25">
      <c r="A18" s="17" t="s">
        <v>121</v>
      </c>
      <c r="F18" s="8"/>
      <c r="N18" s="18">
        <v>0</v>
      </c>
      <c r="O18" s="18">
        <f>(0.3765-0.1751)*X18</f>
        <v>6630015.8987999996</v>
      </c>
      <c r="P18" s="18">
        <f>(0.6104-0.3765)*X18</f>
        <v>7699904.2638000017</v>
      </c>
      <c r="Q18" s="18">
        <f>(0.7911-0.6104)*X18</f>
        <v>5948579.3093999987</v>
      </c>
      <c r="R18" s="18">
        <f>(0.8836-0.7911)*X18</f>
        <v>3045066.8850000007</v>
      </c>
      <c r="S18" s="18">
        <f>(0.9397-0.8836)*X18</f>
        <v>1846791.9161999975</v>
      </c>
      <c r="T18" s="18">
        <f>(0.9868-0.9397)*X18</f>
        <v>1550515.1382000011</v>
      </c>
      <c r="U18" s="18">
        <f>(1-0.9868)*X18</f>
        <v>434539.27439999965</v>
      </c>
      <c r="V18" s="11">
        <f t="shared" si="0"/>
        <v>27155412.685799997</v>
      </c>
      <c r="W18" s="19" t="str">
        <f t="shared" si="3"/>
        <v>Mike Miller</v>
      </c>
      <c r="X18" s="18">
        <f>[1]Wilton!$BR$114</f>
        <v>32919642</v>
      </c>
      <c r="Y18" s="18">
        <f t="shared" si="1"/>
        <v>-5764229.3142000027</v>
      </c>
    </row>
    <row r="19" spans="1:25" x14ac:dyDescent="0.25">
      <c r="A19" s="17" t="s">
        <v>122</v>
      </c>
      <c r="F19" s="8"/>
      <c r="M19" s="18">
        <v>0</v>
      </c>
      <c r="N19" s="18">
        <v>0</v>
      </c>
      <c r="O19" s="18">
        <f>(0.3765-0.1751)*X19</f>
        <v>1074823.2626</v>
      </c>
      <c r="P19" s="18">
        <f>(0.6104-0.3765)*X19</f>
        <v>1248267.9301000002</v>
      </c>
      <c r="Q19" s="18">
        <f>(0.7911-0.6104)*X19</f>
        <v>964352.35129999986</v>
      </c>
      <c r="R19" s="18">
        <f>(0.8836-0.7911)*X19</f>
        <v>493650.20750000014</v>
      </c>
      <c r="S19" s="18">
        <f>(0.9397-0.8836)*X19</f>
        <v>299392.17989999964</v>
      </c>
      <c r="T19" s="18">
        <f>(0.9868-0.9397)*X19</f>
        <v>251361.34890000016</v>
      </c>
      <c r="U19" s="18">
        <f>(1-0.9868)*X19</f>
        <v>70445.218799999944</v>
      </c>
      <c r="V19" s="11">
        <f t="shared" si="0"/>
        <v>4402292.4991000006</v>
      </c>
      <c r="W19" s="19" t="str">
        <f t="shared" si="3"/>
        <v>Mike Miller</v>
      </c>
      <c r="X19" s="18">
        <f>[1]Wilton!$BR$119</f>
        <v>5336759</v>
      </c>
      <c r="Y19" s="18">
        <f t="shared" si="1"/>
        <v>-934466.5008999994</v>
      </c>
    </row>
    <row r="20" spans="1:25" x14ac:dyDescent="0.25">
      <c r="A20" s="17" t="s">
        <v>123</v>
      </c>
      <c r="F20" s="8"/>
      <c r="N20" s="18">
        <v>0</v>
      </c>
      <c r="U20" s="18">
        <v>500000</v>
      </c>
      <c r="V20" s="11">
        <f t="shared" si="0"/>
        <v>500000</v>
      </c>
      <c r="W20" s="19" t="str">
        <f t="shared" si="3"/>
        <v>Mike Miller</v>
      </c>
      <c r="X20" s="18">
        <f>[1]Wilton!$BR$157</f>
        <v>500000</v>
      </c>
      <c r="Y20" s="18">
        <f t="shared" si="1"/>
        <v>0</v>
      </c>
    </row>
    <row r="21" spans="1:25" x14ac:dyDescent="0.25">
      <c r="A21" s="17" t="s">
        <v>124</v>
      </c>
      <c r="F21" s="8"/>
      <c r="N21" s="18">
        <v>8573073</v>
      </c>
      <c r="O21" s="18">
        <v>830092</v>
      </c>
      <c r="V21" s="11">
        <f>SUM(C21:U21)</f>
        <v>9403165</v>
      </c>
      <c r="W21" s="19" t="str">
        <f t="shared" si="3"/>
        <v>Mike Miller</v>
      </c>
      <c r="Y21" s="18">
        <f t="shared" si="1"/>
        <v>9403165</v>
      </c>
    </row>
    <row r="22" spans="1:25" x14ac:dyDescent="0.25">
      <c r="A22" s="17" t="s">
        <v>42</v>
      </c>
      <c r="C22" s="4">
        <v>0</v>
      </c>
      <c r="F22" s="8"/>
      <c r="P22" s="18">
        <v>125000</v>
      </c>
      <c r="Q22" s="18">
        <v>125000</v>
      </c>
      <c r="R22" s="18">
        <v>125000</v>
      </c>
      <c r="S22" s="18">
        <v>125000</v>
      </c>
      <c r="T22" s="18">
        <v>125000</v>
      </c>
      <c r="U22" s="17">
        <f>908786-625000</f>
        <v>283786</v>
      </c>
      <c r="V22" s="11">
        <f t="shared" si="0"/>
        <v>908786</v>
      </c>
      <c r="W22" s="19" t="s">
        <v>51</v>
      </c>
      <c r="X22" s="18">
        <f>[1]Wilton!$BR$151</f>
        <v>908786</v>
      </c>
      <c r="Y22" s="18">
        <f t="shared" si="1"/>
        <v>0</v>
      </c>
    </row>
    <row r="23" spans="1:25" x14ac:dyDescent="0.25">
      <c r="A23" s="17" t="s">
        <v>22</v>
      </c>
      <c r="C23" s="4">
        <v>0</v>
      </c>
      <c r="F23" s="8"/>
      <c r="S23" s="18">
        <v>500000</v>
      </c>
      <c r="T23" s="18">
        <v>500000</v>
      </c>
      <c r="U23" s="18">
        <f>1253881-1000000</f>
        <v>253881</v>
      </c>
      <c r="V23" s="11">
        <f t="shared" si="0"/>
        <v>1253881</v>
      </c>
      <c r="W23" s="19" t="str">
        <f>W16</f>
        <v>Mike Miller</v>
      </c>
      <c r="X23" s="18">
        <f>[1]Wilton!$BR$159</f>
        <v>1253881</v>
      </c>
      <c r="Y23" s="18">
        <f t="shared" si="1"/>
        <v>0</v>
      </c>
    </row>
    <row r="24" spans="1:25" x14ac:dyDescent="0.25">
      <c r="A24" s="17" t="s">
        <v>23</v>
      </c>
      <c r="C24" s="4">
        <v>0</v>
      </c>
      <c r="F24" s="8">
        <v>20000</v>
      </c>
      <c r="G24" s="18">
        <f>1381361+65000</f>
        <v>1446361</v>
      </c>
      <c r="H24" s="18">
        <v>8500</v>
      </c>
      <c r="J24" s="18">
        <v>821965</v>
      </c>
      <c r="K24" s="18">
        <v>0</v>
      </c>
      <c r="M24" s="17">
        <v>1000</v>
      </c>
      <c r="N24" s="18">
        <v>7992</v>
      </c>
      <c r="V24" s="11">
        <f t="shared" si="0"/>
        <v>2305818</v>
      </c>
      <c r="W24" s="19" t="s">
        <v>52</v>
      </c>
      <c r="X24" s="18">
        <f>[1]Wilton!$BR$166</f>
        <v>2305818.14</v>
      </c>
      <c r="Y24" s="18">
        <f t="shared" si="1"/>
        <v>-0.14000000013038516</v>
      </c>
    </row>
    <row r="25" spans="1:25" x14ac:dyDescent="0.25">
      <c r="A25" s="17" t="s">
        <v>24</v>
      </c>
      <c r="C25" s="4">
        <v>0</v>
      </c>
      <c r="E25" s="18">
        <v>0</v>
      </c>
      <c r="F25" s="8">
        <v>0</v>
      </c>
      <c r="G25" s="17"/>
      <c r="H25" s="18">
        <v>71081</v>
      </c>
      <c r="I25" s="17">
        <v>13262</v>
      </c>
      <c r="J25" s="17">
        <v>24704.06</v>
      </c>
      <c r="K25" s="17">
        <v>9361.2199999999993</v>
      </c>
      <c r="L25" s="17">
        <v>11746.18</v>
      </c>
      <c r="M25" s="18">
        <v>19878</v>
      </c>
      <c r="N25" s="18">
        <v>29832</v>
      </c>
      <c r="O25" s="18">
        <f>14873-2460</f>
        <v>12413</v>
      </c>
      <c r="P25" s="18">
        <v>78892</v>
      </c>
      <c r="U25" s="18">
        <v>78785</v>
      </c>
      <c r="V25" s="11">
        <f t="shared" si="0"/>
        <v>349954.45999999996</v>
      </c>
      <c r="W25" s="19" t="str">
        <f>W24</f>
        <v>Scott Healy</v>
      </c>
    </row>
    <row r="26" spans="1:25" x14ac:dyDescent="0.25">
      <c r="A26" s="17" t="s">
        <v>104</v>
      </c>
      <c r="C26" s="4">
        <v>0</v>
      </c>
      <c r="F26" s="8"/>
      <c r="M26" s="18">
        <v>50050</v>
      </c>
      <c r="N26" s="18">
        <v>160616</v>
      </c>
      <c r="P26" s="18">
        <f>1000000-50050-160616</f>
        <v>789334</v>
      </c>
      <c r="V26" s="11">
        <f>SUM(C26:U26)</f>
        <v>1000000</v>
      </c>
      <c r="W26" s="19" t="s">
        <v>53</v>
      </c>
      <c r="X26" s="18">
        <f>[1]Wilton!$BR$175</f>
        <v>1000000</v>
      </c>
      <c r="Y26" s="18">
        <f t="shared" si="1"/>
        <v>0</v>
      </c>
    </row>
    <row r="27" spans="1:25" x14ac:dyDescent="0.25">
      <c r="A27" s="17" t="s">
        <v>25</v>
      </c>
      <c r="C27" s="4">
        <v>0</v>
      </c>
      <c r="F27" s="8"/>
      <c r="O27" s="18">
        <v>250000</v>
      </c>
      <c r="P27" s="18">
        <v>1750000</v>
      </c>
      <c r="Q27" s="18">
        <v>1250000</v>
      </c>
      <c r="R27" s="18">
        <v>1250000</v>
      </c>
      <c r="S27" s="18">
        <v>1500000</v>
      </c>
      <c r="T27" s="18">
        <v>250000</v>
      </c>
      <c r="U27" s="18">
        <v>250000</v>
      </c>
      <c r="V27" s="11">
        <f t="shared" si="0"/>
        <v>6500000</v>
      </c>
      <c r="W27" s="19" t="s">
        <v>53</v>
      </c>
      <c r="X27" s="18">
        <f>[1]Wilton!$BR$177</f>
        <v>6500000</v>
      </c>
      <c r="Y27" s="18">
        <f t="shared" si="1"/>
        <v>0</v>
      </c>
    </row>
    <row r="28" spans="1:25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500000</v>
      </c>
      <c r="V28" s="11">
        <f t="shared" si="0"/>
        <v>1500000</v>
      </c>
      <c r="W28" s="19" t="str">
        <f>W22</f>
        <v>Kevin Presto</v>
      </c>
      <c r="X28" s="18">
        <f>[1]Wilton!$BR$183</f>
        <v>1500000</v>
      </c>
      <c r="Y28" s="18">
        <f t="shared" si="1"/>
        <v>0</v>
      </c>
    </row>
    <row r="29" spans="1:25" x14ac:dyDescent="0.25">
      <c r="A29" s="17" t="s">
        <v>29</v>
      </c>
      <c r="C29" s="4">
        <v>0</v>
      </c>
      <c r="F29" s="8"/>
      <c r="M29" s="18">
        <v>0</v>
      </c>
      <c r="N29" s="18">
        <v>0</v>
      </c>
      <c r="O29" s="18">
        <v>266248.5</v>
      </c>
      <c r="V29" s="11">
        <f t="shared" si="0"/>
        <v>266248.5</v>
      </c>
      <c r="W29" s="19" t="s">
        <v>52</v>
      </c>
      <c r="X29" s="18">
        <f>[1]Wilton!$BR$185</f>
        <v>266248.5</v>
      </c>
      <c r="Y29" s="18">
        <f t="shared" si="1"/>
        <v>0</v>
      </c>
    </row>
    <row r="30" spans="1:25" x14ac:dyDescent="0.25">
      <c r="A30" s="17" t="s">
        <v>30</v>
      </c>
      <c r="C30" s="4">
        <v>0</v>
      </c>
      <c r="D30" s="18">
        <v>0</v>
      </c>
      <c r="E30" s="18">
        <v>0</v>
      </c>
      <c r="F30" s="8">
        <v>0</v>
      </c>
      <c r="G30" s="18">
        <v>7949</v>
      </c>
      <c r="H30" s="18">
        <v>29402</v>
      </c>
      <c r="I30" s="18">
        <v>13770.85</v>
      </c>
      <c r="J30" s="18">
        <v>7746</v>
      </c>
      <c r="K30" s="18">
        <v>6276</v>
      </c>
      <c r="L30" s="18">
        <v>6591.41</v>
      </c>
      <c r="M30" s="18">
        <v>0</v>
      </c>
      <c r="N30" s="18">
        <v>0</v>
      </c>
      <c r="O30" s="18">
        <f>200000/15</f>
        <v>13333.333333333334</v>
      </c>
      <c r="P30" s="18">
        <f>200000/15</f>
        <v>13333.333333333334</v>
      </c>
      <c r="Q30" s="18">
        <f>200000/15</f>
        <v>13333.333333333334</v>
      </c>
      <c r="R30" s="18">
        <f>200000/15</f>
        <v>13333.333333333334</v>
      </c>
      <c r="S30" s="18">
        <f>6712-438</f>
        <v>6274</v>
      </c>
      <c r="T30" s="18">
        <v>5588</v>
      </c>
      <c r="U30" s="17">
        <f>6742+33723</f>
        <v>40465</v>
      </c>
      <c r="V30" s="11">
        <f t="shared" si="0"/>
        <v>177395.59333333332</v>
      </c>
      <c r="W30" s="19" t="s">
        <v>52</v>
      </c>
    </row>
    <row r="31" spans="1:25" x14ac:dyDescent="0.25">
      <c r="A31" s="17" t="s">
        <v>32</v>
      </c>
      <c r="C31" s="4">
        <v>0</v>
      </c>
      <c r="D31" s="18">
        <v>0</v>
      </c>
      <c r="E31" s="18">
        <v>0</v>
      </c>
      <c r="F31" s="8">
        <v>0</v>
      </c>
      <c r="G31" s="18">
        <v>0</v>
      </c>
      <c r="H31" s="18">
        <v>11792</v>
      </c>
      <c r="I31" s="18">
        <f>11675+5185</f>
        <v>16860</v>
      </c>
      <c r="J31" s="18">
        <f>3599+10838+1916.6</f>
        <v>16353.6</v>
      </c>
      <c r="K31" s="18">
        <v>33741</v>
      </c>
      <c r="L31" s="18">
        <f>20657.14+6342.74</f>
        <v>26999.879999999997</v>
      </c>
      <c r="M31" s="18">
        <v>47825</v>
      </c>
      <c r="N31" s="18">
        <v>131162</v>
      </c>
      <c r="O31" s="18">
        <f>2145+179148</f>
        <v>181293</v>
      </c>
      <c r="P31" s="18">
        <f>37613-2610</f>
        <v>35003</v>
      </c>
      <c r="Q31" s="18">
        <v>2610</v>
      </c>
      <c r="T31" s="17"/>
      <c r="V31" s="11">
        <f t="shared" si="0"/>
        <v>503639.48</v>
      </c>
      <c r="W31" s="19" t="s">
        <v>52</v>
      </c>
    </row>
    <row r="32" spans="1:25" x14ac:dyDescent="0.25">
      <c r="A32" s="17" t="s">
        <v>33</v>
      </c>
      <c r="C32" s="4">
        <v>0</v>
      </c>
      <c r="D32" s="18">
        <v>0</v>
      </c>
      <c r="E32" s="18">
        <v>0</v>
      </c>
      <c r="F32" s="8">
        <v>0</v>
      </c>
      <c r="G32" s="18">
        <v>0</v>
      </c>
      <c r="H32" s="18">
        <v>604.5</v>
      </c>
      <c r="I32" s="18">
        <v>0</v>
      </c>
      <c r="J32" s="18">
        <v>21423</v>
      </c>
      <c r="K32" s="18">
        <v>0</v>
      </c>
      <c r="L32" s="18">
        <v>75</v>
      </c>
      <c r="M32" s="18">
        <v>6749</v>
      </c>
      <c r="N32" s="18">
        <v>4455</v>
      </c>
      <c r="O32" s="18">
        <v>50000</v>
      </c>
      <c r="P32" s="18">
        <v>50000</v>
      </c>
      <c r="Q32" s="18">
        <v>19571</v>
      </c>
      <c r="R32" s="18">
        <v>5000</v>
      </c>
      <c r="S32" s="18">
        <f>153+18251</f>
        <v>18404</v>
      </c>
      <c r="T32" s="18">
        <v>54925</v>
      </c>
      <c r="U32" s="18">
        <v>15544</v>
      </c>
      <c r="V32" s="11">
        <f t="shared" si="0"/>
        <v>246750.5</v>
      </c>
      <c r="W32" s="19" t="s">
        <v>52</v>
      </c>
      <c r="X32" s="18">
        <v>0</v>
      </c>
    </row>
    <row r="33" spans="1:23" x14ac:dyDescent="0.25">
      <c r="A33" s="17" t="s">
        <v>63</v>
      </c>
      <c r="C33" s="21">
        <f t="shared" ref="C33:U33" si="5">SUM(C10:C32)</f>
        <v>6800000</v>
      </c>
      <c r="D33" s="21">
        <f t="shared" si="5"/>
        <v>1250000</v>
      </c>
      <c r="E33" s="21">
        <f t="shared" si="5"/>
        <v>32884800</v>
      </c>
      <c r="F33" s="21">
        <f t="shared" si="5"/>
        <v>20000</v>
      </c>
      <c r="G33" s="21">
        <f t="shared" si="5"/>
        <v>1454310</v>
      </c>
      <c r="H33" s="21">
        <f t="shared" si="5"/>
        <v>18431906.5</v>
      </c>
      <c r="I33" s="21">
        <f t="shared" si="5"/>
        <v>7659172.8499999996</v>
      </c>
      <c r="J33" s="21">
        <f t="shared" si="5"/>
        <v>8382273.5933333319</v>
      </c>
      <c r="K33" s="21">
        <f t="shared" si="5"/>
        <v>6523038.5533333328</v>
      </c>
      <c r="L33" s="21">
        <f t="shared" si="5"/>
        <v>7283592.8033333328</v>
      </c>
      <c r="M33" s="21">
        <f t="shared" si="5"/>
        <v>11032599.530000001</v>
      </c>
      <c r="N33" s="21">
        <f t="shared" si="5"/>
        <v>17015699.333333332</v>
      </c>
      <c r="O33" s="21">
        <f t="shared" si="5"/>
        <v>41374374.909866661</v>
      </c>
      <c r="P33" s="21">
        <f t="shared" si="5"/>
        <v>32564730.874866672</v>
      </c>
      <c r="Q33" s="21">
        <f t="shared" si="5"/>
        <v>14214608.423266664</v>
      </c>
      <c r="R33" s="21">
        <f t="shared" si="5"/>
        <v>7131230.9316666685</v>
      </c>
      <c r="S33" s="21">
        <f t="shared" si="5"/>
        <v>6252936.255133329</v>
      </c>
      <c r="T33" s="21">
        <f t="shared" si="5"/>
        <v>4510975.8131333347</v>
      </c>
      <c r="U33" s="21">
        <f t="shared" si="5"/>
        <v>13661928.264933333</v>
      </c>
      <c r="V33" s="22">
        <f t="shared" si="0"/>
        <v>238448178.63619995</v>
      </c>
    </row>
    <row r="34" spans="1:23" x14ac:dyDescent="0.25">
      <c r="A34" s="17" t="s">
        <v>67</v>
      </c>
      <c r="C34" s="21">
        <f>+C33</f>
        <v>6800000</v>
      </c>
      <c r="D34" s="21">
        <f t="shared" ref="D34:U34" si="6">+C34+D33</f>
        <v>8050000</v>
      </c>
      <c r="E34" s="21">
        <f t="shared" si="6"/>
        <v>40934800</v>
      </c>
      <c r="F34" s="21">
        <f t="shared" si="6"/>
        <v>40954800</v>
      </c>
      <c r="G34" s="21">
        <f t="shared" si="6"/>
        <v>42409110</v>
      </c>
      <c r="H34" s="21">
        <f t="shared" si="6"/>
        <v>60841016.5</v>
      </c>
      <c r="I34" s="21">
        <f t="shared" si="6"/>
        <v>68500189.349999994</v>
      </c>
      <c r="J34" s="21">
        <f t="shared" si="6"/>
        <v>76882462.943333328</v>
      </c>
      <c r="K34" s="21">
        <f t="shared" si="6"/>
        <v>83405501.496666655</v>
      </c>
      <c r="L34" s="21">
        <f t="shared" si="6"/>
        <v>90689094.299999982</v>
      </c>
      <c r="M34" s="21">
        <f t="shared" si="6"/>
        <v>101721693.82999998</v>
      </c>
      <c r="N34" s="21">
        <f t="shared" si="6"/>
        <v>118737393.16333331</v>
      </c>
      <c r="O34" s="21">
        <f t="shared" si="6"/>
        <v>160111768.07319999</v>
      </c>
      <c r="P34" s="21">
        <f t="shared" si="6"/>
        <v>192676498.94806665</v>
      </c>
      <c r="Q34" s="21">
        <f t="shared" si="6"/>
        <v>206891107.3713333</v>
      </c>
      <c r="R34" s="21">
        <f t="shared" si="6"/>
        <v>214022338.30299997</v>
      </c>
      <c r="S34" s="21">
        <f t="shared" si="6"/>
        <v>220275274.5581333</v>
      </c>
      <c r="T34" s="21">
        <f t="shared" si="6"/>
        <v>224786250.37126663</v>
      </c>
      <c r="U34" s="21">
        <f t="shared" si="6"/>
        <v>238448178.63619995</v>
      </c>
      <c r="V34" s="13"/>
    </row>
    <row r="35" spans="1:23" x14ac:dyDescent="0.25">
      <c r="A35" s="17" t="s">
        <v>64</v>
      </c>
      <c r="F35" s="8"/>
      <c r="V35" s="16">
        <f>+V33/C50/1000</f>
        <v>392.18450433585519</v>
      </c>
      <c r="W35" s="20"/>
    </row>
    <row r="36" spans="1:23" x14ac:dyDescent="0.25">
      <c r="F36" s="8"/>
      <c r="V36" s="11"/>
    </row>
    <row r="37" spans="1:23" x14ac:dyDescent="0.25">
      <c r="A37" s="17" t="s">
        <v>94</v>
      </c>
      <c r="F37" s="40">
        <v>-21556.400000000001</v>
      </c>
      <c r="G37" s="40">
        <f>43113+23365.9</f>
        <v>66478.899999999994</v>
      </c>
      <c r="H37" s="18">
        <v>-51000</v>
      </c>
      <c r="V37" s="11">
        <f t="shared" ref="V37:V42" si="7">SUM(C37:U37)</f>
        <v>-6077.5000000000073</v>
      </c>
      <c r="W37" s="19" t="s">
        <v>54</v>
      </c>
    </row>
    <row r="38" spans="1:23" x14ac:dyDescent="0.25">
      <c r="A38" s="17" t="s">
        <v>44</v>
      </c>
      <c r="C38" s="9">
        <v>340000</v>
      </c>
      <c r="D38" s="20">
        <v>46410</v>
      </c>
      <c r="E38" s="20">
        <v>139384</v>
      </c>
      <c r="F38" s="41">
        <f>205882.6+21556.4</f>
        <v>227439</v>
      </c>
      <c r="G38" s="30">
        <v>231444</v>
      </c>
      <c r="H38" s="30">
        <v>419367</v>
      </c>
      <c r="I38" s="30">
        <f t="shared" ref="I38:U38" si="8">(I34+H43)*$C48/12</f>
        <v>378615.55252083327</v>
      </c>
      <c r="J38" s="30">
        <f t="shared" si="8"/>
        <v>426070.36872754333</v>
      </c>
      <c r="K38" s="30">
        <f t="shared" si="8"/>
        <v>463711.37538870639</v>
      </c>
      <c r="L38" s="30">
        <v>505639.68570277008</v>
      </c>
      <c r="M38" s="30">
        <v>568176.30085850751</v>
      </c>
      <c r="N38" s="30">
        <v>663422.29387704656</v>
      </c>
      <c r="O38" s="30">
        <f t="shared" si="8"/>
        <v>891131.36206399184</v>
      </c>
      <c r="P38" s="30">
        <f t="shared" si="8"/>
        <v>1072350.6158473662</v>
      </c>
      <c r="Q38" s="30">
        <f t="shared" si="8"/>
        <v>1155154.9773092337</v>
      </c>
      <c r="R38" s="30">
        <f t="shared" si="8"/>
        <v>1200039.5676495198</v>
      </c>
      <c r="S38" s="30">
        <f t="shared" si="8"/>
        <v>1240409.8533562603</v>
      </c>
      <c r="T38" s="30">
        <f t="shared" si="8"/>
        <v>1271563.1923830791</v>
      </c>
      <c r="U38" s="30">
        <f t="shared" si="8"/>
        <v>1352452.9377768761</v>
      </c>
      <c r="V38" s="11">
        <f t="shared" si="7"/>
        <v>12592782.083461734</v>
      </c>
      <c r="W38" s="19">
        <f>W51</f>
        <v>0</v>
      </c>
    </row>
    <row r="39" spans="1:23" x14ac:dyDescent="0.25">
      <c r="A39" s="17" t="s">
        <v>88</v>
      </c>
      <c r="C39" s="9"/>
      <c r="D39" s="20"/>
      <c r="E39" s="20"/>
      <c r="F39" s="30">
        <v>0</v>
      </c>
      <c r="G39" s="30">
        <v>0</v>
      </c>
      <c r="H39" s="30">
        <v>0</v>
      </c>
      <c r="I39" s="30">
        <v>0</v>
      </c>
      <c r="J39" s="30"/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11">
        <f t="shared" si="7"/>
        <v>0</v>
      </c>
      <c r="W39" s="19">
        <f>W38</f>
        <v>0</v>
      </c>
    </row>
    <row r="40" spans="1:23" x14ac:dyDescent="0.25">
      <c r="A40" s="17" t="s">
        <v>125</v>
      </c>
      <c r="C40" s="4">
        <v>0</v>
      </c>
      <c r="H40" s="18">
        <v>100</v>
      </c>
      <c r="K40" s="18">
        <f>220+59</f>
        <v>279</v>
      </c>
      <c r="L40" s="18">
        <v>10</v>
      </c>
      <c r="M40" s="18">
        <v>0</v>
      </c>
      <c r="N40" s="18">
        <v>800</v>
      </c>
      <c r="V40" s="11">
        <f t="shared" si="7"/>
        <v>1189</v>
      </c>
      <c r="W40" s="19"/>
    </row>
    <row r="41" spans="1:23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>
        <v>0</v>
      </c>
      <c r="V41" s="11">
        <f t="shared" si="7"/>
        <v>0</v>
      </c>
      <c r="W41" s="19" t="str">
        <f>W23</f>
        <v>Mike Miller</v>
      </c>
    </row>
    <row r="42" spans="1:23" x14ac:dyDescent="0.25">
      <c r="A42" s="17" t="s">
        <v>65</v>
      </c>
      <c r="C42" s="21">
        <f>SUM(C37:C41)</f>
        <v>340000</v>
      </c>
      <c r="D42" s="21">
        <f t="shared" ref="D42:U42" si="9">SUM(D37:D41)</f>
        <v>46410</v>
      </c>
      <c r="E42" s="21">
        <f t="shared" si="9"/>
        <v>139384</v>
      </c>
      <c r="F42" s="21">
        <f t="shared" si="9"/>
        <v>205882.6</v>
      </c>
      <c r="G42" s="21">
        <f t="shared" si="9"/>
        <v>297922.90000000002</v>
      </c>
      <c r="H42" s="21">
        <f t="shared" si="9"/>
        <v>368467</v>
      </c>
      <c r="I42" s="21">
        <f t="shared" si="9"/>
        <v>378615.55252083327</v>
      </c>
      <c r="J42" s="21">
        <f t="shared" ref="J42:O42" si="10">SUM(J37:J41)</f>
        <v>426070.36872754333</v>
      </c>
      <c r="K42" s="21">
        <f t="shared" si="10"/>
        <v>463990.37538870639</v>
      </c>
      <c r="L42" s="21">
        <f t="shared" si="10"/>
        <v>505649.68570277008</v>
      </c>
      <c r="M42" s="21">
        <f t="shared" si="10"/>
        <v>568176.30085850751</v>
      </c>
      <c r="N42" s="21">
        <f t="shared" si="10"/>
        <v>664222.29387704656</v>
      </c>
      <c r="O42" s="21">
        <f t="shared" si="10"/>
        <v>891131.36206399184</v>
      </c>
      <c r="P42" s="21">
        <f t="shared" si="9"/>
        <v>1072350.6158473662</v>
      </c>
      <c r="Q42" s="21">
        <f t="shared" si="9"/>
        <v>1155154.9773092337</v>
      </c>
      <c r="R42" s="21">
        <f t="shared" si="9"/>
        <v>1200039.5676495198</v>
      </c>
      <c r="S42" s="21">
        <f t="shared" si="9"/>
        <v>1240409.8533562603</v>
      </c>
      <c r="T42" s="21">
        <f t="shared" si="9"/>
        <v>1271563.1923830791</v>
      </c>
      <c r="U42" s="21">
        <f t="shared" si="9"/>
        <v>1352452.9377768761</v>
      </c>
      <c r="V42" s="22">
        <f t="shared" si="7"/>
        <v>12587893.583461734</v>
      </c>
      <c r="W42" s="20"/>
    </row>
    <row r="43" spans="1:23" x14ac:dyDescent="0.25">
      <c r="A43" s="17" t="s">
        <v>68</v>
      </c>
      <c r="C43" s="21">
        <f>+C42</f>
        <v>340000</v>
      </c>
      <c r="D43" s="21">
        <f t="shared" ref="D43:U43" si="11">+D42+C43</f>
        <v>386410</v>
      </c>
      <c r="E43" s="21">
        <f t="shared" si="11"/>
        <v>525794</v>
      </c>
      <c r="F43" s="21">
        <f t="shared" si="11"/>
        <v>731676.6</v>
      </c>
      <c r="G43" s="21">
        <f t="shared" si="11"/>
        <v>1029599.5</v>
      </c>
      <c r="H43" s="21">
        <f t="shared" si="11"/>
        <v>1398066.5</v>
      </c>
      <c r="I43" s="21">
        <f t="shared" si="11"/>
        <v>1776682.0525208332</v>
      </c>
      <c r="J43" s="21">
        <f>+J42+I43</f>
        <v>2202752.4212483764</v>
      </c>
      <c r="K43" s="21">
        <f>+K42+J43</f>
        <v>2666742.7966370829</v>
      </c>
      <c r="L43" s="21">
        <f>+L42+K43</f>
        <v>3172392.482339853</v>
      </c>
      <c r="M43" s="21">
        <f>+M42+L43</f>
        <v>3740568.7831983604</v>
      </c>
      <c r="N43" s="21">
        <f t="shared" si="11"/>
        <v>4404791.0770754069</v>
      </c>
      <c r="O43" s="21">
        <f t="shared" si="11"/>
        <v>5295922.4391393987</v>
      </c>
      <c r="P43" s="21">
        <f t="shared" si="11"/>
        <v>6368273.0549867647</v>
      </c>
      <c r="Q43" s="21">
        <f t="shared" si="11"/>
        <v>7523428.0322959982</v>
      </c>
      <c r="R43" s="21">
        <f t="shared" si="11"/>
        <v>8723467.5999455173</v>
      </c>
      <c r="S43" s="21">
        <f t="shared" si="11"/>
        <v>9963877.4533017781</v>
      </c>
      <c r="T43" s="21">
        <f t="shared" si="11"/>
        <v>11235440.645684857</v>
      </c>
      <c r="U43" s="21">
        <f t="shared" si="11"/>
        <v>12587893.583461734</v>
      </c>
      <c r="V43" s="11"/>
      <c r="W43" s="20"/>
    </row>
    <row r="44" spans="1:23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11"/>
      <c r="W44" s="20"/>
    </row>
    <row r="45" spans="1:23" s="4" customFormat="1" x14ac:dyDescent="0.25">
      <c r="A45" s="4" t="s">
        <v>77</v>
      </c>
      <c r="C45" s="4">
        <f t="shared" ref="C45:U45" si="12">+C33+C42</f>
        <v>7140000</v>
      </c>
      <c r="D45" s="4">
        <f t="shared" si="12"/>
        <v>1296410</v>
      </c>
      <c r="E45" s="4">
        <f t="shared" si="12"/>
        <v>33024184</v>
      </c>
      <c r="F45" s="4">
        <f t="shared" si="12"/>
        <v>225882.6</v>
      </c>
      <c r="G45" s="4">
        <f t="shared" si="12"/>
        <v>1752232.9</v>
      </c>
      <c r="H45" s="4">
        <f t="shared" si="12"/>
        <v>18800373.5</v>
      </c>
      <c r="I45" s="4">
        <f t="shared" si="12"/>
        <v>8037788.4025208326</v>
      </c>
      <c r="J45" s="4">
        <f>+J33+J42</f>
        <v>8808343.9620608743</v>
      </c>
      <c r="K45" s="4">
        <f>+K33+K42</f>
        <v>6987028.9287220389</v>
      </c>
      <c r="L45" s="4">
        <f>+L33+L42</f>
        <v>7789242.4890361028</v>
      </c>
      <c r="M45" s="4">
        <f>+M33+M42</f>
        <v>11600775.830858508</v>
      </c>
      <c r="N45" s="4">
        <f t="shared" si="12"/>
        <v>17679921.627210379</v>
      </c>
      <c r="O45" s="4">
        <f t="shared" si="12"/>
        <v>42265506.27193065</v>
      </c>
      <c r="P45" s="4">
        <f t="shared" si="12"/>
        <v>33637081.490714036</v>
      </c>
      <c r="Q45" s="4">
        <f t="shared" si="12"/>
        <v>15369763.400575899</v>
      </c>
      <c r="R45" s="4">
        <f t="shared" si="12"/>
        <v>8331270.4993161885</v>
      </c>
      <c r="S45" s="4">
        <f t="shared" si="12"/>
        <v>7493346.1084895898</v>
      </c>
      <c r="T45" s="4">
        <f t="shared" si="12"/>
        <v>5782539.0055164136</v>
      </c>
      <c r="U45" s="4">
        <f t="shared" si="12"/>
        <v>15014381.202710209</v>
      </c>
      <c r="V45" s="11">
        <f>SUM(C45:U45)</f>
        <v>251036072.21966174</v>
      </c>
    </row>
    <row r="46" spans="1:23" s="4" customFormat="1" x14ac:dyDescent="0.25">
      <c r="A46" s="4" t="s">
        <v>45</v>
      </c>
      <c r="C46" s="4">
        <f>C45</f>
        <v>7140000</v>
      </c>
      <c r="D46" s="4">
        <f t="shared" ref="D46:U46" si="13">C46+D45</f>
        <v>8436410</v>
      </c>
      <c r="E46" s="4">
        <f t="shared" si="13"/>
        <v>41460594</v>
      </c>
      <c r="F46" s="4">
        <f t="shared" si="13"/>
        <v>41686476.600000001</v>
      </c>
      <c r="G46" s="4">
        <f t="shared" si="13"/>
        <v>43438709.5</v>
      </c>
      <c r="H46" s="4">
        <f t="shared" si="13"/>
        <v>62239083</v>
      </c>
      <c r="I46" s="4">
        <f t="shared" si="13"/>
        <v>70276871.402520835</v>
      </c>
      <c r="J46" s="4">
        <f>I46+J45</f>
        <v>79085215.364581704</v>
      </c>
      <c r="K46" s="4">
        <f>J46+K45</f>
        <v>86072244.293303743</v>
      </c>
      <c r="L46" s="4">
        <f>K46+L45</f>
        <v>93861486.782339841</v>
      </c>
      <c r="M46" s="4">
        <f>L46+M45</f>
        <v>105462262.61319835</v>
      </c>
      <c r="N46" s="4">
        <f t="shared" si="13"/>
        <v>123142184.24040873</v>
      </c>
      <c r="O46" s="4">
        <f t="shared" si="13"/>
        <v>165407690.51233938</v>
      </c>
      <c r="P46" s="4">
        <f t="shared" si="13"/>
        <v>199044772.00305343</v>
      </c>
      <c r="Q46" s="4">
        <f t="shared" si="13"/>
        <v>214414535.40362933</v>
      </c>
      <c r="R46" s="4">
        <f t="shared" si="13"/>
        <v>222745805.90294552</v>
      </c>
      <c r="S46" s="4">
        <f t="shared" si="13"/>
        <v>230239152.01143512</v>
      </c>
      <c r="T46" s="4">
        <f t="shared" si="13"/>
        <v>236021691.01695153</v>
      </c>
      <c r="U46" s="4">
        <f t="shared" si="13"/>
        <v>251036072.21966174</v>
      </c>
      <c r="V46" s="11"/>
    </row>
    <row r="47" spans="1:23" s="4" customFormat="1" x14ac:dyDescent="0.25">
      <c r="A47" s="17" t="s">
        <v>64</v>
      </c>
      <c r="V47" s="16">
        <f>+V45/C50/1000</f>
        <v>412.88827667707523</v>
      </c>
    </row>
    <row r="48" spans="1:23" s="4" customFormat="1" x14ac:dyDescent="0.25">
      <c r="A48" s="8" t="s">
        <v>96</v>
      </c>
      <c r="C48" s="12">
        <v>6.5000000000000002E-2</v>
      </c>
      <c r="V48" s="11"/>
    </row>
    <row r="49" spans="1:27" s="4" customFormat="1" x14ac:dyDescent="0.25">
      <c r="A49" s="8" t="s">
        <v>89</v>
      </c>
      <c r="C49" s="12">
        <v>3.5000000000000001E-3</v>
      </c>
      <c r="D49" s="35">
        <v>245672000</v>
      </c>
      <c r="V49" s="11"/>
    </row>
    <row r="50" spans="1:27" s="4" customFormat="1" x14ac:dyDescent="0.25">
      <c r="A50" s="8"/>
      <c r="C50" s="4">
        <v>608</v>
      </c>
      <c r="D50" s="4" t="s">
        <v>66</v>
      </c>
      <c r="V50" s="11"/>
    </row>
    <row r="51" spans="1:27" x14ac:dyDescent="0.25">
      <c r="A51" s="17" t="s">
        <v>39</v>
      </c>
      <c r="C51" s="4">
        <v>0</v>
      </c>
      <c r="U51" s="18">
        <v>0</v>
      </c>
      <c r="V51" s="23">
        <f>SUM(C51:U51)</f>
        <v>0</v>
      </c>
      <c r="W51" s="19">
        <f>W40</f>
        <v>0</v>
      </c>
    </row>
    <row r="52" spans="1:27" s="4" customFormat="1" x14ac:dyDescent="0.25">
      <c r="A52" s="8"/>
      <c r="C52" s="12"/>
      <c r="V52" s="11"/>
    </row>
    <row r="53" spans="1:27" x14ac:dyDescent="0.25">
      <c r="A53" s="17" t="s">
        <v>69</v>
      </c>
      <c r="C53" s="4">
        <f t="shared" ref="C53:U53" si="14">+C45-C38</f>
        <v>6800000</v>
      </c>
      <c r="D53" s="4">
        <f t="shared" si="14"/>
        <v>1250000</v>
      </c>
      <c r="E53" s="4">
        <f t="shared" si="14"/>
        <v>32884800</v>
      </c>
      <c r="F53" s="4">
        <f t="shared" si="14"/>
        <v>-1556.3999999999942</v>
      </c>
      <c r="G53" s="4">
        <f t="shared" si="14"/>
        <v>1520788.9</v>
      </c>
      <c r="H53" s="4">
        <f t="shared" si="14"/>
        <v>18381006.5</v>
      </c>
      <c r="I53" s="4">
        <f t="shared" si="14"/>
        <v>7659172.8499999996</v>
      </c>
      <c r="J53" s="4">
        <f t="shared" si="14"/>
        <v>8382273.5933333309</v>
      </c>
      <c r="K53" s="4">
        <f t="shared" si="14"/>
        <v>6523317.5533333328</v>
      </c>
      <c r="L53" s="4">
        <f t="shared" si="14"/>
        <v>7283602.8033333328</v>
      </c>
      <c r="M53" s="4">
        <f t="shared" si="14"/>
        <v>11032599.530000001</v>
      </c>
      <c r="N53" s="4">
        <f t="shared" si="14"/>
        <v>17016499.333333332</v>
      </c>
      <c r="O53" s="4">
        <f t="shared" si="14"/>
        <v>41374374.909866661</v>
      </c>
      <c r="P53" s="4">
        <f t="shared" si="14"/>
        <v>32564730.874866668</v>
      </c>
      <c r="Q53" s="4">
        <f t="shared" si="14"/>
        <v>14214608.423266664</v>
      </c>
      <c r="R53" s="4">
        <f t="shared" si="14"/>
        <v>7131230.9316666685</v>
      </c>
      <c r="S53" s="4">
        <f t="shared" si="14"/>
        <v>6252936.255133329</v>
      </c>
      <c r="T53" s="4">
        <f t="shared" si="14"/>
        <v>4510975.8131333347</v>
      </c>
      <c r="U53" s="4">
        <f t="shared" si="14"/>
        <v>13661928.264933333</v>
      </c>
      <c r="V53" s="11">
        <f>SUM(C53:U53)</f>
        <v>238443290.13619995</v>
      </c>
    </row>
    <row r="54" spans="1:27" ht="9.75" customHeight="1" x14ac:dyDescent="0.25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1"/>
    </row>
    <row r="55" spans="1:27" x14ac:dyDescent="0.25">
      <c r="V55" s="11"/>
    </row>
    <row r="56" spans="1:27" ht="19.2" x14ac:dyDescent="0.6">
      <c r="A56" s="32" t="s">
        <v>81</v>
      </c>
      <c r="V56" s="11"/>
      <c r="Y56" s="17" t="s">
        <v>112</v>
      </c>
    </row>
    <row r="57" spans="1:27" x14ac:dyDescent="0.25">
      <c r="A57" s="5" t="s">
        <v>43</v>
      </c>
      <c r="V57" s="11"/>
      <c r="Y57" s="17" t="s">
        <v>113</v>
      </c>
    </row>
    <row r="58" spans="1:27" x14ac:dyDescent="0.25">
      <c r="A58" s="17" t="s">
        <v>24</v>
      </c>
      <c r="C58" s="4">
        <v>0</v>
      </c>
      <c r="D58" s="18">
        <v>0</v>
      </c>
      <c r="E58" s="18">
        <v>0</v>
      </c>
      <c r="F58" s="8">
        <v>8000</v>
      </c>
      <c r="G58" s="18">
        <v>24712</v>
      </c>
      <c r="H58" s="18">
        <v>0</v>
      </c>
      <c r="I58" s="17">
        <v>0</v>
      </c>
      <c r="J58" s="17">
        <v>14873.37</v>
      </c>
      <c r="K58" s="17">
        <v>2460</v>
      </c>
      <c r="L58" s="17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1">
        <f>SUM(C58:U58)</f>
        <v>50045.37</v>
      </c>
      <c r="W58" s="19" t="s">
        <v>52</v>
      </c>
      <c r="X58" s="18">
        <f>V58+V25</f>
        <v>399999.82999999996</v>
      </c>
      <c r="Y58" s="18">
        <f>[1]Wilton!$BR$173</f>
        <v>400000</v>
      </c>
      <c r="Z58" s="18">
        <f>Y58-X58</f>
        <v>0.17000000004190952</v>
      </c>
      <c r="AA58" s="17"/>
    </row>
    <row r="59" spans="1:27" x14ac:dyDescent="0.25">
      <c r="A59" s="17" t="s">
        <v>32</v>
      </c>
      <c r="C59" s="4">
        <v>0</v>
      </c>
      <c r="D59" s="18">
        <v>1236</v>
      </c>
      <c r="E59" s="18">
        <f>56608-22604+22500</f>
        <v>56504</v>
      </c>
      <c r="F59" s="8">
        <f>5706+21114</f>
        <v>26820</v>
      </c>
      <c r="G59" s="17">
        <f>9652+1899</f>
        <v>11551</v>
      </c>
      <c r="H59" s="18">
        <v>0</v>
      </c>
      <c r="I59" s="18">
        <f>169479.45+30387.78</f>
        <v>199867.23</v>
      </c>
      <c r="J59" s="18">
        <f>566.91+3047.17+16608.78+17351.65+10439.68</f>
        <v>48014.19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1">
        <f>SUM(C59:U59)</f>
        <v>343992.42</v>
      </c>
      <c r="W59" s="19" t="str">
        <f>W58</f>
        <v>Scott Healy</v>
      </c>
      <c r="X59" s="18">
        <f>V59+V31</f>
        <v>847631.89999999991</v>
      </c>
      <c r="Y59" s="18">
        <f>[1]Wilton!$BR$196</f>
        <v>847631.41999999993</v>
      </c>
      <c r="Z59" s="18">
        <f>Y59-X59</f>
        <v>-0.47999999998137355</v>
      </c>
    </row>
    <row r="60" spans="1:27" x14ac:dyDescent="0.25">
      <c r="A60" s="17" t="s">
        <v>30</v>
      </c>
      <c r="C60" s="4">
        <v>0</v>
      </c>
      <c r="D60" s="18">
        <v>0</v>
      </c>
      <c r="E60" s="18">
        <v>22604</v>
      </c>
      <c r="F60" s="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1">
        <f>SUM(C60:U60)</f>
        <v>22604</v>
      </c>
      <c r="W60" s="19" t="str">
        <f>W59</f>
        <v>Scott Healy</v>
      </c>
      <c r="X60" s="18">
        <f>V60+V30</f>
        <v>199999.59333333332</v>
      </c>
      <c r="Y60" s="18">
        <f>[1]Wilton!$BR$187</f>
        <v>200000</v>
      </c>
      <c r="Z60" s="18">
        <f>Y60-X60</f>
        <v>0.40666666667675599</v>
      </c>
    </row>
    <row r="61" spans="1:27" x14ac:dyDescent="0.25">
      <c r="A61" s="17" t="s">
        <v>33</v>
      </c>
      <c r="C61" s="4">
        <v>0</v>
      </c>
      <c r="D61" s="18">
        <v>0</v>
      </c>
      <c r="E61" s="18">
        <v>0</v>
      </c>
      <c r="F61" s="8">
        <v>10000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1">
        <f>SUM(C61:U61)</f>
        <v>10000</v>
      </c>
      <c r="W61" s="19" t="str">
        <f>W60</f>
        <v>Scott Healy</v>
      </c>
      <c r="X61" s="18">
        <f>V61+V32</f>
        <v>256750.5</v>
      </c>
      <c r="Y61" s="18">
        <f>[1]Wilton!$BR$202</f>
        <v>256751</v>
      </c>
      <c r="Z61" s="18">
        <f>Y61-X61</f>
        <v>0.5</v>
      </c>
    </row>
    <row r="62" spans="1:27" x14ac:dyDescent="0.25">
      <c r="A62" s="4" t="s">
        <v>78</v>
      </c>
      <c r="C62" s="21">
        <f>SUM(C58:C61)</f>
        <v>0</v>
      </c>
      <c r="D62" s="21">
        <f t="shared" ref="D62:U62" si="15">SUM(D58:D61)</f>
        <v>1236</v>
      </c>
      <c r="E62" s="21">
        <f t="shared" si="15"/>
        <v>79108</v>
      </c>
      <c r="F62" s="21">
        <f t="shared" si="15"/>
        <v>44820</v>
      </c>
      <c r="G62" s="21">
        <f t="shared" si="15"/>
        <v>36263</v>
      </c>
      <c r="H62" s="21">
        <f t="shared" si="15"/>
        <v>0</v>
      </c>
      <c r="I62" s="21">
        <f t="shared" si="15"/>
        <v>199867.23</v>
      </c>
      <c r="J62" s="21">
        <f t="shared" si="15"/>
        <v>62887.560000000005</v>
      </c>
      <c r="K62" s="21">
        <f t="shared" si="15"/>
        <v>2460</v>
      </c>
      <c r="L62" s="21">
        <f t="shared" si="15"/>
        <v>0</v>
      </c>
      <c r="M62" s="21">
        <f t="shared" si="15"/>
        <v>0</v>
      </c>
      <c r="N62" s="21">
        <f t="shared" si="15"/>
        <v>0</v>
      </c>
      <c r="O62" s="21">
        <f t="shared" si="15"/>
        <v>0</v>
      </c>
      <c r="P62" s="21">
        <f t="shared" si="15"/>
        <v>0</v>
      </c>
      <c r="Q62" s="21">
        <f t="shared" si="15"/>
        <v>0</v>
      </c>
      <c r="R62" s="21">
        <f t="shared" si="15"/>
        <v>0</v>
      </c>
      <c r="S62" s="21">
        <f t="shared" si="15"/>
        <v>0</v>
      </c>
      <c r="T62" s="21">
        <f t="shared" si="15"/>
        <v>0</v>
      </c>
      <c r="U62" s="21">
        <f t="shared" si="15"/>
        <v>0</v>
      </c>
      <c r="V62" s="22">
        <f>SUM(C62:U62)</f>
        <v>426641.79</v>
      </c>
      <c r="W62" s="20"/>
    </row>
    <row r="63" spans="1:27" x14ac:dyDescent="0.25">
      <c r="A63" s="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1"/>
      <c r="W63" s="20"/>
    </row>
    <row r="64" spans="1:27" x14ac:dyDescent="0.25">
      <c r="A64" s="4" t="s">
        <v>97</v>
      </c>
      <c r="C64" s="9"/>
      <c r="D64" s="9"/>
      <c r="E64" s="9"/>
      <c r="F64" s="9"/>
      <c r="G64" s="9">
        <v>-56500</v>
      </c>
      <c r="H64" s="9">
        <f>1-35</f>
        <v>-34</v>
      </c>
      <c r="I64" s="9">
        <v>-69954</v>
      </c>
      <c r="J64" s="9">
        <v>-22011</v>
      </c>
      <c r="K64" s="9">
        <f>-98-861</f>
        <v>-959</v>
      </c>
      <c r="L64" s="9">
        <f>-3</f>
        <v>-3</v>
      </c>
      <c r="M64" s="9">
        <f>[1]Wilton!$AN$218</f>
        <v>52217</v>
      </c>
      <c r="N64" s="9">
        <f>-233-52264</f>
        <v>-52497</v>
      </c>
      <c r="O64" s="9"/>
      <c r="P64" s="9"/>
      <c r="Q64" s="9"/>
      <c r="R64" s="9"/>
      <c r="S64" s="9"/>
      <c r="T64" s="9"/>
      <c r="U64" s="9"/>
      <c r="V64" s="11">
        <f>SUM(G64:U64)</f>
        <v>-149741</v>
      </c>
      <c r="W64" s="20"/>
    </row>
    <row r="65" spans="1:23" s="43" customFormat="1" x14ac:dyDescent="0.25">
      <c r="A65" s="21" t="s">
        <v>98</v>
      </c>
      <c r="C65" s="21">
        <f>SUM(C62:C64)</f>
        <v>0</v>
      </c>
      <c r="D65" s="21">
        <f t="shared" ref="D65:V65" si="16">SUM(D62:D64)</f>
        <v>1236</v>
      </c>
      <c r="E65" s="21">
        <f t="shared" si="16"/>
        <v>79108</v>
      </c>
      <c r="F65" s="21">
        <f t="shared" si="16"/>
        <v>44820</v>
      </c>
      <c r="G65" s="21">
        <f t="shared" si="16"/>
        <v>-20237</v>
      </c>
      <c r="H65" s="21">
        <f t="shared" si="16"/>
        <v>-34</v>
      </c>
      <c r="I65" s="21">
        <f t="shared" si="16"/>
        <v>129913.23000000001</v>
      </c>
      <c r="J65" s="21">
        <f t="shared" si="16"/>
        <v>40876.560000000005</v>
      </c>
      <c r="K65" s="21">
        <f t="shared" si="16"/>
        <v>1501</v>
      </c>
      <c r="L65" s="21">
        <f t="shared" si="16"/>
        <v>-3</v>
      </c>
      <c r="M65" s="21">
        <f t="shared" si="16"/>
        <v>52217</v>
      </c>
      <c r="N65" s="21">
        <f t="shared" si="16"/>
        <v>-52497</v>
      </c>
      <c r="O65" s="21">
        <f t="shared" si="16"/>
        <v>0</v>
      </c>
      <c r="P65" s="21">
        <f t="shared" si="16"/>
        <v>0</v>
      </c>
      <c r="Q65" s="21">
        <f t="shared" si="16"/>
        <v>0</v>
      </c>
      <c r="R65" s="21">
        <f t="shared" si="16"/>
        <v>0</v>
      </c>
      <c r="S65" s="21">
        <f t="shared" si="16"/>
        <v>0</v>
      </c>
      <c r="T65" s="21">
        <f t="shared" si="16"/>
        <v>0</v>
      </c>
      <c r="U65" s="21">
        <f t="shared" si="16"/>
        <v>0</v>
      </c>
      <c r="V65" s="21">
        <f t="shared" si="16"/>
        <v>276900.78999999998</v>
      </c>
    </row>
    <row r="66" spans="1:23" x14ac:dyDescent="0.25">
      <c r="A66" s="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1"/>
      <c r="W66" s="20"/>
    </row>
    <row r="67" spans="1:23" x14ac:dyDescent="0.25">
      <c r="A67" s="4" t="s">
        <v>73</v>
      </c>
      <c r="V67" s="11"/>
    </row>
    <row r="68" spans="1:23" x14ac:dyDescent="0.25">
      <c r="A68" s="17" t="s">
        <v>30</v>
      </c>
      <c r="E68" s="18">
        <v>19729</v>
      </c>
      <c r="F68" s="18">
        <v>0</v>
      </c>
      <c r="H68" s="18">
        <v>12698.23</v>
      </c>
      <c r="J68" s="18">
        <v>5725</v>
      </c>
      <c r="V68" s="11">
        <f>SUM(C68:U68)</f>
        <v>38152.229999999996</v>
      </c>
      <c r="W68" s="19" t="str">
        <f>+W61</f>
        <v>Scott Healy</v>
      </c>
    </row>
    <row r="69" spans="1:23" x14ac:dyDescent="0.25">
      <c r="A69" s="17" t="s">
        <v>32</v>
      </c>
      <c r="D69" s="18">
        <v>1343</v>
      </c>
      <c r="E69" s="8">
        <f>24234.66+4681.29</f>
        <v>28915.95</v>
      </c>
      <c r="F69" s="17">
        <f>19059+269.69</f>
        <v>19328.689999999999</v>
      </c>
      <c r="G69" s="18">
        <v>568</v>
      </c>
      <c r="H69" s="18">
        <v>68419</v>
      </c>
      <c r="L69" s="18">
        <v>591.45000000000005</v>
      </c>
      <c r="V69" s="11">
        <f>SUM(C69:U69)</f>
        <v>119166.09</v>
      </c>
      <c r="W69" s="19" t="str">
        <f>W68</f>
        <v>Scott Healy</v>
      </c>
    </row>
    <row r="70" spans="1:23" x14ac:dyDescent="0.25">
      <c r="A70" s="17" t="s">
        <v>33</v>
      </c>
      <c r="C70" s="4">
        <v>52133</v>
      </c>
      <c r="G70" s="18">
        <v>1331</v>
      </c>
      <c r="V70" s="11">
        <f>SUM(C70:U70)</f>
        <v>53464</v>
      </c>
      <c r="W70" s="19" t="str">
        <f>W69</f>
        <v>Scott Healy</v>
      </c>
    </row>
    <row r="71" spans="1:23" x14ac:dyDescent="0.25">
      <c r="A71" s="17" t="s">
        <v>23</v>
      </c>
      <c r="C71" s="4">
        <v>87500</v>
      </c>
      <c r="V71" s="11">
        <f>SUM(C71:U71)</f>
        <v>87500</v>
      </c>
    </row>
    <row r="72" spans="1:23" x14ac:dyDescent="0.25">
      <c r="A72" s="4" t="s">
        <v>79</v>
      </c>
      <c r="C72" s="21">
        <f t="shared" ref="C72:H72" si="17">SUM(C68:C71)</f>
        <v>139633</v>
      </c>
      <c r="D72" s="21">
        <f t="shared" si="17"/>
        <v>1343</v>
      </c>
      <c r="E72" s="21">
        <f t="shared" si="17"/>
        <v>48644.95</v>
      </c>
      <c r="F72" s="21">
        <f t="shared" si="17"/>
        <v>19328.689999999999</v>
      </c>
      <c r="G72" s="21">
        <f t="shared" si="17"/>
        <v>1899</v>
      </c>
      <c r="H72" s="21">
        <f t="shared" si="17"/>
        <v>81117.23</v>
      </c>
      <c r="I72" s="21">
        <f t="shared" ref="I72:U72" si="18">SUM(I68:I71)</f>
        <v>0</v>
      </c>
      <c r="J72" s="21">
        <f t="shared" si="18"/>
        <v>5725</v>
      </c>
      <c r="K72" s="21">
        <f t="shared" si="18"/>
        <v>0</v>
      </c>
      <c r="L72" s="21">
        <f t="shared" si="18"/>
        <v>591.45000000000005</v>
      </c>
      <c r="M72" s="21">
        <f t="shared" si="18"/>
        <v>0</v>
      </c>
      <c r="N72" s="21">
        <f t="shared" si="18"/>
        <v>0</v>
      </c>
      <c r="O72" s="21">
        <f t="shared" si="18"/>
        <v>0</v>
      </c>
      <c r="P72" s="21">
        <f t="shared" si="18"/>
        <v>0</v>
      </c>
      <c r="Q72" s="21">
        <f t="shared" si="18"/>
        <v>0</v>
      </c>
      <c r="R72" s="21">
        <f t="shared" si="18"/>
        <v>0</v>
      </c>
      <c r="S72" s="21">
        <f t="shared" si="18"/>
        <v>0</v>
      </c>
      <c r="T72" s="21">
        <f t="shared" si="18"/>
        <v>0</v>
      </c>
      <c r="U72" s="21">
        <f t="shared" si="18"/>
        <v>0</v>
      </c>
      <c r="V72" s="22">
        <f>SUM(C72:U72)</f>
        <v>298282.32</v>
      </c>
    </row>
    <row r="73" spans="1:23" x14ac:dyDescent="0.25">
      <c r="V73" s="11"/>
    </row>
    <row r="74" spans="1:23" x14ac:dyDescent="0.25">
      <c r="V74" s="11"/>
    </row>
    <row r="75" spans="1:23" ht="13.8" thickBot="1" x14ac:dyDescent="0.3">
      <c r="A75" s="4" t="s">
        <v>87</v>
      </c>
      <c r="C75" s="33">
        <f t="shared" ref="C75:T75" si="19">+C45+C65+C72</f>
        <v>7279633</v>
      </c>
      <c r="D75" s="33">
        <f t="shared" si="19"/>
        <v>1298989</v>
      </c>
      <c r="E75" s="33">
        <f t="shared" si="19"/>
        <v>33151936.949999999</v>
      </c>
      <c r="F75" s="33">
        <f t="shared" si="19"/>
        <v>290031.28999999998</v>
      </c>
      <c r="G75" s="33">
        <f t="shared" si="19"/>
        <v>1733894.9</v>
      </c>
      <c r="H75" s="33">
        <f t="shared" si="19"/>
        <v>18881456.73</v>
      </c>
      <c r="I75" s="33">
        <f t="shared" si="19"/>
        <v>8167701.6325208331</v>
      </c>
      <c r="J75" s="33">
        <f t="shared" si="19"/>
        <v>8854945.5220608748</v>
      </c>
      <c r="K75" s="33">
        <f t="shared" si="19"/>
        <v>6988529.9287220389</v>
      </c>
      <c r="L75" s="33">
        <f t="shared" si="19"/>
        <v>7789830.939036103</v>
      </c>
      <c r="M75" s="33">
        <f t="shared" si="19"/>
        <v>11652992.830858508</v>
      </c>
      <c r="N75" s="33">
        <f t="shared" si="19"/>
        <v>17627424.627210379</v>
      </c>
      <c r="O75" s="33">
        <f t="shared" si="19"/>
        <v>42265506.27193065</v>
      </c>
      <c r="P75" s="33">
        <f t="shared" si="19"/>
        <v>33637081.490714036</v>
      </c>
      <c r="Q75" s="33">
        <f t="shared" si="19"/>
        <v>15369763.400575899</v>
      </c>
      <c r="R75" s="33">
        <f t="shared" si="19"/>
        <v>8331270.4993161885</v>
      </c>
      <c r="S75" s="33">
        <f t="shared" si="19"/>
        <v>7493346.1084895898</v>
      </c>
      <c r="T75" s="33">
        <f t="shared" si="19"/>
        <v>5782539.0055164136</v>
      </c>
      <c r="U75" s="33">
        <f>+U45+U65+U72</f>
        <v>15014381.202710209</v>
      </c>
      <c r="V75" s="34">
        <f>SUM(C75:U75)</f>
        <v>251611255.32966176</v>
      </c>
    </row>
    <row r="76" spans="1:23" x14ac:dyDescent="0.25">
      <c r="U76"/>
      <c r="V76" s="48">
        <f>V75-[1]Wilton!$BR$234</f>
        <v>-0.29379996657371521</v>
      </c>
    </row>
    <row r="77" spans="1:23" x14ac:dyDescent="0.25">
      <c r="U77"/>
      <c r="V77"/>
    </row>
    <row r="78" spans="1:23" x14ac:dyDescent="0.25">
      <c r="U78"/>
      <c r="V78"/>
    </row>
  </sheetData>
  <mergeCells count="1">
    <mergeCell ref="P5:V5"/>
  </mergeCells>
  <printOptions horizontalCentered="1"/>
  <pageMargins left="0.25" right="0.25" top="0.5" bottom="0.5" header="0.25" footer="0.5"/>
  <pageSetup scale="43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4"/>
  <sheetViews>
    <sheetView workbookViewId="0">
      <pane xSplit="2" ySplit="6" topLeftCell="T54" activePane="bottomRight" state="frozen"/>
      <selection activeCell="Z25" sqref="Z25"/>
      <selection pane="topRight" activeCell="Z25" sqref="Z25"/>
      <selection pane="bottomLeft" activeCell="Z25" sqref="Z25"/>
      <selection pane="bottomRight" activeCell="Z54" sqref="Z54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customWidth="1"/>
    <col min="12" max="12" width="12.33203125" style="18" bestFit="1" customWidth="1"/>
    <col min="13" max="13" width="12.33203125" style="52" bestFit="1" customWidth="1"/>
    <col min="14" max="21" width="12.33203125" style="18" bestFit="1" customWidth="1"/>
    <col min="22" max="22" width="12.109375" style="18" customWidth="1"/>
    <col min="23" max="23" width="13.5546875" style="4" customWidth="1"/>
    <col min="24" max="24" width="20" style="18" customWidth="1"/>
    <col min="25" max="25" width="11.33203125" style="18" customWidth="1"/>
    <col min="26" max="26" width="11.33203125" style="18" bestFit="1" customWidth="1"/>
    <col min="27" max="16384" width="9.109375" style="18"/>
  </cols>
  <sheetData>
    <row r="1" spans="1:26" s="2" customFormat="1" ht="15.6" x14ac:dyDescent="0.3">
      <c r="A1" s="1" t="s">
        <v>0</v>
      </c>
      <c r="M1" s="51"/>
    </row>
    <row r="2" spans="1:26" s="2" customFormat="1" ht="15.6" x14ac:dyDescent="0.3">
      <c r="A2" s="1" t="s">
        <v>1</v>
      </c>
      <c r="D2" s="1" t="str">
        <f>Wilton!D2</f>
        <v>Last updated:  Actuals through December 3, 1999</v>
      </c>
      <c r="M2" s="51"/>
      <c r="W2" s="25" t="str">
        <f ca="1">CELL("filename")</f>
        <v>O:\Fin_Ops\Engysvc\PowerPlants\2000 Plants\Weekly Report\[2000 Weekly Report - 121499.xls]Summary</v>
      </c>
    </row>
    <row r="3" spans="1:26" s="2" customFormat="1" ht="15.6" x14ac:dyDescent="0.3">
      <c r="A3" s="1" t="s">
        <v>2</v>
      </c>
      <c r="D3" s="26"/>
      <c r="F3" s="3"/>
      <c r="M3" s="51"/>
      <c r="W3" s="24">
        <f ca="1">NOW()</f>
        <v>36508.723468402779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60" t="s">
        <v>4</v>
      </c>
      <c r="R5" s="60"/>
      <c r="S5" s="60"/>
      <c r="T5" s="60"/>
      <c r="U5" s="60"/>
      <c r="V5" s="60"/>
      <c r="W5" s="60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14" t="s">
        <v>5</v>
      </c>
      <c r="X6" s="14" t="s">
        <v>58</v>
      </c>
    </row>
    <row r="7" spans="1:26" s="6" customFormat="1" ht="19.2" x14ac:dyDescent="0.6">
      <c r="A7" s="32" t="s">
        <v>80</v>
      </c>
      <c r="W7" s="10"/>
      <c r="X7" s="31"/>
    </row>
    <row r="8" spans="1:26" x14ac:dyDescent="0.25">
      <c r="A8" s="5" t="s">
        <v>116</v>
      </c>
      <c r="W8" s="11"/>
    </row>
    <row r="9" spans="1:26" x14ac:dyDescent="0.25">
      <c r="A9" s="5" t="s">
        <v>61</v>
      </c>
      <c r="W9" s="11"/>
    </row>
    <row r="10" spans="1:26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f>1553625-393211</f>
        <v>1160414</v>
      </c>
      <c r="R10" s="18">
        <v>0</v>
      </c>
      <c r="U10" s="18">
        <v>11</v>
      </c>
      <c r="V10" s="17">
        <f>3081531-1282310</f>
        <v>1799221</v>
      </c>
      <c r="W10" s="11">
        <f t="shared" ref="W10:W34" si="0">SUM(C10:V10)</f>
        <v>60842740</v>
      </c>
      <c r="X10" s="15" t="s">
        <v>50</v>
      </c>
    </row>
    <row r="11" spans="1:26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</f>
        <v>3066105</v>
      </c>
      <c r="W11" s="11">
        <f t="shared" si="0"/>
        <v>34480361</v>
      </c>
      <c r="X11" s="15" t="s">
        <v>50</v>
      </c>
      <c r="Y11" s="18">
        <f>[1]Gleason!$BT$16</f>
        <v>95323101</v>
      </c>
      <c r="Z11" s="18">
        <f>W10+W11-Y11</f>
        <v>0</v>
      </c>
    </row>
    <row r="12" spans="1:26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v>1765743.3</v>
      </c>
      <c r="R12" s="18">
        <v>645575.4</v>
      </c>
      <c r="S12" s="18">
        <f>531586.8-58500</f>
        <v>473086.80000000005</v>
      </c>
      <c r="T12" s="18">
        <v>0</v>
      </c>
      <c r="W12" s="11">
        <f t="shared" si="0"/>
        <v>5893810.7999999998</v>
      </c>
      <c r="X12" s="15" t="s">
        <v>50</v>
      </c>
      <c r="Y12" s="18">
        <f>[1]Gleason!$BT$35</f>
        <v>5893811</v>
      </c>
      <c r="Z12" s="18">
        <f t="shared" ref="Z12:Z24" si="1">W12-Y12</f>
        <v>-0.20000000018626451</v>
      </c>
    </row>
    <row r="13" spans="1:26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W13" s="11">
        <f t="shared" si="0"/>
        <v>929800.00000000012</v>
      </c>
      <c r="X13" s="15" t="s">
        <v>50</v>
      </c>
      <c r="Y13" s="18">
        <f>[1]Gleason!$BT$131</f>
        <v>929800</v>
      </c>
      <c r="Z13" s="18">
        <f t="shared" si="1"/>
        <v>0</v>
      </c>
    </row>
    <row r="14" spans="1:26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f t="shared" si="3"/>
        <v>236725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2840700/12+6+3</f>
        <v>236734</v>
      </c>
      <c r="W14" s="11">
        <f t="shared" si="0"/>
        <v>2840700</v>
      </c>
      <c r="X14" s="15" t="s">
        <v>50</v>
      </c>
      <c r="Y14" s="18">
        <f>[1]Gleason!$BT$132</f>
        <v>2840700</v>
      </c>
      <c r="Z14" s="18">
        <f t="shared" si="1"/>
        <v>0</v>
      </c>
    </row>
    <row r="15" spans="1:26" x14ac:dyDescent="0.25">
      <c r="A15" s="17" t="s">
        <v>107</v>
      </c>
      <c r="V15" s="18">
        <v>3066700</v>
      </c>
      <c r="W15" s="11">
        <f t="shared" si="0"/>
        <v>3066700</v>
      </c>
      <c r="X15" s="15" t="s">
        <v>50</v>
      </c>
      <c r="Y15" s="18">
        <f>[1]Gleason!$BT$133</f>
        <v>3066700</v>
      </c>
      <c r="Z15" s="18">
        <f t="shared" si="1"/>
        <v>0</v>
      </c>
    </row>
    <row r="16" spans="1:26" x14ac:dyDescent="0.25">
      <c r="A16" s="17" t="s">
        <v>119</v>
      </c>
      <c r="O16" s="18">
        <v>420818</v>
      </c>
      <c r="P16" s="18">
        <f>(0.2939-0.145)*Y16</f>
        <v>2226146.4246</v>
      </c>
      <c r="Q16" s="18">
        <f>(0.4765-0.2939)*Y16</f>
        <v>2729982.1163999997</v>
      </c>
      <c r="R16" s="18">
        <f>(0.6457-0.4765)*Y16</f>
        <v>2529643.8888000012</v>
      </c>
      <c r="S16" s="18">
        <f>(0.7795-0.6457)*Y16</f>
        <v>2000392.1531999989</v>
      </c>
      <c r="T16" s="18">
        <f>(0.8617-0.7795)*Y16</f>
        <v>1228940.4708000007</v>
      </c>
      <c r="U16" s="18">
        <f>(0.9293-0.8617)*Y16</f>
        <v>1010661.5064</v>
      </c>
      <c r="V16" s="18">
        <f>(1-0.9293)*Y16</f>
        <v>1057008.4097999998</v>
      </c>
      <c r="W16" s="11">
        <f t="shared" si="0"/>
        <v>13203592.970000001</v>
      </c>
      <c r="X16" s="15"/>
      <c r="Y16" s="18">
        <f>[1]Gleason!$BT$59</f>
        <v>14950614</v>
      </c>
      <c r="Z16" s="18">
        <f t="shared" si="1"/>
        <v>-1747021.0299999993</v>
      </c>
    </row>
    <row r="17" spans="1:26" x14ac:dyDescent="0.25">
      <c r="A17" s="17" t="s">
        <v>120</v>
      </c>
      <c r="O17" s="18">
        <v>84021</v>
      </c>
      <c r="P17" s="18">
        <f>(0.2939-0.145)*Y17</f>
        <v>768904.56110000005</v>
      </c>
      <c r="Q17" s="18">
        <f>(0.4765-0.2939)*Y17</f>
        <v>942927.95739999996</v>
      </c>
      <c r="R17" s="18">
        <f>(0.6457-0.4765)*Y17</f>
        <v>873731.71080000035</v>
      </c>
      <c r="S17" s="18">
        <f>(0.7795-0.6457)*Y17</f>
        <v>690929.68619999953</v>
      </c>
      <c r="T17" s="18">
        <f>(0.8617-0.7795)*Y17</f>
        <v>424472.49780000024</v>
      </c>
      <c r="U17" s="18">
        <f>(0.9293-0.8617)*Y17</f>
        <v>349079.57239999995</v>
      </c>
      <c r="V17" s="18">
        <f>(1-0.9293)*Y17</f>
        <v>365087.65929999994</v>
      </c>
      <c r="W17" s="11">
        <f t="shared" si="0"/>
        <v>4499154.6449999996</v>
      </c>
      <c r="X17" s="15"/>
      <c r="Y17" s="18">
        <f>[1]Gleason!$BT$87</f>
        <v>5163899</v>
      </c>
      <c r="Z17" s="18">
        <f t="shared" si="1"/>
        <v>-664744.35500000045</v>
      </c>
    </row>
    <row r="18" spans="1:26" x14ac:dyDescent="0.25">
      <c r="A18" s="17" t="s">
        <v>121</v>
      </c>
      <c r="O18" s="18">
        <v>204588</v>
      </c>
      <c r="P18" s="18">
        <f>(0.2939-0.145)*Y18</f>
        <v>1845896.4743000001</v>
      </c>
      <c r="Q18" s="18">
        <f>(0.4765-0.2939)*Y18</f>
        <v>2263671.5661999998</v>
      </c>
      <c r="R18" s="18">
        <f>(0.6457-0.4765)*Y18</f>
        <v>2097553.280400001</v>
      </c>
      <c r="S18" s="18">
        <f>(0.7795-0.6457)*Y18</f>
        <v>1658703.480599999</v>
      </c>
      <c r="T18" s="18">
        <f>(0.8617-0.7795)*Y18</f>
        <v>1019024.1114000006</v>
      </c>
      <c r="U18" s="18">
        <f>(0.9293-0.8617)*Y18</f>
        <v>838029.56119999988</v>
      </c>
      <c r="V18" s="18">
        <f>(1-0.9293)*Y18</f>
        <v>876459.91089999978</v>
      </c>
      <c r="W18" s="11">
        <f t="shared" si="0"/>
        <v>10803926.385000002</v>
      </c>
      <c r="X18" s="15"/>
      <c r="Y18" s="18">
        <f>[1]Gleason!$BT$119</f>
        <v>12396887</v>
      </c>
      <c r="Z18" s="18">
        <f t="shared" si="1"/>
        <v>-1592960.6149999984</v>
      </c>
    </row>
    <row r="19" spans="1:26" x14ac:dyDescent="0.25">
      <c r="A19" s="17" t="s">
        <v>122</v>
      </c>
      <c r="N19" s="18">
        <v>0</v>
      </c>
      <c r="O19" s="18">
        <v>0</v>
      </c>
      <c r="P19" s="18">
        <f>(0.2939-0.145)*Y19</f>
        <v>1795689.33</v>
      </c>
      <c r="Q19" s="18">
        <f>(0.4765-0.2939)*Y19</f>
        <v>2202101.2199999997</v>
      </c>
      <c r="R19" s="18">
        <f>(0.6457-0.4765)*Y19</f>
        <v>2040501.2400000009</v>
      </c>
      <c r="S19" s="18">
        <f>(0.7795-0.6457)*Y19</f>
        <v>1613587.8599999989</v>
      </c>
      <c r="T19" s="18">
        <f>(0.8617-0.7795)*Y19</f>
        <v>991307.34000000067</v>
      </c>
      <c r="U19" s="18">
        <f>(0.9293-0.8617)*Y19</f>
        <v>815235.72</v>
      </c>
      <c r="V19" s="18">
        <f>(1-0.9293)*Y19</f>
        <v>852620.7899999998</v>
      </c>
      <c r="W19" s="11">
        <f t="shared" si="0"/>
        <v>10311043.5</v>
      </c>
      <c r="X19" s="15" t="s">
        <v>50</v>
      </c>
      <c r="Y19" s="18">
        <f>[1]Gleason!$BT$124</f>
        <v>12059700</v>
      </c>
      <c r="Z19" s="18">
        <f t="shared" si="1"/>
        <v>-1748656.5</v>
      </c>
    </row>
    <row r="20" spans="1:26" x14ac:dyDescent="0.25">
      <c r="A20" s="17" t="s">
        <v>123</v>
      </c>
      <c r="U20" s="18">
        <v>0</v>
      </c>
      <c r="V20" s="18">
        <v>675000</v>
      </c>
      <c r="W20" s="11">
        <f t="shared" si="0"/>
        <v>675000</v>
      </c>
      <c r="X20" s="15" t="s">
        <v>50</v>
      </c>
      <c r="Y20" s="18">
        <f>[1]Gleason!$BT$171</f>
        <v>675000</v>
      </c>
      <c r="Z20" s="18">
        <f t="shared" si="1"/>
        <v>0</v>
      </c>
    </row>
    <row r="21" spans="1:26" ht="13.5" customHeight="1" x14ac:dyDescent="0.25">
      <c r="A21" s="17" t="s">
        <v>124</v>
      </c>
      <c r="O21" s="18">
        <v>5344605</v>
      </c>
      <c r="P21" s="18">
        <v>408777</v>
      </c>
      <c r="W21" s="11">
        <f t="shared" si="0"/>
        <v>5753382</v>
      </c>
      <c r="X21" s="15" t="s">
        <v>50</v>
      </c>
      <c r="Y21" s="18">
        <v>0</v>
      </c>
      <c r="Z21" s="18">
        <f t="shared" si="1"/>
        <v>5753382</v>
      </c>
    </row>
    <row r="22" spans="1:26" x14ac:dyDescent="0.25">
      <c r="A22" s="17" t="s">
        <v>42</v>
      </c>
      <c r="Q22" s="18">
        <v>150000</v>
      </c>
      <c r="R22" s="18">
        <v>150000</v>
      </c>
      <c r="S22" s="18">
        <v>150000</v>
      </c>
      <c r="T22" s="18">
        <v>150000</v>
      </c>
      <c r="U22" s="18">
        <v>150000</v>
      </c>
      <c r="V22" s="18">
        <f>908786-750000</f>
        <v>158786</v>
      </c>
      <c r="W22" s="11">
        <f t="shared" si="0"/>
        <v>908786</v>
      </c>
      <c r="X22" s="15" t="s">
        <v>51</v>
      </c>
      <c r="Y22" s="18">
        <f>[1]Gleason!$BT$165</f>
        <v>908786</v>
      </c>
      <c r="Z22" s="18">
        <f t="shared" si="1"/>
        <v>0</v>
      </c>
    </row>
    <row r="23" spans="1:26" x14ac:dyDescent="0.25">
      <c r="A23" s="17" t="s">
        <v>22</v>
      </c>
      <c r="T23" s="18">
        <v>500000</v>
      </c>
      <c r="U23" s="18">
        <v>500000</v>
      </c>
      <c r="V23" s="18">
        <v>247007</v>
      </c>
      <c r="W23" s="11">
        <f t="shared" si="0"/>
        <v>1247007</v>
      </c>
      <c r="X23" s="15" t="s">
        <v>50</v>
      </c>
      <c r="Y23" s="18">
        <f>[1]Gleason!$BT$173</f>
        <v>1247007</v>
      </c>
      <c r="Z23" s="18">
        <f t="shared" si="1"/>
        <v>0</v>
      </c>
    </row>
    <row r="24" spans="1:26" x14ac:dyDescent="0.25">
      <c r="A24" s="17" t="s">
        <v>23</v>
      </c>
      <c r="E24" s="17"/>
      <c r="F24" s="17"/>
      <c r="I24" s="17"/>
      <c r="J24" s="17"/>
      <c r="K24" s="17"/>
      <c r="L24" s="17">
        <v>369041</v>
      </c>
      <c r="N24" s="18">
        <v>0</v>
      </c>
      <c r="W24" s="11">
        <f t="shared" si="0"/>
        <v>369041</v>
      </c>
      <c r="X24" s="15" t="s">
        <v>55</v>
      </c>
      <c r="Y24" s="18">
        <f>[1]Gleason!$BT$180</f>
        <v>369041</v>
      </c>
      <c r="Z24" s="18">
        <f t="shared" si="1"/>
        <v>0</v>
      </c>
    </row>
    <row r="25" spans="1:26" x14ac:dyDescent="0.25">
      <c r="A25" s="17" t="s">
        <v>24</v>
      </c>
      <c r="F25" s="27"/>
      <c r="I25" s="17"/>
      <c r="J25" s="17"/>
      <c r="K25" s="17"/>
      <c r="L25" s="17">
        <v>69419</v>
      </c>
      <c r="M25" s="53">
        <v>190571</v>
      </c>
      <c r="N25" s="18">
        <v>0</v>
      </c>
      <c r="O25" s="18">
        <v>264856</v>
      </c>
      <c r="P25" s="18">
        <v>15154</v>
      </c>
      <c r="W25" s="11">
        <f t="shared" si="0"/>
        <v>540000</v>
      </c>
      <c r="X25" s="15" t="str">
        <f>X24</f>
        <v>Ben Jacoby</v>
      </c>
    </row>
    <row r="26" spans="1:26" x14ac:dyDescent="0.25">
      <c r="A26" s="17" t="s">
        <v>25</v>
      </c>
      <c r="F26" s="29"/>
      <c r="P26" s="18">
        <v>375000</v>
      </c>
      <c r="Q26" s="18">
        <v>125000</v>
      </c>
      <c r="R26" s="18">
        <v>125000</v>
      </c>
      <c r="S26" s="18">
        <v>125000</v>
      </c>
      <c r="T26" s="18">
        <v>350000</v>
      </c>
      <c r="W26" s="11">
        <f t="shared" si="0"/>
        <v>1100000</v>
      </c>
      <c r="X26" s="15" t="s">
        <v>53</v>
      </c>
      <c r="Y26" s="18">
        <f>[1]Gleason!$BT$199</f>
        <v>1100000</v>
      </c>
      <c r="Z26" s="18">
        <f>W26-Y26</f>
        <v>0</v>
      </c>
    </row>
    <row r="27" spans="1:26" x14ac:dyDescent="0.25">
      <c r="A27" s="17" t="s">
        <v>111</v>
      </c>
      <c r="F27" s="29"/>
      <c r="N27" s="18">
        <v>18018</v>
      </c>
      <c r="P27" s="18">
        <f>2200000-18018</f>
        <v>2181982</v>
      </c>
      <c r="W27" s="11">
        <f t="shared" si="0"/>
        <v>2200000</v>
      </c>
      <c r="X27" s="15"/>
      <c r="Y27" s="18">
        <f>[1]Gleason!$BT$197</f>
        <v>2200000</v>
      </c>
      <c r="Z27" s="18">
        <f>W27-Y27</f>
        <v>0</v>
      </c>
    </row>
    <row r="28" spans="1:26" x14ac:dyDescent="0.25">
      <c r="A28" s="17" t="s">
        <v>27</v>
      </c>
      <c r="F28" s="29"/>
      <c r="T28" s="18">
        <v>0</v>
      </c>
      <c r="U28" s="18">
        <v>250000</v>
      </c>
      <c r="V28" s="18">
        <v>250000</v>
      </c>
      <c r="W28" s="11">
        <f t="shared" si="0"/>
        <v>500000</v>
      </c>
      <c r="X28" s="15" t="str">
        <f>X22</f>
        <v>Kevin Presto</v>
      </c>
      <c r="Y28" s="18">
        <f>[1]Gleason!$BT$205</f>
        <v>500000</v>
      </c>
      <c r="Z28" s="18">
        <f>W28-Y28</f>
        <v>0</v>
      </c>
    </row>
    <row r="29" spans="1:26" x14ac:dyDescent="0.25">
      <c r="A29" s="17" t="s">
        <v>47</v>
      </c>
      <c r="F29" s="29"/>
      <c r="V29" s="18">
        <v>0</v>
      </c>
      <c r="W29" s="11">
        <f t="shared" si="0"/>
        <v>0</v>
      </c>
      <c r="X29" s="15" t="s">
        <v>56</v>
      </c>
      <c r="Y29" s="18">
        <v>0</v>
      </c>
      <c r="Z29" s="18">
        <f>W29-Y29</f>
        <v>0</v>
      </c>
    </row>
    <row r="30" spans="1:26" x14ac:dyDescent="0.25">
      <c r="A30" s="17" t="s">
        <v>29</v>
      </c>
      <c r="F30" s="29"/>
      <c r="N30" s="18">
        <v>0</v>
      </c>
      <c r="O30" s="18">
        <v>0</v>
      </c>
      <c r="P30" s="18">
        <v>200935</v>
      </c>
      <c r="W30" s="11">
        <f t="shared" si="0"/>
        <v>200935</v>
      </c>
      <c r="X30" s="15"/>
      <c r="Y30" s="18">
        <f>[1]Gleason!$BT$207</f>
        <v>200935.25</v>
      </c>
      <c r="Z30" s="18">
        <f>W30-Y30</f>
        <v>-0.25</v>
      </c>
    </row>
    <row r="31" spans="1:26" x14ac:dyDescent="0.25">
      <c r="A31" s="17" t="s">
        <v>30</v>
      </c>
      <c r="F31" s="8"/>
      <c r="G31" s="8"/>
      <c r="H31" s="8"/>
      <c r="I31" s="8"/>
      <c r="J31" s="8"/>
      <c r="K31" s="8"/>
      <c r="L31" s="8">
        <v>33713</v>
      </c>
      <c r="M31" s="52">
        <v>0</v>
      </c>
      <c r="N31" s="18">
        <v>0</v>
      </c>
      <c r="O31" s="18">
        <v>0</v>
      </c>
      <c r="P31" s="18">
        <v>20000</v>
      </c>
      <c r="Q31" s="18">
        <f>11111.1111111111+11173</f>
        <v>22284.111111111102</v>
      </c>
      <c r="R31" s="18">
        <f>11111.1111111111+12759</f>
        <v>23870.111111111102</v>
      </c>
      <c r="S31" s="18">
        <v>11111.111111111111</v>
      </c>
      <c r="T31" s="18">
        <v>11111.111111111111</v>
      </c>
      <c r="U31" s="18">
        <v>31111</v>
      </c>
      <c r="V31" s="17">
        <f>13620+20000</f>
        <v>33620</v>
      </c>
      <c r="W31" s="11">
        <f t="shared" si="0"/>
        <v>186820.44444444441</v>
      </c>
      <c r="X31" s="15"/>
    </row>
    <row r="32" spans="1:26" x14ac:dyDescent="0.25">
      <c r="A32" s="17" t="s">
        <v>32</v>
      </c>
      <c r="F32" s="29"/>
      <c r="L32" s="18">
        <v>137136</v>
      </c>
      <c r="M32" s="52">
        <v>5262</v>
      </c>
      <c r="N32" s="18">
        <v>18874</v>
      </c>
      <c r="O32" s="18">
        <v>113219</v>
      </c>
      <c r="P32" s="17">
        <f>83611.75-912</f>
        <v>82699.75</v>
      </c>
      <c r="Q32" s="18">
        <f>22033+191013</f>
        <v>213046</v>
      </c>
      <c r="R32" s="18">
        <v>10010</v>
      </c>
      <c r="S32" s="18">
        <f>30286.69-14452</f>
        <v>15834.689999999999</v>
      </c>
      <c r="T32" s="18">
        <f>13074-3457+1916</f>
        <v>11533</v>
      </c>
      <c r="U32" s="18">
        <v>9698</v>
      </c>
      <c r="V32" s="18">
        <v>0</v>
      </c>
      <c r="W32" s="11">
        <f t="shared" si="0"/>
        <v>617312.43999999994</v>
      </c>
      <c r="X32" s="15"/>
    </row>
    <row r="33" spans="1:24" x14ac:dyDescent="0.25">
      <c r="A33" s="17" t="s">
        <v>33</v>
      </c>
      <c r="H33" s="17"/>
      <c r="L33" s="18">
        <v>14302</v>
      </c>
      <c r="M33" s="52">
        <v>13886</v>
      </c>
      <c r="N33" s="18">
        <v>27415</v>
      </c>
      <c r="O33" s="18">
        <v>13908</v>
      </c>
      <c r="P33" s="18">
        <f>50000+72844</f>
        <v>122844</v>
      </c>
      <c r="Q33" s="18">
        <f>68298</f>
        <v>68298</v>
      </c>
      <c r="R33" s="17">
        <f>18820-11693</f>
        <v>7127</v>
      </c>
      <c r="S33" s="18">
        <v>132585</v>
      </c>
      <c r="T33" s="18">
        <v>96092</v>
      </c>
      <c r="U33" s="18">
        <v>0</v>
      </c>
      <c r="V33" s="18">
        <v>0</v>
      </c>
      <c r="W33" s="11">
        <f t="shared" si="0"/>
        <v>496457</v>
      </c>
      <c r="X33" s="15"/>
    </row>
    <row r="34" spans="1:24" x14ac:dyDescent="0.25">
      <c r="A34" s="17" t="s">
        <v>63</v>
      </c>
      <c r="C34" s="21">
        <f t="shared" ref="C34:J34" si="4">SUM(C9:C33)</f>
        <v>0</v>
      </c>
      <c r="D34" s="21">
        <f t="shared" si="4"/>
        <v>0</v>
      </c>
      <c r="E34" s="21">
        <f t="shared" si="4"/>
        <v>0</v>
      </c>
      <c r="F34" s="21">
        <f t="shared" si="4"/>
        <v>0</v>
      </c>
      <c r="G34" s="21">
        <f t="shared" si="4"/>
        <v>0</v>
      </c>
      <c r="H34" s="21">
        <f t="shared" si="4"/>
        <v>0</v>
      </c>
      <c r="I34" s="21">
        <f t="shared" si="4"/>
        <v>0</v>
      </c>
      <c r="J34" s="21">
        <f t="shared" si="4"/>
        <v>0</v>
      </c>
      <c r="K34" s="21">
        <f t="shared" ref="K34:U34" si="5">SUM(K10:K33)</f>
        <v>0</v>
      </c>
      <c r="L34" s="21">
        <f t="shared" si="5"/>
        <v>88825774</v>
      </c>
      <c r="M34" s="21">
        <f t="shared" si="5"/>
        <v>209719</v>
      </c>
      <c r="N34" s="21">
        <f t="shared" si="5"/>
        <v>1660822.3333333333</v>
      </c>
      <c r="O34" s="21">
        <f t="shared" si="5"/>
        <v>6962875.333333333</v>
      </c>
      <c r="P34" s="21">
        <f t="shared" si="5"/>
        <v>13292394.173333332</v>
      </c>
      <c r="Q34" s="21">
        <f t="shared" si="5"/>
        <v>10797262.604444444</v>
      </c>
      <c r="R34" s="21">
        <f t="shared" si="5"/>
        <v>8817220.9644444473</v>
      </c>
      <c r="S34" s="21">
        <f t="shared" si="5"/>
        <v>7185439.1144444421</v>
      </c>
      <c r="T34" s="21">
        <f t="shared" si="5"/>
        <v>5239478.8644444467</v>
      </c>
      <c r="U34" s="21">
        <f t="shared" si="5"/>
        <v>5913750.6933333334</v>
      </c>
      <c r="V34" s="21">
        <f>SUM(V10:V33)</f>
        <v>12761833.103333332</v>
      </c>
      <c r="W34" s="22">
        <f t="shared" si="0"/>
        <v>161666570.1844444</v>
      </c>
    </row>
    <row r="35" spans="1:24" x14ac:dyDescent="0.25">
      <c r="A35" s="17" t="s">
        <v>67</v>
      </c>
      <c r="C35" s="21">
        <f>+C34</f>
        <v>0</v>
      </c>
      <c r="D35" s="21">
        <f t="shared" ref="D35:K35" si="6">+D34</f>
        <v>0</v>
      </c>
      <c r="E35" s="21">
        <f t="shared" si="6"/>
        <v>0</v>
      </c>
      <c r="F35" s="21">
        <f t="shared" si="6"/>
        <v>0</v>
      </c>
      <c r="G35" s="21">
        <f t="shared" si="6"/>
        <v>0</v>
      </c>
      <c r="H35" s="21">
        <f t="shared" si="6"/>
        <v>0</v>
      </c>
      <c r="I35" s="21">
        <f t="shared" si="6"/>
        <v>0</v>
      </c>
      <c r="J35" s="21">
        <f t="shared" si="6"/>
        <v>0</v>
      </c>
      <c r="K35" s="21">
        <f t="shared" si="6"/>
        <v>0</v>
      </c>
      <c r="L35" s="21">
        <f t="shared" ref="L35:V35" si="7">+K35+L34</f>
        <v>88825774</v>
      </c>
      <c r="M35" s="21">
        <f t="shared" si="7"/>
        <v>89035493</v>
      </c>
      <c r="N35" s="21">
        <f t="shared" si="7"/>
        <v>90696315.333333328</v>
      </c>
      <c r="O35" s="21">
        <f t="shared" si="7"/>
        <v>97659190.666666657</v>
      </c>
      <c r="P35" s="21">
        <f t="shared" si="7"/>
        <v>110951584.83999999</v>
      </c>
      <c r="Q35" s="21">
        <f t="shared" si="7"/>
        <v>121748847.44444443</v>
      </c>
      <c r="R35" s="21">
        <f t="shared" si="7"/>
        <v>130566068.40888888</v>
      </c>
      <c r="S35" s="21">
        <f t="shared" si="7"/>
        <v>137751507.52333331</v>
      </c>
      <c r="T35" s="21">
        <f t="shared" si="7"/>
        <v>142990986.38777775</v>
      </c>
      <c r="U35" s="21">
        <f t="shared" si="7"/>
        <v>148904737.08111107</v>
      </c>
      <c r="V35" s="21">
        <f t="shared" si="7"/>
        <v>161666570.1844444</v>
      </c>
      <c r="W35" s="11"/>
    </row>
    <row r="36" spans="1:24" x14ac:dyDescent="0.25">
      <c r="A36" s="17" t="s">
        <v>64</v>
      </c>
      <c r="D36" s="4"/>
      <c r="E36" s="4"/>
      <c r="F36" s="4"/>
      <c r="G36" s="4"/>
      <c r="H36" s="4"/>
      <c r="I36" s="4"/>
      <c r="J36" s="4"/>
      <c r="K36" s="4"/>
      <c r="L36" s="4"/>
      <c r="W36" s="16">
        <f>+W34/C53/1000</f>
        <v>316.99327487145956</v>
      </c>
      <c r="X36" s="20"/>
    </row>
    <row r="37" spans="1:24" x14ac:dyDescent="0.25">
      <c r="A37" s="17"/>
      <c r="D37" s="4"/>
      <c r="E37" s="4"/>
      <c r="F37" s="4"/>
      <c r="G37" s="4"/>
      <c r="H37" s="4"/>
      <c r="I37" s="4"/>
      <c r="J37" s="4"/>
      <c r="K37" s="4"/>
      <c r="L37" s="4"/>
      <c r="W37" s="16"/>
      <c r="X37" s="20"/>
    </row>
    <row r="38" spans="1:24" x14ac:dyDescent="0.25">
      <c r="A38" s="17" t="s">
        <v>94</v>
      </c>
      <c r="D38" s="4"/>
      <c r="E38" s="4"/>
      <c r="F38" s="4"/>
      <c r="G38" s="4"/>
      <c r="H38" s="4"/>
      <c r="I38" s="4"/>
      <c r="J38" s="4"/>
      <c r="K38" s="4"/>
      <c r="L38" s="4"/>
      <c r="M38" s="52">
        <v>-6077</v>
      </c>
      <c r="W38" s="11">
        <f t="shared" ref="W38:W43" si="8">SUM(C38:V38)</f>
        <v>-6077</v>
      </c>
      <c r="X38" s="19" t="s">
        <v>54</v>
      </c>
    </row>
    <row r="39" spans="1:24" x14ac:dyDescent="0.25">
      <c r="A39" s="17" t="s">
        <v>44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f>4326863</f>
        <v>4326863</v>
      </c>
      <c r="M39" s="30">
        <v>505668.93</v>
      </c>
      <c r="N39" s="30">
        <v>517447.92267638887</v>
      </c>
      <c r="O39" s="30">
        <f t="shared" ref="O39:U39" si="9">(O35+N44)*$C51/12</f>
        <v>557933.42322977481</v>
      </c>
      <c r="P39" s="30">
        <f t="shared" si="9"/>
        <v>632956.03104449168</v>
      </c>
      <c r="Q39" s="30">
        <f t="shared" si="9"/>
        <v>694869.71532005677</v>
      </c>
      <c r="R39" s="30">
        <f t="shared" si="9"/>
        <v>746393.53983544779</v>
      </c>
      <c r="S39" s="30">
        <f t="shared" si="9"/>
        <v>789357.63337946392</v>
      </c>
      <c r="T39" s="30">
        <f t="shared" si="9"/>
        <v>822013.83107601001</v>
      </c>
      <c r="U39" s="30">
        <f t="shared" si="9"/>
        <v>858499.22224989382</v>
      </c>
      <c r="V39" s="30">
        <f>(V35+U44)*$C51/12-5719</f>
        <v>926557.02234680287</v>
      </c>
      <c r="W39" s="11">
        <f t="shared" si="8"/>
        <v>11378560.271158326</v>
      </c>
      <c r="X39" s="19" t="str">
        <f>X54</f>
        <v>Rodney Malcolm</v>
      </c>
    </row>
    <row r="40" spans="1:24" x14ac:dyDescent="0.25">
      <c r="A40" s="17" t="s">
        <v>88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55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11">
        <f t="shared" si="8"/>
        <v>0</v>
      </c>
      <c r="X40" s="19" t="str">
        <f>X39</f>
        <v>Rodney Malcolm</v>
      </c>
    </row>
    <row r="41" spans="1:24" x14ac:dyDescent="0.25">
      <c r="A41" s="17" t="s">
        <v>31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W41" s="11">
        <f t="shared" si="8"/>
        <v>0</v>
      </c>
      <c r="X41" s="19" t="s">
        <v>54</v>
      </c>
    </row>
    <row r="42" spans="1:24" x14ac:dyDescent="0.25">
      <c r="A42" s="17" t="s">
        <v>86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56"/>
      <c r="N42" s="20"/>
      <c r="O42" s="20"/>
      <c r="P42" s="20"/>
      <c r="Q42" s="20"/>
      <c r="R42" s="20"/>
      <c r="S42" s="20"/>
      <c r="T42" s="20"/>
      <c r="U42" s="20"/>
      <c r="V42" s="20">
        <f>[1]Gleason!$BT$230</f>
        <v>0</v>
      </c>
      <c r="W42" s="11">
        <f t="shared" si="8"/>
        <v>0</v>
      </c>
      <c r="X42" s="19" t="str">
        <f>X25</f>
        <v>Ben Jacoby</v>
      </c>
    </row>
    <row r="43" spans="1:24" x14ac:dyDescent="0.25">
      <c r="A43" s="17" t="s">
        <v>65</v>
      </c>
      <c r="C43" s="21">
        <f t="shared" ref="C43:L43" si="10">SUM(C38:C42)</f>
        <v>0</v>
      </c>
      <c r="D43" s="21">
        <f t="shared" si="10"/>
        <v>0</v>
      </c>
      <c r="E43" s="21">
        <f t="shared" si="10"/>
        <v>0</v>
      </c>
      <c r="F43" s="21">
        <f t="shared" si="10"/>
        <v>0</v>
      </c>
      <c r="G43" s="21">
        <f t="shared" si="10"/>
        <v>0</v>
      </c>
      <c r="H43" s="21">
        <f t="shared" si="10"/>
        <v>0</v>
      </c>
      <c r="I43" s="21">
        <f t="shared" si="10"/>
        <v>0</v>
      </c>
      <c r="J43" s="21">
        <f t="shared" si="10"/>
        <v>0</v>
      </c>
      <c r="K43" s="21">
        <f t="shared" si="10"/>
        <v>0</v>
      </c>
      <c r="L43" s="21">
        <f t="shared" si="10"/>
        <v>4326863</v>
      </c>
      <c r="M43" s="54">
        <f t="shared" ref="M43:V43" si="11">SUM(M38:M42)</f>
        <v>499591.93</v>
      </c>
      <c r="N43" s="21">
        <f t="shared" si="11"/>
        <v>517447.92267638887</v>
      </c>
      <c r="O43" s="21">
        <f t="shared" si="11"/>
        <v>557933.42322977481</v>
      </c>
      <c r="P43" s="21">
        <f t="shared" si="11"/>
        <v>632956.03104449168</v>
      </c>
      <c r="Q43" s="21">
        <f t="shared" si="11"/>
        <v>694869.71532005677</v>
      </c>
      <c r="R43" s="21">
        <f t="shared" si="11"/>
        <v>746393.53983544779</v>
      </c>
      <c r="S43" s="21">
        <f t="shared" si="11"/>
        <v>789357.63337946392</v>
      </c>
      <c r="T43" s="21">
        <f t="shared" si="11"/>
        <v>822013.83107601001</v>
      </c>
      <c r="U43" s="21">
        <f t="shared" si="11"/>
        <v>858499.22224989382</v>
      </c>
      <c r="V43" s="21">
        <f t="shared" si="11"/>
        <v>926557.02234680287</v>
      </c>
      <c r="W43" s="22">
        <f t="shared" si="8"/>
        <v>11372483.271158326</v>
      </c>
      <c r="X43" s="20"/>
    </row>
    <row r="44" spans="1:24" x14ac:dyDescent="0.25">
      <c r="A44" s="17" t="s">
        <v>68</v>
      </c>
      <c r="C44" s="21">
        <f>+C43</f>
        <v>0</v>
      </c>
      <c r="D44" s="21">
        <f t="shared" ref="D44:L44" si="12">+D43</f>
        <v>0</v>
      </c>
      <c r="E44" s="21">
        <f t="shared" si="12"/>
        <v>0</v>
      </c>
      <c r="F44" s="21">
        <f t="shared" si="12"/>
        <v>0</v>
      </c>
      <c r="G44" s="21">
        <f t="shared" si="12"/>
        <v>0</v>
      </c>
      <c r="H44" s="21">
        <f t="shared" si="12"/>
        <v>0</v>
      </c>
      <c r="I44" s="21">
        <f t="shared" si="12"/>
        <v>0</v>
      </c>
      <c r="J44" s="21">
        <f t="shared" si="12"/>
        <v>0</v>
      </c>
      <c r="K44" s="21">
        <f t="shared" si="12"/>
        <v>0</v>
      </c>
      <c r="L44" s="21">
        <f t="shared" si="12"/>
        <v>4326863</v>
      </c>
      <c r="M44" s="54">
        <f>L44+M43</f>
        <v>4826454.93</v>
      </c>
      <c r="N44" s="54">
        <f t="shared" ref="N44:V44" si="13">M44+N43</f>
        <v>5343902.8526763888</v>
      </c>
      <c r="O44" s="54">
        <f t="shared" si="13"/>
        <v>5901836.2759061633</v>
      </c>
      <c r="P44" s="54">
        <f t="shared" si="13"/>
        <v>6534792.3069506548</v>
      </c>
      <c r="Q44" s="54">
        <f t="shared" si="13"/>
        <v>7229662.0222707111</v>
      </c>
      <c r="R44" s="54">
        <f t="shared" si="13"/>
        <v>7976055.5621061586</v>
      </c>
      <c r="S44" s="54">
        <f t="shared" si="13"/>
        <v>8765413.1954856217</v>
      </c>
      <c r="T44" s="54">
        <f t="shared" si="13"/>
        <v>9587427.0265616309</v>
      </c>
      <c r="U44" s="54">
        <f t="shared" si="13"/>
        <v>10445926.248811524</v>
      </c>
      <c r="V44" s="54">
        <f t="shared" si="13"/>
        <v>11372483.271158326</v>
      </c>
      <c r="W44" s="11"/>
      <c r="X44" s="20"/>
    </row>
    <row r="45" spans="1:24" x14ac:dyDescent="0.25">
      <c r="A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56"/>
      <c r="N45" s="20"/>
      <c r="O45" s="20"/>
      <c r="P45" s="20"/>
      <c r="Q45" s="20"/>
      <c r="R45" s="20"/>
      <c r="S45" s="20"/>
      <c r="T45" s="20"/>
      <c r="U45" s="20"/>
      <c r="V45" s="20"/>
      <c r="W45" s="11"/>
      <c r="X45" s="20"/>
    </row>
    <row r="46" spans="1:24" s="4" customFormat="1" x14ac:dyDescent="0.25">
      <c r="A46" s="4" t="s">
        <v>49</v>
      </c>
      <c r="C46" s="4">
        <f>+C34+C43</f>
        <v>0</v>
      </c>
      <c r="D46" s="4">
        <f t="shared" ref="D46:L46" si="14">+D34+D43</f>
        <v>0</v>
      </c>
      <c r="E46" s="4">
        <f t="shared" si="14"/>
        <v>0</v>
      </c>
      <c r="F46" s="4">
        <f t="shared" si="14"/>
        <v>0</v>
      </c>
      <c r="G46" s="4">
        <f t="shared" si="14"/>
        <v>0</v>
      </c>
      <c r="H46" s="4">
        <f t="shared" si="14"/>
        <v>0</v>
      </c>
      <c r="I46" s="4">
        <f t="shared" si="14"/>
        <v>0</v>
      </c>
      <c r="J46" s="4">
        <f t="shared" si="14"/>
        <v>0</v>
      </c>
      <c r="K46" s="4">
        <f t="shared" si="14"/>
        <v>0</v>
      </c>
      <c r="L46" s="4">
        <f t="shared" si="14"/>
        <v>93152637</v>
      </c>
      <c r="M46" s="57">
        <f t="shared" ref="M46:V46" si="15">+M34+M43</f>
        <v>709310.92999999993</v>
      </c>
      <c r="N46" s="4">
        <f t="shared" si="15"/>
        <v>2178270.2560097221</v>
      </c>
      <c r="O46" s="4">
        <f t="shared" si="15"/>
        <v>7520808.7565631075</v>
      </c>
      <c r="P46" s="4">
        <f t="shared" si="15"/>
        <v>13925350.204377824</v>
      </c>
      <c r="Q46" s="4">
        <f t="shared" si="15"/>
        <v>11492132.3197645</v>
      </c>
      <c r="R46" s="4">
        <f t="shared" si="15"/>
        <v>9563614.5042798948</v>
      </c>
      <c r="S46" s="4">
        <f t="shared" si="15"/>
        <v>7974796.7478239061</v>
      </c>
      <c r="T46" s="4">
        <f t="shared" si="15"/>
        <v>6061492.6955204569</v>
      </c>
      <c r="U46" s="4">
        <f t="shared" si="15"/>
        <v>6772249.9155832268</v>
      </c>
      <c r="V46" s="4">
        <f t="shared" si="15"/>
        <v>13688390.125680134</v>
      </c>
      <c r="W46" s="11">
        <f>SUM(C46:V46)</f>
        <v>173039053.45560277</v>
      </c>
    </row>
    <row r="47" spans="1:24" s="4" customFormat="1" x14ac:dyDescent="0.25">
      <c r="A47" s="4" t="s">
        <v>45</v>
      </c>
      <c r="C47" s="4">
        <f>C46</f>
        <v>0</v>
      </c>
      <c r="D47" s="4">
        <f t="shared" ref="D47:L47" si="16">D46</f>
        <v>0</v>
      </c>
      <c r="E47" s="4">
        <f t="shared" si="16"/>
        <v>0</v>
      </c>
      <c r="F47" s="4">
        <f t="shared" si="16"/>
        <v>0</v>
      </c>
      <c r="G47" s="4">
        <f t="shared" si="16"/>
        <v>0</v>
      </c>
      <c r="H47" s="4">
        <f t="shared" si="16"/>
        <v>0</v>
      </c>
      <c r="I47" s="4">
        <f t="shared" si="16"/>
        <v>0</v>
      </c>
      <c r="J47" s="4">
        <f t="shared" si="16"/>
        <v>0</v>
      </c>
      <c r="K47" s="4">
        <f t="shared" si="16"/>
        <v>0</v>
      </c>
      <c r="L47" s="4">
        <f t="shared" si="16"/>
        <v>93152637</v>
      </c>
      <c r="M47" s="57">
        <f>M46+L47</f>
        <v>93861947.930000007</v>
      </c>
      <c r="N47" s="57">
        <f t="shared" ref="N47:V47" si="17">N46+M47</f>
        <v>96040218.186009735</v>
      </c>
      <c r="O47" s="57">
        <f t="shared" si="17"/>
        <v>103561026.94257285</v>
      </c>
      <c r="P47" s="57">
        <f t="shared" si="17"/>
        <v>117486377.14695068</v>
      </c>
      <c r="Q47" s="57">
        <f t="shared" si="17"/>
        <v>128978509.46671517</v>
      </c>
      <c r="R47" s="57">
        <f t="shared" si="17"/>
        <v>138542123.97099507</v>
      </c>
      <c r="S47" s="57">
        <f t="shared" si="17"/>
        <v>146516920.71881896</v>
      </c>
      <c r="T47" s="57">
        <f t="shared" si="17"/>
        <v>152578413.41433942</v>
      </c>
      <c r="U47" s="57">
        <f t="shared" si="17"/>
        <v>159350663.32992265</v>
      </c>
      <c r="V47" s="57">
        <f t="shared" si="17"/>
        <v>173039053.45560277</v>
      </c>
      <c r="W47" s="11"/>
    </row>
    <row r="48" spans="1:24" s="4" customFormat="1" x14ac:dyDescent="0.25">
      <c r="M48" s="57"/>
      <c r="W48" s="11"/>
    </row>
    <row r="49" spans="1:28" s="4" customFormat="1" x14ac:dyDescent="0.25">
      <c r="M49" s="57"/>
    </row>
    <row r="50" spans="1:28" s="4" customFormat="1" x14ac:dyDescent="0.25">
      <c r="M50" s="57"/>
      <c r="W50" s="16">
        <f>+W46/C53/1000</f>
        <v>339.2922616776525</v>
      </c>
    </row>
    <row r="51" spans="1:28" s="4" customFormat="1" x14ac:dyDescent="0.25">
      <c r="A51" s="8" t="s">
        <v>96</v>
      </c>
      <c r="C51" s="12">
        <v>6.5000000000000002E-2</v>
      </c>
      <c r="M51" s="57"/>
      <c r="W51" s="11"/>
    </row>
    <row r="52" spans="1:28" s="4" customFormat="1" x14ac:dyDescent="0.25">
      <c r="A52" s="8" t="s">
        <v>89</v>
      </c>
      <c r="C52" s="12">
        <v>3.5000000000000001E-3</v>
      </c>
      <c r="D52" s="35">
        <v>174500000</v>
      </c>
      <c r="M52" s="57"/>
      <c r="W52" s="11"/>
    </row>
    <row r="53" spans="1:28" s="4" customFormat="1" x14ac:dyDescent="0.25">
      <c r="A53" s="17" t="s">
        <v>64</v>
      </c>
      <c r="C53" s="4">
        <v>510</v>
      </c>
      <c r="D53" s="4" t="s">
        <v>66</v>
      </c>
      <c r="M53" s="57"/>
      <c r="W53" s="11"/>
    </row>
    <row r="54" spans="1:28" x14ac:dyDescent="0.25">
      <c r="A54" s="17" t="s">
        <v>39</v>
      </c>
      <c r="C54" s="4">
        <v>0</v>
      </c>
      <c r="V54" s="18">
        <v>0</v>
      </c>
      <c r="W54" s="23">
        <f>SUM(C54:V54)</f>
        <v>0</v>
      </c>
      <c r="X54" s="19" t="str">
        <f>X41</f>
        <v>Rodney Malcolm</v>
      </c>
    </row>
    <row r="55" spans="1:28" s="4" customFormat="1" x14ac:dyDescent="0.25">
      <c r="A55" s="8"/>
      <c r="C55" s="12"/>
      <c r="M55" s="57"/>
      <c r="W55" s="11"/>
    </row>
    <row r="56" spans="1:28" x14ac:dyDescent="0.25">
      <c r="A56" s="17" t="s">
        <v>69</v>
      </c>
      <c r="C56" s="4">
        <f t="shared" ref="C56:K56" si="18">+C46-C39</f>
        <v>0</v>
      </c>
      <c r="D56" s="4">
        <f t="shared" si="18"/>
        <v>0</v>
      </c>
      <c r="E56" s="4">
        <f t="shared" si="18"/>
        <v>0</v>
      </c>
      <c r="F56" s="4">
        <f t="shared" si="18"/>
        <v>0</v>
      </c>
      <c r="G56" s="4">
        <f t="shared" si="18"/>
        <v>0</v>
      </c>
      <c r="H56" s="4">
        <f t="shared" si="18"/>
        <v>0</v>
      </c>
      <c r="I56" s="4">
        <f t="shared" si="18"/>
        <v>0</v>
      </c>
      <c r="J56" s="4">
        <f t="shared" si="18"/>
        <v>0</v>
      </c>
      <c r="K56" s="4">
        <f t="shared" si="18"/>
        <v>0</v>
      </c>
      <c r="L56" s="4"/>
      <c r="M56" s="57">
        <f t="shared" ref="M56:V56" si="19">+M46-M39</f>
        <v>203641.99999999994</v>
      </c>
      <c r="N56" s="4">
        <f t="shared" si="19"/>
        <v>1660822.3333333333</v>
      </c>
      <c r="O56" s="4">
        <f t="shared" si="19"/>
        <v>6962875.333333333</v>
      </c>
      <c r="P56" s="4">
        <f t="shared" si="19"/>
        <v>13292394.173333332</v>
      </c>
      <c r="Q56" s="4">
        <f t="shared" si="19"/>
        <v>10797262.604444444</v>
      </c>
      <c r="R56" s="4">
        <f t="shared" si="19"/>
        <v>8817220.9644444473</v>
      </c>
      <c r="S56" s="4">
        <f t="shared" si="19"/>
        <v>7185439.1144444421</v>
      </c>
      <c r="T56" s="4">
        <f t="shared" si="19"/>
        <v>5239478.8644444467</v>
      </c>
      <c r="U56" s="4">
        <f t="shared" si="19"/>
        <v>5913750.6933333334</v>
      </c>
      <c r="V56" s="4">
        <f t="shared" si="19"/>
        <v>12761833.103333332</v>
      </c>
      <c r="W56" s="11">
        <f>SUM(C56:V56)</f>
        <v>72834719.184444457</v>
      </c>
    </row>
    <row r="57" spans="1:28" x14ac:dyDescent="0.25">
      <c r="W57" s="11"/>
    </row>
    <row r="58" spans="1:28" x14ac:dyDescent="0.25">
      <c r="W58" s="11"/>
    </row>
    <row r="59" spans="1:28" ht="19.2" x14ac:dyDescent="0.6">
      <c r="A59" s="32" t="s">
        <v>81</v>
      </c>
      <c r="W59" s="11"/>
    </row>
    <row r="60" spans="1:28" x14ac:dyDescent="0.25">
      <c r="A60" s="4" t="s">
        <v>74</v>
      </c>
      <c r="W60" s="11"/>
    </row>
    <row r="61" spans="1:28" x14ac:dyDescent="0.25">
      <c r="A61" s="39" t="s">
        <v>90</v>
      </c>
      <c r="B61" s="38"/>
      <c r="H61" s="17">
        <f>135487+48439.18</f>
        <v>183926.18</v>
      </c>
      <c r="I61" s="17">
        <v>0</v>
      </c>
      <c r="J61" s="18">
        <v>2645</v>
      </c>
      <c r="K61" s="18">
        <v>0</v>
      </c>
      <c r="L61" s="17">
        <f>-SUM(G61:K61)-M61</f>
        <v>-194774.18</v>
      </c>
      <c r="M61" s="52">
        <v>8203</v>
      </c>
      <c r="Q61" s="18">
        <v>0</v>
      </c>
      <c r="W61" s="11">
        <f t="shared" ref="W61:W66" si="20">SUM(C61:V61)</f>
        <v>0</v>
      </c>
      <c r="X61" s="39" t="s">
        <v>90</v>
      </c>
      <c r="Z61" s="18">
        <f>W61+W25</f>
        <v>540000</v>
      </c>
      <c r="AA61" s="18">
        <f>[1]Gleason!$BT$190</f>
        <v>540000</v>
      </c>
      <c r="AB61" s="18">
        <f>Z61-AA61</f>
        <v>0</v>
      </c>
    </row>
    <row r="62" spans="1:28" x14ac:dyDescent="0.25">
      <c r="A62" s="39" t="s">
        <v>91</v>
      </c>
      <c r="B62" s="38"/>
      <c r="E62" s="18">
        <v>0</v>
      </c>
      <c r="F62" s="18">
        <v>3543</v>
      </c>
      <c r="H62" s="18">
        <v>2193</v>
      </c>
      <c r="I62" s="18">
        <v>0</v>
      </c>
      <c r="K62" s="18">
        <v>0</v>
      </c>
      <c r="L62" s="17">
        <f>-SUM(G62:K62)</f>
        <v>-2193</v>
      </c>
      <c r="W62" s="11">
        <f t="shared" si="20"/>
        <v>3543</v>
      </c>
      <c r="X62" s="39" t="s">
        <v>91</v>
      </c>
      <c r="Z62" s="18">
        <f>W62+W33</f>
        <v>500000</v>
      </c>
      <c r="AA62" s="18">
        <f>[1]Gleason!$BT$224</f>
        <v>500000</v>
      </c>
      <c r="AB62" s="18">
        <f>Z62-AA62</f>
        <v>0</v>
      </c>
    </row>
    <row r="63" spans="1:28" x14ac:dyDescent="0.25">
      <c r="A63" s="39" t="s">
        <v>92</v>
      </c>
      <c r="B63" s="38"/>
      <c r="D63" s="18">
        <v>0</v>
      </c>
      <c r="I63" s="18">
        <v>0</v>
      </c>
      <c r="K63" s="18">
        <v>0</v>
      </c>
      <c r="L63" s="17">
        <f>-SUM(G63:K63)</f>
        <v>0</v>
      </c>
      <c r="W63" s="11">
        <f t="shared" si="20"/>
        <v>0</v>
      </c>
      <c r="X63" s="39" t="s">
        <v>92</v>
      </c>
      <c r="Z63" s="18">
        <f>W63</f>
        <v>0</v>
      </c>
      <c r="AA63" s="18">
        <v>0</v>
      </c>
      <c r="AB63" s="18">
        <f>Z63-AA63</f>
        <v>0</v>
      </c>
    </row>
    <row r="64" spans="1:28" x14ac:dyDescent="0.25">
      <c r="A64" s="39" t="s">
        <v>93</v>
      </c>
      <c r="B64" s="38"/>
      <c r="C64" s="4">
        <v>0</v>
      </c>
      <c r="D64" s="18">
        <v>0</v>
      </c>
      <c r="E64" s="18">
        <v>5000</v>
      </c>
      <c r="F64" s="18">
        <f>716+188</f>
        <v>904</v>
      </c>
      <c r="G64" s="18">
        <v>7490.5</v>
      </c>
      <c r="H64" s="18">
        <v>2410.5100000000002</v>
      </c>
      <c r="I64" s="18">
        <v>0</v>
      </c>
      <c r="L64" s="17">
        <f>-SUM(G64:K64)</f>
        <v>-9901.01</v>
      </c>
      <c r="W64" s="11">
        <f t="shared" si="20"/>
        <v>5904</v>
      </c>
      <c r="X64" s="39" t="s">
        <v>93</v>
      </c>
      <c r="Z64" s="18">
        <f>W64+W32</f>
        <v>623216.43999999994</v>
      </c>
      <c r="AA64" s="18">
        <f>[1]Gleason!$BT$218</f>
        <v>623216.18000000005</v>
      </c>
      <c r="AB64" s="18">
        <f>Z64-AA64</f>
        <v>0.2599999998928979</v>
      </c>
    </row>
    <row r="65" spans="1:28" x14ac:dyDescent="0.25">
      <c r="A65" s="39" t="s">
        <v>30</v>
      </c>
      <c r="B65" s="38"/>
      <c r="F65" s="18">
        <v>11817</v>
      </c>
      <c r="G65" s="18">
        <v>1079</v>
      </c>
      <c r="H65" s="18">
        <f>862+910.57</f>
        <v>1772.5700000000002</v>
      </c>
      <c r="I65" s="18">
        <v>0</v>
      </c>
      <c r="K65" s="18">
        <v>0</v>
      </c>
      <c r="L65" s="17">
        <f>-SUM(G65:K65)+1362.81</f>
        <v>-1488.7600000000002</v>
      </c>
      <c r="W65" s="11">
        <f t="shared" si="20"/>
        <v>13179.81</v>
      </c>
      <c r="X65" s="39" t="s">
        <v>30</v>
      </c>
      <c r="Z65" s="18">
        <f>W65+W31</f>
        <v>200000.25444444441</v>
      </c>
      <c r="AA65" s="18">
        <f>[1]Gleason!$BT$209</f>
        <v>200000</v>
      </c>
      <c r="AB65" s="18">
        <f>Z65-AA65</f>
        <v>0.25444444440654479</v>
      </c>
    </row>
    <row r="66" spans="1:28" x14ac:dyDescent="0.25">
      <c r="A66" s="4" t="s">
        <v>82</v>
      </c>
      <c r="C66" s="21">
        <f t="shared" ref="C66:L66" si="21">SUM(C61:C65)</f>
        <v>0</v>
      </c>
      <c r="D66" s="21">
        <f t="shared" si="21"/>
        <v>0</v>
      </c>
      <c r="E66" s="21">
        <f t="shared" si="21"/>
        <v>5000</v>
      </c>
      <c r="F66" s="21">
        <f t="shared" si="21"/>
        <v>16264</v>
      </c>
      <c r="G66" s="21">
        <f t="shared" si="21"/>
        <v>8569.5</v>
      </c>
      <c r="H66" s="21">
        <f t="shared" si="21"/>
        <v>190302.26</v>
      </c>
      <c r="I66" s="21">
        <f t="shared" si="21"/>
        <v>0</v>
      </c>
      <c r="J66" s="21">
        <f t="shared" si="21"/>
        <v>2645</v>
      </c>
      <c r="K66" s="21">
        <f t="shared" si="21"/>
        <v>0</v>
      </c>
      <c r="L66" s="21">
        <f t="shared" si="21"/>
        <v>-208356.95</v>
      </c>
      <c r="M66" s="54">
        <f t="shared" ref="M66:V66" si="22">SUM(M61:M65)</f>
        <v>8203</v>
      </c>
      <c r="N66" s="21">
        <f t="shared" si="22"/>
        <v>0</v>
      </c>
      <c r="O66" s="21">
        <f t="shared" si="22"/>
        <v>0</v>
      </c>
      <c r="P66" s="21">
        <f t="shared" si="22"/>
        <v>0</v>
      </c>
      <c r="Q66" s="21">
        <f t="shared" si="22"/>
        <v>0</v>
      </c>
      <c r="R66" s="21">
        <f t="shared" si="22"/>
        <v>0</v>
      </c>
      <c r="S66" s="21">
        <f t="shared" si="22"/>
        <v>0</v>
      </c>
      <c r="T66" s="21">
        <f t="shared" si="22"/>
        <v>0</v>
      </c>
      <c r="U66" s="21">
        <f t="shared" si="22"/>
        <v>0</v>
      </c>
      <c r="V66" s="21">
        <f t="shared" si="22"/>
        <v>0</v>
      </c>
      <c r="W66" s="22">
        <f t="shared" si="20"/>
        <v>22626.809999999998</v>
      </c>
    </row>
    <row r="67" spans="1:28" x14ac:dyDescent="0.25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58"/>
      <c r="N67" s="9"/>
      <c r="O67" s="9"/>
      <c r="P67" s="9"/>
      <c r="Q67" s="9"/>
      <c r="R67" s="9"/>
      <c r="S67" s="9"/>
      <c r="T67" s="9"/>
      <c r="U67" s="9"/>
      <c r="V67" s="9"/>
      <c r="W67" s="11"/>
    </row>
    <row r="68" spans="1:28" x14ac:dyDescent="0.25">
      <c r="A68" s="17" t="s">
        <v>97</v>
      </c>
      <c r="C68" s="9"/>
      <c r="D68" s="20"/>
      <c r="E68" s="20"/>
      <c r="F68" s="20"/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56"/>
      <c r="N68" s="20"/>
      <c r="O68" s="20">
        <f>[1]Gleason!$AR$237</f>
        <v>0</v>
      </c>
      <c r="P68" s="20"/>
      <c r="Q68" s="20"/>
      <c r="R68" s="20"/>
      <c r="S68" s="20"/>
      <c r="T68" s="20"/>
      <c r="U68" s="20"/>
      <c r="V68" s="20"/>
      <c r="W68" s="11">
        <f>SUM(C68:V68)</f>
        <v>0</v>
      </c>
      <c r="X68" s="20"/>
    </row>
    <row r="69" spans="1:28" s="43" customFormat="1" x14ac:dyDescent="0.25">
      <c r="A69" s="21" t="s">
        <v>98</v>
      </c>
      <c r="C69" s="21">
        <f>SUM(C68:C68)</f>
        <v>0</v>
      </c>
      <c r="D69" s="21">
        <f>SUM(D66:D68)</f>
        <v>0</v>
      </c>
      <c r="E69" s="21">
        <f t="shared" ref="E69:W69" si="23">SUM(E66:E68)</f>
        <v>5000</v>
      </c>
      <c r="F69" s="21">
        <f t="shared" si="23"/>
        <v>16264</v>
      </c>
      <c r="G69" s="21">
        <f t="shared" si="23"/>
        <v>8569.5</v>
      </c>
      <c r="H69" s="21">
        <f t="shared" si="23"/>
        <v>190302.26</v>
      </c>
      <c r="I69" s="21">
        <f t="shared" si="23"/>
        <v>0</v>
      </c>
      <c r="J69" s="21">
        <f t="shared" si="23"/>
        <v>2645</v>
      </c>
      <c r="K69" s="21">
        <f t="shared" si="23"/>
        <v>0</v>
      </c>
      <c r="L69" s="21">
        <f t="shared" si="23"/>
        <v>-208356.95</v>
      </c>
      <c r="M69" s="21">
        <f t="shared" si="23"/>
        <v>8203</v>
      </c>
      <c r="N69" s="21">
        <f t="shared" si="23"/>
        <v>0</v>
      </c>
      <c r="O69" s="21">
        <f t="shared" si="23"/>
        <v>0</v>
      </c>
      <c r="P69" s="21">
        <f t="shared" si="23"/>
        <v>0</v>
      </c>
      <c r="Q69" s="21">
        <f t="shared" si="23"/>
        <v>0</v>
      </c>
      <c r="R69" s="21">
        <f t="shared" si="23"/>
        <v>0</v>
      </c>
      <c r="S69" s="21">
        <f t="shared" si="23"/>
        <v>0</v>
      </c>
      <c r="T69" s="21">
        <f t="shared" si="23"/>
        <v>0</v>
      </c>
      <c r="U69" s="21">
        <f t="shared" si="23"/>
        <v>0</v>
      </c>
      <c r="V69" s="21">
        <f t="shared" si="23"/>
        <v>0</v>
      </c>
      <c r="W69" s="21">
        <f t="shared" si="23"/>
        <v>22626.809999999998</v>
      </c>
    </row>
    <row r="70" spans="1:28" x14ac:dyDescent="0.25">
      <c r="A70" s="4"/>
      <c r="C70" s="9"/>
      <c r="D70" s="9"/>
      <c r="E70" s="9"/>
      <c r="F70" s="9"/>
      <c r="G70" s="9"/>
      <c r="H70" s="9"/>
      <c r="I70" s="9"/>
      <c r="J70" s="9"/>
      <c r="K70" s="9"/>
      <c r="L70" s="9"/>
      <c r="M70" s="58"/>
      <c r="N70" s="9"/>
      <c r="O70" s="9"/>
      <c r="P70" s="9"/>
      <c r="Q70" s="9"/>
      <c r="R70" s="9"/>
      <c r="S70" s="9"/>
      <c r="T70" s="9"/>
      <c r="U70" s="9"/>
      <c r="V70" s="9"/>
      <c r="W70" s="11"/>
      <c r="X70" s="20"/>
    </row>
    <row r="71" spans="1:28" x14ac:dyDescent="0.25">
      <c r="W71" s="11"/>
    </row>
    <row r="72" spans="1:28" x14ac:dyDescent="0.25">
      <c r="A72" s="4" t="s">
        <v>118</v>
      </c>
      <c r="C72" s="9">
        <f>+C46+C69+C66</f>
        <v>0</v>
      </c>
      <c r="D72" s="9">
        <f>+D46+D69+D66</f>
        <v>0</v>
      </c>
      <c r="E72" s="9">
        <f>+E69+E46</f>
        <v>5000</v>
      </c>
      <c r="F72" s="9">
        <f t="shared" ref="F72:V72" si="24">+F69+F46</f>
        <v>16264</v>
      </c>
      <c r="G72" s="9">
        <f t="shared" si="24"/>
        <v>8569.5</v>
      </c>
      <c r="H72" s="9">
        <f t="shared" si="24"/>
        <v>190302.26</v>
      </c>
      <c r="I72" s="9">
        <f t="shared" si="24"/>
        <v>0</v>
      </c>
      <c r="J72" s="9">
        <f t="shared" si="24"/>
        <v>2645</v>
      </c>
      <c r="K72" s="9">
        <f t="shared" si="24"/>
        <v>0</v>
      </c>
      <c r="L72" s="9">
        <f>D69:L69+L46</f>
        <v>92944280.049999997</v>
      </c>
      <c r="M72" s="9">
        <f t="shared" si="24"/>
        <v>717513.92999999993</v>
      </c>
      <c r="N72" s="9">
        <f t="shared" si="24"/>
        <v>2178270.2560097221</v>
      </c>
      <c r="O72" s="9">
        <f t="shared" si="24"/>
        <v>7520808.7565631075</v>
      </c>
      <c r="P72" s="9">
        <f t="shared" si="24"/>
        <v>13925350.204377824</v>
      </c>
      <c r="Q72" s="9">
        <f t="shared" si="24"/>
        <v>11492132.3197645</v>
      </c>
      <c r="R72" s="9">
        <f t="shared" si="24"/>
        <v>9563614.5042798948</v>
      </c>
      <c r="S72" s="9">
        <f t="shared" si="24"/>
        <v>7974796.7478239061</v>
      </c>
      <c r="T72" s="9">
        <f t="shared" si="24"/>
        <v>6061492.6955204569</v>
      </c>
      <c r="U72" s="9">
        <f t="shared" si="24"/>
        <v>6772249.9155832268</v>
      </c>
      <c r="V72" s="9">
        <f t="shared" si="24"/>
        <v>13688390.125680134</v>
      </c>
      <c r="W72" s="9">
        <f>SUM(C72:V72)</f>
        <v>173061680.26560277</v>
      </c>
    </row>
    <row r="73" spans="1:28" x14ac:dyDescent="0.25">
      <c r="W73" s="4">
        <f>W72-[1]Gleason!$BT$240</f>
        <v>4.4444501399993896E-3</v>
      </c>
    </row>
    <row r="74" spans="1:28" x14ac:dyDescent="0.25">
      <c r="I74" s="17"/>
    </row>
  </sheetData>
  <mergeCells count="1">
    <mergeCell ref="Q5:W5"/>
  </mergeCells>
  <printOptions horizontalCentered="1"/>
  <pageMargins left="0.25" right="0.25" top="0.5" bottom="0.5" header="0.25" footer="0.5"/>
  <pageSetup scale="43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7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4" style="18" customWidth="1"/>
    <col min="5" max="11" width="11.33203125" style="18" bestFit="1" customWidth="1"/>
    <col min="12" max="12" width="12.109375" style="18" bestFit="1" customWidth="1"/>
    <col min="13" max="13" width="11.33203125" style="18" bestFit="1" customWidth="1"/>
    <col min="14" max="21" width="12.33203125" style="18" bestFit="1" customWidth="1"/>
    <col min="22" max="22" width="13.88671875" style="4" customWidth="1"/>
    <col min="23" max="23" width="20" style="18" bestFit="1" customWidth="1"/>
    <col min="24" max="24" width="12.33203125" style="18" customWidth="1"/>
    <col min="25" max="25" width="10.88671875" style="18" bestFit="1" customWidth="1"/>
    <col min="26" max="16384" width="9.109375" style="18"/>
  </cols>
  <sheetData>
    <row r="1" spans="1:25" s="2" customFormat="1" ht="15.6" x14ac:dyDescent="0.3">
      <c r="A1" s="1" t="s">
        <v>0</v>
      </c>
    </row>
    <row r="2" spans="1:25" s="2" customFormat="1" ht="15.6" x14ac:dyDescent="0.3">
      <c r="A2" s="1" t="s">
        <v>1</v>
      </c>
      <c r="D2" s="1" t="str">
        <f>Wilton!D2</f>
        <v>Last updated:  Actuals through December 3, 1999</v>
      </c>
      <c r="V2" s="25" t="str">
        <f ca="1">CELL("filename")</f>
        <v>O:\Fin_Ops\Engysvc\PowerPlants\2000 Plants\Weekly Report\[2000 Weekly Report - 121499.xls]Summary</v>
      </c>
    </row>
    <row r="3" spans="1:25" s="2" customFormat="1" ht="15.6" x14ac:dyDescent="0.3">
      <c r="A3" s="1" t="s">
        <v>2</v>
      </c>
      <c r="D3" s="26"/>
      <c r="F3" s="3"/>
      <c r="V3" s="24">
        <f ca="1">NOW()</f>
        <v>36508.723468402779</v>
      </c>
    </row>
    <row r="4" spans="1:25" ht="15" x14ac:dyDescent="0.25">
      <c r="C4" s="12"/>
      <c r="D4" s="28"/>
    </row>
    <row r="5" spans="1:25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5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5" s="6" customFormat="1" ht="19.2" x14ac:dyDescent="0.6">
      <c r="A7" s="32" t="s">
        <v>80</v>
      </c>
      <c r="V7" s="10"/>
      <c r="W7" s="31"/>
    </row>
    <row r="8" spans="1:25" x14ac:dyDescent="0.25">
      <c r="A8" s="4" t="s">
        <v>37</v>
      </c>
      <c r="V8" s="11"/>
    </row>
    <row r="9" spans="1:25" x14ac:dyDescent="0.25">
      <c r="A9" s="5" t="s">
        <v>62</v>
      </c>
      <c r="V9" s="11"/>
    </row>
    <row r="10" spans="1:25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1072769</v>
      </c>
      <c r="P10" s="18">
        <f>1072769-318421</f>
        <v>754348</v>
      </c>
      <c r="Q10" s="18">
        <v>100000</v>
      </c>
      <c r="R10" s="18">
        <v>1072769</v>
      </c>
      <c r="T10" s="18">
        <v>231601</v>
      </c>
      <c r="U10" s="18">
        <f>85821500-81565943+66200+1033169</f>
        <v>5354926</v>
      </c>
      <c r="V10" s="11">
        <f t="shared" ref="V10:V34" si="0">SUM(C10:U10)</f>
        <v>86219301.230000004</v>
      </c>
      <c r="W10" s="15" t="s">
        <v>50</v>
      </c>
      <c r="X10" s="18">
        <f>[1]Wheatland!$BR$12</f>
        <v>86219301</v>
      </c>
      <c r="Y10" s="18">
        <f>V10-X10</f>
        <v>0.23000000417232513</v>
      </c>
    </row>
    <row r="11" spans="1:25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595253.1</v>
      </c>
      <c r="Q11" s="18">
        <v>595253.1</v>
      </c>
      <c r="R11" s="18">
        <v>793670.8</v>
      </c>
      <c r="S11" s="18">
        <v>0</v>
      </c>
      <c r="V11" s="11">
        <f t="shared" si="0"/>
        <v>4440534.3</v>
      </c>
      <c r="W11" s="15" t="s">
        <v>50</v>
      </c>
      <c r="X11" s="18">
        <f>[1]Wheatland!$BR$32</f>
        <v>4440534</v>
      </c>
      <c r="Y11" s="18">
        <f t="shared" ref="Y11:Y30" si="1">V11-X11</f>
        <v>0.29999999981373549</v>
      </c>
    </row>
    <row r="12" spans="1:25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O12" s="18">
        <f>(0.2689-0.1174)*X12</f>
        <v>1924240.1324999996</v>
      </c>
      <c r="P12" s="18">
        <f>(0.4673-0.2689)*X12</f>
        <v>2519928.9920000001</v>
      </c>
      <c r="Q12" s="18">
        <f>(0.6503-0.4673)*X12</f>
        <v>2324329.665</v>
      </c>
      <c r="R12" s="18">
        <f>(0.7833-0.6503)*X12</f>
        <v>1689266.915</v>
      </c>
      <c r="S12" s="18">
        <f>(0.8703-0.7833)*X12</f>
        <v>1105009.1849999996</v>
      </c>
      <c r="T12" s="18">
        <f>(0.9476-0.8703)*X12</f>
        <v>981807.01150000049</v>
      </c>
      <c r="U12" s="18">
        <f>(1-0.9476)*X12</f>
        <v>665545.76199999999</v>
      </c>
      <c r="V12" s="11">
        <f t="shared" si="0"/>
        <v>11837073.663000001</v>
      </c>
      <c r="W12" s="15" t="s">
        <v>50</v>
      </c>
      <c r="X12" s="18">
        <f>[1]Wheatland!$BR$56</f>
        <v>12701255</v>
      </c>
      <c r="Y12" s="18">
        <f t="shared" si="1"/>
        <v>-864181.33699999936</v>
      </c>
    </row>
    <row r="13" spans="1:25" x14ac:dyDescent="0.25">
      <c r="A13" s="17" t="s">
        <v>120</v>
      </c>
      <c r="C13" s="4">
        <v>0</v>
      </c>
      <c r="F13" s="8"/>
      <c r="N13" s="18">
        <v>115533</v>
      </c>
      <c r="O13" s="18">
        <f>(0.2689-0.1174)*X13</f>
        <v>793918.17599999986</v>
      </c>
      <c r="P13" s="18">
        <f>(0.4673-0.2689)*X13</f>
        <v>1039692.1856000001</v>
      </c>
      <c r="Q13" s="18">
        <f>(0.6503-0.4673)*X13</f>
        <v>958990.272</v>
      </c>
      <c r="R13" s="18">
        <f>(0.7833-0.6503)*X13</f>
        <v>696971.07200000004</v>
      </c>
      <c r="S13" s="18">
        <f>(0.8703-0.7833)*X13</f>
        <v>455913.40799999982</v>
      </c>
      <c r="T13" s="18">
        <f>(0.9476-0.8703)*X13</f>
        <v>405081.6832000002</v>
      </c>
      <c r="U13" s="18">
        <f>(1-0.9476)*X13</f>
        <v>274596.12160000001</v>
      </c>
      <c r="V13" s="11">
        <f t="shared" si="0"/>
        <v>4740695.9183999998</v>
      </c>
      <c r="W13" s="15"/>
      <c r="X13" s="18">
        <f>[1]Wheatland!$BR$82</f>
        <v>5240384</v>
      </c>
      <c r="Y13" s="18">
        <f t="shared" si="1"/>
        <v>-499688.08160000015</v>
      </c>
    </row>
    <row r="14" spans="1:25" x14ac:dyDescent="0.25">
      <c r="A14" s="17" t="s">
        <v>121</v>
      </c>
      <c r="M14" s="18">
        <v>0</v>
      </c>
      <c r="N14" s="18">
        <v>61343</v>
      </c>
      <c r="O14" s="18">
        <f>(0.2689-0.1174)*X14</f>
        <v>1844779.2914999996</v>
      </c>
      <c r="P14" s="18">
        <f>(0.4673-0.2689)*X14</f>
        <v>2415869.3824000005</v>
      </c>
      <c r="Q14" s="18">
        <f>(0.6503-0.4673)*X14</f>
        <v>2228347.2629999998</v>
      </c>
      <c r="R14" s="18">
        <f>(0.7833-0.6503)*X14</f>
        <v>1619509.213</v>
      </c>
      <c r="S14" s="18">
        <f>(0.8703-0.7833)*X14</f>
        <v>1059378.2069999997</v>
      </c>
      <c r="T14" s="18">
        <f>(0.9476-0.8703)*X14</f>
        <v>941263.62530000042</v>
      </c>
      <c r="U14" s="18">
        <f>(1-0.9476)*X14</f>
        <v>638062.27639999997</v>
      </c>
      <c r="V14" s="11">
        <f t="shared" si="0"/>
        <v>10808552.2586</v>
      </c>
      <c r="W14" s="15"/>
      <c r="X14" s="18">
        <f>[1]Wheatland!$BR$114</f>
        <v>12176761</v>
      </c>
      <c r="Y14" s="18">
        <f t="shared" si="1"/>
        <v>-1368208.7413999997</v>
      </c>
    </row>
    <row r="15" spans="1:25" x14ac:dyDescent="0.25">
      <c r="A15" s="17" t="s">
        <v>122</v>
      </c>
      <c r="N15" s="18">
        <v>0</v>
      </c>
      <c r="O15" s="18">
        <f>(0.2689-0.1174)*X15</f>
        <v>1496890.2959999996</v>
      </c>
      <c r="P15" s="18">
        <f>(0.4673-0.2689)*X15</f>
        <v>1960284.0576000002</v>
      </c>
      <c r="Q15" s="18">
        <f>(0.6503-0.4673)*X15</f>
        <v>1808124.912</v>
      </c>
      <c r="R15" s="18">
        <f>(0.7833-0.6503)*X15</f>
        <v>1314101.7120000001</v>
      </c>
      <c r="S15" s="18">
        <f>(0.8703-0.7833)*X15</f>
        <v>859600.36799999967</v>
      </c>
      <c r="T15" s="18">
        <f>(0.9476-0.8703)*X15</f>
        <v>763759.86720000033</v>
      </c>
      <c r="U15" s="18">
        <f>(1-0.9476)*X15</f>
        <v>517736.31359999999</v>
      </c>
      <c r="V15" s="11">
        <f t="shared" si="0"/>
        <v>8720497.5263999999</v>
      </c>
      <c r="W15" s="15"/>
      <c r="X15" s="18">
        <f>[1]Wheatland!$BR$119</f>
        <v>9880464</v>
      </c>
      <c r="Y15" s="18">
        <f t="shared" si="1"/>
        <v>-1159966.4736000001</v>
      </c>
    </row>
    <row r="16" spans="1:25" x14ac:dyDescent="0.25">
      <c r="A16" s="17" t="s">
        <v>123</v>
      </c>
      <c r="U16" s="18">
        <v>50000</v>
      </c>
      <c r="V16" s="11">
        <f t="shared" si="0"/>
        <v>50000</v>
      </c>
      <c r="W16" s="15"/>
      <c r="X16" s="18">
        <f>[1]Wheatland!$BR$153</f>
        <v>50000</v>
      </c>
      <c r="Y16" s="18">
        <f t="shared" si="1"/>
        <v>0</v>
      </c>
    </row>
    <row r="17" spans="1:25" x14ac:dyDescent="0.25">
      <c r="A17" s="17" t="s">
        <v>124</v>
      </c>
      <c r="N17" s="18">
        <v>3651557</v>
      </c>
      <c r="O17" s="18">
        <v>240488</v>
      </c>
      <c r="V17" s="11">
        <f t="shared" si="0"/>
        <v>3892045</v>
      </c>
      <c r="W17" s="15"/>
      <c r="Y17" s="18">
        <f t="shared" si="1"/>
        <v>3892045</v>
      </c>
    </row>
    <row r="18" spans="1:25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f t="shared" si="2"/>
        <v>77483.333333333328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V18" s="11">
        <f t="shared" si="0"/>
        <v>929800.00000000012</v>
      </c>
      <c r="W18" s="15"/>
      <c r="X18" s="18">
        <f>[1]Wheatland!$BR$127</f>
        <v>929800</v>
      </c>
      <c r="Y18" s="18">
        <f t="shared" si="1"/>
        <v>0</v>
      </c>
    </row>
    <row r="19" spans="1:25" x14ac:dyDescent="0.25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f t="shared" si="3"/>
        <v>198891.66666666666</v>
      </c>
      <c r="P19" s="18">
        <f t="shared" si="3"/>
        <v>198891.66666666666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</f>
        <v>198900.66666666666</v>
      </c>
      <c r="V19" s="11">
        <f t="shared" si="0"/>
        <v>2386700.0033333334</v>
      </c>
      <c r="W19" s="15"/>
      <c r="X19" s="18">
        <f>[1]Wheatland!$BR$128</f>
        <v>2386700</v>
      </c>
      <c r="Y19" s="18">
        <f t="shared" si="1"/>
        <v>3.3333334140479565E-3</v>
      </c>
    </row>
    <row r="20" spans="1:25" x14ac:dyDescent="0.25">
      <c r="A20" s="17" t="s">
        <v>107</v>
      </c>
      <c r="U20" s="18">
        <v>3066700</v>
      </c>
      <c r="V20" s="11">
        <f t="shared" si="0"/>
        <v>3066700</v>
      </c>
      <c r="W20" s="15"/>
      <c r="X20" s="18">
        <f>[1]Wheatland!$BR$129</f>
        <v>3066700</v>
      </c>
      <c r="Y20" s="18">
        <f t="shared" si="1"/>
        <v>0</v>
      </c>
    </row>
    <row r="21" spans="1:25" x14ac:dyDescent="0.25">
      <c r="A21" s="17" t="s">
        <v>42</v>
      </c>
      <c r="C21" s="4">
        <v>0</v>
      </c>
      <c r="P21" s="18">
        <v>125000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V21" s="11">
        <f t="shared" si="0"/>
        <v>908786</v>
      </c>
      <c r="W21" s="15" t="s">
        <v>51</v>
      </c>
      <c r="X21" s="18">
        <v>908786</v>
      </c>
      <c r="Y21" s="18">
        <f t="shared" si="1"/>
        <v>0</v>
      </c>
    </row>
    <row r="22" spans="1:25" x14ac:dyDescent="0.25">
      <c r="A22" s="17" t="s">
        <v>95</v>
      </c>
      <c r="N22" s="18">
        <v>38084</v>
      </c>
      <c r="U22" s="18">
        <f>1500000-38084</f>
        <v>1461916</v>
      </c>
      <c r="V22" s="11">
        <f t="shared" si="0"/>
        <v>1500000</v>
      </c>
      <c r="W22" s="15"/>
      <c r="X22" s="18">
        <f>[1]Wheatland!$BR$151</f>
        <v>1500000</v>
      </c>
      <c r="Y22" s="18">
        <f t="shared" si="1"/>
        <v>0</v>
      </c>
    </row>
    <row r="23" spans="1:25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V23" s="11">
        <f t="shared" si="0"/>
        <v>1172731</v>
      </c>
      <c r="W23" s="15" t="str">
        <f>W12</f>
        <v>Mike Miller</v>
      </c>
      <c r="X23" s="18">
        <f>[1]Wheatland!$BR$155</f>
        <v>1172731</v>
      </c>
      <c r="Y23" s="18">
        <f t="shared" si="1"/>
        <v>0</v>
      </c>
    </row>
    <row r="24" spans="1:25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1000</v>
      </c>
      <c r="V24" s="11">
        <f t="shared" si="0"/>
        <v>1112944.26</v>
      </c>
      <c r="W24" s="15" t="s">
        <v>57</v>
      </c>
      <c r="X24" s="18">
        <f>[1]Wheatland!$BR$162</f>
        <v>1112944</v>
      </c>
      <c r="Y24" s="18">
        <f t="shared" si="1"/>
        <v>0.26000000000931323</v>
      </c>
    </row>
    <row r="25" spans="1:25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53061</v>
      </c>
      <c r="P25" s="18">
        <v>48575</v>
      </c>
      <c r="V25" s="11">
        <f t="shared" si="0"/>
        <v>313820.42000000004</v>
      </c>
      <c r="W25" s="15" t="str">
        <f>W24</f>
        <v>Steve Dowd</v>
      </c>
    </row>
    <row r="26" spans="1:25" x14ac:dyDescent="0.25">
      <c r="A26" s="17" t="s">
        <v>104</v>
      </c>
      <c r="C26" s="4">
        <v>0</v>
      </c>
      <c r="F26" s="8"/>
      <c r="L26" s="18">
        <v>10000</v>
      </c>
      <c r="P26" s="18">
        <v>500000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v>1500000</v>
      </c>
      <c r="V26" s="11">
        <f>SUM(C26:U26)</f>
        <v>5000000</v>
      </c>
      <c r="W26" s="15" t="s">
        <v>53</v>
      </c>
      <c r="X26" s="18">
        <f>[1]Wheatland!$BR$171</f>
        <v>5000000</v>
      </c>
      <c r="Y26" s="18">
        <f t="shared" si="1"/>
        <v>0</v>
      </c>
    </row>
    <row r="27" spans="1:25" x14ac:dyDescent="0.25">
      <c r="A27" s="17" t="s">
        <v>25</v>
      </c>
      <c r="C27" s="4">
        <v>0</v>
      </c>
      <c r="F27" s="8"/>
      <c r="Q27" s="18">
        <v>500000</v>
      </c>
      <c r="R27" s="18">
        <v>166666.66666666666</v>
      </c>
      <c r="S27" s="18">
        <v>166666.66666666666</v>
      </c>
      <c r="T27" s="18">
        <v>166666.66666666666</v>
      </c>
      <c r="U27" s="18">
        <v>500000</v>
      </c>
      <c r="V27" s="11">
        <f t="shared" si="0"/>
        <v>1500000</v>
      </c>
      <c r="W27" s="15" t="s">
        <v>53</v>
      </c>
      <c r="X27" s="18">
        <f>[1]Wheatland!$BR$173</f>
        <v>1500000</v>
      </c>
      <c r="Y27" s="18">
        <f t="shared" si="1"/>
        <v>0</v>
      </c>
    </row>
    <row r="28" spans="1:25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V28" s="11">
        <f t="shared" si="0"/>
        <v>1000000</v>
      </c>
      <c r="W28" s="15" t="str">
        <f>W21</f>
        <v>Kevin Presto</v>
      </c>
      <c r="X28" s="18">
        <f>[1]Wheatland!$BR$179</f>
        <v>1000000</v>
      </c>
      <c r="Y28" s="18">
        <f t="shared" si="1"/>
        <v>0</v>
      </c>
    </row>
    <row r="29" spans="1:25" hidden="1" x14ac:dyDescent="0.25">
      <c r="A29" s="17" t="s">
        <v>48</v>
      </c>
      <c r="F29" s="8"/>
      <c r="U29" s="18">
        <v>0</v>
      </c>
      <c r="V29" s="11">
        <f t="shared" si="0"/>
        <v>0</v>
      </c>
      <c r="W29" s="15" t="s">
        <v>56</v>
      </c>
      <c r="X29" s="18">
        <v>0</v>
      </c>
      <c r="Y29" s="18">
        <f t="shared" si="1"/>
        <v>0</v>
      </c>
    </row>
    <row r="30" spans="1:25" x14ac:dyDescent="0.25">
      <c r="A30" s="17" t="s">
        <v>29</v>
      </c>
      <c r="C30" s="4">
        <v>0</v>
      </c>
      <c r="F30" s="8"/>
      <c r="O30" s="18">
        <v>200000</v>
      </c>
      <c r="V30" s="11">
        <f t="shared" si="0"/>
        <v>200000</v>
      </c>
      <c r="W30" s="15"/>
      <c r="X30" s="18">
        <f>[1]Wheatland!$BR$181</f>
        <v>200000</v>
      </c>
      <c r="Y30" s="18">
        <f t="shared" si="1"/>
        <v>0</v>
      </c>
    </row>
    <row r="31" spans="1:25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11111.111111111111</v>
      </c>
      <c r="P31" s="18">
        <v>11111.111111111111</v>
      </c>
      <c r="Q31" s="18">
        <v>11111.111111111111</v>
      </c>
      <c r="R31" s="18">
        <v>11111.111111111111</v>
      </c>
      <c r="S31" s="18">
        <v>11111.111111111111</v>
      </c>
      <c r="T31" s="18">
        <v>11111.111111111111</v>
      </c>
      <c r="U31" s="17">
        <f>3500+37229</f>
        <v>40729</v>
      </c>
      <c r="V31" s="11">
        <f t="shared" si="0"/>
        <v>185198.22666666668</v>
      </c>
      <c r="W31" s="15"/>
    </row>
    <row r="32" spans="1:25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f>28571.4285714286+191013</f>
        <v>219584.42857142861</v>
      </c>
      <c r="P32" s="18">
        <v>28571.428571428572</v>
      </c>
      <c r="Q32" s="18">
        <v>28571.428571428572</v>
      </c>
      <c r="R32" s="18">
        <v>56516</v>
      </c>
      <c r="S32" s="18">
        <v>22986</v>
      </c>
      <c r="V32" s="11">
        <f t="shared" si="0"/>
        <v>600530.97571428574</v>
      </c>
      <c r="W32" s="15">
        <f>W31</f>
        <v>0</v>
      </c>
    </row>
    <row r="33" spans="1:24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325000-35000-17556</f>
        <v>272444</v>
      </c>
      <c r="P33" s="18">
        <v>10000</v>
      </c>
      <c r="Q33" s="18">
        <v>10000</v>
      </c>
      <c r="R33" s="18">
        <v>10000</v>
      </c>
      <c r="S33" s="18">
        <v>10000</v>
      </c>
      <c r="T33" s="18">
        <v>7559</v>
      </c>
      <c r="U33" s="18">
        <f>2441+1962</f>
        <v>4403</v>
      </c>
      <c r="V33" s="11">
        <f t="shared" si="0"/>
        <v>400000.39</v>
      </c>
      <c r="W33" s="15">
        <f>W32</f>
        <v>0</v>
      </c>
    </row>
    <row r="34" spans="1:24" x14ac:dyDescent="0.25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9597166.63568254</v>
      </c>
      <c r="P34" s="21">
        <f t="shared" si="4"/>
        <v>10285008.257282542</v>
      </c>
      <c r="Q34" s="21">
        <f t="shared" si="4"/>
        <v>9466102.7516825404</v>
      </c>
      <c r="R34" s="21">
        <f t="shared" si="4"/>
        <v>8331957.4897777783</v>
      </c>
      <c r="S34" s="21">
        <f t="shared" si="4"/>
        <v>5582039.9457777767</v>
      </c>
      <c r="T34" s="21">
        <f t="shared" si="4"/>
        <v>6410224.9649777794</v>
      </c>
      <c r="U34" s="21">
        <f t="shared" si="4"/>
        <v>14807515.4736</v>
      </c>
      <c r="V34" s="22">
        <f t="shared" si="0"/>
        <v>150985911.17211428</v>
      </c>
    </row>
    <row r="35" spans="1:24" x14ac:dyDescent="0.25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96103062.289015874</v>
      </c>
      <c r="P35" s="21">
        <f t="shared" si="5"/>
        <v>106388070.54629841</v>
      </c>
      <c r="Q35" s="21">
        <f t="shared" si="5"/>
        <v>115854173.29798095</v>
      </c>
      <c r="R35" s="21">
        <f t="shared" si="5"/>
        <v>124186130.78775872</v>
      </c>
      <c r="S35" s="21">
        <f t="shared" si="5"/>
        <v>129768170.7335365</v>
      </c>
      <c r="T35" s="21">
        <f t="shared" si="5"/>
        <v>136178395.69851428</v>
      </c>
      <c r="U35" s="21">
        <f t="shared" si="5"/>
        <v>150985911.17211428</v>
      </c>
      <c r="V35" s="11"/>
    </row>
    <row r="36" spans="1:24" x14ac:dyDescent="0.25">
      <c r="A36" s="17" t="s">
        <v>64</v>
      </c>
      <c r="F36" s="8"/>
      <c r="V36" s="16">
        <f>+V34/C51/1000</f>
        <v>321.24661951513679</v>
      </c>
      <c r="W36" s="20"/>
    </row>
    <row r="37" spans="1:24" x14ac:dyDescent="0.25">
      <c r="A37" s="17"/>
      <c r="F37" s="8"/>
      <c r="V37" s="16"/>
      <c r="W37" s="20"/>
    </row>
    <row r="38" spans="1:24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V38" s="11">
        <f t="shared" ref="V38:V43" si="6">SUM(C38:U38)</f>
        <v>-6077.5000000000073</v>
      </c>
      <c r="W38" s="19" t="s">
        <v>54</v>
      </c>
    </row>
    <row r="39" spans="1:24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f t="shared" si="7"/>
        <v>547504.33303943288</v>
      </c>
      <c r="P39" s="30">
        <f t="shared" si="7"/>
        <v>606180.44290367689</v>
      </c>
      <c r="Q39" s="30">
        <f t="shared" si="7"/>
        <v>660738.64354101883</v>
      </c>
      <c r="R39" s="30">
        <f t="shared" si="7"/>
        <v>709449.08092982892</v>
      </c>
      <c r="S39" s="30">
        <f t="shared" si="7"/>
        <v>743527.97982449515</v>
      </c>
      <c r="T39" s="30">
        <f t="shared" si="7"/>
        <v>782277.47494217416</v>
      </c>
      <c r="U39" s="30">
        <f t="shared" si="7"/>
        <v>866722.18674677762</v>
      </c>
      <c r="V39" s="11">
        <f t="shared" si="6"/>
        <v>9897138.3755760584</v>
      </c>
      <c r="W39" s="19" t="str">
        <f>W52</f>
        <v>Rodney Malcolm</v>
      </c>
      <c r="X39" s="18">
        <f>V39</f>
        <v>9897138.3755760584</v>
      </c>
    </row>
    <row r="40" spans="1:24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11">
        <f t="shared" si="6"/>
        <v>0</v>
      </c>
      <c r="W40" s="19" t="str">
        <f>W39</f>
        <v>Rodney Malcolm</v>
      </c>
    </row>
    <row r="41" spans="1:24" x14ac:dyDescent="0.25">
      <c r="A41" s="17" t="s">
        <v>31</v>
      </c>
      <c r="C41" s="4">
        <v>0</v>
      </c>
      <c r="V41" s="11">
        <f t="shared" si="6"/>
        <v>0</v>
      </c>
      <c r="W41" s="19" t="s">
        <v>54</v>
      </c>
    </row>
    <row r="42" spans="1:24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f>[1]Wheatland!$BP$204</f>
        <v>0.10000000009313226</v>
      </c>
      <c r="V42" s="11">
        <f t="shared" si="6"/>
        <v>0.10000000009313226</v>
      </c>
      <c r="W42" s="19" t="str">
        <f>W24</f>
        <v>Steve Dowd</v>
      </c>
      <c r="X42" s="18">
        <f>V42</f>
        <v>0.10000000009313226</v>
      </c>
    </row>
    <row r="43" spans="1:24" x14ac:dyDescent="0.25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547504.33303943288</v>
      </c>
      <c r="P43" s="21">
        <f t="shared" si="8"/>
        <v>606180.44290367689</v>
      </c>
      <c r="Q43" s="21">
        <f t="shared" si="8"/>
        <v>660738.64354101883</v>
      </c>
      <c r="R43" s="21">
        <f t="shared" si="8"/>
        <v>709449.08092982892</v>
      </c>
      <c r="S43" s="21">
        <f t="shared" si="8"/>
        <v>743527.97982449515</v>
      </c>
      <c r="T43" s="21">
        <f t="shared" si="8"/>
        <v>782277.47494217416</v>
      </c>
      <c r="U43" s="21">
        <f t="shared" si="8"/>
        <v>866722.28674677771</v>
      </c>
      <c r="V43" s="22">
        <f t="shared" si="6"/>
        <v>9891060.975576058</v>
      </c>
      <c r="W43" s="20"/>
    </row>
    <row r="44" spans="1:24" x14ac:dyDescent="0.25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5522165.0666880859</v>
      </c>
      <c r="P44" s="21">
        <f t="shared" si="9"/>
        <v>6128345.5095917629</v>
      </c>
      <c r="Q44" s="21">
        <f t="shared" si="9"/>
        <v>6789084.1531327814</v>
      </c>
      <c r="R44" s="21">
        <f t="shared" si="9"/>
        <v>7498533.2340626102</v>
      </c>
      <c r="S44" s="21">
        <f t="shared" si="9"/>
        <v>8242061.2138871057</v>
      </c>
      <c r="T44" s="21">
        <f t="shared" si="9"/>
        <v>9024338.6888292804</v>
      </c>
      <c r="U44" s="21">
        <f t="shared" si="9"/>
        <v>9891060.975576058</v>
      </c>
      <c r="V44" s="11"/>
      <c r="W44" s="20"/>
    </row>
    <row r="45" spans="1:24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11"/>
      <c r="W45" s="20"/>
    </row>
    <row r="46" spans="1:24" s="4" customFormat="1" x14ac:dyDescent="0.25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10144670.968721973</v>
      </c>
      <c r="P46" s="4">
        <f t="shared" si="10"/>
        <v>10891188.700186219</v>
      </c>
      <c r="Q46" s="4">
        <f t="shared" si="10"/>
        <v>10126841.39522356</v>
      </c>
      <c r="R46" s="4">
        <f t="shared" si="10"/>
        <v>9041406.570707608</v>
      </c>
      <c r="S46" s="4">
        <f t="shared" si="10"/>
        <v>6325567.9256022722</v>
      </c>
      <c r="T46" s="4">
        <f t="shared" si="10"/>
        <v>7192502.4399199532</v>
      </c>
      <c r="U46" s="4">
        <f t="shared" si="10"/>
        <v>15674237.760346778</v>
      </c>
      <c r="V46" s="11">
        <f>SUM(C46:U46)</f>
        <v>160876972.14769036</v>
      </c>
    </row>
    <row r="47" spans="1:24" s="4" customFormat="1" x14ac:dyDescent="0.25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101625227.35570396</v>
      </c>
      <c r="P47" s="4">
        <f t="shared" si="11"/>
        <v>112516416.05589019</v>
      </c>
      <c r="Q47" s="4">
        <f t="shared" si="11"/>
        <v>122643257.45111375</v>
      </c>
      <c r="R47" s="4">
        <f t="shared" si="11"/>
        <v>131684664.02182135</v>
      </c>
      <c r="S47" s="4">
        <f t="shared" si="11"/>
        <v>138010231.94742364</v>
      </c>
      <c r="T47" s="4">
        <f t="shared" si="11"/>
        <v>145202734.38734359</v>
      </c>
      <c r="U47" s="4">
        <f t="shared" si="11"/>
        <v>160876972.14769036</v>
      </c>
      <c r="V47" s="11"/>
    </row>
    <row r="48" spans="1:24" s="4" customFormat="1" x14ac:dyDescent="0.25">
      <c r="V48" s="16">
        <f>+V46/C51/1000</f>
        <v>342.29143010146885</v>
      </c>
    </row>
    <row r="49" spans="1:26" s="4" customFormat="1" x14ac:dyDescent="0.25">
      <c r="A49" s="8" t="s">
        <v>96</v>
      </c>
      <c r="C49" s="12">
        <v>6.5000000000000002E-2</v>
      </c>
      <c r="V49" s="11"/>
    </row>
    <row r="50" spans="1:26" s="4" customFormat="1" x14ac:dyDescent="0.25">
      <c r="A50" s="8" t="s">
        <v>89</v>
      </c>
      <c r="C50" s="12">
        <v>3.5000000000000001E-3</v>
      </c>
      <c r="D50" s="35">
        <v>163000000</v>
      </c>
      <c r="V50" s="11"/>
    </row>
    <row r="51" spans="1:26" s="4" customFormat="1" x14ac:dyDescent="0.25">
      <c r="A51" s="17" t="s">
        <v>64</v>
      </c>
      <c r="C51" s="4">
        <v>470</v>
      </c>
      <c r="D51" s="4" t="s">
        <v>66</v>
      </c>
      <c r="V51" s="11"/>
    </row>
    <row r="52" spans="1:26" x14ac:dyDescent="0.25">
      <c r="A52" s="17" t="s">
        <v>39</v>
      </c>
      <c r="C52" s="4">
        <v>0</v>
      </c>
      <c r="V52" s="23">
        <f>SUM(C52:U52)</f>
        <v>0</v>
      </c>
      <c r="W52" s="19" t="str">
        <f>W41</f>
        <v>Rodney Malcolm</v>
      </c>
    </row>
    <row r="53" spans="1:26" s="4" customFormat="1" x14ac:dyDescent="0.25">
      <c r="A53" s="8"/>
      <c r="C53" s="12"/>
      <c r="V53" s="11"/>
    </row>
    <row r="54" spans="1:26" x14ac:dyDescent="0.25">
      <c r="A54" s="17" t="s">
        <v>69</v>
      </c>
      <c r="C54" s="4">
        <f t="shared" ref="C54:U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9597166.63568254</v>
      </c>
      <c r="P54" s="4">
        <f t="shared" si="12"/>
        <v>10285008.257282542</v>
      </c>
      <c r="Q54" s="4">
        <f t="shared" si="12"/>
        <v>9466102.7516825404</v>
      </c>
      <c r="R54" s="4">
        <f t="shared" si="12"/>
        <v>8331957.4897777792</v>
      </c>
      <c r="S54" s="4">
        <f t="shared" si="12"/>
        <v>5582039.9457777767</v>
      </c>
      <c r="T54" s="4">
        <f t="shared" si="12"/>
        <v>6410224.9649777794</v>
      </c>
      <c r="U54" s="4">
        <f t="shared" si="12"/>
        <v>14807515.5736</v>
      </c>
      <c r="V54" s="23">
        <f>SUM(C54:U54)</f>
        <v>150979833.77211428</v>
      </c>
    </row>
    <row r="55" spans="1:26" x14ac:dyDescent="0.25">
      <c r="V55" s="11"/>
    </row>
    <row r="56" spans="1:26" x14ac:dyDescent="0.25">
      <c r="A56" s="17"/>
      <c r="C56" s="18"/>
      <c r="V56" s="11"/>
    </row>
    <row r="57" spans="1:26" ht="19.2" x14ac:dyDescent="0.6">
      <c r="A57" s="32" t="s">
        <v>81</v>
      </c>
      <c r="V57" s="11"/>
    </row>
    <row r="58" spans="1:26" x14ac:dyDescent="0.25">
      <c r="A58" s="4" t="s">
        <v>37</v>
      </c>
      <c r="V58" s="11"/>
      <c r="Y58" s="17"/>
    </row>
    <row r="59" spans="1:26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1">
        <f>SUM(C59:U59)</f>
        <v>136180</v>
      </c>
      <c r="W59" s="19" t="str">
        <f>+W42</f>
        <v>Steve Dowd</v>
      </c>
      <c r="X59" s="18">
        <f>V59+V25</f>
        <v>450000.42000000004</v>
      </c>
      <c r="Y59" s="18">
        <f>[1]Wheatland!$BR$169</f>
        <v>450000</v>
      </c>
      <c r="Z59" s="18">
        <f>Y59-X59</f>
        <v>-0.42000000004190952</v>
      </c>
    </row>
    <row r="60" spans="1:26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1">
        <f>SUM(C60:U60)</f>
        <v>149715.20000000001</v>
      </c>
      <c r="W60" s="19" t="str">
        <f>+W59</f>
        <v>Steve Dowd</v>
      </c>
      <c r="X60" s="18">
        <f>V60+V32</f>
        <v>750246.17571428581</v>
      </c>
      <c r="Y60" s="18">
        <f>[1]Wheatland!$BR$192</f>
        <v>750246.08000000007</v>
      </c>
      <c r="Z60" s="18">
        <f>Y60-X60</f>
        <v>-9.5714285736903548E-2</v>
      </c>
    </row>
    <row r="61" spans="1:26" x14ac:dyDescent="0.25">
      <c r="A61" s="17" t="s">
        <v>23</v>
      </c>
      <c r="E61" s="18">
        <v>0</v>
      </c>
      <c r="F61" s="8">
        <v>0</v>
      </c>
      <c r="G61" s="18">
        <v>0</v>
      </c>
      <c r="V61" s="11">
        <f>SUM(C61:U61)</f>
        <v>0</v>
      </c>
      <c r="W61" s="19"/>
      <c r="X61" s="18">
        <f>V61+V24</f>
        <v>1112944.26</v>
      </c>
      <c r="Y61" s="18">
        <f>[1]Wheatland!$BR$162</f>
        <v>1112944</v>
      </c>
      <c r="Z61" s="18">
        <f>Y61-X61</f>
        <v>-0.26000000000931323</v>
      </c>
    </row>
    <row r="62" spans="1:26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1">
        <f>SUM(C62:U62)</f>
        <v>14801.38</v>
      </c>
      <c r="W62" s="19" t="str">
        <f>+W60</f>
        <v>Steve Dowd</v>
      </c>
      <c r="X62" s="18">
        <f>V62+V31</f>
        <v>199999.60666666669</v>
      </c>
      <c r="Y62" s="18">
        <f>[1]Wheatland!$BR$183</f>
        <v>200000</v>
      </c>
      <c r="Z62" s="18">
        <f>Y62-X62</f>
        <v>0.39333333331160247</v>
      </c>
    </row>
    <row r="63" spans="1:26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1">
        <f>SUM(C63:U63)</f>
        <v>0</v>
      </c>
      <c r="W63" s="19" t="str">
        <f>+W62</f>
        <v>Steve Dowd</v>
      </c>
      <c r="X63" s="18">
        <f>V63+V33</f>
        <v>400000.39</v>
      </c>
      <c r="Y63" s="18">
        <f>[1]Wheatland!$BR$198</f>
        <v>400000</v>
      </c>
      <c r="Z63" s="18">
        <f>Y63-X63</f>
        <v>-0.39000000001396984</v>
      </c>
    </row>
    <row r="64" spans="1:26" x14ac:dyDescent="0.25">
      <c r="A64" s="4" t="s">
        <v>84</v>
      </c>
      <c r="C64" s="21">
        <f t="shared" ref="C64:V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 t="shared" si="13"/>
        <v>300696.58</v>
      </c>
      <c r="W64" s="20"/>
    </row>
    <row r="65" spans="1:23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20"/>
    </row>
    <row r="66" spans="1:23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[1]Wheatland!$AN$214</f>
        <v>36835</v>
      </c>
      <c r="N66" s="9">
        <f>[1]Wheatland!$AP$214</f>
        <v>-36835</v>
      </c>
      <c r="O66" s="9"/>
      <c r="P66" s="9"/>
      <c r="Q66" s="9"/>
      <c r="R66" s="9"/>
      <c r="S66" s="9"/>
      <c r="T66" s="9"/>
      <c r="U66" s="9"/>
      <c r="V66" s="9">
        <f>SUM(G66:U66)</f>
        <v>-105244</v>
      </c>
      <c r="W66" s="20"/>
    </row>
    <row r="67" spans="1:23" s="43" customFormat="1" x14ac:dyDescent="0.25">
      <c r="A67" s="21" t="s">
        <v>98</v>
      </c>
      <c r="C67" s="21">
        <f t="shared" ref="C67:V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36835</v>
      </c>
      <c r="N67" s="21">
        <f t="shared" si="14"/>
        <v>-36835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195452.58000000002</v>
      </c>
    </row>
    <row r="68" spans="1:23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1"/>
      <c r="W68" s="20"/>
    </row>
    <row r="69" spans="1:23" x14ac:dyDescent="0.25">
      <c r="A69" s="4" t="s">
        <v>76</v>
      </c>
      <c r="V69" s="11"/>
    </row>
    <row r="70" spans="1:23" x14ac:dyDescent="0.25">
      <c r="A70" s="18" t="s">
        <v>23</v>
      </c>
      <c r="E70" s="18">
        <v>15000</v>
      </c>
      <c r="V70" s="11">
        <f>SUM(C70:U70)</f>
        <v>15000</v>
      </c>
      <c r="W70" s="19" t="str">
        <f>+W63</f>
        <v>Steve Dowd</v>
      </c>
    </row>
    <row r="71" spans="1:23" x14ac:dyDescent="0.25">
      <c r="A71" s="17" t="s">
        <v>30</v>
      </c>
      <c r="E71" s="18">
        <v>0</v>
      </c>
      <c r="V71" s="11">
        <f>SUM(C71:U71)</f>
        <v>0</v>
      </c>
      <c r="W71" s="19" t="str">
        <f>+W70</f>
        <v>Steve Dowd</v>
      </c>
    </row>
    <row r="72" spans="1:23" x14ac:dyDescent="0.25">
      <c r="A72" s="17" t="s">
        <v>32</v>
      </c>
      <c r="D72" s="18">
        <v>0</v>
      </c>
      <c r="E72" s="18">
        <v>0</v>
      </c>
      <c r="F72" s="18">
        <v>100</v>
      </c>
      <c r="V72" s="11">
        <f>SUM(C72:U72)</f>
        <v>100</v>
      </c>
      <c r="W72" s="19" t="str">
        <f>+W71</f>
        <v>Steve Dowd</v>
      </c>
    </row>
    <row r="73" spans="1:23" x14ac:dyDescent="0.25">
      <c r="A73" s="17" t="s">
        <v>33</v>
      </c>
      <c r="D73" s="18">
        <v>0</v>
      </c>
      <c r="V73" s="11">
        <f>SUM(C73:U73)</f>
        <v>0</v>
      </c>
      <c r="W73" s="19" t="str">
        <f>+W72</f>
        <v>Steve Dowd</v>
      </c>
    </row>
    <row r="74" spans="1:23" x14ac:dyDescent="0.25">
      <c r="V74" s="11"/>
    </row>
    <row r="75" spans="1:23" x14ac:dyDescent="0.25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2">
        <f>SUM(C75:U75)</f>
        <v>15100</v>
      </c>
    </row>
    <row r="76" spans="1:23" x14ac:dyDescent="0.25">
      <c r="V76" s="11"/>
    </row>
    <row r="77" spans="1:23" x14ac:dyDescent="0.25">
      <c r="V77" s="11"/>
    </row>
    <row r="78" spans="1:23" ht="13.8" thickBot="1" x14ac:dyDescent="0.3">
      <c r="A78" s="4" t="s">
        <v>87</v>
      </c>
      <c r="C78" s="33">
        <f>+C46+C67+C75</f>
        <v>17087218</v>
      </c>
      <c r="D78" s="33">
        <f t="shared" ref="D78:V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1603218.4088402581</v>
      </c>
      <c r="N78" s="33">
        <f t="shared" si="16"/>
        <v>5445164.3409659201</v>
      </c>
      <c r="O78" s="33">
        <f t="shared" si="16"/>
        <v>10144670.968721973</v>
      </c>
      <c r="P78" s="33">
        <f t="shared" si="16"/>
        <v>10891188.700186219</v>
      </c>
      <c r="Q78" s="33">
        <f t="shared" si="16"/>
        <v>10126841.39522356</v>
      </c>
      <c r="R78" s="33">
        <f t="shared" si="16"/>
        <v>9041406.570707608</v>
      </c>
      <c r="S78" s="33">
        <f t="shared" si="16"/>
        <v>6325567.9256022722</v>
      </c>
      <c r="T78" s="33">
        <f t="shared" si="16"/>
        <v>7192502.4399199532</v>
      </c>
      <c r="U78" s="33">
        <f t="shared" si="16"/>
        <v>15674237.760346778</v>
      </c>
      <c r="V78" s="33">
        <f t="shared" si="16"/>
        <v>161087524.72769037</v>
      </c>
      <c r="W78" s="17"/>
    </row>
    <row r="79" spans="1:23" x14ac:dyDescent="0.25">
      <c r="U79"/>
      <c r="V79" s="47">
        <f>V78-[1]Wheatland!$BR$231</f>
        <v>2.6221143007278442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45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1999-12-06T20:22:55Z</cp:lastPrinted>
  <dcterms:created xsi:type="dcterms:W3CDTF">1999-02-09T14:03:00Z</dcterms:created>
  <dcterms:modified xsi:type="dcterms:W3CDTF">2023-09-10T11:57:48Z</dcterms:modified>
</cp:coreProperties>
</file>