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2120" windowHeight="9096" tabRatio="835" firstSheet="1" activeTab="11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144A FCF" sheetId="30" r:id="rId9"/>
    <sheet name="CSHFLO" sheetId="12" r:id="rId10"/>
    <sheet name="ENA-144A Comparison" sheetId="25" r:id="rId11"/>
    <sheet name="ENA Assumptions" sheetId="24" r:id="rId12"/>
    <sheet name="IS-ENA" sheetId="26" r:id="rId13"/>
    <sheet name="ENE FCF" sheetId="29" r:id="rId14"/>
    <sheet name="Collateral Value" sheetId="31" r:id="rId15"/>
    <sheet name="CSHFLO-ENA" sheetId="27" r:id="rId16"/>
    <sheet name="TAXES-ENA" sheetId="28" r:id="rId17"/>
    <sheet name="ENA Debt" sheetId="21" r:id="rId18"/>
    <sheet name="ENA IDC" sheetId="22" r:id="rId19"/>
    <sheet name="144A DEBT" sheetId="15" r:id="rId20"/>
    <sheet name="144A Draw" sheetId="16" r:id="rId21"/>
    <sheet name="144A IDC" sheetId="17" r:id="rId22"/>
    <sheet name="BKDEPR 144A" sheetId="18" r:id="rId23"/>
    <sheet name="TAXDEPR 144A" sheetId="19" r:id="rId24"/>
    <sheet name="TAXES" sheetId="20" r:id="rId25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5">'CSHFLO-ENA'!$C$9:$V$58</definedName>
    <definedName name="CASHFLOW">CSHFLO!$C$9:$V$58</definedName>
    <definedName name="CFLOW" localSheetId="15">'CSHFLO-ENA'!$A$1:$Q$58</definedName>
    <definedName name="CFLOW">CSHFLO!$A$1:$Q$58</definedName>
    <definedName name="_6CO_IS" localSheetId="12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2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OandM!$C$9:$V$37</definedName>
    <definedName name="OM">OandM!$A$1:$Q$35</definedName>
    <definedName name="PIRR">#REF!</definedName>
    <definedName name="PNPV">#REF!</definedName>
    <definedName name="_xlnm.Print_Area" localSheetId="19">'144A DEBT'!$A$8:$S$53</definedName>
    <definedName name="_xlnm.Print_Area" localSheetId="20">'144A Draw'!$A$1:$R$62</definedName>
    <definedName name="_xlnm.Print_Area" localSheetId="21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2">'BKDEPR 144A'!$A$1:$Y$70</definedName>
    <definedName name="_xlnm.Print_Area" localSheetId="7">'Co IS'!$A$1:$V$40</definedName>
    <definedName name="_xlnm.Print_Area" localSheetId="14">'Collateral Value'!$A$1:$X$28</definedName>
    <definedName name="_xlnm.Print_Area" localSheetId="9">CSHFLO!$A$1:$W$62</definedName>
    <definedName name="_xlnm.Print_Area" localSheetId="15">'CSHFLO-ENA'!$A$1:$W$63</definedName>
    <definedName name="_xlnm.Print_Area" localSheetId="17">'ENA Debt'!$A$1:$W$53</definedName>
    <definedName name="_xlnm.Print_Area" localSheetId="18">'ENA IDC'!$A$1:$T$133</definedName>
    <definedName name="_xlnm.Print_Area" localSheetId="5">FUEL!$A$1:$V$93</definedName>
    <definedName name="_xlnm.Print_Area" localSheetId="12">'IS-ENA'!$A$1:$V$40</definedName>
    <definedName name="_xlnm.Print_Area" localSheetId="6">OandM!$A$1:$V$63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3">'TAXDEPR 144A'!$A$1:$Y$70</definedName>
    <definedName name="_xlnm.Print_Area" localSheetId="24">TAXES!$A$1:$V$35</definedName>
    <definedName name="_xlnm.Print_Area" localSheetId="16">'TAXES-ENA'!$A$1:$W$35</definedName>
    <definedName name="_xlnm.Print_Titles" localSheetId="19">'144A DEBT'!$A:$B,'144A DEBT'!$1:$7</definedName>
    <definedName name="_xlnm.Print_Titles" localSheetId="8">'144A FCF'!$A:$C</definedName>
    <definedName name="_xlnm.Print_Titles" localSheetId="7">'Co IS'!$A:$B,'Co IS'!$1:$8</definedName>
    <definedName name="_xlnm.Print_Titles" localSheetId="9">CSHFLO!$A:$B,CSHFLO!$1:$8</definedName>
    <definedName name="_xlnm.Print_Titles" localSheetId="15">'CSHFLO-ENA'!$A:$B,'CSHFLO-ENA'!$1:$8</definedName>
    <definedName name="_xlnm.Print_Titles" localSheetId="13">'ENE FCF'!$A:$C</definedName>
    <definedName name="_xlnm.Print_Titles" localSheetId="5">FUEL!$A:$B,FUEL!$1:$9</definedName>
    <definedName name="_xlnm.Print_Titles" localSheetId="12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4">TAXES!$A:$B,TAXES!$1:$8</definedName>
    <definedName name="_xlnm.Print_Titles" localSheetId="16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6">'TAXES-ENA'!$A$1:$Q$34</definedName>
    <definedName name="TAX">TAXES!$A$1:$Q$34</definedName>
    <definedName name="TAXES" localSheetId="16">'TAXES-ENA'!$C$9:$V$34</definedName>
    <definedName name="TAXES">TAXES!$C$9:$V$34</definedName>
    <definedName name="_XX1">'ASSUM 1'!$N$45:$N$45</definedName>
  </definedNames>
  <calcPr calcId="0" calcMode="manual" fullCalcOnLoad="1" iterate="1" iterateCount="1000" iterateDelta="0.01"/>
</workbook>
</file>

<file path=xl/calcChain.xml><?xml version="1.0" encoding="utf-8"?>
<calcChain xmlns="http://schemas.openxmlformats.org/spreadsheetml/2006/main">
  <c r="C5" i="15" l="1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B11" i="15"/>
  <c r="B12" i="15"/>
  <c r="B13" i="15"/>
  <c r="B14" i="15"/>
  <c r="B15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B53" i="15"/>
  <c r="A3" i="16"/>
  <c r="B3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A8" i="16"/>
  <c r="A9" i="16"/>
  <c r="B9" i="16"/>
  <c r="L9" i="16"/>
  <c r="N9" i="16"/>
  <c r="Z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Z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Z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Z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Z13" i="16"/>
  <c r="A14" i="16"/>
  <c r="B14" i="16"/>
  <c r="A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Z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Z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Z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Z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Z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Z22" i="16"/>
  <c r="A23" i="16"/>
  <c r="B23" i="16"/>
  <c r="A25" i="16"/>
  <c r="A26" i="16"/>
  <c r="B26" i="16"/>
  <c r="Z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Z27" i="16"/>
  <c r="A28" i="16"/>
  <c r="B28" i="16"/>
  <c r="Z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Z29" i="16"/>
  <c r="A30" i="16"/>
  <c r="B30" i="16"/>
  <c r="A32" i="16"/>
  <c r="A33" i="16"/>
  <c r="B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Z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Z34" i="16"/>
  <c r="A35" i="16"/>
  <c r="B35" i="16"/>
  <c r="Z35" i="16"/>
  <c r="A36" i="16"/>
  <c r="B36" i="16"/>
  <c r="Z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Z37" i="16"/>
  <c r="A38" i="16"/>
  <c r="B38" i="16"/>
  <c r="Z38" i="16"/>
  <c r="A39" i="16"/>
  <c r="B39" i="16"/>
  <c r="Z39" i="16"/>
  <c r="A40" i="16"/>
  <c r="B40" i="16"/>
  <c r="Z40" i="16"/>
  <c r="A41" i="16"/>
  <c r="B41" i="16"/>
  <c r="Z41" i="16"/>
  <c r="A42" i="16"/>
  <c r="B42" i="16"/>
  <c r="Z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Z43" i="16"/>
  <c r="A44" i="16"/>
  <c r="B44" i="16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Z44" i="16"/>
  <c r="A45" i="16"/>
  <c r="B45" i="16"/>
  <c r="Z45" i="16"/>
  <c r="A46" i="16"/>
  <c r="B46" i="16"/>
  <c r="Z46" i="16"/>
  <c r="A47" i="16"/>
  <c r="B47" i="16"/>
  <c r="Z47" i="16"/>
  <c r="A48" i="16"/>
  <c r="B48" i="16"/>
  <c r="Z48" i="16"/>
  <c r="A49" i="16"/>
  <c r="B49" i="16"/>
  <c r="Z49" i="16"/>
  <c r="A50" i="16"/>
  <c r="B50" i="16"/>
  <c r="Z50" i="16"/>
  <c r="A51" i="16"/>
  <c r="B51" i="16"/>
  <c r="Z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Z52" i="16"/>
  <c r="A53" i="16"/>
  <c r="B53" i="16"/>
  <c r="A55" i="16"/>
  <c r="A56" i="16"/>
  <c r="B56" i="16"/>
  <c r="Z56" i="16"/>
  <c r="A57" i="16"/>
  <c r="B57" i="16"/>
  <c r="O57" i="16"/>
  <c r="P57" i="16"/>
  <c r="Q57" i="16"/>
  <c r="R57" i="16"/>
  <c r="Z57" i="16"/>
  <c r="A58" i="16"/>
  <c r="B58" i="16"/>
  <c r="O58" i="16"/>
  <c r="P58" i="16"/>
  <c r="Q58" i="16"/>
  <c r="R58" i="16"/>
  <c r="Z58" i="16"/>
  <c r="A59" i="16"/>
  <c r="B59" i="16"/>
  <c r="O59" i="16"/>
  <c r="P59" i="16"/>
  <c r="Q59" i="16"/>
  <c r="R59" i="16"/>
  <c r="Z59" i="16"/>
  <c r="A60" i="16"/>
  <c r="B60" i="16"/>
  <c r="B62" i="16"/>
  <c r="D1" i="30"/>
  <c r="E1" i="30"/>
  <c r="F1" i="30"/>
  <c r="G1" i="30"/>
  <c r="H1" i="30"/>
  <c r="I1" i="30"/>
  <c r="J1" i="30"/>
  <c r="K1" i="30"/>
  <c r="L1" i="30"/>
  <c r="M1" i="30"/>
  <c r="N1" i="30"/>
  <c r="O1" i="30"/>
  <c r="P1" i="30"/>
  <c r="Q1" i="30"/>
  <c r="R1" i="30"/>
  <c r="S1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R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B7" i="30"/>
  <c r="C7" i="30"/>
  <c r="B8" i="30"/>
  <c r="A1" i="17"/>
  <c r="C5" i="17"/>
  <c r="A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A11" i="17"/>
  <c r="A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AA12" i="17"/>
  <c r="A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AA13" i="17"/>
  <c r="A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AA14" i="17"/>
  <c r="A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AA15" i="17"/>
  <c r="A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AA16" i="17"/>
  <c r="A17" i="17"/>
  <c r="C17" i="17"/>
  <c r="A19" i="17"/>
  <c r="A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AA20" i="17"/>
  <c r="A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AA21" i="17"/>
  <c r="A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AA22" i="17"/>
  <c r="A23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AA23" i="17"/>
  <c r="A24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AA24" i="17"/>
  <c r="A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AA25" i="17"/>
  <c r="A26" i="17"/>
  <c r="C26" i="17"/>
  <c r="A28" i="17"/>
  <c r="A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AA29" i="17"/>
  <c r="A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AA30" i="17"/>
  <c r="A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AA31" i="17"/>
  <c r="A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AA32" i="17"/>
  <c r="A33" i="17"/>
  <c r="C33" i="17"/>
  <c r="A35" i="17"/>
  <c r="A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AA36" i="17"/>
  <c r="A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AA37" i="17"/>
  <c r="A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AA38" i="17"/>
  <c r="A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AA39" i="17"/>
  <c r="A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AA40" i="17"/>
  <c r="A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AA41" i="17"/>
  <c r="A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AA42" i="17"/>
  <c r="A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AA43" i="17"/>
  <c r="A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AA44" i="17"/>
  <c r="A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AA45" i="17"/>
  <c r="A46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AA46" i="17"/>
  <c r="A47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AA47" i="17"/>
  <c r="A48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AA48" i="17"/>
  <c r="A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AA49" i="17"/>
  <c r="A50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AA50" i="17"/>
  <c r="A51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AA51" i="17"/>
  <c r="A52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A53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AA53" i="17"/>
  <c r="A54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AA54" i="17"/>
  <c r="A55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AA55" i="17"/>
  <c r="A56" i="17"/>
  <c r="C56" i="17"/>
  <c r="A58" i="17"/>
  <c r="A59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AA59" i="17"/>
  <c r="A60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AA60" i="17"/>
  <c r="A61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AA61" i="17"/>
  <c r="A62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AA62" i="17"/>
  <c r="A63" i="17"/>
  <c r="C63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E77" i="17"/>
  <c r="F77" i="17"/>
  <c r="G77" i="17"/>
  <c r="H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D91" i="17"/>
  <c r="D92" i="17"/>
  <c r="D93" i="17"/>
  <c r="D94" i="17"/>
  <c r="D95" i="17"/>
  <c r="D96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T99" i="17"/>
  <c r="U99" i="17"/>
  <c r="V99" i="17"/>
  <c r="W99" i="17"/>
  <c r="X99" i="17"/>
  <c r="Y99" i="17"/>
  <c r="A100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T101" i="17"/>
  <c r="U101" i="17"/>
  <c r="V101" i="17"/>
  <c r="W101" i="17"/>
  <c r="X101" i="17"/>
  <c r="Y101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T102" i="17"/>
  <c r="U102" i="17"/>
  <c r="V102" i="17"/>
  <c r="W102" i="17"/>
  <c r="X102" i="17"/>
  <c r="Y102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C107" i="17"/>
  <c r="D107" i="17"/>
  <c r="E107" i="17"/>
  <c r="F107" i="17"/>
  <c r="G107" i="17"/>
  <c r="H107" i="17"/>
  <c r="I107" i="17"/>
  <c r="J107" i="17"/>
  <c r="K107" i="17"/>
  <c r="L107" i="17"/>
  <c r="M107" i="17"/>
  <c r="N107" i="17"/>
  <c r="O107" i="17"/>
  <c r="P107" i="17"/>
  <c r="Q107" i="17"/>
  <c r="R107" i="17"/>
  <c r="S107" i="17"/>
  <c r="T107" i="17"/>
  <c r="U107" i="17"/>
  <c r="V107" i="17"/>
  <c r="W107" i="17"/>
  <c r="X107" i="17"/>
  <c r="Y107" i="17"/>
  <c r="C109" i="17"/>
  <c r="D109" i="17"/>
  <c r="D111" i="17"/>
  <c r="E111" i="17"/>
  <c r="F111" i="17"/>
  <c r="G111" i="17"/>
  <c r="H111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D112" i="17"/>
  <c r="E112" i="17"/>
  <c r="F112" i="17"/>
  <c r="G112" i="17"/>
  <c r="H112" i="17"/>
  <c r="I112" i="17"/>
  <c r="J112" i="17"/>
  <c r="K112" i="17"/>
  <c r="L112" i="17"/>
  <c r="M112" i="17"/>
  <c r="N112" i="17"/>
  <c r="O112" i="17"/>
  <c r="P112" i="17"/>
  <c r="Q112" i="17"/>
  <c r="R112" i="17"/>
  <c r="S112" i="17"/>
  <c r="T112" i="17"/>
  <c r="U112" i="17"/>
  <c r="V112" i="17"/>
  <c r="W112" i="17"/>
  <c r="X112" i="17"/>
  <c r="Y112" i="17"/>
  <c r="D113" i="17"/>
  <c r="E113" i="17"/>
  <c r="F113" i="17"/>
  <c r="G113" i="17"/>
  <c r="H113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D116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B124" i="17"/>
  <c r="C124" i="17"/>
  <c r="D124" i="17"/>
  <c r="E124" i="17"/>
  <c r="F124" i="17"/>
  <c r="G124" i="17"/>
  <c r="H124" i="17"/>
  <c r="I124" i="17"/>
  <c r="J124" i="17"/>
  <c r="K124" i="17"/>
  <c r="L124" i="17"/>
  <c r="M124" i="17"/>
  <c r="N124" i="17"/>
  <c r="O124" i="17"/>
  <c r="P124" i="17"/>
  <c r="Q124" i="17"/>
  <c r="R124" i="17"/>
  <c r="S124" i="17"/>
  <c r="T124" i="17"/>
  <c r="U124" i="17"/>
  <c r="V124" i="17"/>
  <c r="W124" i="17"/>
  <c r="X124" i="17"/>
  <c r="Y124" i="17"/>
  <c r="B125" i="17"/>
  <c r="C125" i="17"/>
  <c r="D125" i="17"/>
  <c r="E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R125" i="17"/>
  <c r="S125" i="17"/>
  <c r="T125" i="17"/>
  <c r="U125" i="17"/>
  <c r="V125" i="17"/>
  <c r="W125" i="17"/>
  <c r="X125" i="17"/>
  <c r="Y125" i="17"/>
  <c r="B126" i="17"/>
  <c r="C126" i="17"/>
  <c r="D126" i="17"/>
  <c r="E126" i="17"/>
  <c r="F126" i="17"/>
  <c r="G126" i="17"/>
  <c r="H126" i="17"/>
  <c r="I126" i="17"/>
  <c r="J126" i="17"/>
  <c r="K126" i="17"/>
  <c r="L126" i="17"/>
  <c r="M126" i="17"/>
  <c r="N126" i="17"/>
  <c r="O126" i="17"/>
  <c r="P126" i="17"/>
  <c r="Q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B130" i="17"/>
  <c r="C130" i="17"/>
  <c r="D130" i="17"/>
  <c r="E130" i="17"/>
  <c r="F130" i="17"/>
  <c r="G130" i="17"/>
  <c r="H130" i="17"/>
  <c r="I130" i="17"/>
  <c r="J130" i="17"/>
  <c r="K130" i="17"/>
  <c r="L130" i="17"/>
  <c r="M130" i="17"/>
  <c r="N130" i="17"/>
  <c r="O130" i="17"/>
  <c r="P130" i="17"/>
  <c r="Q130" i="17"/>
  <c r="R130" i="17"/>
  <c r="S130" i="17"/>
  <c r="T130" i="17"/>
  <c r="U130" i="17"/>
  <c r="B131" i="17"/>
  <c r="C131" i="17"/>
  <c r="D131" i="17"/>
  <c r="E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R131" i="17"/>
  <c r="S131" i="17"/>
  <c r="T131" i="17"/>
  <c r="U131" i="17"/>
  <c r="B132" i="17"/>
  <c r="C132" i="17"/>
  <c r="D132" i="17"/>
  <c r="E132" i="17"/>
  <c r="F132" i="17"/>
  <c r="G132" i="17"/>
  <c r="H132" i="17"/>
  <c r="I132" i="17"/>
  <c r="J132" i="17"/>
  <c r="K132" i="17"/>
  <c r="L132" i="17"/>
  <c r="M132" i="17"/>
  <c r="N132" i="17"/>
  <c r="O132" i="17"/>
  <c r="P132" i="17"/>
  <c r="Q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V133" i="17"/>
  <c r="W133" i="17"/>
  <c r="X133" i="17"/>
  <c r="Y133" i="17"/>
  <c r="GU1" i="2"/>
  <c r="B7" i="2"/>
  <c r="D7" i="2"/>
  <c r="K7" i="2"/>
  <c r="S7" i="2"/>
  <c r="C8" i="2"/>
  <c r="D8" i="2"/>
  <c r="K8" i="2"/>
  <c r="K9" i="2"/>
  <c r="H10" i="2"/>
  <c r="K10" i="2"/>
  <c r="D11" i="2"/>
  <c r="H11" i="2"/>
  <c r="I11" i="2"/>
  <c r="K11" i="2"/>
  <c r="D12" i="2"/>
  <c r="H12" i="2"/>
  <c r="I12" i="2"/>
  <c r="K12" i="2"/>
  <c r="H13" i="2"/>
  <c r="I13" i="2"/>
  <c r="K13" i="2"/>
  <c r="D14" i="2"/>
  <c r="H14" i="2"/>
  <c r="I14" i="2"/>
  <c r="K14" i="2"/>
  <c r="H15" i="2"/>
  <c r="I15" i="2"/>
  <c r="K15" i="2"/>
  <c r="K16" i="2"/>
  <c r="K17" i="2"/>
  <c r="K18" i="2"/>
  <c r="B19" i="2"/>
  <c r="C19" i="2"/>
  <c r="D19" i="2"/>
  <c r="I19" i="2"/>
  <c r="K19" i="2"/>
  <c r="S19" i="2"/>
  <c r="I20" i="2"/>
  <c r="K20" i="2"/>
  <c r="H21" i="2"/>
  <c r="I21" i="2"/>
  <c r="K21" i="2"/>
  <c r="K22" i="2"/>
  <c r="N22" i="2"/>
  <c r="B23" i="2"/>
  <c r="C23" i="2"/>
  <c r="D23" i="2"/>
  <c r="K23" i="2"/>
  <c r="B24" i="2"/>
  <c r="H24" i="2"/>
  <c r="H25" i="2"/>
  <c r="M25" i="2"/>
  <c r="N25" i="2"/>
  <c r="S26" i="2"/>
  <c r="B27" i="2"/>
  <c r="C27" i="2"/>
  <c r="D27" i="2"/>
  <c r="S27" i="2"/>
  <c r="D29" i="2"/>
  <c r="N29" i="2"/>
  <c r="Q29" i="2"/>
  <c r="R29" i="2"/>
  <c r="S29" i="2"/>
  <c r="N30" i="2"/>
  <c r="S30" i="2"/>
  <c r="I31" i="2"/>
  <c r="N31" i="2"/>
  <c r="I32" i="2"/>
  <c r="I33" i="2"/>
  <c r="D34" i="2"/>
  <c r="I34" i="2"/>
  <c r="I35" i="2"/>
  <c r="H36" i="2"/>
  <c r="I38" i="2"/>
  <c r="N39" i="2"/>
  <c r="S39" i="2"/>
  <c r="I40" i="2"/>
  <c r="S40" i="2"/>
  <c r="I41" i="2"/>
  <c r="S41" i="2"/>
  <c r="B42" i="2"/>
  <c r="C42" i="2"/>
  <c r="I42" i="2"/>
  <c r="S42" i="2"/>
  <c r="B43" i="2"/>
  <c r="C43" i="2"/>
  <c r="I43" i="2"/>
  <c r="L43" i="2"/>
  <c r="I44" i="2"/>
  <c r="L44" i="2"/>
  <c r="I45" i="2"/>
  <c r="I46" i="2"/>
  <c r="R46" i="2"/>
  <c r="I47" i="2"/>
  <c r="I48" i="2"/>
  <c r="I49" i="2"/>
  <c r="I50" i="2"/>
  <c r="L9" i="3"/>
  <c r="N9" i="3"/>
  <c r="Q9" i="3"/>
  <c r="L10" i="3"/>
  <c r="N10" i="3"/>
  <c r="Q10" i="3"/>
  <c r="T10" i="3"/>
  <c r="L11" i="3"/>
  <c r="N11" i="3"/>
  <c r="Q11" i="3"/>
  <c r="L12" i="3"/>
  <c r="N12" i="3"/>
  <c r="Q12" i="3"/>
  <c r="L13" i="3"/>
  <c r="N13" i="3"/>
  <c r="Q13" i="3"/>
  <c r="E14" i="3"/>
  <c r="L14" i="3"/>
  <c r="T14" i="3"/>
  <c r="L16" i="3"/>
  <c r="L17" i="3"/>
  <c r="N17" i="3"/>
  <c r="Q17" i="3"/>
  <c r="L18" i="3"/>
  <c r="N18" i="3"/>
  <c r="Q18" i="3"/>
  <c r="L19" i="3"/>
  <c r="N19" i="3"/>
  <c r="Q19" i="3"/>
  <c r="L20" i="3"/>
  <c r="N20" i="3"/>
  <c r="Q20" i="3"/>
  <c r="L21" i="3"/>
  <c r="N21" i="3"/>
  <c r="Q21" i="3"/>
  <c r="L22" i="3"/>
  <c r="N22" i="3"/>
  <c r="Q22" i="3"/>
  <c r="E23" i="3"/>
  <c r="L23" i="3"/>
  <c r="L25" i="3"/>
  <c r="L26" i="3"/>
  <c r="L27" i="3"/>
  <c r="N27" i="3"/>
  <c r="Q27" i="3"/>
  <c r="L28" i="3"/>
  <c r="N28" i="3"/>
  <c r="Q28" i="3"/>
  <c r="L29" i="3"/>
  <c r="N29" i="3"/>
  <c r="Q29" i="3"/>
  <c r="E30" i="3"/>
  <c r="L30" i="3"/>
  <c r="L32" i="3"/>
  <c r="L33" i="3"/>
  <c r="N33" i="3"/>
  <c r="Q33" i="3"/>
  <c r="E34" i="3"/>
  <c r="L34" i="3"/>
  <c r="N34" i="3"/>
  <c r="Q34" i="3"/>
  <c r="L35" i="3"/>
  <c r="N35" i="3"/>
  <c r="Q35" i="3"/>
  <c r="L36" i="3"/>
  <c r="N36" i="3"/>
  <c r="Q36" i="3"/>
  <c r="L37" i="3"/>
  <c r="N37" i="3"/>
  <c r="Q37" i="3"/>
  <c r="E38" i="3"/>
  <c r="L38" i="3"/>
  <c r="N38" i="3"/>
  <c r="Q38" i="3"/>
  <c r="E39" i="3"/>
  <c r="L39" i="3"/>
  <c r="N39" i="3"/>
  <c r="Q39" i="3"/>
  <c r="L40" i="3"/>
  <c r="N40" i="3"/>
  <c r="Q40" i="3"/>
  <c r="L41" i="3"/>
  <c r="N41" i="3"/>
  <c r="Q41" i="3"/>
  <c r="L42" i="3"/>
  <c r="N42" i="3"/>
  <c r="Q42" i="3"/>
  <c r="L43" i="3"/>
  <c r="N43" i="3"/>
  <c r="Q43" i="3"/>
  <c r="L44" i="3"/>
  <c r="N44" i="3"/>
  <c r="Q44" i="3"/>
  <c r="L45" i="3"/>
  <c r="N45" i="3"/>
  <c r="Q45" i="3"/>
  <c r="L46" i="3"/>
  <c r="N46" i="3"/>
  <c r="Q46" i="3"/>
  <c r="L47" i="3"/>
  <c r="L48" i="3"/>
  <c r="E49" i="3"/>
  <c r="L49" i="3"/>
  <c r="L50" i="3"/>
  <c r="N50" i="3"/>
  <c r="Q50" i="3"/>
  <c r="L51" i="3"/>
  <c r="N51" i="3"/>
  <c r="Q51" i="3"/>
  <c r="L52" i="3"/>
  <c r="N52" i="3"/>
  <c r="Q52" i="3"/>
  <c r="E53" i="3"/>
  <c r="L53" i="3"/>
  <c r="L55" i="3"/>
  <c r="A56" i="3"/>
  <c r="L56" i="3"/>
  <c r="N56" i="3"/>
  <c r="Q56" i="3"/>
  <c r="A57" i="3"/>
  <c r="D57" i="3"/>
  <c r="L57" i="3"/>
  <c r="N57" i="3"/>
  <c r="Q57" i="3"/>
  <c r="A58" i="3"/>
  <c r="D58" i="3"/>
  <c r="L58" i="3"/>
  <c r="N58" i="3"/>
  <c r="Q58" i="3"/>
  <c r="A59" i="3"/>
  <c r="L59" i="3"/>
  <c r="N59" i="3"/>
  <c r="Q59" i="3"/>
  <c r="E60" i="3"/>
  <c r="L60" i="3"/>
  <c r="E62" i="3"/>
  <c r="L62" i="3"/>
  <c r="N62" i="3"/>
  <c r="Q62" i="3"/>
  <c r="E64" i="3"/>
  <c r="A1" i="18"/>
  <c r="A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A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A34" i="18"/>
  <c r="A35" i="18"/>
  <c r="A36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A66" i="18"/>
  <c r="A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A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A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X17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X21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X23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X28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A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A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A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A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A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A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A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A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A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A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U26" i="27"/>
  <c r="V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A32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A34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B2" i="24"/>
  <c r="E11" i="24"/>
  <c r="A12" i="24"/>
  <c r="E12" i="24"/>
  <c r="A13" i="24"/>
  <c r="E13" i="24"/>
  <c r="A14" i="24"/>
  <c r="E14" i="24"/>
  <c r="A15" i="24"/>
  <c r="E15" i="24"/>
  <c r="A16" i="24"/>
  <c r="E16" i="24"/>
  <c r="A17" i="24"/>
  <c r="E17" i="24"/>
  <c r="A18" i="24"/>
  <c r="E18" i="24"/>
  <c r="A19" i="24"/>
  <c r="E19" i="24"/>
  <c r="A20" i="24"/>
  <c r="E20" i="24"/>
  <c r="A21" i="24"/>
  <c r="E21" i="24"/>
  <c r="A22" i="24"/>
  <c r="E22" i="24"/>
  <c r="A23" i="24"/>
  <c r="E23" i="24"/>
  <c r="A24" i="24"/>
  <c r="E24" i="24"/>
  <c r="A25" i="24"/>
  <c r="E25" i="24"/>
  <c r="A26" i="24"/>
  <c r="E26" i="24"/>
  <c r="A27" i="24"/>
  <c r="E27" i="24"/>
  <c r="E28" i="24"/>
  <c r="E29" i="24"/>
  <c r="E30" i="24"/>
  <c r="C31" i="24"/>
  <c r="E31" i="24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B11" i="21"/>
  <c r="B12" i="21"/>
  <c r="B13" i="21"/>
  <c r="B14" i="21"/>
  <c r="B15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B53" i="21"/>
  <c r="A1" i="22"/>
  <c r="C5" i="22"/>
  <c r="A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A11" i="22"/>
  <c r="A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AA12" i="22"/>
  <c r="A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AA13" i="22"/>
  <c r="A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AA14" i="22"/>
  <c r="A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AA15" i="22"/>
  <c r="A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AA16" i="22"/>
  <c r="A17" i="22"/>
  <c r="C17" i="22"/>
  <c r="A19" i="22"/>
  <c r="A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AA20" i="22"/>
  <c r="A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AA21" i="22"/>
  <c r="A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AA22" i="22"/>
  <c r="A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AA23" i="22"/>
  <c r="A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AA24" i="22"/>
  <c r="A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AA25" i="22"/>
  <c r="A26" i="22"/>
  <c r="C26" i="22"/>
  <c r="A28" i="22"/>
  <c r="A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AA29" i="22"/>
  <c r="A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AA30" i="22"/>
  <c r="A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AA31" i="22"/>
  <c r="A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AA32" i="22"/>
  <c r="A33" i="22"/>
  <c r="C33" i="22"/>
  <c r="A35" i="22"/>
  <c r="A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AA36" i="22"/>
  <c r="A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AA37" i="22"/>
  <c r="A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AA38" i="22"/>
  <c r="A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AA39" i="22"/>
  <c r="A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AA40" i="22"/>
  <c r="A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AA41" i="22"/>
  <c r="A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AA42" i="22"/>
  <c r="A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AA43" i="22"/>
  <c r="A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AA44" i="22"/>
  <c r="A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AA45" i="22"/>
  <c r="A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AA46" i="22"/>
  <c r="A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AA47" i="22"/>
  <c r="A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AA48" i="22"/>
  <c r="A49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AA49" i="22"/>
  <c r="A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AA50" i="22"/>
  <c r="A51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AA51" i="22"/>
  <c r="A52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A53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V53" i="22"/>
  <c r="W53" i="22"/>
  <c r="X53" i="22"/>
  <c r="Y53" i="22"/>
  <c r="AA53" i="22"/>
  <c r="A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AA54" i="22"/>
  <c r="A55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AA55" i="22"/>
  <c r="A56" i="22"/>
  <c r="C56" i="22"/>
  <c r="A58" i="22"/>
  <c r="A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AA59" i="22"/>
  <c r="A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AA60" i="22"/>
  <c r="A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AA61" i="22"/>
  <c r="A62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AA62" i="22"/>
  <c r="A63" i="22"/>
  <c r="C63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D91" i="22"/>
  <c r="D92" i="22"/>
  <c r="D93" i="22"/>
  <c r="D94" i="22"/>
  <c r="D95" i="22"/>
  <c r="D96" i="22"/>
  <c r="D99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D101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D102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D103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D104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C107" i="22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C109" i="22"/>
  <c r="D109" i="22"/>
  <c r="D111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D112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S112" i="22"/>
  <c r="T112" i="22"/>
  <c r="U112" i="22"/>
  <c r="V112" i="22"/>
  <c r="W112" i="22"/>
  <c r="X112" i="22"/>
  <c r="Y112" i="22"/>
  <c r="D113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D116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X124" i="22"/>
  <c r="Y124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X125" i="22"/>
  <c r="Y125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X133" i="22"/>
  <c r="Y133" i="22"/>
  <c r="C3" i="25"/>
  <c r="D3" i="25"/>
  <c r="C4" i="25"/>
  <c r="D4" i="25"/>
  <c r="C5" i="25"/>
  <c r="D5" i="25"/>
  <c r="C6" i="25"/>
  <c r="D6" i="25"/>
  <c r="C7" i="25"/>
  <c r="D7" i="25"/>
  <c r="C8" i="25"/>
  <c r="D8" i="25"/>
  <c r="C9" i="25"/>
  <c r="D9" i="25"/>
  <c r="C10" i="25"/>
  <c r="D10" i="25"/>
  <c r="D1" i="29"/>
  <c r="E1" i="29"/>
  <c r="F1" i="29"/>
  <c r="G1" i="29"/>
  <c r="H1" i="29"/>
  <c r="I1" i="29"/>
  <c r="J1" i="29"/>
  <c r="K1" i="29"/>
  <c r="L1" i="29"/>
  <c r="M1" i="29"/>
  <c r="N1" i="29"/>
  <c r="O1" i="29"/>
  <c r="P1" i="29"/>
  <c r="Q1" i="29"/>
  <c r="R1" i="29"/>
  <c r="S1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R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B7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A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A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A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A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A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A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A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A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A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A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A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A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A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A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A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A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A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A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A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A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A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A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A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A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A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A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A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A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A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A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A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A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A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A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A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A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A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A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A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A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A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A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A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A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A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C35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A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A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A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A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A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A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O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A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A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A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C44" i="7"/>
  <c r="C45" i="7"/>
  <c r="A1" i="19"/>
  <c r="A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A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A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A34" i="19"/>
  <c r="A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A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A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A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A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A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A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M34" authorId="0" shapeId="0">
      <text>
        <r>
          <rPr>
            <sz val="8"/>
            <color indexed="81"/>
            <rFont val="Tahoma"/>
          </rPr>
          <t>Estimate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C7" authorId="0" shapeId="0">
      <text>
        <r>
          <rPr>
            <sz val="8"/>
            <color indexed="81"/>
            <rFont val="Tahoma"/>
          </rPr>
          <t>Carlos</t>
        </r>
      </text>
    </comment>
    <comment ref="E9" authorId="0" shapeId="0">
      <text>
        <r>
          <rPr>
            <sz val="8"/>
            <color indexed="81"/>
            <rFont val="Tahoma"/>
          </rPr>
          <t>Carlos estimate</t>
        </r>
      </text>
    </comment>
    <comment ref="AB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E10" authorId="0" shapeId="0">
      <text>
        <r>
          <rPr>
            <sz val="8"/>
            <color indexed="81"/>
            <rFont val="Tahoma"/>
          </rPr>
          <t>Carlos estimate</t>
        </r>
      </text>
    </comment>
    <comment ref="G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D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E16" authorId="0" shapeId="0">
      <text>
        <r>
          <rPr>
            <sz val="8"/>
            <color indexed="81"/>
            <rFont val="Tahoma"/>
          </rPr>
          <t>Estimate</t>
        </r>
      </text>
    </comment>
    <comment ref="G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D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E24" authorId="0" shapeId="0">
      <text>
        <r>
          <rPr>
            <sz val="8"/>
            <color indexed="81"/>
            <rFont val="Tahoma"/>
          </rPr>
          <t>Estimate</t>
        </r>
      </text>
    </comment>
    <comment ref="E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E28" authorId="0" shapeId="0">
      <text>
        <r>
          <rPr>
            <sz val="8"/>
            <color indexed="81"/>
            <rFont val="Tahoma"/>
          </rPr>
          <t>AES Note Agreement</t>
        </r>
      </text>
    </comment>
    <comment ref="E29" authorId="0" shapeId="0">
      <text>
        <r>
          <rPr>
            <sz val="8"/>
            <color indexed="81"/>
            <rFont val="Tahoma"/>
          </rPr>
          <t>TECO Estimate</t>
        </r>
      </text>
    </comment>
    <comment ref="F31" authorId="0" shapeId="0">
      <text>
        <r>
          <rPr>
            <sz val="8"/>
            <color indexed="81"/>
            <rFont val="Tahoma"/>
          </rPr>
          <t>JDA with Pete Lalor</t>
        </r>
      </text>
    </comment>
    <comment ref="F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E33" authorId="0" shapeId="0">
      <text>
        <r>
          <rPr>
            <sz val="8"/>
            <color indexed="81"/>
            <rFont val="Tahoma"/>
          </rPr>
          <t>Estimate</t>
        </r>
      </text>
    </comment>
    <comment ref="F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E34" authorId="0" shapeId="0">
      <text>
        <r>
          <rPr>
            <sz val="8"/>
            <color indexed="81"/>
            <rFont val="Tahoma"/>
          </rPr>
          <t>TECO Estimate</t>
        </r>
      </text>
    </comment>
    <comment ref="F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F35" authorId="0" shapeId="0">
      <text>
        <r>
          <rPr>
            <sz val="8"/>
            <color indexed="81"/>
            <rFont val="Tahoma"/>
          </rPr>
          <t>TPS estimate</t>
        </r>
      </text>
    </comment>
    <comment ref="F36" authorId="0" shapeId="0">
      <text>
        <r>
          <rPr>
            <sz val="8"/>
            <color indexed="81"/>
            <rFont val="Tahoma"/>
          </rPr>
          <t>TPS estimate</t>
        </r>
      </text>
    </comment>
    <comment ref="K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F40" authorId="0" shapeId="0">
      <text>
        <r>
          <rPr>
            <sz val="8"/>
            <color indexed="81"/>
            <rFont val="Tahoma"/>
          </rPr>
          <t>Estimate</t>
        </r>
      </text>
    </comment>
    <comment ref="E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F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E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F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E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5" authorId="0" shapeId="0">
      <text>
        <r>
          <rPr>
            <sz val="8"/>
            <color indexed="81"/>
            <rFont val="Tahoma"/>
          </rPr>
          <t>Estimate</t>
        </r>
      </text>
    </comment>
    <comment ref="E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E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E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E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E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E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E58" authorId="0" shapeId="0">
      <text>
        <r>
          <rPr>
            <sz val="8"/>
            <color indexed="81"/>
            <rFont val="Tahoma"/>
          </rPr>
          <t>Carlos</t>
        </r>
      </text>
    </comment>
    <comment ref="E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D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Summary of Stratus</t>
        </r>
      </text>
    </comment>
    <comment ref="F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Summary of Stratus</t>
        </r>
      </text>
    </comment>
    <comment ref="H27" authorId="0" shapeId="0">
      <text>
        <r>
          <rPr>
            <sz val="8"/>
            <color indexed="81"/>
            <rFont val="Tahoma"/>
          </rPr>
          <t>Summary of Stratus</t>
        </r>
      </text>
    </comment>
    <comment ref="I27" authorId="0" shapeId="0">
      <text>
        <r>
          <rPr>
            <sz val="8"/>
            <color indexed="81"/>
            <rFont val="Tahoma"/>
          </rPr>
          <t>Summary of Stratus</t>
        </r>
      </text>
    </comment>
    <comment ref="J27" authorId="0" shapeId="0">
      <text>
        <r>
          <rPr>
            <sz val="8"/>
            <color indexed="81"/>
            <rFont val="Tahoma"/>
          </rPr>
          <t>Summary of Stratus</t>
        </r>
      </text>
    </comment>
    <comment ref="K27" authorId="0" shapeId="0">
      <text>
        <r>
          <rPr>
            <sz val="8"/>
            <color indexed="81"/>
            <rFont val="Tahoma"/>
          </rPr>
          <t>Summary of Stratus</t>
        </r>
      </text>
    </comment>
    <comment ref="L27" authorId="0" shapeId="0">
      <text>
        <r>
          <rPr>
            <sz val="8"/>
            <color indexed="81"/>
            <rFont val="Tahoma"/>
          </rPr>
          <t>Summary of Stratus</t>
        </r>
      </text>
    </comment>
    <comment ref="M27" authorId="0" shapeId="0">
      <text>
        <r>
          <rPr>
            <sz val="8"/>
            <color indexed="81"/>
            <rFont val="Tahoma"/>
          </rPr>
          <t>Summary of Stratus</t>
        </r>
      </text>
    </comment>
    <comment ref="N27" authorId="0" shapeId="0">
      <text>
        <r>
          <rPr>
            <sz val="8"/>
            <color indexed="81"/>
            <rFont val="Tahoma"/>
          </rPr>
          <t>Summary of Stratus</t>
        </r>
      </text>
    </comment>
    <comment ref="O27" authorId="0" shapeId="0">
      <text>
        <r>
          <rPr>
            <sz val="8"/>
            <color indexed="81"/>
            <rFont val="Tahoma"/>
          </rPr>
          <t>Summary of Stratus</t>
        </r>
      </text>
    </comment>
    <comment ref="P27" authorId="0" shapeId="0">
      <text>
        <r>
          <rPr>
            <sz val="8"/>
            <color indexed="81"/>
            <rFont val="Tahoma"/>
          </rPr>
          <t>Summary of Stratus</t>
        </r>
      </text>
    </comment>
    <comment ref="Q27" authorId="0" shapeId="0">
      <text>
        <r>
          <rPr>
            <sz val="8"/>
            <color indexed="81"/>
            <rFont val="Tahoma"/>
          </rPr>
          <t>Summary of Stratus</t>
        </r>
      </text>
    </comment>
    <comment ref="R27" authorId="0" shapeId="0">
      <text>
        <r>
          <rPr>
            <sz val="8"/>
            <color indexed="81"/>
            <rFont val="Tahoma"/>
          </rPr>
          <t>Summary of Stratus</t>
        </r>
      </text>
    </comment>
    <comment ref="S27" authorId="0" shapeId="0">
      <text>
        <r>
          <rPr>
            <sz val="8"/>
            <color indexed="81"/>
            <rFont val="Tahoma"/>
          </rPr>
          <t>Summary of Stratus</t>
        </r>
      </text>
    </comment>
    <comment ref="T27" authorId="0" shapeId="0">
      <text>
        <r>
          <rPr>
            <sz val="8"/>
            <color indexed="81"/>
            <rFont val="Tahoma"/>
          </rPr>
          <t>Summary of Stratus</t>
        </r>
      </text>
    </comment>
    <comment ref="U27" authorId="0" shapeId="0">
      <text>
        <r>
          <rPr>
            <sz val="8"/>
            <color indexed="81"/>
            <rFont val="Tahoma"/>
          </rPr>
          <t>Summary of Stratus</t>
        </r>
      </text>
    </comment>
    <comment ref="V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C50" authorId="0" shapeId="0">
      <text>
        <r>
          <rPr>
            <sz val="8"/>
            <color indexed="81"/>
            <rFont val="Tahoma"/>
          </rPr>
          <t>JDA with Pete Lalor</t>
        </r>
      </text>
    </comment>
    <comment ref="D50" authorId="0" shapeId="0">
      <text>
        <r>
          <rPr>
            <sz val="8"/>
            <color indexed="81"/>
            <rFont val="Tahoma"/>
          </rPr>
          <t>JDA</t>
        </r>
      </text>
    </comment>
    <comment ref="G50" authorId="0" shapeId="0">
      <text>
        <r>
          <rPr>
            <sz val="8"/>
            <color indexed="81"/>
            <rFont val="Tahoma"/>
          </rPr>
          <t>Carlos</t>
        </r>
      </text>
    </comment>
    <comment ref="C51" authorId="0" shapeId="0">
      <text>
        <r>
          <rPr>
            <sz val="8"/>
            <color indexed="81"/>
            <rFont val="Tahoma"/>
          </rPr>
          <t>JDA</t>
        </r>
      </text>
    </comment>
    <comment ref="D51" authorId="0" shapeId="0">
      <text>
        <r>
          <rPr>
            <sz val="8"/>
            <color indexed="81"/>
            <rFont val="Tahoma"/>
          </rPr>
          <t>JDA</t>
        </r>
      </text>
    </comment>
    <comment ref="G51" authorId="0" shapeId="0">
      <text>
        <r>
          <rPr>
            <sz val="8"/>
            <color indexed="81"/>
            <rFont val="Tahoma"/>
          </rPr>
          <t>Carlos</t>
        </r>
      </text>
    </comment>
    <comment ref="C52" authorId="0" shapeId="0">
      <text>
        <r>
          <rPr>
            <sz val="8"/>
            <color indexed="81"/>
            <rFont val="Tahoma"/>
          </rPr>
          <t>JDA</t>
        </r>
      </text>
    </comment>
    <comment ref="D52" authorId="0" shapeId="0">
      <text>
        <r>
          <rPr>
            <sz val="8"/>
            <color indexed="81"/>
            <rFont val="Tahoma"/>
          </rPr>
          <t>JDA</t>
        </r>
      </text>
    </comment>
    <comment ref="G52" authorId="0" shapeId="0">
      <text>
        <r>
          <rPr>
            <sz val="8"/>
            <color indexed="81"/>
            <rFont val="Tahoma"/>
          </rPr>
          <t>Carlos</t>
        </r>
      </text>
    </comment>
    <comment ref="G53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D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Summary of Stratus</t>
        </r>
      </text>
    </comment>
    <comment ref="F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Summary of Stratus</t>
        </r>
      </text>
    </comment>
    <comment ref="H27" authorId="0" shapeId="0">
      <text>
        <r>
          <rPr>
            <sz val="8"/>
            <color indexed="81"/>
            <rFont val="Tahoma"/>
          </rPr>
          <t>Summary of Stratus</t>
        </r>
      </text>
    </comment>
    <comment ref="I27" authorId="0" shapeId="0">
      <text>
        <r>
          <rPr>
            <sz val="8"/>
            <color indexed="81"/>
            <rFont val="Tahoma"/>
          </rPr>
          <t>Summary of Stratus</t>
        </r>
      </text>
    </comment>
    <comment ref="J27" authorId="0" shapeId="0">
      <text>
        <r>
          <rPr>
            <sz val="8"/>
            <color indexed="81"/>
            <rFont val="Tahoma"/>
          </rPr>
          <t>Summary of Stratus</t>
        </r>
      </text>
    </comment>
    <comment ref="K27" authorId="0" shapeId="0">
      <text>
        <r>
          <rPr>
            <sz val="8"/>
            <color indexed="81"/>
            <rFont val="Tahoma"/>
          </rPr>
          <t>Summary of Stratus</t>
        </r>
      </text>
    </comment>
    <comment ref="L27" authorId="0" shapeId="0">
      <text>
        <r>
          <rPr>
            <sz val="8"/>
            <color indexed="81"/>
            <rFont val="Tahoma"/>
          </rPr>
          <t>Summary of Stratus</t>
        </r>
      </text>
    </comment>
    <comment ref="M27" authorId="0" shapeId="0">
      <text>
        <r>
          <rPr>
            <sz val="8"/>
            <color indexed="81"/>
            <rFont val="Tahoma"/>
          </rPr>
          <t>Summary of Stratus</t>
        </r>
      </text>
    </comment>
    <comment ref="N27" authorId="0" shapeId="0">
      <text>
        <r>
          <rPr>
            <sz val="8"/>
            <color indexed="81"/>
            <rFont val="Tahoma"/>
          </rPr>
          <t>Summary of Stratus</t>
        </r>
      </text>
    </comment>
    <comment ref="O27" authorId="0" shapeId="0">
      <text>
        <r>
          <rPr>
            <sz val="8"/>
            <color indexed="81"/>
            <rFont val="Tahoma"/>
          </rPr>
          <t>Summary of Stratus</t>
        </r>
      </text>
    </comment>
    <comment ref="P27" authorId="0" shapeId="0">
      <text>
        <r>
          <rPr>
            <sz val="8"/>
            <color indexed="81"/>
            <rFont val="Tahoma"/>
          </rPr>
          <t>Summary of Stratus</t>
        </r>
      </text>
    </comment>
    <comment ref="Q27" authorId="0" shapeId="0">
      <text>
        <r>
          <rPr>
            <sz val="8"/>
            <color indexed="81"/>
            <rFont val="Tahoma"/>
          </rPr>
          <t>Summary of Stratus</t>
        </r>
      </text>
    </comment>
    <comment ref="R27" authorId="0" shapeId="0">
      <text>
        <r>
          <rPr>
            <sz val="8"/>
            <color indexed="81"/>
            <rFont val="Tahoma"/>
          </rPr>
          <t>Summary of Stratus</t>
        </r>
      </text>
    </comment>
    <comment ref="S27" authorId="0" shapeId="0">
      <text>
        <r>
          <rPr>
            <sz val="8"/>
            <color indexed="81"/>
            <rFont val="Tahoma"/>
          </rPr>
          <t>Summary of Stratus</t>
        </r>
      </text>
    </comment>
    <comment ref="T27" authorId="0" shapeId="0">
      <text>
        <r>
          <rPr>
            <sz val="8"/>
            <color indexed="81"/>
            <rFont val="Tahoma"/>
          </rPr>
          <t>Summary of Stratus</t>
        </r>
      </text>
    </comment>
    <comment ref="U27" authorId="0" shapeId="0">
      <text>
        <r>
          <rPr>
            <sz val="8"/>
            <color indexed="81"/>
            <rFont val="Tahoma"/>
          </rPr>
          <t>Summary of Stratus</t>
        </r>
      </text>
    </comment>
    <comment ref="V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8" authorId="0" shapeId="0">
      <text>
        <r>
          <rPr>
            <sz val="8"/>
            <color indexed="81"/>
            <rFont val="Tahoma"/>
          </rPr>
          <t>TECO Estimate</t>
        </r>
      </text>
    </comment>
    <comment ref="H30" authorId="0" shapeId="0">
      <text>
        <r>
          <rPr>
            <sz val="8"/>
            <color indexed="81"/>
            <rFont val="Tahoma"/>
          </rPr>
          <t>JDA with Pete Lalor</t>
        </r>
      </text>
    </comment>
    <comment ref="H31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3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3" authorId="0" shapeId="0">
      <text>
        <r>
          <rPr>
            <sz val="8"/>
            <color indexed="81"/>
            <rFont val="Tahoma"/>
          </rPr>
          <t>TECO Estimate</t>
        </r>
      </text>
    </comment>
    <comment ref="H33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4" authorId="0" shapeId="0">
      <text>
        <r>
          <rPr>
            <sz val="8"/>
            <color indexed="81"/>
            <rFont val="Tahoma"/>
          </rPr>
          <t>TPS estimate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M36" authorId="0" shapeId="0">
      <text>
        <r>
          <rPr>
            <sz val="8"/>
            <color indexed="81"/>
            <rFont val="Tahoma"/>
          </rPr>
          <t>Estimate</t>
        </r>
      </text>
    </comment>
    <comment ref="C37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39" authorId="0" shapeId="0">
      <text>
        <r>
          <rPr>
            <sz val="8"/>
            <color indexed="81"/>
            <rFont val="Tahoma"/>
          </rPr>
          <t>Estimate</t>
        </r>
      </text>
    </comment>
    <comment ref="G40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0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1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1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2" authorId="0" shapeId="0">
      <text>
        <r>
          <rPr>
            <sz val="8"/>
            <color indexed="81"/>
            <rFont val="Tahoma"/>
          </rPr>
          <t>Estimate</t>
        </r>
      </text>
    </comment>
    <comment ref="C43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6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7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C51" authorId="0" shapeId="0">
      <text>
        <r>
          <rPr>
            <sz val="8"/>
            <color indexed="81"/>
            <rFont val="Tahoma"/>
          </rPr>
          <t>JDA with Pete Lalor</t>
        </r>
      </text>
    </comment>
    <comment ref="D51" authorId="0" shapeId="0">
      <text>
        <r>
          <rPr>
            <sz val="8"/>
            <color indexed="81"/>
            <rFont val="Tahoma"/>
          </rPr>
          <t>JDA</t>
        </r>
      </text>
    </comment>
    <comment ref="G51" authorId="0" shapeId="0">
      <text>
        <r>
          <rPr>
            <sz val="8"/>
            <color indexed="81"/>
            <rFont val="Tahoma"/>
          </rPr>
          <t>Carlos</t>
        </r>
      </text>
    </comment>
    <comment ref="C52" authorId="0" shapeId="0">
      <text>
        <r>
          <rPr>
            <sz val="8"/>
            <color indexed="81"/>
            <rFont val="Tahoma"/>
          </rPr>
          <t>JDA</t>
        </r>
      </text>
    </comment>
    <comment ref="D52" authorId="0" shapeId="0">
      <text>
        <r>
          <rPr>
            <sz val="8"/>
            <color indexed="81"/>
            <rFont val="Tahoma"/>
          </rPr>
          <t>JDA</t>
        </r>
      </text>
    </comment>
    <comment ref="E52" authorId="0" shapeId="0">
      <text>
        <r>
          <rPr>
            <sz val="8"/>
            <color indexed="81"/>
            <rFont val="Tahoma"/>
          </rPr>
          <t>JDA</t>
        </r>
      </text>
    </comment>
    <comment ref="F52" authorId="0" shapeId="0">
      <text>
        <r>
          <rPr>
            <sz val="8"/>
            <color indexed="81"/>
            <rFont val="Tahoma"/>
          </rPr>
          <t>JDA</t>
        </r>
      </text>
    </comment>
    <comment ref="G52" authorId="0" shapeId="0">
      <text>
        <r>
          <rPr>
            <sz val="8"/>
            <color indexed="81"/>
            <rFont val="Tahoma"/>
          </rPr>
          <t>JDA</t>
        </r>
      </text>
    </comment>
    <comment ref="H52" authorId="0" shapeId="0">
      <text>
        <r>
          <rPr>
            <sz val="8"/>
            <color indexed="81"/>
            <rFont val="Tahoma"/>
          </rPr>
          <t>JDA</t>
        </r>
      </text>
    </comment>
    <comment ref="I52" authorId="0" shapeId="0">
      <text>
        <r>
          <rPr>
            <sz val="8"/>
            <color indexed="81"/>
            <rFont val="Tahoma"/>
          </rPr>
          <t>JDA</t>
        </r>
      </text>
    </comment>
    <comment ref="J52" authorId="0" shapeId="0">
      <text>
        <r>
          <rPr>
            <sz val="8"/>
            <color indexed="81"/>
            <rFont val="Tahoma"/>
          </rPr>
          <t>JDA</t>
        </r>
      </text>
    </comment>
    <comment ref="K52" authorId="0" shapeId="0">
      <text>
        <r>
          <rPr>
            <sz val="8"/>
            <color indexed="81"/>
            <rFont val="Tahoma"/>
          </rPr>
          <t>JDA</t>
        </r>
      </text>
    </comment>
    <comment ref="L52" authorId="0" shapeId="0">
      <text>
        <r>
          <rPr>
            <sz val="8"/>
            <color indexed="81"/>
            <rFont val="Tahoma"/>
          </rPr>
          <t>JDA</t>
        </r>
      </text>
    </comment>
    <comment ref="M52" authorId="0" shapeId="0">
      <text>
        <r>
          <rPr>
            <sz val="8"/>
            <color indexed="81"/>
            <rFont val="Tahoma"/>
          </rPr>
          <t>JDA</t>
        </r>
      </text>
    </comment>
    <comment ref="N52" authorId="0" shapeId="0">
      <text>
        <r>
          <rPr>
            <sz val="8"/>
            <color indexed="81"/>
            <rFont val="Tahoma"/>
          </rPr>
          <t>JDA</t>
        </r>
      </text>
    </comment>
    <comment ref="O52" authorId="0" shapeId="0">
      <text>
        <r>
          <rPr>
            <sz val="8"/>
            <color indexed="81"/>
            <rFont val="Tahoma"/>
          </rPr>
          <t>JDA</t>
        </r>
      </text>
    </comment>
    <comment ref="P52" authorId="0" shapeId="0">
      <text>
        <r>
          <rPr>
            <sz val="8"/>
            <color indexed="81"/>
            <rFont val="Tahoma"/>
          </rPr>
          <t>JDA</t>
        </r>
      </text>
    </comment>
    <comment ref="Q52" authorId="0" shapeId="0">
      <text>
        <r>
          <rPr>
            <sz val="8"/>
            <color indexed="81"/>
            <rFont val="Tahoma"/>
          </rPr>
          <t>JDA</t>
        </r>
      </text>
    </comment>
    <comment ref="R52" authorId="0" shapeId="0">
      <text>
        <r>
          <rPr>
            <sz val="8"/>
            <color indexed="81"/>
            <rFont val="Tahoma"/>
          </rPr>
          <t>JDA</t>
        </r>
      </text>
    </comment>
    <comment ref="C53" authorId="0" shapeId="0">
      <text>
        <r>
          <rPr>
            <sz val="8"/>
            <color indexed="81"/>
            <rFont val="Tahoma"/>
          </rPr>
          <t>JDA</t>
        </r>
      </text>
    </comment>
    <comment ref="D53" authorId="0" shapeId="0">
      <text>
        <r>
          <rPr>
            <sz val="8"/>
            <color indexed="81"/>
            <rFont val="Tahoma"/>
          </rPr>
          <t>JDA</t>
        </r>
      </text>
    </comment>
    <comment ref="G53" authorId="0" shapeId="0">
      <text>
        <r>
          <rPr>
            <sz val="8"/>
            <color indexed="81"/>
            <rFont val="Tahoma"/>
          </rPr>
          <t>Carlos</t>
        </r>
      </text>
    </comment>
    <comment ref="G54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</authors>
  <commentList>
    <comment ref="AD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C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E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F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D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E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F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D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F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H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I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J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K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L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M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N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O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P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Q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R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1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2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D23" authorId="0" shapeId="0">
      <text>
        <r>
          <rPr>
            <sz val="8"/>
            <color indexed="81"/>
            <rFont val="Tahoma"/>
          </rPr>
          <t>Summary of Stratus</t>
        </r>
      </text>
    </comment>
    <comment ref="E23" authorId="0" shapeId="0">
      <text>
        <r>
          <rPr>
            <sz val="8"/>
            <color indexed="81"/>
            <rFont val="Tahoma"/>
          </rPr>
          <t>Summary of Stratus</t>
        </r>
      </text>
    </comment>
    <comment ref="F23" authorId="0" shapeId="0">
      <text>
        <r>
          <rPr>
            <sz val="8"/>
            <color indexed="81"/>
            <rFont val="Tahoma"/>
          </rPr>
          <t>Summary of Stratus</t>
        </r>
      </text>
    </comment>
    <comment ref="G23" authorId="0" shapeId="0">
      <text>
        <r>
          <rPr>
            <sz val="8"/>
            <color indexed="81"/>
            <rFont val="Tahoma"/>
          </rPr>
          <t>Summary of Stratus</t>
        </r>
      </text>
    </comment>
    <comment ref="H23" authorId="0" shapeId="0">
      <text>
        <r>
          <rPr>
            <sz val="8"/>
            <color indexed="81"/>
            <rFont val="Tahoma"/>
          </rPr>
          <t>Summary of Stratus</t>
        </r>
      </text>
    </comment>
    <comment ref="I23" authorId="0" shapeId="0">
      <text>
        <r>
          <rPr>
            <sz val="8"/>
            <color indexed="81"/>
            <rFont val="Tahoma"/>
          </rPr>
          <t>Summary of Stratus</t>
        </r>
      </text>
    </comment>
    <comment ref="J23" authorId="0" shapeId="0">
      <text>
        <r>
          <rPr>
            <sz val="8"/>
            <color indexed="81"/>
            <rFont val="Tahoma"/>
          </rPr>
          <t>Summary of Stratus</t>
        </r>
      </text>
    </comment>
    <comment ref="K23" authorId="0" shapeId="0">
      <text>
        <r>
          <rPr>
            <sz val="8"/>
            <color indexed="81"/>
            <rFont val="Tahoma"/>
          </rPr>
          <t>Summary of Stratus</t>
        </r>
      </text>
    </comment>
    <comment ref="L23" authorId="0" shapeId="0">
      <text>
        <r>
          <rPr>
            <sz val="8"/>
            <color indexed="81"/>
            <rFont val="Tahoma"/>
          </rPr>
          <t>Summary of Stratus</t>
        </r>
      </text>
    </comment>
    <comment ref="M23" authorId="0" shapeId="0">
      <text>
        <r>
          <rPr>
            <sz val="8"/>
            <color indexed="81"/>
            <rFont val="Tahoma"/>
          </rPr>
          <t>Summary of Stratus</t>
        </r>
      </text>
    </comment>
    <comment ref="N23" authorId="0" shapeId="0">
      <text>
        <r>
          <rPr>
            <sz val="8"/>
            <color indexed="81"/>
            <rFont val="Tahoma"/>
          </rPr>
          <t>Summary of Stratus</t>
        </r>
      </text>
    </comment>
    <comment ref="O23" authorId="0" shapeId="0">
      <text>
        <r>
          <rPr>
            <sz val="8"/>
            <color indexed="81"/>
            <rFont val="Tahoma"/>
          </rPr>
          <t>Summary of Stratus</t>
        </r>
      </text>
    </comment>
    <comment ref="P23" authorId="0" shapeId="0">
      <text>
        <r>
          <rPr>
            <sz val="8"/>
            <color indexed="81"/>
            <rFont val="Tahoma"/>
          </rPr>
          <t>Summary of Stratus</t>
        </r>
      </text>
    </comment>
    <comment ref="Q23" authorId="0" shapeId="0">
      <text>
        <r>
          <rPr>
            <sz val="8"/>
            <color indexed="81"/>
            <rFont val="Tahoma"/>
          </rPr>
          <t>Summary of Stratus</t>
        </r>
      </text>
    </comment>
    <comment ref="R23" authorId="0" shapeId="0">
      <text>
        <r>
          <rPr>
            <sz val="8"/>
            <color indexed="81"/>
            <rFont val="Tahoma"/>
          </rPr>
          <t>Summary of Stratus</t>
        </r>
      </text>
    </comment>
    <comment ref="S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D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F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H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I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J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K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L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M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N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O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P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Q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R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3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4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5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6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7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</commentList>
</comments>
</file>

<file path=xl/sharedStrings.xml><?xml version="1.0" encoding="utf-8"?>
<sst xmlns="http://schemas.openxmlformats.org/spreadsheetml/2006/main" count="846" uniqueCount="455">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</sst>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hh:mm\ AM/PM"/>
    <numFmt numFmtId="166" formatCode="#,##0.0"/>
    <numFmt numFmtId="167" formatCode="&quot;$&quot;#,##0.00"/>
    <numFmt numFmtId="169" formatCode="hh:mm"/>
    <numFmt numFmtId="170" formatCode="0.0%"/>
    <numFmt numFmtId="171" formatCode="&quot;$&quot;#,##0"/>
    <numFmt numFmtId="172" formatCode="&quot;$&quot;#,##0.0000"/>
    <numFmt numFmtId="173" formatCode=";;;"/>
    <numFmt numFmtId="174" formatCode="#,##0.000"/>
    <numFmt numFmtId="175" formatCode="&quot;$&quot;#,##0.0"/>
    <numFmt numFmtId="176" formatCode="&quot;$&quot;#,##0.000"/>
    <numFmt numFmtId="177" formatCode="&quot;$&quot;#,##0.00000"/>
    <numFmt numFmtId="178" formatCode="&quot;$&quot;#,##0.0000000"/>
    <numFmt numFmtId="179" formatCode="0.000"/>
    <numFmt numFmtId="180" formatCode="0.0"/>
    <numFmt numFmtId="181" formatCode="0.0000"/>
    <numFmt numFmtId="182" formatCode="General;[Red]\-General"/>
    <numFmt numFmtId="185" formatCode="0.000%"/>
    <numFmt numFmtId="189" formatCode="_(&quot;$&quot;* #,##0_);_(&quot;$&quot;* \(#,##0\);_(&quot;$&quot;* &quot;-&quot;??_);_(@_)"/>
    <numFmt numFmtId="208" formatCode="0.0000000000000000000000%"/>
  </numFmts>
  <fonts count="37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sz val="8"/>
      <color indexed="81"/>
      <name val="Tahoma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</fills>
  <borders count="23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171" fontId="3" fillId="0" borderId="0"/>
    <xf numFmtId="0" fontId="3" fillId="0" borderId="0"/>
    <xf numFmtId="171" fontId="3" fillId="0" borderId="0"/>
    <xf numFmtId="0" fontId="3" fillId="0" borderId="0"/>
    <xf numFmtId="171" fontId="18" fillId="0" borderId="0"/>
    <xf numFmtId="171" fontId="18" fillId="0" borderId="0"/>
    <xf numFmtId="171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1" fontId="18" fillId="0" borderId="0"/>
    <xf numFmtId="9" fontId="36" fillId="0" borderId="0" applyFont="0" applyFill="0" applyBorder="0" applyAlignment="0" applyProtection="0"/>
  </cellStyleXfs>
  <cellXfs count="820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70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7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70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2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70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70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2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4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6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3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6" fontId="3" fillId="2" borderId="3" xfId="0" applyNumberFormat="1" applyFont="1" applyFill="1" applyBorder="1" applyAlignment="1" applyProtection="1">
      <alignment horizontal="center"/>
      <protection locked="0"/>
    </xf>
    <xf numFmtId="176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6" fontId="13" fillId="2" borderId="1" xfId="0" applyNumberFormat="1" applyFont="1" applyFill="1" applyBorder="1" applyAlignment="1" applyProtection="1">
      <alignment horizontal="center"/>
      <protection locked="0"/>
    </xf>
    <xf numFmtId="176" fontId="3" fillId="0" borderId="3" xfId="0" applyNumberFormat="1" applyFont="1" applyBorder="1" applyAlignment="1" applyProtection="1">
      <alignment horizontal="center"/>
      <protection locked="0"/>
    </xf>
    <xf numFmtId="171" fontId="14" fillId="2" borderId="0" xfId="0" applyNumberFormat="1" applyFont="1" applyFill="1" applyAlignment="1">
      <alignment horizontal="center"/>
    </xf>
    <xf numFmtId="176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6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7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4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70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6" fontId="12" fillId="2" borderId="1" xfId="0" applyNumberFormat="1" applyFont="1" applyFill="1" applyBorder="1" applyAlignment="1" applyProtection="1">
      <alignment horizontal="center"/>
      <protection locked="0"/>
    </xf>
    <xf numFmtId="176" fontId="2" fillId="2" borderId="3" xfId="0" applyNumberFormat="1" applyFont="1" applyFill="1" applyBorder="1" applyAlignment="1" applyProtection="1">
      <alignment horizontal="center"/>
      <protection locked="0"/>
    </xf>
    <xf numFmtId="171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3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3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1" applyAlignment="1"/>
    <xf numFmtId="0" fontId="2" fillId="0" borderId="0" xfId="11" applyNumberFormat="1" applyFont="1" applyAlignment="1"/>
    <xf numFmtId="0" fontId="2" fillId="0" borderId="0" xfId="11" applyNumberFormat="1" applyFont="1" applyAlignment="1">
      <alignment horizontal="center"/>
    </xf>
    <xf numFmtId="2" fontId="3" fillId="0" borderId="0" xfId="11" applyNumberFormat="1"/>
    <xf numFmtId="0" fontId="3" fillId="0" borderId="0" xfId="11" applyFont="1" applyAlignment="1">
      <alignment horizontal="center"/>
    </xf>
    <xf numFmtId="171" fontId="3" fillId="0" borderId="0" xfId="11" applyNumberFormat="1"/>
    <xf numFmtId="167" fontId="4" fillId="0" borderId="0" xfId="11" applyNumberFormat="1" applyFont="1" applyAlignment="1"/>
    <xf numFmtId="167" fontId="3" fillId="0" borderId="0" xfId="11" applyNumberFormat="1"/>
    <xf numFmtId="0" fontId="3" fillId="0" borderId="0" xfId="11" applyNumberFormat="1" applyFont="1" applyAlignment="1"/>
    <xf numFmtId="10" fontId="3" fillId="0" borderId="0" xfId="11" applyNumberFormat="1"/>
    <xf numFmtId="177" fontId="3" fillId="0" borderId="0" xfId="11" applyNumberFormat="1"/>
    <xf numFmtId="0" fontId="3" fillId="0" borderId="0" xfId="11" applyNumberFormat="1" applyFont="1" applyAlignment="1" applyProtection="1">
      <alignment horizontal="center"/>
      <protection locked="0"/>
    </xf>
    <xf numFmtId="0" fontId="3" fillId="0" borderId="0" xfId="11" applyNumberFormat="1" applyProtection="1">
      <protection locked="0"/>
    </xf>
    <xf numFmtId="0" fontId="3" fillId="0" borderId="0" xfId="11" applyNumberFormat="1"/>
    <xf numFmtId="0" fontId="2" fillId="0" borderId="4" xfId="11" applyNumberFormat="1" applyFont="1" applyBorder="1" applyAlignment="1"/>
    <xf numFmtId="0" fontId="2" fillId="0" borderId="5" xfId="11" applyFont="1" applyBorder="1" applyAlignment="1"/>
    <xf numFmtId="0" fontId="2" fillId="0" borderId="4" xfId="11" applyFont="1" applyBorder="1" applyAlignment="1"/>
    <xf numFmtId="0" fontId="3" fillId="0" borderId="1" xfId="11" applyBorder="1"/>
    <xf numFmtId="0" fontId="3" fillId="0" borderId="1" xfId="11" applyNumberFormat="1" applyBorder="1"/>
    <xf numFmtId="4" fontId="3" fillId="0" borderId="0" xfId="11" applyNumberFormat="1" applyProtection="1">
      <protection locked="0"/>
    </xf>
    <xf numFmtId="4" fontId="3" fillId="0" borderId="1" xfId="11" applyNumberFormat="1" applyBorder="1" applyProtection="1">
      <protection locked="0"/>
    </xf>
    <xf numFmtId="0" fontId="2" fillId="0" borderId="1" xfId="11" applyNumberFormat="1" applyFont="1" applyBorder="1" applyAlignment="1"/>
    <xf numFmtId="0" fontId="3" fillId="0" borderId="1" xfId="11" applyNumberFormat="1" applyBorder="1" applyProtection="1">
      <protection locked="0"/>
    </xf>
    <xf numFmtId="10" fontId="3" fillId="0" borderId="1" xfId="11" applyNumberFormat="1" applyBorder="1"/>
    <xf numFmtId="10" fontId="4" fillId="0" borderId="0" xfId="11" applyNumberFormat="1" applyFont="1" applyAlignment="1"/>
    <xf numFmtId="10" fontId="4" fillId="0" borderId="1" xfId="11" applyNumberFormat="1" applyFont="1" applyBorder="1" applyAlignment="1"/>
    <xf numFmtId="167" fontId="3" fillId="0" borderId="1" xfId="11" applyNumberFormat="1" applyBorder="1"/>
    <xf numFmtId="0" fontId="3" fillId="0" borderId="5" xfId="11" applyBorder="1"/>
    <xf numFmtId="167" fontId="3" fillId="0" borderId="5" xfId="11" applyNumberFormat="1" applyBorder="1" applyProtection="1">
      <protection locked="0"/>
    </xf>
    <xf numFmtId="167" fontId="3" fillId="0" borderId="0" xfId="11" applyNumberFormat="1" applyProtection="1">
      <protection locked="0"/>
    </xf>
    <xf numFmtId="167" fontId="3" fillId="0" borderId="1" xfId="11" applyNumberFormat="1" applyBorder="1" applyProtection="1">
      <protection locked="0"/>
    </xf>
    <xf numFmtId="10" fontId="3" fillId="0" borderId="0" xfId="11" applyNumberFormat="1" applyFont="1" applyAlignment="1" applyProtection="1">
      <protection locked="0"/>
    </xf>
    <xf numFmtId="10" fontId="2" fillId="0" borderId="0" xfId="11" applyNumberFormat="1" applyFont="1" applyAlignment="1" applyProtection="1">
      <protection locked="0"/>
    </xf>
    <xf numFmtId="10" fontId="3" fillId="0" borderId="0" xfId="11" applyNumberFormat="1" applyProtection="1">
      <protection locked="0"/>
    </xf>
    <xf numFmtId="0" fontId="2" fillId="0" borderId="5" xfId="11" applyNumberFormat="1" applyFont="1" applyBorder="1" applyAlignment="1"/>
    <xf numFmtId="167" fontId="3" fillId="0" borderId="5" xfId="11" applyNumberFormat="1" applyBorder="1"/>
    <xf numFmtId="3" fontId="3" fillId="0" borderId="0" xfId="11" applyNumberFormat="1" applyProtection="1">
      <protection locked="0"/>
    </xf>
    <xf numFmtId="3" fontId="4" fillId="0" borderId="0" xfId="11" applyNumberFormat="1" applyFont="1" applyAlignment="1" applyProtection="1">
      <protection locked="0"/>
    </xf>
    <xf numFmtId="3" fontId="3" fillId="0" borderId="0" xfId="11" applyNumberFormat="1"/>
    <xf numFmtId="0" fontId="3" fillId="0" borderId="5" xfId="11" applyNumberFormat="1" applyBorder="1"/>
    <xf numFmtId="178" fontId="3" fillId="0" borderId="0" xfId="11" applyNumberFormat="1"/>
    <xf numFmtId="0" fontId="1" fillId="2" borderId="0" xfId="12" applyNumberFormat="1" applyFont="1" applyFill="1" applyAlignment="1"/>
    <xf numFmtId="0" fontId="3" fillId="2" borderId="0" xfId="12" applyNumberFormat="1" applyFont="1" applyFill="1" applyAlignment="1"/>
    <xf numFmtId="0" fontId="2" fillId="2" borderId="0" xfId="12" applyNumberFormat="1" applyFont="1" applyFill="1" applyAlignment="1">
      <alignment horizontal="center"/>
    </xf>
    <xf numFmtId="0" fontId="18" fillId="0" borderId="0" xfId="12" applyNumberFormat="1" applyFont="1" applyAlignment="1" applyProtection="1">
      <protection locked="0"/>
    </xf>
    <xf numFmtId="0" fontId="2" fillId="2" borderId="2" xfId="12" applyNumberFormat="1" applyFont="1" applyFill="1" applyBorder="1" applyAlignment="1"/>
    <xf numFmtId="0" fontId="3" fillId="0" borderId="6" xfId="12" applyNumberFormat="1" applyFont="1" applyBorder="1" applyAlignment="1"/>
    <xf numFmtId="0" fontId="3" fillId="0" borderId="3" xfId="12" applyNumberFormat="1" applyFont="1" applyBorder="1" applyAlignment="1"/>
    <xf numFmtId="0" fontId="3" fillId="3" borderId="0" xfId="12" applyNumberFormat="1" applyFont="1" applyFill="1" applyAlignment="1"/>
    <xf numFmtId="0" fontId="3" fillId="0" borderId="0" xfId="12" applyNumberFormat="1" applyFont="1" applyAlignment="1"/>
    <xf numFmtId="0" fontId="5" fillId="2" borderId="0" xfId="12" applyNumberFormat="1" applyFont="1" applyFill="1" applyAlignment="1"/>
    <xf numFmtId="0" fontId="2" fillId="0" borderId="0" xfId="12" applyNumberFormat="1" applyFont="1" applyAlignment="1"/>
    <xf numFmtId="0" fontId="2" fillId="0" borderId="2" xfId="12" applyNumberFormat="1" applyFont="1" applyBorder="1" applyAlignment="1"/>
    <xf numFmtId="0" fontId="2" fillId="0" borderId="3" xfId="12" applyNumberFormat="1" applyFont="1" applyBorder="1" applyAlignment="1"/>
    <xf numFmtId="0" fontId="20" fillId="0" borderId="0" xfId="12" applyNumberFormat="1" applyFont="1" applyAlignment="1"/>
    <xf numFmtId="0" fontId="21" fillId="0" borderId="0" xfId="12" applyNumberFormat="1" applyFont="1" applyAlignment="1"/>
    <xf numFmtId="0" fontId="5" fillId="0" borderId="3" xfId="12" applyNumberFormat="1" applyFont="1" applyBorder="1" applyAlignment="1"/>
    <xf numFmtId="167" fontId="3" fillId="0" borderId="0" xfId="12" applyNumberFormat="1" applyFont="1" applyAlignment="1"/>
    <xf numFmtId="0" fontId="20" fillId="0" borderId="0" xfId="12" applyNumberFormat="1" applyFont="1" applyAlignment="1">
      <alignment horizontal="center"/>
    </xf>
    <xf numFmtId="0" fontId="21" fillId="0" borderId="0" xfId="12" applyNumberFormat="1" applyFont="1" applyAlignment="1">
      <alignment horizontal="center"/>
    </xf>
    <xf numFmtId="167" fontId="3" fillId="0" borderId="6" xfId="12" applyNumberFormat="1" applyFont="1" applyBorder="1" applyAlignment="1"/>
    <xf numFmtId="167" fontId="2" fillId="0" borderId="0" xfId="12" applyNumberFormat="1" applyFont="1" applyAlignment="1"/>
    <xf numFmtId="167" fontId="3" fillId="0" borderId="2" xfId="12" applyNumberFormat="1" applyFont="1" applyBorder="1" applyAlignment="1"/>
    <xf numFmtId="167" fontId="3" fillId="0" borderId="3" xfId="12" applyNumberFormat="1" applyFont="1" applyBorder="1" applyAlignment="1"/>
    <xf numFmtId="0" fontId="1" fillId="2" borderId="0" xfId="10" applyNumberFormat="1" applyFont="1" applyFill="1" applyAlignment="1"/>
    <xf numFmtId="0" fontId="3" fillId="2" borderId="0" xfId="10" applyNumberFormat="1" applyFont="1" applyFill="1" applyAlignment="1"/>
    <xf numFmtId="0" fontId="2" fillId="2" borderId="0" xfId="10" applyNumberFormat="1" applyFont="1" applyFill="1" applyAlignment="1">
      <alignment horizontal="center"/>
    </xf>
    <xf numFmtId="0" fontId="3" fillId="0" borderId="0" xfId="10" applyAlignment="1"/>
    <xf numFmtId="0" fontId="2" fillId="2" borderId="2" xfId="10" applyNumberFormat="1" applyFont="1" applyFill="1" applyBorder="1" applyAlignment="1"/>
    <xf numFmtId="0" fontId="3" fillId="0" borderId="6" xfId="10" applyNumberFormat="1" applyFont="1" applyBorder="1" applyAlignment="1"/>
    <xf numFmtId="0" fontId="3" fillId="0" borderId="3" xfId="10" applyNumberFormat="1" applyFont="1" applyBorder="1" applyAlignment="1"/>
    <xf numFmtId="164" fontId="3" fillId="2" borderId="0" xfId="10" applyNumberFormat="1" applyFont="1" applyFill="1" applyAlignment="1">
      <alignment horizontal="right"/>
    </xf>
    <xf numFmtId="0" fontId="3" fillId="3" borderId="0" xfId="10" applyNumberFormat="1" applyFont="1" applyFill="1" applyAlignment="1"/>
    <xf numFmtId="165" fontId="3" fillId="3" borderId="0" xfId="10" applyNumberFormat="1" applyFont="1" applyFill="1" applyAlignment="1">
      <alignment horizontal="right"/>
    </xf>
    <xf numFmtId="0" fontId="2" fillId="0" borderId="0" xfId="10" applyNumberFormat="1" applyFont="1" applyAlignment="1"/>
    <xf numFmtId="0" fontId="2" fillId="0" borderId="0" xfId="10" applyFont="1" applyAlignment="1"/>
    <xf numFmtId="3" fontId="3" fillId="0" borderId="0" xfId="10" applyNumberFormat="1"/>
    <xf numFmtId="4" fontId="4" fillId="0" borderId="0" xfId="10" applyNumberFormat="1" applyFont="1" applyAlignment="1"/>
    <xf numFmtId="171" fontId="3" fillId="0" borderId="0" xfId="10" applyNumberFormat="1"/>
    <xf numFmtId="171" fontId="3" fillId="2" borderId="0" xfId="10" applyNumberFormat="1" applyFont="1" applyFill="1" applyAlignment="1"/>
    <xf numFmtId="4" fontId="3" fillId="0" borderId="0" xfId="10" applyNumberFormat="1"/>
    <xf numFmtId="4" fontId="3" fillId="2" borderId="0" xfId="10" applyNumberFormat="1" applyFont="1" applyFill="1" applyAlignment="1"/>
    <xf numFmtId="3" fontId="3" fillId="2" borderId="0" xfId="10" applyNumberFormat="1" applyFont="1" applyFill="1" applyAlignment="1"/>
    <xf numFmtId="4" fontId="4" fillId="2" borderId="0" xfId="10" applyNumberFormat="1" applyFont="1" applyFill="1" applyAlignment="1"/>
    <xf numFmtId="0" fontId="2" fillId="2" borderId="0" xfId="10" applyNumberFormat="1" applyFont="1" applyFill="1" applyAlignment="1"/>
    <xf numFmtId="3" fontId="4" fillId="0" borderId="0" xfId="10" applyNumberFormat="1" applyFont="1" applyAlignment="1"/>
    <xf numFmtId="0" fontId="3" fillId="0" borderId="0" xfId="10" applyNumberFormat="1" applyFont="1" applyAlignment="1"/>
    <xf numFmtId="167" fontId="3" fillId="0" borderId="0" xfId="10" applyNumberFormat="1"/>
    <xf numFmtId="0" fontId="15" fillId="0" borderId="0" xfId="10" applyNumberFormat="1" applyFont="1" applyAlignment="1"/>
    <xf numFmtId="176" fontId="3" fillId="0" borderId="0" xfId="10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7" fontId="4" fillId="0" borderId="0" xfId="0" applyNumberFormat="1" applyFont="1" applyAlignment="1"/>
    <xf numFmtId="171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1" fontId="5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9" applyNumberFormat="1" applyFont="1" applyAlignment="1"/>
    <xf numFmtId="0" fontId="18" fillId="0" borderId="0" xfId="9" applyNumberFormat="1" applyFont="1" applyAlignment="1" applyProtection="1">
      <protection locked="0"/>
    </xf>
    <xf numFmtId="0" fontId="22" fillId="0" borderId="0" xfId="9" applyNumberFormat="1" applyFont="1" applyAlignment="1">
      <alignment horizontal="center"/>
    </xf>
    <xf numFmtId="0" fontId="2" fillId="0" borderId="2" xfId="9" applyNumberFormat="1" applyFont="1" applyBorder="1" applyAlignment="1"/>
    <xf numFmtId="0" fontId="18" fillId="0" borderId="3" xfId="9" applyNumberFormat="1" applyBorder="1"/>
    <xf numFmtId="164" fontId="18" fillId="0" borderId="0" xfId="9" applyNumberFormat="1"/>
    <xf numFmtId="0" fontId="18" fillId="3" borderId="0" xfId="9" applyNumberFormat="1" applyFont="1" applyFill="1" applyAlignment="1"/>
    <xf numFmtId="0" fontId="23" fillId="0" borderId="0" xfId="9" applyNumberFormat="1" applyFont="1" applyAlignment="1"/>
    <xf numFmtId="1" fontId="5" fillId="2" borderId="0" xfId="9" applyNumberFormat="1" applyFont="1" applyFill="1" applyAlignment="1"/>
    <xf numFmtId="0" fontId="3" fillId="0" borderId="0" xfId="9" applyNumberFormat="1" applyFont="1" applyAlignment="1"/>
    <xf numFmtId="0" fontId="3" fillId="2" borderId="0" xfId="9" applyNumberFormat="1" applyFont="1" applyFill="1" applyAlignment="1"/>
    <xf numFmtId="3" fontId="3" fillId="0" borderId="0" xfId="9" applyNumberFormat="1" applyFont="1" applyAlignment="1"/>
    <xf numFmtId="3" fontId="5" fillId="2" borderId="0" xfId="9" applyNumberFormat="1" applyFont="1" applyFill="1" applyAlignment="1"/>
    <xf numFmtId="3" fontId="3" fillId="2" borderId="0" xfId="9" applyNumberFormat="1" applyFont="1" applyFill="1" applyAlignment="1"/>
    <xf numFmtId="171" fontId="3" fillId="2" borderId="0" xfId="9" applyFont="1" applyFill="1" applyAlignment="1"/>
    <xf numFmtId="171" fontId="3" fillId="2" borderId="0" xfId="9" applyNumberFormat="1" applyFont="1" applyFill="1" applyAlignment="1" applyProtection="1">
      <protection locked="0"/>
    </xf>
    <xf numFmtId="171" fontId="18" fillId="2" borderId="0" xfId="9" applyFill="1" applyAlignment="1"/>
    <xf numFmtId="3" fontId="2" fillId="2" borderId="0" xfId="9" applyNumberFormat="1" applyFont="1" applyFill="1" applyAlignment="1"/>
    <xf numFmtId="171" fontId="5" fillId="2" borderId="0" xfId="9" applyFont="1" applyFill="1" applyAlignment="1"/>
    <xf numFmtId="181" fontId="3" fillId="0" borderId="0" xfId="9" applyNumberFormat="1" applyFont="1" applyAlignment="1"/>
    <xf numFmtId="0" fontId="2" fillId="0" borderId="0" xfId="9" applyNumberFormat="1" applyFont="1" applyAlignment="1"/>
    <xf numFmtId="171" fontId="3" fillId="0" borderId="0" xfId="9" applyFont="1" applyAlignment="1"/>
    <xf numFmtId="181" fontId="4" fillId="0" borderId="0" xfId="9" applyNumberFormat="1" applyFont="1" applyAlignment="1"/>
    <xf numFmtId="0" fontId="4" fillId="0" borderId="0" xfId="9" applyNumberFormat="1" applyFont="1" applyAlignment="1"/>
    <xf numFmtId="171" fontId="4" fillId="0" borderId="0" xfId="9" applyFont="1" applyAlignment="1"/>
    <xf numFmtId="167" fontId="3" fillId="0" borderId="0" xfId="9" applyNumberFormat="1" applyFont="1" applyAlignment="1"/>
    <xf numFmtId="0" fontId="2" fillId="0" borderId="0" xfId="9" applyNumberFormat="1" applyFont="1" applyAlignment="1">
      <alignment horizontal="center"/>
    </xf>
    <xf numFmtId="0" fontId="18" fillId="0" borderId="0" xfId="9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2" fontId="2" fillId="0" borderId="0" xfId="7" applyNumberFormat="1" applyFont="1" applyAlignment="1">
      <alignment horizontal="center"/>
    </xf>
    <xf numFmtId="182" fontId="3" fillId="2" borderId="0" xfId="7" applyNumberFormat="1" applyFont="1" applyFill="1" applyAlignment="1"/>
    <xf numFmtId="182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64" fontId="3" fillId="2" borderId="0" xfId="7" applyNumberFormat="1" applyFont="1" applyFill="1" applyAlignment="1">
      <alignment horizontal="right"/>
    </xf>
    <xf numFmtId="182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5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64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2" fontId="3" fillId="0" borderId="0" xfId="7" applyNumberFormat="1" applyFont="1" applyAlignment="1"/>
    <xf numFmtId="182" fontId="2" fillId="0" borderId="4" xfId="7" applyNumberFormat="1" applyFont="1" applyBorder="1" applyAlignment="1"/>
    <xf numFmtId="182" fontId="3" fillId="0" borderId="5" xfId="7" applyNumberFormat="1" applyFont="1" applyBorder="1" applyAlignment="1"/>
    <xf numFmtId="182" fontId="3" fillId="2" borderId="1" xfId="7" applyNumberFormat="1" applyFont="1" applyFill="1" applyBorder="1" applyAlignment="1"/>
    <xf numFmtId="182" fontId="3" fillId="0" borderId="1" xfId="7" applyNumberFormat="1" applyFont="1" applyBorder="1" applyAlignment="1"/>
    <xf numFmtId="171" fontId="3" fillId="2" borderId="0" xfId="7" applyFont="1" applyFill="1" applyAlignment="1"/>
    <xf numFmtId="182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2" fontId="2" fillId="2" borderId="1" xfId="7" applyNumberFormat="1" applyFont="1" applyFill="1" applyBorder="1" applyAlignment="1"/>
    <xf numFmtId="182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70" fontId="3" fillId="2" borderId="0" xfId="7" applyNumberFormat="1" applyFont="1" applyFill="1" applyAlignment="1"/>
    <xf numFmtId="173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1" fontId="3" fillId="0" borderId="0" xfId="8" applyFont="1" applyAlignment="1"/>
    <xf numFmtId="171" fontId="4" fillId="0" borderId="0" xfId="8" applyFont="1" applyAlignment="1"/>
    <xf numFmtId="3" fontId="2" fillId="2" borderId="1" xfId="8" applyNumberFormat="1" applyFont="1" applyFill="1" applyBorder="1" applyAlignment="1"/>
    <xf numFmtId="167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1" fontId="5" fillId="0" borderId="0" xfId="8" applyFont="1" applyAlignment="1"/>
    <xf numFmtId="171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1" fontId="3" fillId="2" borderId="0" xfId="3" applyFont="1" applyFill="1" applyAlignment="1"/>
    <xf numFmtId="10" fontId="3" fillId="2" borderId="0" xfId="3" applyNumberFormat="1" applyFont="1" applyFill="1" applyAlignment="1"/>
    <xf numFmtId="166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1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1" fontId="3" fillId="2" borderId="0" xfId="3" applyFill="1" applyAlignment="1"/>
    <xf numFmtId="167" fontId="3" fillId="0" borderId="0" xfId="3" applyNumberFormat="1"/>
    <xf numFmtId="0" fontId="1" fillId="0" borderId="0" xfId="4" applyFont="1" applyAlignment="1"/>
    <xf numFmtId="167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7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7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7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7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7" fontId="6" fillId="0" borderId="0" xfId="4" applyNumberFormat="1" applyFont="1" applyAlignment="1">
      <alignment horizontal="left"/>
    </xf>
    <xf numFmtId="170" fontId="3" fillId="0" borderId="0" xfId="4" applyNumberFormat="1" applyFont="1" applyAlignment="1"/>
    <xf numFmtId="167" fontId="6" fillId="0" borderId="0" xfId="4" applyNumberFormat="1" applyFont="1" applyAlignment="1"/>
    <xf numFmtId="167" fontId="6" fillId="0" borderId="5" xfId="4" applyNumberFormat="1" applyFont="1" applyBorder="1" applyAlignment="1"/>
    <xf numFmtId="175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64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5" fontId="3" fillId="3" borderId="0" xfId="5" applyNumberFormat="1" applyFont="1" applyFill="1" applyAlignment="1"/>
    <xf numFmtId="165" fontId="3" fillId="3" borderId="0" xfId="5" applyNumberFormat="1" applyFont="1" applyFill="1" applyAlignment="1">
      <alignment horizontal="right"/>
    </xf>
    <xf numFmtId="175" fontId="3" fillId="0" borderId="0" xfId="5" applyNumberFormat="1" applyFont="1" applyAlignment="1"/>
    <xf numFmtId="165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5" fontId="6" fillId="0" borderId="0" xfId="5" applyNumberFormat="1" applyFont="1" applyAlignment="1">
      <alignment horizontal="center"/>
    </xf>
    <xf numFmtId="171" fontId="3" fillId="0" borderId="1" xfId="5" applyFont="1" applyBorder="1" applyAlignment="1"/>
    <xf numFmtId="171" fontId="3" fillId="0" borderId="0" xfId="5" applyFont="1" applyAlignment="1"/>
    <xf numFmtId="167" fontId="3" fillId="0" borderId="0" xfId="5" applyNumberFormat="1" applyFont="1" applyAlignment="1">
      <alignment horizontal="center"/>
    </xf>
    <xf numFmtId="175" fontId="25" fillId="0" borderId="0" xfId="5" applyNumberFormat="1" applyFont="1" applyAlignment="1">
      <alignment horizontal="center"/>
    </xf>
    <xf numFmtId="175" fontId="7" fillId="0" borderId="0" xfId="5" applyNumberFormat="1" applyFont="1" applyAlignment="1">
      <alignment horizontal="center"/>
    </xf>
    <xf numFmtId="167" fontId="6" fillId="0" borderId="0" xfId="5" applyNumberFormat="1" applyFont="1" applyAlignment="1">
      <alignment horizontal="center"/>
    </xf>
    <xf numFmtId="171" fontId="3" fillId="0" borderId="1" xfId="5" applyBorder="1" applyAlignment="1"/>
    <xf numFmtId="10" fontId="6" fillId="0" borderId="0" xfId="5" applyNumberFormat="1" applyFont="1" applyAlignment="1">
      <alignment horizontal="center"/>
    </xf>
    <xf numFmtId="171" fontId="6" fillId="0" borderId="0" xfId="5" applyFont="1" applyAlignment="1">
      <alignment horizontal="center"/>
    </xf>
    <xf numFmtId="171" fontId="25" fillId="0" borderId="0" xfId="5" applyFont="1" applyAlignment="1">
      <alignment horizontal="center"/>
    </xf>
    <xf numFmtId="171" fontId="4" fillId="0" borderId="1" xfId="5" applyFont="1" applyBorder="1" applyAlignment="1"/>
    <xf numFmtId="171" fontId="4" fillId="0" borderId="0" xfId="5" applyFont="1" applyAlignment="1"/>
    <xf numFmtId="171" fontId="16" fillId="0" borderId="0" xfId="5" applyFont="1" applyAlignment="1">
      <alignment horizontal="center"/>
    </xf>
    <xf numFmtId="171" fontId="2" fillId="0" borderId="1" xfId="5" applyFont="1" applyBorder="1" applyAlignment="1"/>
    <xf numFmtId="171" fontId="2" fillId="0" borderId="0" xfId="5" applyFont="1" applyAlignment="1"/>
    <xf numFmtId="171" fontId="5" fillId="0" borderId="1" xfId="5" applyFont="1" applyBorder="1" applyAlignment="1"/>
    <xf numFmtId="171" fontId="5" fillId="0" borderId="0" xfId="5" applyFont="1" applyAlignment="1"/>
    <xf numFmtId="171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7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1" fontId="24" fillId="0" borderId="6" xfId="5" applyFont="1" applyBorder="1" applyAlignment="1"/>
    <xf numFmtId="0" fontId="24" fillId="0" borderId="3" xfId="5" applyNumberFormat="1" applyFont="1" applyBorder="1" applyAlignment="1"/>
    <xf numFmtId="171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1" fontId="3" fillId="0" borderId="6" xfId="5" applyFont="1" applyBorder="1" applyAlignment="1">
      <alignment horizontal="center"/>
    </xf>
    <xf numFmtId="171" fontId="3" fillId="0" borderId="6" xfId="5" applyFont="1" applyBorder="1" applyAlignment="1"/>
    <xf numFmtId="171" fontId="3" fillId="0" borderId="0" xfId="5" applyFont="1" applyAlignment="1">
      <alignment horizontal="center"/>
    </xf>
    <xf numFmtId="185" fontId="2" fillId="0" borderId="0" xfId="5" applyNumberFormat="1" applyFont="1" applyAlignment="1"/>
    <xf numFmtId="171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64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5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1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1" fontId="3" fillId="2" borderId="0" xfId="6" applyNumberFormat="1" applyFont="1" applyFill="1" applyAlignment="1"/>
    <xf numFmtId="0" fontId="16" fillId="2" borderId="0" xfId="6" applyNumberFormat="1" applyFont="1" applyFill="1" applyAlignment="1"/>
    <xf numFmtId="171" fontId="3" fillId="2" borderId="3" xfId="6" applyNumberFormat="1" applyFont="1" applyFill="1" applyBorder="1" applyAlignment="1"/>
    <xf numFmtId="175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6" fontId="3" fillId="2" borderId="0" xfId="6" applyNumberFormat="1" applyFont="1" applyFill="1" applyAlignment="1"/>
    <xf numFmtId="171" fontId="4" fillId="2" borderId="3" xfId="6" applyNumberFormat="1" applyFont="1" applyFill="1" applyBorder="1" applyAlignment="1"/>
    <xf numFmtId="171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3" applyNumberFormat="1" applyFont="1" applyAlignment="1"/>
    <xf numFmtId="0" fontId="3" fillId="0" borderId="0" xfId="13" applyAlignment="1"/>
    <xf numFmtId="0" fontId="2" fillId="0" borderId="0" xfId="13" applyNumberFormat="1" applyFont="1" applyAlignment="1">
      <alignment horizontal="center"/>
    </xf>
    <xf numFmtId="0" fontId="2" fillId="0" borderId="2" xfId="13" applyNumberFormat="1" applyFont="1" applyBorder="1" applyAlignment="1"/>
    <xf numFmtId="0" fontId="3" fillId="0" borderId="3" xfId="13" applyNumberFormat="1" applyBorder="1"/>
    <xf numFmtId="164" fontId="3" fillId="0" borderId="0" xfId="13" applyNumberFormat="1" applyFont="1" applyAlignment="1">
      <alignment horizontal="center"/>
    </xf>
    <xf numFmtId="0" fontId="2" fillId="0" borderId="6" xfId="13" applyNumberFormat="1" applyFont="1" applyBorder="1" applyAlignment="1"/>
    <xf numFmtId="0" fontId="22" fillId="0" borderId="0" xfId="13" applyNumberFormat="1" applyFont="1" applyAlignment="1"/>
    <xf numFmtId="165" fontId="3" fillId="0" borderId="0" xfId="13" applyNumberFormat="1" applyFont="1" applyAlignment="1">
      <alignment horizontal="center"/>
    </xf>
    <xf numFmtId="0" fontId="3" fillId="0" borderId="0" xfId="13" applyFont="1" applyAlignment="1"/>
    <xf numFmtId="0" fontId="3" fillId="3" borderId="0" xfId="13" applyNumberFormat="1" applyFont="1" applyFill="1" applyAlignment="1"/>
    <xf numFmtId="0" fontId="2" fillId="0" borderId="0" xfId="13" applyNumberFormat="1" applyFont="1" applyAlignment="1"/>
    <xf numFmtId="0" fontId="3" fillId="0" borderId="0" xfId="13" applyNumberFormat="1" applyFont="1" applyAlignment="1"/>
    <xf numFmtId="0" fontId="5" fillId="0" borderId="0" xfId="13" applyNumberFormat="1" applyFont="1" applyAlignment="1"/>
    <xf numFmtId="0" fontId="5" fillId="2" borderId="0" xfId="13" applyNumberFormat="1" applyFont="1" applyFill="1" applyAlignment="1"/>
    <xf numFmtId="0" fontId="3" fillId="2" borderId="0" xfId="13" applyNumberFormat="1" applyFont="1" applyFill="1" applyAlignment="1"/>
    <xf numFmtId="0" fontId="16" fillId="2" borderId="0" xfId="13" applyNumberFormat="1" applyFont="1" applyFill="1" applyAlignment="1">
      <alignment horizontal="right"/>
    </xf>
    <xf numFmtId="0" fontId="16" fillId="2" borderId="0" xfId="13" applyNumberFormat="1" applyFont="1" applyFill="1" applyAlignment="1">
      <alignment horizontal="center"/>
    </xf>
    <xf numFmtId="0" fontId="3" fillId="2" borderId="0" xfId="13" applyNumberFormat="1" applyFont="1" applyFill="1" applyAlignment="1">
      <alignment horizontal="center"/>
    </xf>
    <xf numFmtId="0" fontId="7" fillId="2" borderId="0" xfId="13" applyNumberFormat="1" applyFont="1" applyFill="1" applyAlignment="1">
      <alignment horizontal="right"/>
    </xf>
    <xf numFmtId="0" fontId="7" fillId="2" borderId="0" xfId="13" applyNumberFormat="1" applyFont="1" applyFill="1" applyAlignment="1">
      <alignment horizontal="center"/>
    </xf>
    <xf numFmtId="0" fontId="16" fillId="0" borderId="0" xfId="13" applyNumberFormat="1" applyFont="1" applyAlignment="1"/>
    <xf numFmtId="170" fontId="3" fillId="2" borderId="0" xfId="13" applyNumberFormat="1" applyFont="1" applyFill="1" applyAlignment="1">
      <alignment horizontal="center"/>
    </xf>
    <xf numFmtId="175" fontId="3" fillId="2" borderId="0" xfId="13" applyNumberFormat="1" applyFont="1" applyFill="1" applyAlignment="1">
      <alignment horizontal="center"/>
    </xf>
    <xf numFmtId="171" fontId="3" fillId="2" borderId="0" xfId="13" applyNumberFormat="1" applyFont="1" applyFill="1" applyAlignment="1"/>
    <xf numFmtId="166" fontId="3" fillId="2" borderId="0" xfId="13" applyNumberFormat="1" applyFont="1" applyFill="1" applyAlignment="1"/>
    <xf numFmtId="175" fontId="3" fillId="2" borderId="6" xfId="13" applyNumberFormat="1" applyFont="1" applyFill="1" applyBorder="1" applyAlignment="1">
      <alignment horizontal="center"/>
    </xf>
    <xf numFmtId="0" fontId="3" fillId="0" borderId="6" xfId="13" applyNumberFormat="1" applyFont="1" applyBorder="1" applyAlignment="1"/>
    <xf numFmtId="0" fontId="3" fillId="2" borderId="6" xfId="13" applyNumberFormat="1" applyFont="1" applyFill="1" applyBorder="1" applyAlignment="1"/>
    <xf numFmtId="0" fontId="2" fillId="0" borderId="3" xfId="13" applyNumberFormat="1" applyFont="1" applyBorder="1" applyAlignment="1"/>
    <xf numFmtId="171" fontId="5" fillId="2" borderId="0" xfId="13" applyNumberFormat="1" applyFont="1" applyFill="1" applyAlignment="1"/>
    <xf numFmtId="0" fontId="3" fillId="0" borderId="3" xfId="13" applyNumberFormat="1" applyFont="1" applyBorder="1" applyAlignment="1"/>
    <xf numFmtId="10" fontId="3" fillId="2" borderId="0" xfId="13" applyNumberFormat="1" applyFont="1" applyFill="1" applyAlignment="1">
      <alignment horizontal="center"/>
    </xf>
    <xf numFmtId="171" fontId="2" fillId="2" borderId="0" xfId="13" applyNumberFormat="1" applyFont="1" applyFill="1" applyAlignment="1"/>
    <xf numFmtId="175" fontId="3" fillId="0" borderId="6" xfId="13" applyNumberFormat="1" applyFont="1" applyBorder="1" applyAlignment="1"/>
    <xf numFmtId="10" fontId="3" fillId="0" borderId="6" xfId="13" applyNumberFormat="1" applyFont="1" applyBorder="1" applyAlignment="1"/>
    <xf numFmtId="0" fontId="3" fillId="0" borderId="6" xfId="13" applyFont="1" applyBorder="1" applyAlignment="1"/>
    <xf numFmtId="175" fontId="3" fillId="0" borderId="0" xfId="13" applyNumberFormat="1" applyFont="1" applyAlignment="1"/>
    <xf numFmtId="10" fontId="3" fillId="0" borderId="0" xfId="13" applyNumberFormat="1" applyFont="1" applyAlignment="1"/>
    <xf numFmtId="10" fontId="3" fillId="0" borderId="0" xfId="13" applyNumberFormat="1"/>
    <xf numFmtId="3" fontId="1" fillId="2" borderId="0" xfId="14" applyNumberFormat="1" applyFont="1" applyFill="1" applyAlignment="1"/>
    <xf numFmtId="0" fontId="3" fillId="0" borderId="0" xfId="14" applyNumberFormat="1" applyFont="1" applyAlignment="1"/>
    <xf numFmtId="3" fontId="3" fillId="2" borderId="0" xfId="14" applyNumberFormat="1" applyFont="1" applyFill="1" applyAlignment="1"/>
    <xf numFmtId="0" fontId="2" fillId="0" borderId="0" xfId="14" applyNumberFormat="1" applyFont="1" applyAlignment="1">
      <alignment horizontal="center"/>
    </xf>
    <xf numFmtId="0" fontId="18" fillId="0" borderId="0" xfId="14" applyNumberFormat="1" applyFont="1" applyAlignment="1" applyProtection="1">
      <protection locked="0"/>
    </xf>
    <xf numFmtId="3" fontId="2" fillId="2" borderId="2" xfId="14" applyNumberFormat="1" applyFont="1" applyFill="1" applyBorder="1" applyAlignment="1"/>
    <xf numFmtId="3" fontId="3" fillId="2" borderId="3" xfId="14" applyNumberFormat="1" applyFont="1" applyFill="1" applyBorder="1" applyAlignment="1"/>
    <xf numFmtId="164" fontId="3" fillId="2" borderId="0" xfId="14" applyNumberFormat="1" applyFont="1" applyFill="1" applyAlignment="1">
      <alignment horizontal="right"/>
    </xf>
    <xf numFmtId="0" fontId="3" fillId="3" borderId="0" xfId="14" applyNumberFormat="1" applyFont="1" applyFill="1" applyAlignment="1"/>
    <xf numFmtId="3" fontId="3" fillId="4" borderId="0" xfId="14" applyNumberFormat="1" applyFont="1" applyFill="1" applyAlignment="1"/>
    <xf numFmtId="165" fontId="3" fillId="4" borderId="0" xfId="14" applyNumberFormat="1" applyFont="1" applyFill="1" applyAlignment="1">
      <alignment horizontal="right"/>
    </xf>
    <xf numFmtId="165" fontId="3" fillId="2" borderId="0" xfId="14" applyNumberFormat="1" applyFont="1" applyFill="1" applyAlignment="1">
      <alignment horizontal="right"/>
    </xf>
    <xf numFmtId="0" fontId="2" fillId="2" borderId="0" xfId="14" applyNumberFormat="1" applyFont="1" applyFill="1" applyAlignment="1"/>
    <xf numFmtId="0" fontId="3" fillId="2" borderId="0" xfId="14" applyNumberFormat="1" applyFont="1" applyFill="1" applyAlignment="1"/>
    <xf numFmtId="0" fontId="5" fillId="2" borderId="0" xfId="14" applyNumberFormat="1" applyFont="1" applyFill="1" applyAlignment="1"/>
    <xf numFmtId="171" fontId="3" fillId="2" borderId="0" xfId="14" applyNumberFormat="1" applyFont="1" applyFill="1" applyAlignment="1"/>
    <xf numFmtId="170" fontId="26" fillId="2" borderId="0" xfId="14" applyNumberFormat="1" applyFont="1" applyFill="1" applyAlignment="1"/>
    <xf numFmtId="171" fontId="18" fillId="2" borderId="0" xfId="14" applyFill="1" applyAlignment="1"/>
    <xf numFmtId="0" fontId="4" fillId="2" borderId="0" xfId="14" applyNumberFormat="1" applyFont="1" applyFill="1" applyAlignment="1"/>
    <xf numFmtId="171" fontId="3" fillId="0" borderId="0" xfId="14" applyNumberFormat="1" applyFont="1" applyAlignment="1"/>
    <xf numFmtId="171" fontId="5" fillId="2" borderId="0" xfId="14" applyNumberFormat="1" applyFont="1" applyFill="1" applyAlignment="1"/>
    <xf numFmtId="170" fontId="3" fillId="0" borderId="0" xfId="14" applyNumberFormat="1" applyFont="1" applyAlignment="1"/>
    <xf numFmtId="0" fontId="2" fillId="0" borderId="0" xfId="14" applyNumberFormat="1" applyFont="1" applyAlignment="1"/>
    <xf numFmtId="171" fontId="5" fillId="0" borderId="0" xfId="14" applyNumberFormat="1" applyFont="1" applyAlignment="1"/>
    <xf numFmtId="0" fontId="3" fillId="0" borderId="2" xfId="14" applyNumberFormat="1" applyFont="1" applyBorder="1" applyAlignment="1"/>
    <xf numFmtId="0" fontId="3" fillId="2" borderId="6" xfId="14" applyNumberFormat="1" applyFont="1" applyFill="1" applyBorder="1" applyAlignment="1"/>
    <xf numFmtId="0" fontId="3" fillId="0" borderId="3" xfId="14" applyNumberFormat="1" applyFont="1" applyBorder="1" applyAlignment="1"/>
    <xf numFmtId="0" fontId="2" fillId="2" borderId="3" xfId="14" applyNumberFormat="1" applyFont="1" applyFill="1" applyBorder="1" applyAlignment="1"/>
    <xf numFmtId="0" fontId="6" fillId="2" borderId="6" xfId="14" applyNumberFormat="1" applyFont="1" applyFill="1" applyBorder="1" applyAlignment="1"/>
    <xf numFmtId="0" fontId="3" fillId="0" borderId="6" xfId="14" applyNumberFormat="1" applyFont="1" applyBorder="1" applyAlignment="1"/>
    <xf numFmtId="0" fontId="2" fillId="0" borderId="0" xfId="10" applyNumberFormat="1" applyFont="1" applyAlignment="1">
      <alignment horizontal="center"/>
    </xf>
    <xf numFmtId="0" fontId="3" fillId="0" borderId="0" xfId="10" quotePrefix="1" applyAlignment="1"/>
    <xf numFmtId="171" fontId="28" fillId="2" borderId="0" xfId="9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9" fillId="0" borderId="0" xfId="5" applyNumberFormat="1" applyFont="1" applyAlignment="1"/>
    <xf numFmtId="0" fontId="30" fillId="0" borderId="0" xfId="5" applyNumberFormat="1" applyFont="1" applyAlignment="1"/>
    <xf numFmtId="0" fontId="3" fillId="2" borderId="0" xfId="12" applyNumberFormat="1" applyFont="1" applyFill="1" applyAlignment="1">
      <alignment horizontal="center"/>
    </xf>
    <xf numFmtId="0" fontId="18" fillId="0" borderId="0" xfId="12" applyNumberFormat="1" applyFont="1" applyAlignment="1" applyProtection="1">
      <alignment horizontal="center"/>
      <protection locked="0"/>
    </xf>
    <xf numFmtId="0" fontId="3" fillId="0" borderId="3" xfId="12" applyNumberFormat="1" applyFont="1" applyBorder="1" applyAlignment="1">
      <alignment horizontal="center"/>
    </xf>
    <xf numFmtId="164" fontId="3" fillId="2" borderId="0" xfId="12" applyNumberFormat="1" applyFont="1" applyFill="1" applyAlignment="1">
      <alignment horizontal="center"/>
    </xf>
    <xf numFmtId="0" fontId="3" fillId="3" borderId="0" xfId="12" applyNumberFormat="1" applyFont="1" applyFill="1" applyAlignment="1">
      <alignment horizontal="center"/>
    </xf>
    <xf numFmtId="0" fontId="3" fillId="0" borderId="0" xfId="12" applyNumberFormat="1" applyFont="1" applyAlignment="1">
      <alignment horizontal="center"/>
    </xf>
    <xf numFmtId="0" fontId="5" fillId="2" borderId="0" xfId="12" applyNumberFormat="1" applyFont="1" applyFill="1" applyAlignment="1">
      <alignment horizontal="center"/>
    </xf>
    <xf numFmtId="169" fontId="3" fillId="2" borderId="0" xfId="12" applyNumberFormat="1" applyFont="1" applyFill="1" applyAlignment="1">
      <alignment horizontal="center"/>
    </xf>
    <xf numFmtId="3" fontId="3" fillId="0" borderId="0" xfId="12" applyFont="1" applyAlignment="1">
      <alignment horizontal="center"/>
    </xf>
    <xf numFmtId="10" fontId="3" fillId="0" borderId="0" xfId="12" applyNumberFormat="1" applyFont="1" applyAlignment="1">
      <alignment horizontal="center"/>
    </xf>
    <xf numFmtId="166" fontId="3" fillId="2" borderId="0" xfId="12" applyNumberFormat="1" applyFont="1" applyFill="1" applyAlignment="1" applyProtection="1">
      <alignment horizontal="center"/>
      <protection locked="0"/>
    </xf>
    <xf numFmtId="166" fontId="3" fillId="2" borderId="0" xfId="12" applyNumberFormat="1" applyFont="1" applyFill="1" applyAlignment="1">
      <alignment horizontal="center"/>
    </xf>
    <xf numFmtId="10" fontId="3" fillId="2" borderId="0" xfId="12" applyNumberFormat="1" applyFont="1" applyFill="1" applyAlignment="1">
      <alignment horizontal="center"/>
    </xf>
    <xf numFmtId="3" fontId="18" fillId="2" borderId="0" xfId="12" applyFill="1" applyAlignment="1">
      <alignment horizontal="center"/>
    </xf>
    <xf numFmtId="3" fontId="3" fillId="2" borderId="0" xfId="12" applyFont="1" applyFill="1" applyAlignment="1">
      <alignment horizontal="center"/>
    </xf>
    <xf numFmtId="0" fontId="19" fillId="2" borderId="0" xfId="12" applyNumberFormat="1" applyFont="1" applyFill="1" applyAlignment="1">
      <alignment horizontal="center"/>
    </xf>
    <xf numFmtId="3" fontId="3" fillId="2" borderId="6" xfId="12" applyFont="1" applyFill="1" applyBorder="1" applyAlignment="1">
      <alignment horizontal="center"/>
    </xf>
    <xf numFmtId="0" fontId="3" fillId="2" borderId="3" xfId="12" applyNumberFormat="1" applyFont="1" applyFill="1" applyBorder="1" applyAlignment="1">
      <alignment horizontal="center"/>
    </xf>
    <xf numFmtId="174" fontId="2" fillId="2" borderId="0" xfId="12" applyNumberFormat="1" applyFont="1" applyFill="1" applyAlignment="1" applyProtection="1">
      <alignment horizontal="center"/>
      <protection locked="0"/>
    </xf>
    <xf numFmtId="180" fontId="3" fillId="2" borderId="0" xfId="12" applyNumberFormat="1" applyFont="1" applyFill="1" applyAlignment="1">
      <alignment horizontal="center"/>
    </xf>
    <xf numFmtId="167" fontId="4" fillId="2" borderId="0" xfId="12" applyNumberFormat="1" applyFont="1" applyFill="1" applyAlignment="1">
      <alignment horizontal="center"/>
    </xf>
    <xf numFmtId="167" fontId="4" fillId="0" borderId="0" xfId="12" applyNumberFormat="1" applyFont="1" applyAlignment="1">
      <alignment horizontal="center"/>
    </xf>
    <xf numFmtId="171" fontId="2" fillId="2" borderId="0" xfId="12" applyNumberFormat="1" applyFont="1" applyFill="1" applyAlignment="1" applyProtection="1">
      <alignment horizontal="center"/>
      <protection locked="0"/>
    </xf>
    <xf numFmtId="171" fontId="2" fillId="2" borderId="0" xfId="12" applyNumberFormat="1" applyFont="1" applyFill="1" applyAlignment="1">
      <alignment horizontal="center"/>
    </xf>
    <xf numFmtId="167" fontId="3" fillId="0" borderId="0" xfId="12" applyNumberFormat="1" applyFont="1" applyAlignment="1">
      <alignment horizontal="center"/>
    </xf>
    <xf numFmtId="3" fontId="4" fillId="0" borderId="0" xfId="12" applyFont="1" applyAlignment="1">
      <alignment horizontal="center"/>
    </xf>
    <xf numFmtId="171" fontId="2" fillId="0" borderId="0" xfId="12" applyNumberFormat="1" applyFont="1" applyAlignment="1">
      <alignment horizontal="center"/>
    </xf>
    <xf numFmtId="171" fontId="3" fillId="0" borderId="0" xfId="12" applyNumberFormat="1" applyFont="1" applyAlignment="1">
      <alignment horizontal="center"/>
    </xf>
    <xf numFmtId="176" fontId="3" fillId="0" borderId="0" xfId="12" applyNumberFormat="1" applyFont="1" applyAlignment="1">
      <alignment horizontal="center"/>
    </xf>
    <xf numFmtId="171" fontId="4" fillId="0" borderId="0" xfId="12" applyNumberFormat="1" applyFont="1" applyAlignment="1">
      <alignment horizontal="center"/>
    </xf>
    <xf numFmtId="171" fontId="3" fillId="2" borderId="6" xfId="12" applyNumberFormat="1" applyFont="1" applyFill="1" applyBorder="1" applyAlignment="1">
      <alignment horizontal="center"/>
    </xf>
    <xf numFmtId="2" fontId="3" fillId="0" borderId="6" xfId="12" applyNumberFormat="1" applyFont="1" applyBorder="1" applyAlignment="1">
      <alignment horizontal="center"/>
    </xf>
    <xf numFmtId="2" fontId="3" fillId="0" borderId="0" xfId="12" applyNumberFormat="1" applyFont="1" applyAlignment="1">
      <alignment horizontal="center"/>
    </xf>
    <xf numFmtId="179" fontId="3" fillId="0" borderId="6" xfId="12" applyNumberFormat="1" applyFont="1" applyBorder="1" applyAlignment="1">
      <alignment horizontal="center"/>
    </xf>
    <xf numFmtId="179" fontId="3" fillId="0" borderId="0" xfId="12" applyNumberFormat="1" applyFont="1" applyAlignment="1">
      <alignment horizontal="center"/>
    </xf>
    <xf numFmtId="179" fontId="4" fillId="0" borderId="0" xfId="12" applyNumberFormat="1" applyFont="1" applyAlignment="1">
      <alignment horizontal="center"/>
    </xf>
    <xf numFmtId="0" fontId="3" fillId="0" borderId="6" xfId="12" applyNumberFormat="1" applyFont="1" applyBorder="1" applyAlignment="1">
      <alignment horizontal="center"/>
    </xf>
    <xf numFmtId="0" fontId="3" fillId="2" borderId="6" xfId="12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 applyProtection="1">
      <alignment horizontal="center"/>
      <protection locked="0"/>
    </xf>
    <xf numFmtId="171" fontId="2" fillId="0" borderId="0" xfId="5" applyFont="1" applyAlignment="1">
      <alignment horizontal="center"/>
    </xf>
    <xf numFmtId="171" fontId="3" fillId="0" borderId="0" xfId="5" applyNumberFormat="1" applyFont="1" applyAlignment="1"/>
    <xf numFmtId="171" fontId="31" fillId="2" borderId="0" xfId="3" applyNumberFormat="1" applyFont="1" applyFill="1" applyAlignment="1" applyProtection="1">
      <protection locked="0"/>
    </xf>
    <xf numFmtId="171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5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1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1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1" fontId="2" fillId="2" borderId="8" xfId="6" applyNumberFormat="1" applyFont="1" applyFill="1" applyBorder="1" applyAlignment="1"/>
    <xf numFmtId="3" fontId="1" fillId="0" borderId="0" xfId="13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7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6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1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1" fontId="3" fillId="0" borderId="0" xfId="8" applyFont="1" applyBorder="1" applyAlignment="1"/>
    <xf numFmtId="0" fontId="3" fillId="0" borderId="12" xfId="8" applyNumberFormat="1" applyFont="1" applyBorder="1" applyAlignment="1"/>
    <xf numFmtId="171" fontId="4" fillId="0" borderId="0" xfId="8" applyFont="1" applyBorder="1" applyAlignment="1"/>
    <xf numFmtId="171" fontId="3" fillId="0" borderId="13" xfId="8" applyFont="1" applyBorder="1" applyAlignment="1"/>
    <xf numFmtId="171" fontId="4" fillId="0" borderId="13" xfId="8" applyFont="1" applyBorder="1" applyAlignment="1"/>
    <xf numFmtId="171" fontId="3" fillId="2" borderId="0" xfId="8" applyFont="1" applyFill="1" applyBorder="1" applyAlignment="1"/>
    <xf numFmtId="171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70" fontId="3" fillId="2" borderId="0" xfId="0" applyNumberFormat="1" applyFont="1" applyFill="1" applyBorder="1" applyAlignment="1" applyProtection="1">
      <alignment horizontal="center"/>
      <protection locked="0"/>
    </xf>
    <xf numFmtId="170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70" fontId="3" fillId="2" borderId="13" xfId="0" applyNumberFormat="1" applyFont="1" applyFill="1" applyBorder="1" applyAlignment="1" applyProtection="1">
      <protection locked="0"/>
    </xf>
    <xf numFmtId="167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32" fillId="2" borderId="1" xfId="0" applyNumberFormat="1" applyFont="1" applyFill="1" applyBorder="1" applyAlignment="1" applyProtection="1">
      <alignment horizontal="center"/>
      <protection locked="0"/>
    </xf>
    <xf numFmtId="182" fontId="3" fillId="2" borderId="0" xfId="7" applyNumberFormat="1" applyFont="1" applyFill="1" applyBorder="1" applyAlignment="1"/>
    <xf numFmtId="182" fontId="3" fillId="0" borderId="9" xfId="7" applyNumberFormat="1" applyFont="1" applyBorder="1" applyAlignment="1"/>
    <xf numFmtId="182" fontId="3" fillId="0" borderId="10" xfId="7" applyNumberFormat="1" applyFont="1" applyBorder="1" applyAlignment="1"/>
    <xf numFmtId="182" fontId="3" fillId="0" borderId="11" xfId="7" applyNumberFormat="1" applyFont="1" applyBorder="1" applyAlignment="1"/>
    <xf numFmtId="171" fontId="3" fillId="2" borderId="12" xfId="7" applyFont="1" applyFill="1" applyBorder="1" applyAlignment="1"/>
    <xf numFmtId="171" fontId="3" fillId="2" borderId="0" xfId="7" applyFont="1" applyFill="1" applyBorder="1" applyAlignment="1"/>
    <xf numFmtId="171" fontId="3" fillId="2" borderId="13" xfId="7" applyFont="1" applyFill="1" applyBorder="1" applyAlignment="1"/>
    <xf numFmtId="171" fontId="28" fillId="2" borderId="12" xfId="7" applyFont="1" applyFill="1" applyBorder="1" applyAlignment="1"/>
    <xf numFmtId="171" fontId="28" fillId="2" borderId="0" xfId="7" applyFont="1" applyFill="1" applyBorder="1" applyAlignment="1"/>
    <xf numFmtId="171" fontId="28" fillId="2" borderId="13" xfId="7" applyFont="1" applyFill="1" applyBorder="1" applyAlignment="1"/>
    <xf numFmtId="171" fontId="3" fillId="0" borderId="12" xfId="7" applyFont="1" applyBorder="1" applyAlignment="1"/>
    <xf numFmtId="171" fontId="3" fillId="0" borderId="0" xfId="7" applyFont="1" applyBorder="1" applyAlignment="1"/>
    <xf numFmtId="9" fontId="3" fillId="0" borderId="0" xfId="7" applyNumberFormat="1" applyFont="1" applyBorder="1" applyAlignment="1"/>
    <xf numFmtId="171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1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1" fontId="4" fillId="2" borderId="0" xfId="7" applyFont="1" applyFill="1" applyBorder="1" applyAlignment="1"/>
    <xf numFmtId="171" fontId="4" fillId="2" borderId="13" xfId="7" applyFont="1" applyFill="1" applyBorder="1" applyAlignment="1"/>
    <xf numFmtId="171" fontId="18" fillId="2" borderId="13" xfId="7" applyFill="1" applyBorder="1" applyAlignment="1"/>
    <xf numFmtId="171" fontId="5" fillId="2" borderId="14" xfId="7" applyFont="1" applyFill="1" applyBorder="1" applyAlignment="1"/>
    <xf numFmtId="171" fontId="5" fillId="2" borderId="15" xfId="7" applyFont="1" applyFill="1" applyBorder="1" applyAlignment="1"/>
    <xf numFmtId="171" fontId="5" fillId="2" borderId="16" xfId="7" applyFont="1" applyFill="1" applyBorder="1" applyAlignment="1"/>
    <xf numFmtId="167" fontId="3" fillId="0" borderId="13" xfId="0" applyNumberFormat="1" applyFont="1" applyBorder="1" applyAlignment="1">
      <alignment horizontal="center"/>
    </xf>
    <xf numFmtId="167" fontId="4" fillId="0" borderId="13" xfId="0" applyNumberFormat="1" applyFont="1" applyBorder="1" applyAlignment="1">
      <alignment horizontal="center"/>
    </xf>
    <xf numFmtId="167" fontId="3" fillId="0" borderId="16" xfId="0" applyNumberFormat="1" applyFont="1" applyBorder="1" applyAlignment="1">
      <alignment horizontal="center"/>
    </xf>
    <xf numFmtId="171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70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1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9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1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3" fillId="0" borderId="0" xfId="0" applyFont="1"/>
    <xf numFmtId="0" fontId="30" fillId="0" borderId="0" xfId="0" applyFont="1"/>
    <xf numFmtId="0" fontId="34" fillId="0" borderId="0" xfId="0" applyFont="1"/>
    <xf numFmtId="0" fontId="30" fillId="0" borderId="15" xfId="0" applyFont="1" applyBorder="1"/>
    <xf numFmtId="0" fontId="33" fillId="0" borderId="20" xfId="0" applyFont="1" applyBorder="1"/>
    <xf numFmtId="17" fontId="33" fillId="0" borderId="21" xfId="0" applyNumberFormat="1" applyFont="1" applyBorder="1"/>
    <xf numFmtId="1" fontId="33" fillId="0" borderId="20" xfId="0" applyNumberFormat="1" applyFont="1" applyBorder="1"/>
    <xf numFmtId="0" fontId="33" fillId="0" borderId="0" xfId="0" applyFont="1" applyBorder="1"/>
    <xf numFmtId="17" fontId="33" fillId="0" borderId="22" xfId="0" applyNumberFormat="1" applyFont="1" applyBorder="1"/>
    <xf numFmtId="17" fontId="33" fillId="0" borderId="0" xfId="0" applyNumberFormat="1" applyFont="1" applyBorder="1"/>
    <xf numFmtId="0" fontId="34" fillId="0" borderId="0" xfId="0" applyFont="1" applyBorder="1"/>
    <xf numFmtId="1" fontId="34" fillId="0" borderId="22" xfId="0" applyNumberFormat="1" applyFont="1" applyBorder="1"/>
    <xf numFmtId="1" fontId="34" fillId="0" borderId="0" xfId="0" applyNumberFormat="1" applyFont="1" applyBorder="1"/>
    <xf numFmtId="1" fontId="34" fillId="0" borderId="22" xfId="0" applyNumberFormat="1" applyFont="1" applyBorder="1" applyAlignment="1">
      <alignment horizontal="right"/>
    </xf>
    <xf numFmtId="1" fontId="34" fillId="0" borderId="0" xfId="0" applyNumberFormat="1" applyFont="1" applyBorder="1" applyAlignment="1">
      <alignment horizontal="right"/>
    </xf>
    <xf numFmtId="0" fontId="30" fillId="0" borderId="22" xfId="0" applyFont="1" applyBorder="1"/>
    <xf numFmtId="0" fontId="30" fillId="0" borderId="0" xfId="0" applyFont="1" applyBorder="1"/>
    <xf numFmtId="0" fontId="30" fillId="0" borderId="8" xfId="0" applyFont="1" applyBorder="1"/>
    <xf numFmtId="189" fontId="30" fillId="0" borderId="0" xfId="2" applyNumberFormat="1" applyFont="1"/>
    <xf numFmtId="9" fontId="30" fillId="0" borderId="0" xfId="15" applyFont="1"/>
    <xf numFmtId="6" fontId="30" fillId="0" borderId="0" xfId="0" applyNumberFormat="1" applyFont="1"/>
    <xf numFmtId="189" fontId="30" fillId="0" borderId="0" xfId="0" applyNumberFormat="1" applyFont="1"/>
    <xf numFmtId="44" fontId="30" fillId="0" borderId="0" xfId="2" applyFont="1"/>
    <xf numFmtId="44" fontId="30" fillId="0" borderId="0" xfId="0" applyNumberFormat="1" applyFont="1"/>
    <xf numFmtId="189" fontId="30" fillId="0" borderId="22" xfId="2" applyNumberFormat="1" applyFont="1" applyBorder="1"/>
    <xf numFmtId="189" fontId="30" fillId="0" borderId="0" xfId="2" applyNumberFormat="1" applyFont="1" applyBorder="1"/>
    <xf numFmtId="189" fontId="35" fillId="0" borderId="22" xfId="1" applyNumberFormat="1" applyFont="1" applyBorder="1"/>
    <xf numFmtId="189" fontId="35" fillId="0" borderId="0" xfId="1" applyNumberFormat="1" applyFont="1"/>
    <xf numFmtId="189" fontId="35" fillId="0" borderId="0" xfId="1" applyNumberFormat="1" applyFont="1" applyBorder="1"/>
    <xf numFmtId="189" fontId="30" fillId="0" borderId="0" xfId="1" applyNumberFormat="1" applyFont="1"/>
    <xf numFmtId="189" fontId="30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5" applyNumberFormat="1" applyFont="1" applyAlignment="1"/>
    <xf numFmtId="4" fontId="3" fillId="0" borderId="0" xfId="0" applyNumberFormat="1" applyFont="1" applyAlignment="1"/>
    <xf numFmtId="3" fontId="3" fillId="0" borderId="1" xfId="11" applyNumberFormat="1" applyBorder="1"/>
    <xf numFmtId="3" fontId="4" fillId="0" borderId="0" xfId="11" applyNumberFormat="1" applyFont="1" applyAlignment="1"/>
    <xf numFmtId="3" fontId="4" fillId="0" borderId="1" xfId="11" applyNumberFormat="1" applyFont="1" applyBorder="1" applyAlignment="1"/>
    <xf numFmtId="189" fontId="3" fillId="0" borderId="0" xfId="2" applyNumberFormat="1" applyFont="1" applyAlignment="1"/>
    <xf numFmtId="208" fontId="3" fillId="0" borderId="0" xfId="0" applyNumberFormat="1" applyFont="1" applyAlignment="1"/>
  </cellXfs>
  <cellStyles count="16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OandM" xfId="9"/>
    <cellStyle name="Normal_Spot" xfId="10"/>
    <cellStyle name="Normal_Stratus Report" xfId="11"/>
    <cellStyle name="Normal_Tariff" xfId="12"/>
    <cellStyle name="Normal_TAXDEPR 144A" xfId="13"/>
    <cellStyle name="Normal_TAXES" xfId="14"/>
    <cellStyle name="Percent" xfId="1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view="pageBreakPreview" topLeftCell="F4" zoomScale="60" zoomScaleNormal="75" workbookViewId="0">
      <selection activeCell="K5" sqref="K5:N22"/>
    </sheetView>
  </sheetViews>
  <sheetFormatPr defaultColWidth="12.81640625" defaultRowHeight="15"/>
  <cols>
    <col min="1" max="1" width="21.81640625" style="8" customWidth="1"/>
    <col min="2" max="2" width="8.1796875" style="8" customWidth="1"/>
    <col min="3" max="3" width="10.1796875" style="8" customWidth="1"/>
    <col min="4" max="4" width="14.1796875" style="8" customWidth="1"/>
    <col min="5" max="5" width="2.81640625" style="8" customWidth="1"/>
    <col min="6" max="6" width="18.81640625" style="8" customWidth="1"/>
    <col min="7" max="8" width="9.81640625" style="8" customWidth="1"/>
    <col min="9" max="9" width="10.81640625" style="8" customWidth="1"/>
    <col min="10" max="10" width="2.81640625" style="8" customWidth="1"/>
    <col min="11" max="11" width="20.81640625" style="8" customWidth="1"/>
    <col min="12" max="12" width="13.81640625" style="8" customWidth="1"/>
    <col min="13" max="13" width="10.81640625" style="8" customWidth="1"/>
    <col min="14" max="14" width="8.81640625" style="8" customWidth="1"/>
    <col min="15" max="15" width="2.81640625" style="8" customWidth="1"/>
    <col min="16" max="16" width="19.81640625" style="8" customWidth="1"/>
    <col min="17" max="17" width="9.453125" style="8" customWidth="1"/>
    <col min="18" max="18" width="10.1796875" style="8" customWidth="1"/>
    <col min="19" max="19" width="16.08984375" style="8" customWidth="1"/>
    <col min="20" max="20" width="6.1796875" style="8" customWidth="1"/>
    <col min="21" max="226" width="12.81640625" style="8" customWidth="1"/>
    <col min="227" max="16384" width="12.81640625" style="8"/>
  </cols>
  <sheetData>
    <row r="1" spans="1:214" ht="22.2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6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2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2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2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2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6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6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6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6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6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6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2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6.8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2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70">
        <v>0.06</v>
      </c>
      <c r="T16" s="30"/>
    </row>
    <row r="17" spans="1:20" ht="16.2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70">
        <v>4.4999999999999998E-2</v>
      </c>
      <c r="T17" s="30"/>
    </row>
    <row r="18" spans="1:20" ht="15.6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6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0.105</v>
      </c>
      <c r="T19" s="30"/>
    </row>
    <row r="20" spans="1:20" ht="15.6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6.2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6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2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6.8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6.8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6.8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6.8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6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2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 t="str">
        <f ca="1">IF(R29="Not Correct",ROUND(-'144A IDC'!Y103+S29*1000,2)," ")</f>
        <v xml:space="preserve"> </v>
      </c>
      <c r="R29" s="645" t="str">
        <f ca="1">IF(ROUND('144A IDC'!Y103,2)=S29*1000,"Correct","Not Correct")</f>
        <v>Correct</v>
      </c>
      <c r="S29" s="658">
        <f>S12</f>
        <v>90</v>
      </c>
      <c r="T29" s="642"/>
    </row>
    <row r="30" spans="1:20" ht="16.8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0.51093203880935167</v>
      </c>
      <c r="T30" s="642"/>
    </row>
    <row r="31" spans="1:20" ht="16.8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2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6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6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2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2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6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2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OandM!C36*100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6.8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0.06</v>
      </c>
      <c r="T39" s="642"/>
    </row>
    <row r="40" spans="1:20" ht="16.2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4.4999999999999998E-2</v>
      </c>
      <c r="T40" s="642"/>
    </row>
    <row r="41" spans="1:20" ht="15.6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6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0.105</v>
      </c>
      <c r="T42" s="642"/>
    </row>
    <row r="43" spans="1:20" ht="15.6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6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2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6.8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11643.396666666667</v>
      </c>
      <c r="S46" s="672">
        <v>8.0000000000000002E-3</v>
      </c>
    </row>
    <row r="47" spans="1:20" ht="15.6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6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6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2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2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6">
      <c r="A52" s="701"/>
      <c r="B52" s="707"/>
      <c r="C52" s="707"/>
      <c r="D52" s="707"/>
      <c r="E52" s="702"/>
      <c r="J52" s="6"/>
      <c r="O52"/>
    </row>
    <row r="53" spans="1:17" ht="15.6">
      <c r="A53" s="642"/>
      <c r="B53" s="642"/>
      <c r="C53" s="642"/>
      <c r="D53" s="642"/>
      <c r="E53" s="6"/>
      <c r="O53"/>
    </row>
    <row r="54" spans="1:17" ht="15.6">
      <c r="A54" s="703"/>
      <c r="B54" s="703"/>
      <c r="C54" s="703"/>
      <c r="D54" s="704"/>
      <c r="E54" s="702"/>
      <c r="O54"/>
      <c r="P54"/>
      <c r="Q54"/>
    </row>
    <row r="55" spans="1:17" ht="15.6">
      <c r="A55" s="705"/>
      <c r="B55" s="704"/>
      <c r="C55" s="704"/>
      <c r="D55" s="704"/>
      <c r="E55" s="702"/>
      <c r="O55"/>
      <c r="P55"/>
      <c r="Q55"/>
    </row>
    <row r="56" spans="1:17" ht="15.6">
      <c r="A56" s="705"/>
      <c r="B56" s="706"/>
      <c r="C56" s="706"/>
      <c r="D56" s="706"/>
      <c r="E56" s="702"/>
      <c r="O56"/>
      <c r="P56"/>
      <c r="Q56"/>
    </row>
    <row r="57" spans="1:17" ht="15.6">
      <c r="A57" s="705"/>
      <c r="B57" s="706"/>
      <c r="C57" s="706"/>
      <c r="D57" s="706"/>
      <c r="E57" s="701"/>
      <c r="O57"/>
      <c r="P57"/>
      <c r="Q57"/>
    </row>
    <row r="58" spans="1:17" ht="15.6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6">
      <c r="A59" s="642"/>
      <c r="B59" s="642"/>
      <c r="C59" s="642"/>
      <c r="D59" s="642"/>
      <c r="E59" s="7"/>
      <c r="O59"/>
      <c r="P59"/>
      <c r="Q59"/>
    </row>
    <row r="60" spans="1:17" ht="15.6">
      <c r="E60" s="16"/>
      <c r="K60"/>
      <c r="L60"/>
      <c r="M60"/>
      <c r="N60"/>
      <c r="O60"/>
      <c r="P60"/>
      <c r="Q60"/>
    </row>
    <row r="61" spans="1:17" ht="15.6">
      <c r="E61" s="16"/>
      <c r="K61"/>
      <c r="L61"/>
      <c r="M61"/>
      <c r="N61"/>
      <c r="O61"/>
      <c r="P61"/>
      <c r="Q61"/>
    </row>
    <row r="62" spans="1:17" ht="15.6">
      <c r="E62" s="16"/>
      <c r="J62" s="6"/>
      <c r="K62"/>
      <c r="L62"/>
      <c r="M62"/>
      <c r="N62"/>
      <c r="O62"/>
      <c r="P62"/>
      <c r="Q62"/>
    </row>
    <row r="63" spans="1:17" ht="15.6">
      <c r="E63" s="16"/>
      <c r="J63" s="6"/>
      <c r="K63"/>
      <c r="L63"/>
      <c r="M63"/>
      <c r="N63"/>
      <c r="O63"/>
      <c r="P63"/>
      <c r="Q63"/>
    </row>
    <row r="64" spans="1:17" ht="15.6">
      <c r="E64" s="16"/>
      <c r="J64" s="6"/>
      <c r="K64"/>
      <c r="L64"/>
      <c r="M64"/>
      <c r="N64"/>
      <c r="O64"/>
      <c r="P64"/>
      <c r="Q64"/>
    </row>
    <row r="65" spans="1:17" ht="15.6">
      <c r="E65"/>
      <c r="J65" s="6"/>
      <c r="K65"/>
      <c r="L65"/>
      <c r="M65"/>
      <c r="N65"/>
      <c r="O65"/>
      <c r="P65"/>
      <c r="Q65"/>
    </row>
    <row r="66" spans="1:17" ht="15.6">
      <c r="E66"/>
      <c r="J66" s="6"/>
      <c r="K66"/>
      <c r="L66"/>
      <c r="M66"/>
      <c r="N66"/>
      <c r="O66"/>
      <c r="P66"/>
      <c r="Q66"/>
    </row>
    <row r="67" spans="1:17" ht="15.6">
      <c r="E67"/>
      <c r="J67" s="6"/>
      <c r="K67"/>
      <c r="L67"/>
      <c r="M67"/>
      <c r="N67"/>
      <c r="O67"/>
      <c r="P67"/>
      <c r="Q67"/>
    </row>
    <row r="68" spans="1:17" ht="15.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6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6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6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6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6">
      <c r="A134"/>
      <c r="B134"/>
      <c r="C134"/>
      <c r="D134"/>
      <c r="E134"/>
      <c r="F134"/>
      <c r="G134"/>
      <c r="H134"/>
      <c r="I134"/>
    </row>
    <row r="135" spans="1:17" ht="15.6">
      <c r="A135"/>
      <c r="B135"/>
      <c r="C135"/>
      <c r="D135"/>
      <c r="E135"/>
      <c r="F135"/>
      <c r="G135"/>
      <c r="H135"/>
      <c r="I135"/>
    </row>
    <row r="136" spans="1:17" ht="15.6">
      <c r="A136"/>
      <c r="B136"/>
      <c r="C136"/>
      <c r="D136"/>
      <c r="E136"/>
      <c r="F136"/>
      <c r="G136"/>
      <c r="H136"/>
      <c r="I136"/>
    </row>
    <row r="137" spans="1:17" ht="15.6">
      <c r="A137"/>
      <c r="B137"/>
      <c r="C137"/>
      <c r="D137"/>
      <c r="E137"/>
      <c r="F137"/>
      <c r="G137"/>
      <c r="H137"/>
      <c r="I137"/>
    </row>
    <row r="138" spans="1:17" ht="15.6">
      <c r="A138"/>
      <c r="B138"/>
      <c r="C138"/>
      <c r="D138"/>
      <c r="E138"/>
      <c r="F138"/>
      <c r="G138"/>
      <c r="H138"/>
      <c r="I138"/>
    </row>
    <row r="139" spans="1:17" ht="15.6">
      <c r="A139"/>
      <c r="B139"/>
      <c r="C139"/>
      <c r="D139"/>
      <c r="E139"/>
      <c r="F139"/>
      <c r="G139"/>
      <c r="H139"/>
      <c r="I139"/>
    </row>
    <row r="140" spans="1:17" ht="15.6">
      <c r="A140"/>
      <c r="B140"/>
      <c r="C140"/>
      <c r="D140"/>
      <c r="E140"/>
      <c r="F140"/>
      <c r="G140"/>
      <c r="H140"/>
      <c r="I140"/>
    </row>
    <row r="141" spans="1:17" ht="15.6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view="pageBreakPreview" topLeftCell="B1" zoomScale="60" zoomScaleNormal="75" workbookViewId="0">
      <selection activeCell="F32" sqref="F32"/>
    </sheetView>
  </sheetViews>
  <sheetFormatPr defaultColWidth="9.81640625" defaultRowHeight="15.6"/>
  <cols>
    <col min="1" max="1" width="31.81640625" style="2" customWidth="1"/>
    <col min="2" max="2" width="9.81640625" style="2" customWidth="1"/>
    <col min="3" max="3" width="25.81640625" style="2" customWidth="1"/>
    <col min="4" max="4" width="10.81640625" style="2" customWidth="1"/>
    <col min="5" max="5" width="11.08984375" style="7" customWidth="1"/>
    <col min="6" max="6" width="3.453125" customWidth="1"/>
    <col min="7" max="11" width="9.81640625" customWidth="1"/>
    <col min="12" max="12" width="25.81640625" customWidth="1"/>
    <col min="13" max="14" width="9.81640625" style="97" customWidth="1"/>
    <col min="15" max="15" width="2.81640625" customWidth="1"/>
    <col min="16" max="17" width="9.81640625" style="97" customWidth="1"/>
    <col min="18" max="16384" width="9.81640625" style="2"/>
  </cols>
  <sheetData>
    <row r="1" spans="1:3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22.2">
      <c r="A2" s="95" t="s">
        <v>136</v>
      </c>
      <c r="B2" s="96"/>
      <c r="C2" s="96"/>
      <c r="D2" s="96"/>
      <c r="E2" s="96"/>
      <c r="M2"/>
    </row>
    <row r="3" spans="1:31" ht="7.5" customHeight="1">
      <c r="A3" s="98"/>
      <c r="B3" s="98"/>
      <c r="C3" s="99"/>
      <c r="D3" s="99"/>
      <c r="E3" s="100"/>
      <c r="T3" s="101"/>
    </row>
    <row r="4" spans="1:31" ht="16.2" thickBot="1">
      <c r="A4" s="102"/>
      <c r="B4" s="102"/>
      <c r="C4" s="51"/>
      <c r="D4" s="51"/>
      <c r="T4" s="101"/>
    </row>
    <row r="5" spans="1:31" ht="16.8" thickTop="1" thickBot="1">
      <c r="A5" s="17"/>
      <c r="B5" s="93"/>
      <c r="C5" s="103"/>
      <c r="D5" s="103"/>
      <c r="E5" s="104"/>
      <c r="F5" s="27"/>
      <c r="T5" s="101"/>
    </row>
    <row r="6" spans="1:31" ht="16.2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3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3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3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3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3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3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3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3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3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3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3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3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3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3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3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3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3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3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3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3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3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3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3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3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3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3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11.643396666666668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23.082015676357056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 ht="16.2">
      <c r="A62" s="137" t="s">
        <v>175</v>
      </c>
      <c r="B62" s="51"/>
      <c r="C62" s="51"/>
      <c r="D62" s="51"/>
      <c r="E62" s="117">
        <f ca="1">IF('ASSUM 1'!N26=0,+#REF!+#REF!,'144A IDC'!D115/1000)</f>
        <v>4.5922063114815979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2" thickBot="1">
      <c r="A63" s="31"/>
      <c r="B63" s="51"/>
      <c r="C63" s="51"/>
      <c r="D63" s="51"/>
      <c r="E63" s="117"/>
      <c r="F63" s="27"/>
      <c r="L63" s="27"/>
      <c r="R63" s="1"/>
      <c r="T63" s="126"/>
      <c r="U63" s="120"/>
    </row>
    <row r="64" spans="1:21" ht="16.2" thickTop="1">
      <c r="A64" s="73" t="s">
        <v>176</v>
      </c>
      <c r="B64" s="51"/>
      <c r="C64" s="51"/>
      <c r="D64" s="51"/>
      <c r="E64" s="138">
        <f ca="1">E14+E23+E30+E53+E60+E62</f>
        <v>176.14867176803224</v>
      </c>
      <c r="F64" s="27"/>
      <c r="G64" s="113"/>
      <c r="H64" s="113"/>
      <c r="I64" s="113"/>
      <c r="L64" s="19"/>
      <c r="M64" s="108"/>
      <c r="N64" s="108"/>
      <c r="O64" s="19"/>
      <c r="P64" s="108"/>
      <c r="Q64" s="108"/>
      <c r="T64" s="139"/>
      <c r="U64" s="120"/>
    </row>
    <row r="65" spans="1:254" ht="16.2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2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B88" sqref="B88"/>
    </sheetView>
  </sheetViews>
  <sheetFormatPr defaultColWidth="9.81640625" defaultRowHeight="15.6"/>
  <cols>
    <col min="1" max="1" width="17.81640625" style="147" customWidth="1"/>
    <col min="2" max="19" width="9.81640625" style="147" customWidth="1"/>
    <col min="20" max="20" width="10.81640625" style="147" customWidth="1"/>
    <col min="21" max="21" width="11.81640625" style="147" customWidth="1"/>
    <col min="22" max="16384" width="9.8164062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33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33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5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33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5">
        <f t="shared" si="4"/>
        <v>433.76191799999998</v>
      </c>
      <c r="W19" s="164"/>
    </row>
    <row r="20" spans="1:33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5">
        <f t="shared" si="5"/>
        <v>433.76191799999998</v>
      </c>
      <c r="W20" s="164"/>
    </row>
    <row r="21" spans="1:33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5">
        <f t="shared" si="6"/>
        <v>7123.9473900000003</v>
      </c>
      <c r="W21" s="164"/>
    </row>
    <row r="22" spans="1:33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5">
        <f t="shared" si="7"/>
        <v>16077.378430999999</v>
      </c>
      <c r="W22" s="164"/>
    </row>
    <row r="23" spans="1:33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5">
        <f t="shared" si="8"/>
        <v>32016.596841999999</v>
      </c>
      <c r="W23" s="164"/>
    </row>
    <row r="24" spans="1:33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5">
        <f t="shared" si="9"/>
        <v>50873.456463000002</v>
      </c>
      <c r="W24" s="164"/>
    </row>
    <row r="25" spans="1:33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5">
        <f t="shared" si="10"/>
        <v>33915.637642000002</v>
      </c>
      <c r="W25" s="164"/>
    </row>
    <row r="26" spans="1:33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5">
        <f t="shared" si="11"/>
        <v>19650.129193000001</v>
      </c>
      <c r="W26" s="164"/>
    </row>
    <row r="27" spans="1:33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5">
        <f t="shared" si="12"/>
        <v>2934.7824930000002</v>
      </c>
      <c r="W27" s="164"/>
    </row>
    <row r="28" spans="1:33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5">
        <f t="shared" si="13"/>
        <v>7597.2989230000003</v>
      </c>
      <c r="W28" s="164"/>
    </row>
    <row r="29" spans="1:33">
      <c r="A29" s="165" t="s">
        <v>201</v>
      </c>
      <c r="B29" s="816">
        <f t="shared" ref="B29:V29" si="14">IF($A$15=1,B92,B155)</f>
        <v>2651.3831030000001</v>
      </c>
      <c r="C29" s="816">
        <f t="shared" si="14"/>
        <v>8856.3617169999998</v>
      </c>
      <c r="D29" s="816">
        <f t="shared" si="14"/>
        <v>8606.5609839999997</v>
      </c>
      <c r="E29" s="816">
        <f t="shared" si="14"/>
        <v>8453.9060460000001</v>
      </c>
      <c r="F29" s="816">
        <f t="shared" si="14"/>
        <v>8665.568475</v>
      </c>
      <c r="G29" s="816">
        <f t="shared" si="14"/>
        <v>8451.6999159999996</v>
      </c>
      <c r="H29" s="816">
        <f t="shared" si="14"/>
        <v>8224.9215850000001</v>
      </c>
      <c r="I29" s="816">
        <f t="shared" si="14"/>
        <v>8204.105313</v>
      </c>
      <c r="J29" s="816">
        <f t="shared" si="14"/>
        <v>8169.4097019999999</v>
      </c>
      <c r="K29" s="816">
        <f t="shared" si="14"/>
        <v>8345.1952600000004</v>
      </c>
      <c r="L29" s="816">
        <f t="shared" si="14"/>
        <v>8534.8587889999999</v>
      </c>
      <c r="M29" s="816">
        <f t="shared" si="14"/>
        <v>8316.7952330000007</v>
      </c>
      <c r="N29" s="816">
        <f t="shared" si="14"/>
        <v>8127.7771590000002</v>
      </c>
      <c r="O29" s="816">
        <f t="shared" si="14"/>
        <v>8106.959519</v>
      </c>
      <c r="P29" s="816">
        <f t="shared" si="14"/>
        <v>8093.0815490000005</v>
      </c>
      <c r="Q29" s="816">
        <f t="shared" si="14"/>
        <v>7625.7003510000004</v>
      </c>
      <c r="R29" s="816">
        <f t="shared" si="14"/>
        <v>7625.7003510000004</v>
      </c>
      <c r="S29" s="816">
        <f t="shared" si="14"/>
        <v>7452.3889799999997</v>
      </c>
      <c r="T29" s="816">
        <f t="shared" si="14"/>
        <v>7445.44931</v>
      </c>
      <c r="U29" s="816">
        <f t="shared" si="14"/>
        <v>7445.44931</v>
      </c>
      <c r="V29" s="817">
        <f t="shared" si="14"/>
        <v>7597.2989230000003</v>
      </c>
      <c r="W29" s="164"/>
    </row>
    <row r="30" spans="1:33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5">
        <f t="shared" si="15"/>
        <v>193539.67902899999</v>
      </c>
      <c r="W30" s="164"/>
    </row>
    <row r="31" spans="1:33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33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A18" sqref="A18"/>
    </sheetView>
  </sheetViews>
  <sheetFormatPr defaultColWidth="8.81640625" defaultRowHeight="15"/>
  <cols>
    <col min="1" max="1" width="23.81640625" style="191" customWidth="1"/>
    <col min="2" max="2" width="5.81640625" style="191" customWidth="1"/>
    <col min="3" max="22" width="10.08984375" style="580" customWidth="1"/>
    <col min="23" max="23" width="4.08984375" style="580" customWidth="1"/>
    <col min="24" max="51" width="10.81640625" style="580" customWidth="1"/>
    <col min="52" max="252" width="10.81640625" style="191" customWidth="1"/>
    <col min="253" max="16384" width="8.81640625" style="191"/>
  </cols>
  <sheetData>
    <row r="1" spans="1:41" ht="22.2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6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6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6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6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6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6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6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6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6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6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6">
      <c r="A13" s="196" t="s">
        <v>215</v>
      </c>
      <c r="B13" s="196"/>
      <c r="C13" s="593">
        <f t="shared" ref="C13:V13" si="3">C12*C10</f>
        <v>58546.735590269847</v>
      </c>
      <c r="D13" s="593">
        <f t="shared" si="3"/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6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6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6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6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6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6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6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6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6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6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6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6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6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6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6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6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6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6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6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6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6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6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6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6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6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6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6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6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6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6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6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6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6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6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6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6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6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6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6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6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6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6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6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6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6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6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6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6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6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6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6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6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6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6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6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6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6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6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6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6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6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6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6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6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6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6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6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6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6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6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6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6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6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6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6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6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6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6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6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6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6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6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6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6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6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6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6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6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6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6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6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6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6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6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6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6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6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6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6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6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6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6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6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6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6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6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6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6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6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6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103"/>
  <sheetViews>
    <sheetView showOutlineSymbols="0" zoomScale="75" zoomScaleNormal="75" workbookViewId="0">
      <selection activeCell="F32" sqref="F32"/>
    </sheetView>
  </sheetViews>
  <sheetFormatPr defaultColWidth="9.81640625" defaultRowHeight="15.6"/>
  <cols>
    <col min="1" max="1" width="18.1796875" style="214" customWidth="1"/>
    <col min="2" max="16384" width="9.81640625" style="214"/>
  </cols>
  <sheetData>
    <row r="1" spans="1:33" ht="22.2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33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33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33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33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33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33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33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33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33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33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33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33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33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33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33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33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33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33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33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33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33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33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33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33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33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33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33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33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33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33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33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32" sqref="F32"/>
    </sheetView>
  </sheetViews>
  <sheetFormatPr defaultColWidth="9.81640625" defaultRowHeight="15"/>
  <cols>
    <col min="1" max="1" width="22.81640625" style="238" customWidth="1"/>
    <col min="2" max="2" width="4.81640625" style="238" customWidth="1"/>
    <col min="3" max="3" width="11.36328125" style="238" customWidth="1"/>
    <col min="4" max="4" width="11.81640625" style="238" customWidth="1"/>
    <col min="5" max="11" width="11.453125" style="238" customWidth="1"/>
    <col min="12" max="12" width="10.81640625" style="238" customWidth="1"/>
    <col min="13" max="22" width="11.1796875" style="238" customWidth="1"/>
    <col min="23" max="16384" width="9.81640625" style="238"/>
  </cols>
  <sheetData>
    <row r="1" spans="1:256" ht="22.2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6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6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6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6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6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6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6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6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6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6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6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6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6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6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6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6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6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6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6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6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6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6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6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6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6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6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6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6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6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6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6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6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6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6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6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6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6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6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6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6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6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6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6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6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6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6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6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6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6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6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6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6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6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6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6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6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6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6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6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6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6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6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6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6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6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6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6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6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6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6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6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6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6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6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6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6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6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6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6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6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6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6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6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6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6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6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6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6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6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6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U177"/>
  <sheetViews>
    <sheetView showOutlineSymbols="0" view="pageBreakPreview" zoomScaleNormal="75" workbookViewId="0">
      <selection activeCell="V62" sqref="V62"/>
    </sheetView>
  </sheetViews>
  <sheetFormatPr defaultColWidth="9.81640625" defaultRowHeight="15"/>
  <cols>
    <col min="1" max="1" width="21.81640625" style="255" customWidth="1"/>
    <col min="2" max="2" width="6.81640625" style="255" customWidth="1"/>
    <col min="3" max="16384" width="9.81640625" style="255"/>
  </cols>
  <sheetData>
    <row r="1" spans="1:33" ht="22.2">
      <c r="A1" s="254" t="str">
        <f ca="1">OandM!A1</f>
        <v>DELMARVA, VA</v>
      </c>
      <c r="Q1" s="256"/>
      <c r="R1" s="256"/>
    </row>
    <row r="2" spans="1:33" ht="15.6">
      <c r="A2" s="257" t="s">
        <v>257</v>
      </c>
      <c r="B2" s="258"/>
      <c r="Q2" s="259"/>
      <c r="R2" s="259"/>
    </row>
    <row r="3" spans="1:33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33" ht="15.6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33" ht="15.6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33" ht="15.6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33" ht="15.6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9" spans="1:33"/>
    <row r="10" spans="1:33" ht="15.6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33" ht="15.6">
      <c r="A11" s="267" t="str">
        <f>'ASSUM 1'!F31</f>
        <v xml:space="preserve">   Management Fee </v>
      </c>
      <c r="B11" s="267"/>
      <c r="C11" s="268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33" ht="15.6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33" ht="15.6">
      <c r="A13" s="267" t="str">
        <f>'ASSUM 1'!F33</f>
        <v xml:space="preserve">   Variable Costs mills/kw</v>
      </c>
      <c r="B13" s="267"/>
      <c r="C13" s="268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33" ht="15.6">
      <c r="A14" s="267" t="str">
        <f>'ASSUM 1'!F34</f>
        <v xml:space="preserve">   Maintenance Reserve</v>
      </c>
      <c r="B14" s="267"/>
      <c r="C14" s="268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33" ht="15.6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33" ht="15.6">
      <c r="A16" s="267" t="str">
        <f>'ASSUM 1'!F36</f>
        <v xml:space="preserve">   TPS Parts Co. </v>
      </c>
      <c r="B16" s="267"/>
      <c r="C16" s="268">
        <f ca="1">('ASSUM 1'!H36)*(1+'ASSUM 1'!I36)^(C$5-'ASSUM 1'!I27)*C$7/12*1000</f>
        <v>325.62555295992695</v>
      </c>
      <c r="D16" s="268">
        <f ca="1">('ASSUM 1'!H36)*(1+'ASSUM 1'!I36)^(D$5-'ASSUM 1'!I27)*D$7/12*1000</f>
        <v>558.21523364558902</v>
      </c>
      <c r="E16" s="268">
        <f ca="1">('ASSUM 1'!H36)*(1+'ASSUM 1'!I36)^(E$5-'ASSUM 1'!I27)*E$7/12*1000</f>
        <v>558.21523364558902</v>
      </c>
      <c r="F16" s="268">
        <f ca="1">('ASSUM 1'!H36)*(1+'ASSUM 1'!I36)^(F$5-'ASSUM 1'!I27)*F$7/12*1000</f>
        <v>558.21523364558902</v>
      </c>
      <c r="G16" s="268">
        <f ca="1">('ASSUM 1'!H36)*(1+'ASSUM 1'!I36)^(G$5-'ASSUM 1'!I27)*G$7/12*1000</f>
        <v>558.21523364558902</v>
      </c>
      <c r="H16" s="268">
        <f ca="1">('ASSUM 1'!H36)*(1+'ASSUM 1'!I36)^(H$5-'ASSUM 1'!I27)*H$7/12*1000</f>
        <v>558.21523364558902</v>
      </c>
      <c r="I16" s="268">
        <f ca="1">('ASSUM 1'!H36)*(1+'ASSUM 1'!I36)^(I$5-'ASSUM 1'!I27)*I$7/12*1000</f>
        <v>558.21523364558902</v>
      </c>
      <c r="J16" s="268">
        <f ca="1">('ASSUM 1'!H36)*(1+'ASSUM 1'!I36)^(J$5-'ASSUM 1'!I27)*J$7/12*1000</f>
        <v>558.21523364558902</v>
      </c>
      <c r="K16" s="268">
        <f ca="1">('ASSUM 1'!H36)*(1+'ASSUM 1'!I36)^(K$5-'ASSUM 1'!I27)*K$7/12*1000</f>
        <v>558.21523364558902</v>
      </c>
      <c r="L16" s="268">
        <f ca="1">('ASSUM 1'!H36)*(1+'ASSUM 1'!I36)^(L$5-'ASSUM 1'!I27)*L$7/12*1000</f>
        <v>558.21523364558902</v>
      </c>
      <c r="M16" s="268">
        <f ca="1">('ASSUM 1'!H36)*(1+'ASSUM 1'!I36)^(M$5-'ASSUM 1'!I27)*M$7/12*1000</f>
        <v>558.21523364558902</v>
      </c>
      <c r="N16" s="268">
        <f ca="1">('ASSUM 1'!H36)*(1+'ASSUM 1'!I36)^(N$5-'ASSUM 1'!I27)*N$7/12*1000</f>
        <v>558.21523364558902</v>
      </c>
      <c r="O16" s="268">
        <f ca="1">('ASSUM 1'!H36)*(1+'ASSUM 1'!I36)^(O$5-'ASSUM 1'!I27)*O$7/12*1000</f>
        <v>558.21523364558902</v>
      </c>
      <c r="P16" s="268">
        <f ca="1">('ASSUM 1'!H36)*(1+'ASSUM 1'!I36)^(P$5-'ASSUM 1'!I27)*P$7/12*1000</f>
        <v>558.21523364558902</v>
      </c>
      <c r="Q16" s="268">
        <f ca="1">('ASSUM 1'!H36)*(1+'ASSUM 1'!I36)^(Q$5-'ASSUM 1'!I27)*Q$7/12*1000</f>
        <v>558.21523364558902</v>
      </c>
      <c r="R16" s="268">
        <f ca="1">('ASSUM 1'!H36)*(1+'ASSUM 1'!I36)^(R$5-'ASSUM 1'!I27)*R$7/12*1000</f>
        <v>558.21523364558902</v>
      </c>
      <c r="S16" s="268">
        <f ca="1">('ASSUM 1'!H36)*(1+'ASSUM 1'!I36)^(S$5-'ASSUM 1'!I27)*S$7/12*1000</f>
        <v>558.21523364558902</v>
      </c>
      <c r="T16" s="268">
        <f ca="1">('ASSUM 1'!H36)*(1+'ASSUM 1'!I36)^(T$5-'ASSUM 1'!I27)*T$7/12*1000</f>
        <v>558.21523364558902</v>
      </c>
      <c r="U16" s="268">
        <f ca="1">('ASSUM 1'!H36)*(1+'ASSUM 1'!I36)^(U$5-'ASSUM 1'!I27)*U$7/12*1000</f>
        <v>558.21523364558902</v>
      </c>
      <c r="V16" s="268">
        <f ca="1">('ASSUM 1'!H36)*(1+'ASSUM 1'!I36)^(V$5-'ASSUM 1'!I27)*V$7/12*1000</f>
        <v>558.21523364558902</v>
      </c>
    </row>
    <row r="17" spans="1:33" ht="15.6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33" ht="15.6">
      <c r="A18" s="267" t="s">
        <v>260</v>
      </c>
      <c r="B18" s="267"/>
      <c r="C18" s="268">
        <f ca="1">SUM(C11:C17)</f>
        <v>2061.1030478623411</v>
      </c>
      <c r="D18" s="268">
        <f t="shared" ref="D18:V18" ca="1" si="2">SUM(D11:D17)</f>
        <v>4979.7354441333791</v>
      </c>
      <c r="E18" s="268">
        <f t="shared" ca="1" si="2"/>
        <v>5135.5445725448271</v>
      </c>
      <c r="F18" s="268">
        <f t="shared" ca="1" si="2"/>
        <v>5273.9894022795052</v>
      </c>
      <c r="G18" s="268">
        <f t="shared" ca="1" si="2"/>
        <v>5376.8765778589532</v>
      </c>
      <c r="H18" s="268">
        <f t="shared" ca="1" si="2"/>
        <v>5482.6549400119911</v>
      </c>
      <c r="I18" s="268">
        <f t="shared" ca="1" si="2"/>
        <v>5630.6645354992579</v>
      </c>
      <c r="J18" s="268">
        <f t="shared" ca="1" si="2"/>
        <v>5780.5280022931474</v>
      </c>
      <c r="K18" s="268">
        <f t="shared" ca="1" si="2"/>
        <v>5917.4266243063003</v>
      </c>
      <c r="L18" s="268">
        <f t="shared" ca="1" si="2"/>
        <v>6053.339559167588</v>
      </c>
      <c r="M18" s="268">
        <f t="shared" ca="1" si="2"/>
        <v>6197.3795394248273</v>
      </c>
      <c r="N18" s="268">
        <f t="shared" ca="1" si="2"/>
        <v>6341.7743378657533</v>
      </c>
      <c r="O18" s="268">
        <f t="shared" ca="1" si="2"/>
        <v>6514.1935527845626</v>
      </c>
      <c r="P18" s="268">
        <f t="shared" ca="1" si="2"/>
        <v>6664.4097214151043</v>
      </c>
      <c r="Q18" s="268">
        <f t="shared" ca="1" si="2"/>
        <v>6836.5693008623712</v>
      </c>
      <c r="R18" s="268">
        <f t="shared" ca="1" si="2"/>
        <v>6988.5864669146094</v>
      </c>
      <c r="S18" s="268">
        <f t="shared" ca="1" si="2"/>
        <v>7168.0447029391062</v>
      </c>
      <c r="T18" s="268">
        <f t="shared" ca="1" si="2"/>
        <v>7342.6304141428946</v>
      </c>
      <c r="U18" s="268">
        <f t="shared" ca="1" si="2"/>
        <v>7527.1740338114059</v>
      </c>
      <c r="V18" s="268">
        <f t="shared" ca="1" si="2"/>
        <v>7692.7422445834436</v>
      </c>
    </row>
    <row r="19" spans="1:33" ht="15.6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33" ht="15.6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33" ht="15.6">
      <c r="A21" s="267" t="str">
        <f>'ASSUM 1'!F40</f>
        <v xml:space="preserve">   Marketing Fee</v>
      </c>
      <c r="B21" s="267"/>
      <c r="C21" s="26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33" ht="15.6">
      <c r="A22" s="267" t="str">
        <f>'ASSUM 1'!F41</f>
        <v xml:space="preserve">   Property Tax</v>
      </c>
      <c r="B22" s="267"/>
      <c r="C22" s="268">
        <f t="shared" ref="C22:V22" ca="1" si="3">C56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33" ht="15.6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33" ht="15.6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33" ht="15.6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33" ht="15.6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33" ht="15.6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33" ht="15.6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33" ht="15.6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33" ht="15.6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33" ht="15.6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33" ht="15.6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6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6">
      <c r="A34" s="271" t="s">
        <v>262</v>
      </c>
      <c r="B34" s="271"/>
      <c r="C34" s="272">
        <f t="shared" ref="C34:V34" ca="1" si="5">C18+C32</f>
        <v>2241.6168840402652</v>
      </c>
      <c r="D34" s="272">
        <f t="shared" ca="1" si="5"/>
        <v>5999.1848591601056</v>
      </c>
      <c r="E34" s="272">
        <f t="shared" ca="1" si="5"/>
        <v>6158.2214990138345</v>
      </c>
      <c r="F34" s="272">
        <f t="shared" ca="1" si="5"/>
        <v>6063.1878407435015</v>
      </c>
      <c r="G34" s="272">
        <f t="shared" ca="1" si="5"/>
        <v>6172.419993347281</v>
      </c>
      <c r="H34" s="272">
        <f t="shared" ca="1" si="5"/>
        <v>6230.9122477538194</v>
      </c>
      <c r="I34" s="272">
        <f t="shared" ca="1" si="5"/>
        <v>6429.1776870895992</v>
      </c>
      <c r="J34" s="272">
        <f t="shared" ca="1" si="5"/>
        <v>6634.2188201378667</v>
      </c>
      <c r="K34" s="272">
        <f t="shared" ca="1" si="5"/>
        <v>6780.5756080250458</v>
      </c>
      <c r="L34" s="272">
        <f t="shared" ca="1" si="5"/>
        <v>6909.5870551637609</v>
      </c>
      <c r="M34" s="272">
        <f t="shared" ca="1" si="5"/>
        <v>7064.5430993295431</v>
      </c>
      <c r="N34" s="272">
        <f t="shared" ca="1" si="5"/>
        <v>7204.7162641427039</v>
      </c>
      <c r="O34" s="272">
        <f t="shared" ca="1" si="5"/>
        <v>7385.9114899810493</v>
      </c>
      <c r="P34" s="272">
        <f t="shared" ca="1" si="5"/>
        <v>7524.1211636426533</v>
      </c>
      <c r="Q34" s="272">
        <f t="shared" ca="1" si="5"/>
        <v>7737.9449491106443</v>
      </c>
      <c r="R34" s="272">
        <f t="shared" ca="1" si="5"/>
        <v>7932.0648587880587</v>
      </c>
      <c r="S34" s="272">
        <f t="shared" ca="1" si="5"/>
        <v>8154.2442270544334</v>
      </c>
      <c r="T34" s="272">
        <f t="shared" ca="1" si="5"/>
        <v>8340.7260724989574</v>
      </c>
      <c r="U34" s="272">
        <f t="shared" ca="1" si="5"/>
        <v>8546.6196888428167</v>
      </c>
      <c r="V34" s="272">
        <f t="shared" ca="1" si="5"/>
        <v>8669.3805887277067</v>
      </c>
    </row>
    <row r="35" spans="1:255"/>
    <row r="36" spans="1:255" ht="15.6">
      <c r="A36" s="263" t="s">
        <v>263</v>
      </c>
      <c r="B36" s="263"/>
      <c r="C36" s="273">
        <f ca="1">C18/Tariff!C17</f>
        <v>3.5204405968705887E-2</v>
      </c>
      <c r="D36" s="273">
        <f ca="1">D18/Tariff!D17</f>
        <v>2.5531131306806322E-2</v>
      </c>
      <c r="E36" s="273">
        <f ca="1">E18/Tariff!E17</f>
        <v>2.424021149885075E-2</v>
      </c>
      <c r="F36" s="273">
        <f ca="1">F18/Tariff!F17</f>
        <v>2.4133042380569632E-2</v>
      </c>
      <c r="G36" s="273">
        <f ca="1">G18/Tariff!G17</f>
        <v>2.5869929365397667E-2</v>
      </c>
      <c r="H36" s="273">
        <f ca="1">H18/Tariff!H17</f>
        <v>2.776354290902255E-2</v>
      </c>
      <c r="I36" s="273">
        <f ca="1">I18/Tariff!I17</f>
        <v>2.7639044733087047E-2</v>
      </c>
      <c r="J36" s="273">
        <f ca="1">J18/Tariff!J17</f>
        <v>2.7666467371993134E-2</v>
      </c>
      <c r="K36" s="273">
        <f ca="1">K18/Tariff!K17</f>
        <v>2.8542230311872138E-2</v>
      </c>
      <c r="L36" s="273">
        <f ca="1">L18/Tariff!L17</f>
        <v>2.9679586078268764E-2</v>
      </c>
      <c r="M36" s="273">
        <f ca="1">M18/Tariff!M17</f>
        <v>3.062825611613243E-2</v>
      </c>
      <c r="N36" s="273">
        <f ca="1">N18/Tariff!N17</f>
        <v>3.1790521004949758E-2</v>
      </c>
      <c r="O36" s="273">
        <f ca="1">O18/Tariff!O17</f>
        <v>3.1739778504643254E-2</v>
      </c>
      <c r="P36" s="273">
        <f ca="1">P18/Tariff!P17</f>
        <v>3.3059360920835328E-2</v>
      </c>
      <c r="Q36" s="273">
        <f ca="1">Q18/Tariff!Q17</f>
        <v>3.3506978603307744E-2</v>
      </c>
      <c r="R36" s="273">
        <f ca="1">R18/Tariff!R17</f>
        <v>3.5238673582092886E-2</v>
      </c>
      <c r="S36" s="273">
        <f ca="1">S18/Tariff!S17</f>
        <v>3.5808463775921215E-2</v>
      </c>
      <c r="T36" s="273">
        <f ca="1">T18/Tariff!T17</f>
        <v>3.6901996181664169E-2</v>
      </c>
      <c r="U36" s="273">
        <f ca="1">U18/Tariff!U17</f>
        <v>3.7751440141833209E-2</v>
      </c>
      <c r="V36" s="273">
        <f ca="1">V18/Tariff!V17</f>
        <v>3.9908973770186817E-2</v>
      </c>
    </row>
    <row r="37" spans="1:255" ht="15.6">
      <c r="A37" s="263" t="s">
        <v>264</v>
      </c>
      <c r="B37" s="263"/>
      <c r="C37" s="273">
        <f ca="1">C34/Tariff!C17</f>
        <v>3.8287649370032678E-2</v>
      </c>
      <c r="D37" s="273">
        <f ca="1">D34/Tariff!D17</f>
        <v>3.0757854125255935E-2</v>
      </c>
      <c r="E37" s="273">
        <f ca="1">E34/Tariff!E17</f>
        <v>2.9067334434387689E-2</v>
      </c>
      <c r="F37" s="273">
        <f ca="1">F34/Tariff!F17</f>
        <v>2.7744304730452078E-2</v>
      </c>
      <c r="G37" s="273">
        <f ca="1">G34/Tariff!G17</f>
        <v>2.9697551530008588E-2</v>
      </c>
      <c r="H37" s="273">
        <f ca="1">H34/Tariff!H17</f>
        <v>3.1552633066579412E-2</v>
      </c>
      <c r="I37" s="273">
        <f ca="1">I34/Tariff!I17</f>
        <v>3.1558678122293543E-2</v>
      </c>
      <c r="J37" s="273">
        <f ca="1">J34/Tariff!J17</f>
        <v>3.1752358686471936E-2</v>
      </c>
      <c r="K37" s="273">
        <f ca="1">K34/Tariff!K17</f>
        <v>3.2705559855421298E-2</v>
      </c>
      <c r="L37" s="273">
        <f ca="1">L34/Tariff!L17</f>
        <v>3.3877776352137214E-2</v>
      </c>
      <c r="M37" s="273">
        <f ca="1">M34/Tariff!M17</f>
        <v>3.491389126859943E-2</v>
      </c>
      <c r="N37" s="273">
        <f ca="1">N34/Tariff!N17</f>
        <v>3.6116340873619437E-2</v>
      </c>
      <c r="O37" s="273">
        <f ca="1">O34/Tariff!O17</f>
        <v>3.5987139904169671E-2</v>
      </c>
      <c r="P37" s="273">
        <f ca="1">P34/Tariff!P17</f>
        <v>3.7324031318431691E-2</v>
      </c>
      <c r="Q37" s="273">
        <f ca="1">Q34/Tariff!Q17</f>
        <v>3.792474623357045E-2</v>
      </c>
      <c r="R37" s="273">
        <f ca="1">R34/Tariff!R17</f>
        <v>3.9995991423173352E-2</v>
      </c>
      <c r="S37" s="273">
        <f ca="1">S34/Tariff!S17</f>
        <v>4.0735091803315429E-2</v>
      </c>
      <c r="T37" s="273">
        <f ca="1">T34/Tariff!T17</f>
        <v>4.1918144359658821E-2</v>
      </c>
      <c r="U37" s="273">
        <f ca="1">U34/Tariff!U17</f>
        <v>4.2864320679854066E-2</v>
      </c>
      <c r="V37" s="273">
        <f ca="1">V34/Tariff!V17</f>
        <v>4.4975649972272755E-2</v>
      </c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  <c r="BU37" s="263"/>
      <c r="BV37" s="263"/>
      <c r="BW37" s="263"/>
      <c r="BX37" s="263"/>
      <c r="BY37" s="263"/>
      <c r="BZ37" s="263"/>
      <c r="CA37" s="263"/>
      <c r="CB37" s="263"/>
      <c r="CC37" s="263"/>
      <c r="CD37" s="263"/>
      <c r="CE37" s="263"/>
      <c r="CF37" s="263"/>
      <c r="CG37" s="263"/>
      <c r="CH37" s="263"/>
      <c r="CI37" s="263"/>
      <c r="CJ37" s="263"/>
      <c r="CK37" s="263"/>
      <c r="CL37" s="263"/>
      <c r="CM37" s="263"/>
      <c r="CN37" s="263"/>
      <c r="CO37" s="263"/>
      <c r="CP37" s="263"/>
      <c r="CQ37" s="263"/>
      <c r="CR37" s="263"/>
      <c r="CS37" s="263"/>
      <c r="CT37" s="263"/>
      <c r="CU37" s="263"/>
      <c r="CV37" s="263"/>
      <c r="CW37" s="263"/>
      <c r="CX37" s="263"/>
      <c r="CY37" s="263"/>
      <c r="CZ37" s="263"/>
      <c r="DA37" s="263"/>
      <c r="DB37" s="263"/>
      <c r="DC37" s="263"/>
      <c r="DD37" s="263"/>
      <c r="DE37" s="263"/>
      <c r="DF37" s="263"/>
      <c r="DG37" s="263"/>
      <c r="DH37" s="263"/>
      <c r="DI37" s="263"/>
      <c r="DJ37" s="263"/>
      <c r="DK37" s="263"/>
      <c r="DL37" s="263"/>
      <c r="DM37" s="263"/>
      <c r="DN37" s="263"/>
      <c r="DO37" s="263"/>
      <c r="DP37" s="263"/>
      <c r="DQ37" s="263"/>
      <c r="DR37" s="263"/>
      <c r="DS37" s="263"/>
      <c r="DT37" s="263"/>
      <c r="DU37" s="263"/>
      <c r="DV37" s="263"/>
      <c r="DW37" s="263"/>
      <c r="DX37" s="263"/>
      <c r="DY37" s="263"/>
      <c r="DZ37" s="263"/>
      <c r="EA37" s="263"/>
      <c r="EB37" s="263"/>
      <c r="EC37" s="263"/>
      <c r="ED37" s="263"/>
      <c r="EE37" s="263"/>
      <c r="EF37" s="263"/>
      <c r="EG37" s="263"/>
      <c r="EH37" s="263"/>
      <c r="EI37" s="263"/>
      <c r="EJ37" s="263"/>
      <c r="EK37" s="263"/>
      <c r="EL37" s="263"/>
      <c r="EM37" s="263"/>
      <c r="EN37" s="263"/>
      <c r="EO37" s="263"/>
      <c r="EP37" s="263"/>
      <c r="EQ37" s="263"/>
      <c r="ER37" s="263"/>
      <c r="ES37" s="263"/>
      <c r="ET37" s="263"/>
      <c r="EU37" s="263"/>
      <c r="EV37" s="263"/>
      <c r="EW37" s="263"/>
      <c r="EX37" s="263"/>
      <c r="EY37" s="263"/>
      <c r="EZ37" s="263"/>
      <c r="FA37" s="263"/>
      <c r="FB37" s="263"/>
      <c r="FC37" s="263"/>
      <c r="FD37" s="263"/>
      <c r="FE37" s="263"/>
      <c r="FF37" s="263"/>
      <c r="FG37" s="263"/>
      <c r="FH37" s="263"/>
      <c r="FI37" s="263"/>
      <c r="FJ37" s="263"/>
      <c r="FK37" s="263"/>
      <c r="FL37" s="263"/>
      <c r="FM37" s="263"/>
      <c r="FN37" s="263"/>
      <c r="FO37" s="263"/>
      <c r="FP37" s="263"/>
      <c r="FQ37" s="263"/>
      <c r="FR37" s="263"/>
      <c r="FS37" s="263"/>
      <c r="FT37" s="263"/>
      <c r="FU37" s="263"/>
      <c r="FV37" s="263"/>
      <c r="FW37" s="263"/>
      <c r="FX37" s="263"/>
      <c r="FY37" s="263"/>
      <c r="FZ37" s="263"/>
      <c r="GA37" s="263"/>
      <c r="GB37" s="263"/>
      <c r="GC37" s="263"/>
      <c r="GD37" s="263"/>
      <c r="GE37" s="263"/>
      <c r="GF37" s="263"/>
      <c r="GG37" s="263"/>
      <c r="GH37" s="263"/>
      <c r="GI37" s="263"/>
      <c r="GJ37" s="263"/>
      <c r="GK37" s="263"/>
      <c r="GL37" s="263"/>
      <c r="GM37" s="263"/>
      <c r="GN37" s="263"/>
      <c r="GO37" s="263"/>
      <c r="GP37" s="263"/>
      <c r="GQ37" s="263"/>
      <c r="GR37" s="263"/>
      <c r="GS37" s="263"/>
      <c r="GT37" s="263"/>
      <c r="GU37" s="263"/>
      <c r="GV37" s="263"/>
      <c r="GW37" s="263"/>
      <c r="GX37" s="263"/>
      <c r="GY37" s="263"/>
      <c r="GZ37" s="263"/>
      <c r="HA37" s="263"/>
      <c r="HB37" s="263"/>
      <c r="HC37" s="263"/>
      <c r="HD37" s="263"/>
      <c r="HE37" s="263"/>
      <c r="HF37" s="263"/>
      <c r="HG37" s="263"/>
      <c r="HH37" s="263"/>
      <c r="HI37" s="263"/>
      <c r="HJ37" s="263"/>
      <c r="HK37" s="263"/>
      <c r="HL37" s="263"/>
      <c r="HM37" s="263"/>
      <c r="HN37" s="263"/>
      <c r="HO37" s="263"/>
      <c r="HP37" s="263"/>
      <c r="HQ37" s="263"/>
      <c r="HR37" s="263"/>
      <c r="HS37" s="263"/>
      <c r="HT37" s="263"/>
      <c r="HU37" s="263"/>
      <c r="HV37" s="263"/>
      <c r="HW37" s="263"/>
      <c r="HX37" s="263"/>
      <c r="HY37" s="263"/>
      <c r="HZ37" s="263"/>
      <c r="IA37" s="263"/>
      <c r="IB37" s="263"/>
      <c r="IC37" s="263"/>
      <c r="ID37" s="263"/>
      <c r="IE37" s="263"/>
      <c r="IF37" s="263"/>
      <c r="IG37" s="263"/>
      <c r="IH37" s="263"/>
      <c r="II37" s="263"/>
      <c r="IJ37" s="263"/>
      <c r="IK37" s="263"/>
      <c r="IL37" s="263"/>
      <c r="IM37" s="263"/>
      <c r="IN37" s="263"/>
      <c r="IO37" s="263"/>
      <c r="IP37" s="263"/>
      <c r="IQ37" s="263"/>
      <c r="IR37" s="263"/>
      <c r="IS37" s="263"/>
      <c r="IT37" s="263"/>
      <c r="IU37" s="263"/>
    </row>
    <row r="38" spans="1:255" ht="15.6">
      <c r="A38" s="263"/>
      <c r="B38" s="26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63"/>
      <c r="BS38" s="263"/>
      <c r="BT38" s="263"/>
      <c r="BU38" s="263"/>
      <c r="BV38" s="263"/>
      <c r="BW38" s="263"/>
      <c r="BX38" s="263"/>
      <c r="BY38" s="263"/>
      <c r="BZ38" s="263"/>
      <c r="CA38" s="263"/>
      <c r="CB38" s="263"/>
      <c r="CC38" s="263"/>
      <c r="CD38" s="263"/>
      <c r="CE38" s="263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  <c r="CP38" s="263"/>
      <c r="CQ38" s="263"/>
      <c r="CR38" s="263"/>
      <c r="CS38" s="263"/>
      <c r="CT38" s="263"/>
      <c r="CU38" s="263"/>
      <c r="CV38" s="263"/>
      <c r="CW38" s="263"/>
      <c r="CX38" s="263"/>
      <c r="CY38" s="263"/>
      <c r="CZ38" s="263"/>
      <c r="DA38" s="263"/>
      <c r="DB38" s="263"/>
      <c r="DC38" s="263"/>
      <c r="DD38" s="263"/>
      <c r="DE38" s="263"/>
      <c r="DF38" s="263"/>
      <c r="DG38" s="263"/>
      <c r="DH38" s="263"/>
      <c r="DI38" s="263"/>
      <c r="DJ38" s="263"/>
      <c r="DK38" s="263"/>
      <c r="DL38" s="263"/>
      <c r="DM38" s="263"/>
      <c r="DN38" s="263"/>
      <c r="DO38" s="263"/>
      <c r="DP38" s="263"/>
      <c r="DQ38" s="263"/>
      <c r="DR38" s="263"/>
      <c r="DS38" s="263"/>
      <c r="DT38" s="263"/>
      <c r="DU38" s="263"/>
      <c r="DV38" s="263"/>
      <c r="DW38" s="263"/>
      <c r="DX38" s="263"/>
      <c r="DY38" s="263"/>
      <c r="DZ38" s="263"/>
      <c r="EA38" s="263"/>
      <c r="EB38" s="263"/>
      <c r="EC38" s="263"/>
      <c r="ED38" s="263"/>
      <c r="EE38" s="263"/>
      <c r="EF38" s="263"/>
      <c r="EG38" s="263"/>
      <c r="EH38" s="263"/>
      <c r="EI38" s="263"/>
      <c r="EJ38" s="263"/>
      <c r="EK38" s="263"/>
      <c r="EL38" s="263"/>
      <c r="EM38" s="263"/>
      <c r="EN38" s="263"/>
      <c r="EO38" s="263"/>
      <c r="EP38" s="263"/>
      <c r="EQ38" s="263"/>
      <c r="ER38" s="263"/>
      <c r="ES38" s="263"/>
      <c r="ET38" s="263"/>
      <c r="EU38" s="263"/>
      <c r="EV38" s="263"/>
      <c r="EW38" s="263"/>
      <c r="EX38" s="263"/>
      <c r="EY38" s="263"/>
      <c r="EZ38" s="263"/>
      <c r="FA38" s="263"/>
      <c r="FB38" s="263"/>
      <c r="FC38" s="263"/>
      <c r="FD38" s="263"/>
      <c r="FE38" s="263"/>
      <c r="FF38" s="263"/>
      <c r="FG38" s="263"/>
      <c r="FH38" s="263"/>
      <c r="FI38" s="263"/>
      <c r="FJ38" s="263"/>
      <c r="FK38" s="263"/>
      <c r="FL38" s="263"/>
      <c r="FM38" s="263"/>
      <c r="FN38" s="263"/>
      <c r="FO38" s="263"/>
      <c r="FP38" s="263"/>
      <c r="FQ38" s="263"/>
      <c r="FR38" s="263"/>
      <c r="FS38" s="263"/>
      <c r="FT38" s="263"/>
      <c r="FU38" s="263"/>
      <c r="FV38" s="263"/>
      <c r="FW38" s="263"/>
      <c r="FX38" s="263"/>
      <c r="FY38" s="263"/>
      <c r="FZ38" s="263"/>
      <c r="GA38" s="263"/>
      <c r="GB38" s="263"/>
      <c r="GC38" s="263"/>
      <c r="GD38" s="263"/>
      <c r="GE38" s="263"/>
      <c r="GF38" s="263"/>
      <c r="GG38" s="263"/>
      <c r="GH38" s="263"/>
      <c r="GI38" s="263"/>
      <c r="GJ38" s="263"/>
      <c r="GK38" s="263"/>
      <c r="GL38" s="263"/>
      <c r="GM38" s="263"/>
      <c r="GN38" s="263"/>
      <c r="GO38" s="263"/>
      <c r="GP38" s="263"/>
      <c r="GQ38" s="263"/>
      <c r="GR38" s="263"/>
      <c r="GS38" s="263"/>
      <c r="GT38" s="263"/>
      <c r="GU38" s="263"/>
      <c r="GV38" s="263"/>
      <c r="GW38" s="263"/>
      <c r="GX38" s="263"/>
      <c r="GY38" s="263"/>
      <c r="GZ38" s="263"/>
      <c r="HA38" s="263"/>
      <c r="HB38" s="263"/>
      <c r="HC38" s="263"/>
      <c r="HD38" s="263"/>
      <c r="HE38" s="263"/>
      <c r="HF38" s="263"/>
      <c r="HG38" s="263"/>
      <c r="HH38" s="263"/>
      <c r="HI38" s="263"/>
      <c r="HJ38" s="263"/>
      <c r="HK38" s="263"/>
      <c r="HL38" s="263"/>
      <c r="HM38" s="263"/>
      <c r="HN38" s="263"/>
      <c r="HO38" s="263"/>
      <c r="HP38" s="263"/>
      <c r="HQ38" s="263"/>
      <c r="HR38" s="263"/>
      <c r="HS38" s="263"/>
      <c r="HT38" s="263"/>
      <c r="HU38" s="263"/>
      <c r="HV38" s="263"/>
      <c r="HW38" s="263"/>
      <c r="HX38" s="263"/>
      <c r="HY38" s="263"/>
      <c r="HZ38" s="263"/>
      <c r="IA38" s="263"/>
      <c r="IB38" s="263"/>
      <c r="IC38" s="263"/>
      <c r="ID38" s="263"/>
      <c r="IE38" s="263"/>
      <c r="IF38" s="263"/>
      <c r="IG38" s="263"/>
      <c r="IH38" s="263"/>
      <c r="II38" s="263"/>
      <c r="IJ38" s="263"/>
      <c r="IK38" s="263"/>
      <c r="IL38" s="263"/>
      <c r="IM38" s="263"/>
      <c r="IN38" s="263"/>
      <c r="IO38" s="263"/>
      <c r="IP38" s="263"/>
      <c r="IQ38" s="263"/>
      <c r="IR38" s="263"/>
      <c r="IS38" s="263"/>
      <c r="IT38" s="263"/>
      <c r="IU38" s="263"/>
    </row>
    <row r="39" spans="1:255" ht="15.6">
      <c r="A39" s="274" t="s">
        <v>265</v>
      </c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  <c r="DQ39" s="263"/>
      <c r="DR39" s="263"/>
      <c r="DS39" s="263"/>
      <c r="DT39" s="263"/>
      <c r="DU39" s="263"/>
      <c r="DV39" s="263"/>
      <c r="DW39" s="263"/>
      <c r="DX39" s="263"/>
      <c r="DY39" s="263"/>
      <c r="DZ39" s="263"/>
      <c r="EA39" s="263"/>
      <c r="EB39" s="263"/>
      <c r="EC39" s="263"/>
      <c r="ED39" s="263"/>
      <c r="EE39" s="263"/>
      <c r="EF39" s="263"/>
      <c r="EG39" s="263"/>
      <c r="EH39" s="263"/>
      <c r="EI39" s="263"/>
      <c r="EJ39" s="263"/>
      <c r="EK39" s="263"/>
      <c r="EL39" s="263"/>
      <c r="EM39" s="263"/>
      <c r="EN39" s="263"/>
      <c r="EO39" s="263"/>
      <c r="EP39" s="263"/>
      <c r="EQ39" s="263"/>
      <c r="ER39" s="263"/>
      <c r="ES39" s="263"/>
      <c r="ET39" s="263"/>
      <c r="EU39" s="263"/>
      <c r="EV39" s="263"/>
      <c r="EW39" s="263"/>
      <c r="EX39" s="263"/>
      <c r="EY39" s="263"/>
      <c r="EZ39" s="263"/>
      <c r="FA39" s="263"/>
      <c r="FB39" s="263"/>
      <c r="FC39" s="263"/>
      <c r="FD39" s="263"/>
      <c r="FE39" s="263"/>
      <c r="FF39" s="263"/>
      <c r="FG39" s="263"/>
      <c r="FH39" s="263"/>
      <c r="FI39" s="263"/>
      <c r="FJ39" s="263"/>
      <c r="FK39" s="263"/>
      <c r="FL39" s="263"/>
      <c r="FM39" s="263"/>
      <c r="FN39" s="263"/>
      <c r="FO39" s="263"/>
      <c r="FP39" s="263"/>
      <c r="FQ39" s="263"/>
      <c r="FR39" s="263"/>
      <c r="FS39" s="263"/>
      <c r="FT39" s="263"/>
      <c r="FU39" s="263"/>
      <c r="FV39" s="263"/>
      <c r="FW39" s="263"/>
      <c r="FX39" s="263"/>
      <c r="FY39" s="263"/>
      <c r="FZ39" s="263"/>
      <c r="GA39" s="263"/>
      <c r="GB39" s="263"/>
      <c r="GC39" s="263"/>
      <c r="GD39" s="263"/>
      <c r="GE39" s="263"/>
      <c r="GF39" s="263"/>
      <c r="GG39" s="263"/>
      <c r="GH39" s="263"/>
      <c r="GI39" s="263"/>
      <c r="GJ39" s="263"/>
      <c r="GK39" s="263"/>
      <c r="GL39" s="263"/>
      <c r="GM39" s="263"/>
      <c r="GN39" s="263"/>
      <c r="GO39" s="263"/>
      <c r="GP39" s="263"/>
      <c r="GQ39" s="263"/>
      <c r="GR39" s="263"/>
      <c r="GS39" s="263"/>
      <c r="GT39" s="263"/>
      <c r="GU39" s="263"/>
      <c r="GV39" s="263"/>
      <c r="GW39" s="263"/>
      <c r="GX39" s="263"/>
      <c r="GY39" s="263"/>
      <c r="GZ39" s="263"/>
      <c r="HA39" s="263"/>
      <c r="HB39" s="263"/>
      <c r="HC39" s="263"/>
      <c r="HD39" s="263"/>
      <c r="HE39" s="263"/>
      <c r="HF39" s="263"/>
      <c r="HG39" s="263"/>
      <c r="HH39" s="263"/>
      <c r="HI39" s="263"/>
      <c r="HJ39" s="263"/>
      <c r="HK39" s="263"/>
      <c r="HL39" s="263"/>
      <c r="HM39" s="263"/>
      <c r="HN39" s="263"/>
      <c r="HO39" s="263"/>
      <c r="HP39" s="263"/>
      <c r="HQ39" s="263"/>
      <c r="HR39" s="263"/>
      <c r="HS39" s="263"/>
      <c r="HT39" s="263"/>
      <c r="HU39" s="263"/>
      <c r="HV39" s="263"/>
      <c r="HW39" s="263"/>
      <c r="HX39" s="263"/>
      <c r="HY39" s="263"/>
      <c r="HZ39" s="263"/>
      <c r="IA39" s="263"/>
      <c r="IB39" s="263"/>
      <c r="IC39" s="263"/>
      <c r="ID39" s="263"/>
      <c r="IE39" s="263"/>
      <c r="IF39" s="263"/>
      <c r="IG39" s="263"/>
      <c r="IH39" s="263"/>
      <c r="II39" s="263"/>
      <c r="IJ39" s="263"/>
      <c r="IK39" s="263"/>
      <c r="IL39" s="263"/>
      <c r="IM39" s="263"/>
      <c r="IN39" s="263"/>
      <c r="IO39" s="263"/>
      <c r="IP39" s="263"/>
      <c r="IQ39" s="263"/>
      <c r="IR39" s="263"/>
      <c r="IS39" s="263"/>
      <c r="IT39" s="263"/>
      <c r="IU39" s="263"/>
    </row>
    <row r="40" spans="1:255" ht="15.6">
      <c r="A40" s="263" t="s">
        <v>266</v>
      </c>
      <c r="B40" s="263"/>
      <c r="C40" s="275">
        <f ca="1">C14</f>
        <v>359.45</v>
      </c>
      <c r="D40" s="275">
        <f t="shared" ref="D40:V40" ca="1" si="6">C42+D14</f>
        <v>1806.5381879999998</v>
      </c>
      <c r="E40" s="275">
        <f t="shared" ca="1" si="6"/>
        <v>3292.6977570759996</v>
      </c>
      <c r="F40" s="275">
        <f t="shared" ca="1" si="6"/>
        <v>4818.9836345170506</v>
      </c>
      <c r="G40" s="275">
        <f t="shared" ca="1" si="6"/>
        <v>6386.4792306490099</v>
      </c>
      <c r="H40" s="275">
        <f t="shared" ca="1" si="6"/>
        <v>7996.2972078765324</v>
      </c>
      <c r="I40" s="275">
        <f t="shared" ca="1" si="6"/>
        <v>9649.5802704891976</v>
      </c>
      <c r="J40" s="275">
        <f t="shared" ca="1" si="6"/>
        <v>11347.501975792404</v>
      </c>
      <c r="K40" s="275">
        <f t="shared" ca="1" si="6"/>
        <v>13091.267567138797</v>
      </c>
      <c r="L40" s="275">
        <f t="shared" ca="1" si="6"/>
        <v>14882.114829451542</v>
      </c>
      <c r="M40" s="275">
        <f t="shared" ca="1" si="6"/>
        <v>16721.314967846731</v>
      </c>
      <c r="N40" s="275">
        <f t="shared" ca="1" si="6"/>
        <v>18610.173509978591</v>
      </c>
      <c r="O40" s="275">
        <f t="shared" ca="1" si="6"/>
        <v>20550.03123274801</v>
      </c>
      <c r="P40" s="275">
        <f t="shared" ca="1" si="6"/>
        <v>1992.2338812841938</v>
      </c>
      <c r="Q40" s="275">
        <f t="shared" ca="1" si="6"/>
        <v>4038.2580773630607</v>
      </c>
      <c r="R40" s="275">
        <f t="shared" ca="1" si="6"/>
        <v>6139.5249267360568</v>
      </c>
      <c r="S40" s="275">
        <f t="shared" ca="1" si="6"/>
        <v>8297.525981042123</v>
      </c>
      <c r="T40" s="275">
        <f t="shared" ca="1" si="6"/>
        <v>10513.793063814453</v>
      </c>
      <c r="U40" s="275">
        <f t="shared" ca="1" si="6"/>
        <v>12789.899357821636</v>
      </c>
      <c r="V40" s="275">
        <f t="shared" ca="1" si="6"/>
        <v>15127.460521767012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6">
      <c r="A41" s="263" t="s">
        <v>267</v>
      </c>
      <c r="B41" s="263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>
        <f ca="1">O40</f>
        <v>20550.03123274801</v>
      </c>
      <c r="P41" s="275"/>
      <c r="Q41" s="275"/>
      <c r="R41" s="275"/>
      <c r="S41" s="275"/>
      <c r="T41" s="275"/>
      <c r="U41" s="275"/>
      <c r="V41" s="275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6">
      <c r="A42" s="263" t="s">
        <v>268</v>
      </c>
      <c r="B42" s="263"/>
      <c r="C42" s="275">
        <f t="shared" ref="C42:V42" ca="1" si="7">C40-C41</f>
        <v>359.45</v>
      </c>
      <c r="D42" s="275">
        <f t="shared" ca="1" si="7"/>
        <v>1806.5381879999998</v>
      </c>
      <c r="E42" s="275">
        <f t="shared" ca="1" si="7"/>
        <v>3292.6977570759996</v>
      </c>
      <c r="F42" s="275">
        <f t="shared" ca="1" si="7"/>
        <v>4818.9836345170506</v>
      </c>
      <c r="G42" s="275">
        <f t="shared" ca="1" si="7"/>
        <v>6386.4792306490099</v>
      </c>
      <c r="H42" s="275">
        <f t="shared" ca="1" si="7"/>
        <v>7996.2972078765324</v>
      </c>
      <c r="I42" s="275">
        <f t="shared" ca="1" si="7"/>
        <v>9649.5802704891976</v>
      </c>
      <c r="J42" s="275">
        <f t="shared" ca="1" si="7"/>
        <v>11347.501975792404</v>
      </c>
      <c r="K42" s="275">
        <f t="shared" ca="1" si="7"/>
        <v>13091.267567138797</v>
      </c>
      <c r="L42" s="275">
        <f t="shared" ca="1" si="7"/>
        <v>14882.114829451542</v>
      </c>
      <c r="M42" s="275">
        <f t="shared" ca="1" si="7"/>
        <v>16721.314967846731</v>
      </c>
      <c r="N42" s="275">
        <f t="shared" ca="1" si="7"/>
        <v>18610.173509978591</v>
      </c>
      <c r="O42" s="275">
        <f t="shared" ca="1" si="7"/>
        <v>0</v>
      </c>
      <c r="P42" s="275">
        <f t="shared" ca="1" si="7"/>
        <v>1992.2338812841938</v>
      </c>
      <c r="Q42" s="275">
        <f t="shared" ca="1" si="7"/>
        <v>4038.2580773630607</v>
      </c>
      <c r="R42" s="275">
        <f t="shared" ca="1" si="7"/>
        <v>6139.5249267360568</v>
      </c>
      <c r="S42" s="275">
        <f t="shared" ca="1" si="7"/>
        <v>8297.525981042123</v>
      </c>
      <c r="T42" s="275">
        <f t="shared" ca="1" si="7"/>
        <v>10513.793063814453</v>
      </c>
      <c r="U42" s="275">
        <f t="shared" ca="1" si="7"/>
        <v>12789.899357821636</v>
      </c>
      <c r="V42" s="275">
        <f t="shared" ca="1" si="7"/>
        <v>15127.460521767012</v>
      </c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6">
      <c r="A43" s="263" t="s">
        <v>269</v>
      </c>
      <c r="B43" s="263"/>
      <c r="C43" s="275">
        <f ca="1">C42*'ASSUM 1'!$S$43</f>
        <v>17.9725</v>
      </c>
      <c r="D43" s="275">
        <f ca="1">D42*'ASSUM 1'!$S$43</f>
        <v>90.326909399999991</v>
      </c>
      <c r="E43" s="275">
        <f ca="1">E42*'ASSUM 1'!$S$43</f>
        <v>164.6348878538</v>
      </c>
      <c r="F43" s="275">
        <f ca="1">F42*'ASSUM 1'!$S$43</f>
        <v>240.94918172585255</v>
      </c>
      <c r="G43" s="275">
        <f ca="1">G42*'ASSUM 1'!$S$43</f>
        <v>319.32396153245054</v>
      </c>
      <c r="H43" s="275">
        <f ca="1">H42*'ASSUM 1'!$S$43</f>
        <v>399.81486039382662</v>
      </c>
      <c r="I43" s="275">
        <f ca="1">I42*'ASSUM 1'!$S$43</f>
        <v>482.4790135244599</v>
      </c>
      <c r="J43" s="275">
        <f ca="1">J42*'ASSUM 1'!$S$43</f>
        <v>567.37509878962021</v>
      </c>
      <c r="K43" s="275">
        <f ca="1">K42*'ASSUM 1'!$S$43</f>
        <v>654.56337835693989</v>
      </c>
      <c r="L43" s="275">
        <f ca="1">L42*'ASSUM 1'!$S$43</f>
        <v>744.10574147257717</v>
      </c>
      <c r="M43" s="275">
        <f ca="1">M42*'ASSUM 1'!$S$43</f>
        <v>836.06574839233656</v>
      </c>
      <c r="N43" s="275">
        <f ca="1">N42*'ASSUM 1'!$S$43</f>
        <v>930.50867549892962</v>
      </c>
      <c r="O43" s="275">
        <f ca="1">O42*'ASSUM 1'!$S$43</f>
        <v>0</v>
      </c>
      <c r="P43" s="275">
        <f ca="1">P42*'ASSUM 1'!$S$43</f>
        <v>99.611694064209701</v>
      </c>
      <c r="Q43" s="275">
        <f ca="1">Q42*'ASSUM 1'!$S$43</f>
        <v>201.91290386815305</v>
      </c>
      <c r="R43" s="275">
        <f ca="1">R42*'ASSUM 1'!$S$43</f>
        <v>306.97624633680289</v>
      </c>
      <c r="S43" s="275">
        <f ca="1">S42*'ASSUM 1'!$S$43</f>
        <v>414.87629905210616</v>
      </c>
      <c r="T43" s="275">
        <f ca="1">T42*'ASSUM 1'!$S$43</f>
        <v>525.68965319072265</v>
      </c>
      <c r="U43" s="275">
        <f ca="1">U42*'ASSUM 1'!$S$43</f>
        <v>639.49496789108184</v>
      </c>
      <c r="V43" s="275">
        <f ca="1">V42*'ASSUM 1'!$S$43</f>
        <v>756.37302608835068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6">
      <c r="A44" s="263"/>
      <c r="B44" s="263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6">
      <c r="A45" s="263" t="s">
        <v>270</v>
      </c>
      <c r="B45" s="263"/>
      <c r="C45" s="275">
        <f ca="1">SUM($C$16:C16)</f>
        <v>325.62555295992695</v>
      </c>
      <c r="D45" s="275">
        <f ca="1">SUM($C$16:D16)</f>
        <v>883.84078660551597</v>
      </c>
      <c r="E45" s="275">
        <f ca="1">SUM($C$16:E16)</f>
        <v>1442.0560202511051</v>
      </c>
      <c r="F45" s="275">
        <f ca="1">SUM($C$16:F16)</f>
        <v>2000.2712538966941</v>
      </c>
      <c r="G45" s="275">
        <f ca="1">SUM($C$16:G16)</f>
        <v>2558.4864875422832</v>
      </c>
      <c r="H45" s="275">
        <f ca="1">SUM($C$16:H16)</f>
        <v>3116.701721187872</v>
      </c>
      <c r="I45" s="275">
        <f ca="1">SUM($C$16:I16)</f>
        <v>3674.9169548334612</v>
      </c>
      <c r="J45" s="275">
        <f ca="1">SUM($C$16:J16)</f>
        <v>4233.1321884790505</v>
      </c>
      <c r="K45" s="275">
        <f ca="1">SUM($C$16:K16)</f>
        <v>4791.3474221246397</v>
      </c>
      <c r="L45" s="275">
        <f ca="1">SUM($C$16:L16)</f>
        <v>5349.562655770229</v>
      </c>
      <c r="M45" s="275">
        <f ca="1">SUM($C$16:M16)</f>
        <v>5907.7778894158182</v>
      </c>
      <c r="N45" s="275">
        <f ca="1">SUM($C$16:N16)</f>
        <v>6465.9931230614075</v>
      </c>
      <c r="O45" s="275">
        <f ca="1">SUM($C$16:O16)</f>
        <v>7024.2083567069967</v>
      </c>
      <c r="P45" s="275">
        <f ca="1">SUM($C$16:P16)</f>
        <v>7582.423590352586</v>
      </c>
      <c r="Q45" s="275">
        <f ca="1">SUM($C$16:Q16)</f>
        <v>8140.6388239981752</v>
      </c>
      <c r="R45" s="275">
        <f ca="1">SUM($C$16:R16)</f>
        <v>8698.8540576437645</v>
      </c>
      <c r="S45" s="275">
        <f ca="1">SUM($C$16:S16)</f>
        <v>9257.0692912893537</v>
      </c>
      <c r="T45" s="275">
        <f ca="1">SUM($C$16:T16)</f>
        <v>9815.284524934943</v>
      </c>
      <c r="U45" s="275">
        <f ca="1">SUM($C$16:U16)</f>
        <v>10373.499758580532</v>
      </c>
      <c r="V45" s="275">
        <f ca="1">SUM($C$16:V16)</f>
        <v>10931.714992226121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6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6">
      <c r="A47" s="274" t="s">
        <v>271</v>
      </c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6">
      <c r="A48" s="263" t="s">
        <v>272</v>
      </c>
      <c r="B48" s="263"/>
      <c r="C48" s="275">
        <f ca="1">IF(C6=1,0,+'BKDEPR 144A'!C15*1000)</f>
        <v>0</v>
      </c>
      <c r="D48" s="275">
        <f ca="1">IF(D6=1,0,+'BKDEPR 144A'!C15*1000)</f>
        <v>124665.655348</v>
      </c>
      <c r="E48" s="275">
        <f ca="1">IF(E6=1,0,+'BKDEPR 144A'!C15*1000)</f>
        <v>124665.655348</v>
      </c>
      <c r="F48" s="275">
        <f ca="1">IF(F6=1,0,+'BKDEPR 144A'!C15*1000)</f>
        <v>124665.655348</v>
      </c>
      <c r="G48" s="275">
        <f ca="1">IF(G6=1,0,+'BKDEPR 144A'!C15*1000)</f>
        <v>124665.655348</v>
      </c>
      <c r="H48" s="275">
        <f ca="1">IF(H6=1,0,+'BKDEPR 144A'!C15*1000)</f>
        <v>124665.655348</v>
      </c>
      <c r="I48" s="275">
        <f ca="1">IF(I6=1,0,+'BKDEPR 144A'!C15*1000)</f>
        <v>124665.655348</v>
      </c>
      <c r="J48" s="275">
        <f ca="1">IF(J6=1,0,+'BKDEPR 144A'!C15*1000)</f>
        <v>124665.655348</v>
      </c>
      <c r="K48" s="275">
        <f ca="1">IF(K6=1,0,+'BKDEPR 144A'!C15*1000)</f>
        <v>124665.655348</v>
      </c>
      <c r="L48" s="275">
        <f ca="1">IF(L6=1,0,+'BKDEPR 144A'!C15*1000)</f>
        <v>124665.655348</v>
      </c>
      <c r="M48" s="275">
        <f ca="1">IF(M6=1,0,+'BKDEPR 144A'!C15*1000)</f>
        <v>124665.655348</v>
      </c>
      <c r="N48" s="275">
        <f ca="1">IF(N6=1,0,+'BKDEPR 144A'!C15*1000)</f>
        <v>124665.655348</v>
      </c>
      <c r="O48" s="275">
        <f ca="1">IF(O6=1,0,+'BKDEPR 144A'!C15*1000)</f>
        <v>124665.655348</v>
      </c>
      <c r="P48" s="275">
        <f ca="1">IF(P6=1,0,+'BKDEPR 144A'!C15*1000)</f>
        <v>124665.655348</v>
      </c>
      <c r="Q48" s="275">
        <f ca="1">IF(Q6=1,0,+'BKDEPR 144A'!C15*1000)</f>
        <v>124665.655348</v>
      </c>
      <c r="R48" s="275">
        <f ca="1">IF(R6=1,0,+'BKDEPR 144A'!C15*1000)</f>
        <v>124665.655348</v>
      </c>
      <c r="S48" s="275">
        <f ca="1">IF(S6=1,0,+'BKDEPR 144A'!C15*1000)</f>
        <v>124665.655348</v>
      </c>
      <c r="T48" s="275">
        <f ca="1">IF(T6=1,0,+'BKDEPR 144A'!C15*1000)</f>
        <v>124665.655348</v>
      </c>
      <c r="U48" s="275">
        <f ca="1">IF(U6=1,0,+'BKDEPR 144A'!C15*1000)</f>
        <v>124665.655348</v>
      </c>
      <c r="V48" s="275">
        <f ca="1">IF(V6=1,0,+'BKDEPR 144A'!C15*1000)</f>
        <v>124665.655348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6">
      <c r="A49" s="263" t="s">
        <v>273</v>
      </c>
      <c r="B49" s="263"/>
      <c r="C49" s="276">
        <f ca="1">IF(C6&lt;='ASSUM 1'!M42,'ASSUM 1'!N42/100,IF(C6&lt;='ASSUM 1'!M43,'ASSUM 1'!N43/100,'ASSUM 1'!N44/100))</f>
        <v>8.1000000000000013E-3</v>
      </c>
      <c r="D49" s="276">
        <f ca="1">IF(D6&lt;='ASSUM 1'!M42,'ASSUM 1'!#REF!/100,IF(D6&lt;='ASSUM 1'!M43,'ASSUM 1'!N43/100,'ASSUM 1'!N44/100))</f>
        <v>4.8999999999999998E-3</v>
      </c>
      <c r="E49" s="276">
        <f ca="1">IF(E6&lt;='ASSUM 1'!M42,#REF!/100,IF(E6&lt;='ASSUM 1'!M43,'ASSUM 1'!N43/100,'ASSUM 1'!N44/100))</f>
        <v>4.8999999999999998E-3</v>
      </c>
      <c r="F49" s="276">
        <f ca="1">IF(F6&lt;='ASSUM 1'!M42,#REF!/100,IF(F6&lt;='ASSUM 1'!M43,'ASSUM 1'!N43/100,'ASSUM 1'!N44/100))</f>
        <v>2.9160000000000002E-3</v>
      </c>
      <c r="G49" s="276">
        <f ca="1">IF(G6&lt;='ASSUM 1'!M42,#REF!/100,IF(G6&lt;='ASSUM 1'!M43,'ASSUM 1'!N43/100,'ASSUM 1'!N44/100))</f>
        <v>2.9160000000000002E-3</v>
      </c>
      <c r="H49" s="276">
        <f ca="1">IF(H6&lt;='ASSUM 1'!M42,#REF!/100,IF(H6&lt;='ASSUM 1'!M43,'ASSUM 1'!N43/100,'ASSUM 1'!N44/100))</f>
        <v>2.9160000000000002E-3</v>
      </c>
      <c r="I49" s="276">
        <f ca="1">IF(I6&lt;='ASSUM 1'!M42,#REF!/100,IF(I6&lt;='ASSUM 1'!M43,'ASSUM 1'!N43/100,'ASSUM 1'!N44/100))</f>
        <v>2.9160000000000002E-3</v>
      </c>
      <c r="J49" s="276">
        <f ca="1">IF(J6&lt;='ASSUM 1'!M42,'ASSUM 1'!O58/100,IF(J6&lt;='ASSUM 1'!M43,'ASSUM 1'!N43/100,'ASSUM 1'!N44/100))</f>
        <v>2.9160000000000002E-3</v>
      </c>
      <c r="K49" s="276">
        <f ca="1">IF(K6&lt;='ASSUM 1'!M42,'ASSUM 1'!P58/100,IF(K6&lt;='ASSUM 1'!M43,'ASSUM 1'!N43/100,'ASSUM 1'!N44/100))</f>
        <v>2.9160000000000002E-3</v>
      </c>
      <c r="L49" s="276">
        <f ca="1">IF(L6&lt;='ASSUM 1'!M42,#REF!/100,IF(L6&lt;='ASSUM 1'!M43,'ASSUM 1'!N43/100,'ASSUM 1'!N44/100))</f>
        <v>2.9160000000000002E-3</v>
      </c>
      <c r="M49" s="276">
        <f ca="1">IF(M6&lt;='ASSUM 1'!M42,'ASSUM 1'!Q58/100,IF(M6&lt;='ASSUM 1'!M43,'ASSUM 1'!N43/100,'ASSUM 1'!N44/100))</f>
        <v>2.9160000000000002E-3</v>
      </c>
      <c r="N49" s="276">
        <f ca="1">IF(N6&lt;='ASSUM 1'!M42,'ASSUM 1'!R58/100,IF(N6&lt;='ASSUM 1'!M43,'ASSUM 1'!N43/100,'ASSUM 1'!N44/100))</f>
        <v>2.9160000000000002E-3</v>
      </c>
      <c r="O49" s="276">
        <f ca="1">IF(O6&lt;='ASSUM 1'!M42,'ASSUM 1'!S58/100,IF(O6&lt;='ASSUM 1'!M43,'ASSUM 1'!N43/100,'ASSUM 1'!N44/100))</f>
        <v>2.9160000000000002E-3</v>
      </c>
      <c r="P49" s="276">
        <f ca="1">IF(P6&lt;='ASSUM 1'!M42,#REF!/100,IF(P6&lt;='ASSUM 1'!M43,'ASSUM 1'!N43/100,'ASSUM 1'!N44/100))</f>
        <v>2.9160000000000002E-3</v>
      </c>
      <c r="Q49" s="276">
        <f ca="1">IF(Q6&lt;='ASSUM 1'!M42,#REF!/100,IF(Q6&lt;='ASSUM 1'!M43,'ASSUM 1'!N43/100,'ASSUM 1'!N44/100))</f>
        <v>2.9160000000000002E-3</v>
      </c>
      <c r="R49" s="276">
        <f ca="1">IF(R6&lt;='ASSUM 1'!M42,'ASSUM 1'!T58/100,IF(R6&lt;='ASSUM 1'!M43,'ASSUM 1'!N43/100,'ASSUM 1'!N44/100))</f>
        <v>2.9160000000000002E-3</v>
      </c>
      <c r="S49" s="276">
        <f ca="1">IF(S6&lt;='ASSUM 1'!M42,'ASSUM 1'!#REF!/100,IF(S6&lt;='ASSUM 1'!M43,'ASSUM 1'!N43/100,'ASSUM 1'!N44/100))</f>
        <v>2.9160000000000002E-3</v>
      </c>
      <c r="T49" s="276">
        <f ca="1">IF(T6&lt;='ASSUM 1'!M42,'ASSUM 1'!#REF!/100,IF(T6&lt;='ASSUM 1'!M43,'ASSUM 1'!N43/100,'ASSUM 1'!N44/100))</f>
        <v>2.9160000000000002E-3</v>
      </c>
      <c r="U49" s="276">
        <f ca="1">IF(U6&lt;='ASSUM 1'!M42,'ASSUM 1'!#REF!/100,IF(U6&lt;='ASSUM 1'!M43,'ASSUM 1'!N43/100,'ASSUM 1'!N44/100))</f>
        <v>2.9160000000000002E-3</v>
      </c>
      <c r="V49" s="276">
        <f ca="1">IF(V6&lt;='ASSUM 1'!M42,'ASSUM 1'!#REF!/100,IF(V6&lt;='ASSUM 1'!M43,'ASSUM 1'!N43/100,'ASSUM 1'!N44/100))</f>
        <v>2.9160000000000002E-3</v>
      </c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6">
      <c r="A50" s="263" t="s">
        <v>274</v>
      </c>
      <c r="B50" s="263"/>
      <c r="C50" s="275">
        <f t="shared" ref="C50:V50" ca="1" si="8">C48*C49</f>
        <v>0</v>
      </c>
      <c r="D50" s="275">
        <f t="shared" ca="1" si="8"/>
        <v>610.86171120519998</v>
      </c>
      <c r="E50" s="275">
        <f t="shared" ca="1" si="8"/>
        <v>610.86171120519998</v>
      </c>
      <c r="F50" s="275">
        <f t="shared" ca="1" si="8"/>
        <v>363.52505099476804</v>
      </c>
      <c r="G50" s="275">
        <f t="shared" ca="1" si="8"/>
        <v>363.52505099476804</v>
      </c>
      <c r="H50" s="275">
        <f t="shared" ca="1" si="8"/>
        <v>363.52505099476804</v>
      </c>
      <c r="I50" s="275">
        <f t="shared" ca="1" si="8"/>
        <v>363.52505099476804</v>
      </c>
      <c r="J50" s="275">
        <f t="shared" ca="1" si="8"/>
        <v>363.52505099476804</v>
      </c>
      <c r="K50" s="275">
        <f t="shared" ca="1" si="8"/>
        <v>363.52505099476804</v>
      </c>
      <c r="L50" s="275">
        <f t="shared" ca="1" si="8"/>
        <v>363.52505099476804</v>
      </c>
      <c r="M50" s="275">
        <f t="shared" ca="1" si="8"/>
        <v>363.52505099476804</v>
      </c>
      <c r="N50" s="275">
        <f t="shared" ca="1" si="8"/>
        <v>363.52505099476804</v>
      </c>
      <c r="O50" s="275">
        <f t="shared" ca="1" si="8"/>
        <v>363.52505099476804</v>
      </c>
      <c r="P50" s="275">
        <f t="shared" ca="1" si="8"/>
        <v>363.52505099476804</v>
      </c>
      <c r="Q50" s="275">
        <f t="shared" ca="1" si="8"/>
        <v>363.52505099476804</v>
      </c>
      <c r="R50" s="275">
        <f t="shared" ca="1" si="8"/>
        <v>363.52505099476804</v>
      </c>
      <c r="S50" s="275">
        <f t="shared" ca="1" si="8"/>
        <v>363.52505099476804</v>
      </c>
      <c r="T50" s="275">
        <f t="shared" ca="1" si="8"/>
        <v>363.52505099476804</v>
      </c>
      <c r="U50" s="275">
        <f t="shared" ca="1" si="8"/>
        <v>363.52505099476804</v>
      </c>
      <c r="V50" s="275">
        <f t="shared" ca="1" si="8"/>
        <v>363.52505099476804</v>
      </c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6">
      <c r="A51" s="263"/>
      <c r="B51" s="263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6">
      <c r="A52" s="263" t="s">
        <v>275</v>
      </c>
      <c r="B52" s="263"/>
      <c r="C52" s="275">
        <f>'ASSUM 2'!$E$26*10^3</f>
        <v>250</v>
      </c>
      <c r="D52" s="275">
        <f>'ASSUM 2'!$E$26*10^3</f>
        <v>250</v>
      </c>
      <c r="E52" s="275">
        <f>'ASSUM 2'!$E$26*10^3</f>
        <v>250</v>
      </c>
      <c r="F52" s="275">
        <f>'ASSUM 2'!$E$26*10^3</f>
        <v>250</v>
      </c>
      <c r="G52" s="275">
        <f>'ASSUM 2'!$E$26*10^3</f>
        <v>250</v>
      </c>
      <c r="H52" s="275">
        <f>'ASSUM 2'!$E$26*10^3</f>
        <v>250</v>
      </c>
      <c r="I52" s="275">
        <f>'ASSUM 2'!$E$26*10^3</f>
        <v>250</v>
      </c>
      <c r="J52" s="275">
        <f>'ASSUM 2'!$E$26*10^3</f>
        <v>250</v>
      </c>
      <c r="K52" s="275">
        <f>'ASSUM 2'!$E$26*10^3</f>
        <v>250</v>
      </c>
      <c r="L52" s="275">
        <f>'ASSUM 2'!$E$26*10^3</f>
        <v>250</v>
      </c>
      <c r="M52" s="275">
        <f>'ASSUM 2'!$E$26*10^3</f>
        <v>250</v>
      </c>
      <c r="N52" s="275">
        <f>'ASSUM 2'!$E$26*10^3</f>
        <v>250</v>
      </c>
      <c r="O52" s="275">
        <f>'ASSUM 2'!$E$26*10^3</f>
        <v>250</v>
      </c>
      <c r="P52" s="275">
        <f>'ASSUM 2'!$E$26*10^3</f>
        <v>250</v>
      </c>
      <c r="Q52" s="275">
        <f>'ASSUM 2'!$E$26*10^3</f>
        <v>250</v>
      </c>
      <c r="R52" s="275">
        <f>'ASSUM 2'!$E$26*10^3</f>
        <v>250</v>
      </c>
      <c r="S52" s="275">
        <f>'ASSUM 2'!$E$26*10^3</f>
        <v>250</v>
      </c>
      <c r="T52" s="275">
        <f>'ASSUM 2'!$E$26*10^3</f>
        <v>250</v>
      </c>
      <c r="U52" s="275">
        <f>'ASSUM 2'!$E$26*10^3</f>
        <v>250</v>
      </c>
      <c r="V52" s="275">
        <f>'ASSUM 2'!$E$26*10^3</f>
        <v>250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6">
      <c r="A53" s="263" t="s">
        <v>276</v>
      </c>
      <c r="B53" s="263"/>
      <c r="C53" s="277">
        <f>[0]!_XX1/100</f>
        <v>7.4999999999999997E-3</v>
      </c>
      <c r="D53" s="277">
        <f>[0]!_XX1/100</f>
        <v>7.4999999999999997E-3</v>
      </c>
      <c r="E53" s="277">
        <f>[0]!_XX1/100</f>
        <v>7.4999999999999997E-3</v>
      </c>
      <c r="F53" s="277">
        <f>[0]!_XX1/100</f>
        <v>7.4999999999999997E-3</v>
      </c>
      <c r="G53" s="277">
        <f>[0]!_XX1/100</f>
        <v>7.4999999999999997E-3</v>
      </c>
      <c r="H53" s="277">
        <f>[0]!_XX1/100</f>
        <v>7.4999999999999997E-3</v>
      </c>
      <c r="I53" s="277">
        <f>[0]!_XX1/100</f>
        <v>7.4999999999999997E-3</v>
      </c>
      <c r="J53" s="277">
        <f>[0]!_XX1/100</f>
        <v>7.4999999999999997E-3</v>
      </c>
      <c r="K53" s="277">
        <f>[0]!_XX1/100</f>
        <v>7.4999999999999997E-3</v>
      </c>
      <c r="L53" s="277">
        <f>[0]!_XX1/100</f>
        <v>7.4999999999999997E-3</v>
      </c>
      <c r="M53" s="277">
        <f>[0]!_XX1/100</f>
        <v>7.4999999999999997E-3</v>
      </c>
      <c r="N53" s="277">
        <f>[0]!_XX1/100</f>
        <v>7.4999999999999997E-3</v>
      </c>
      <c r="O53" s="277">
        <f>[0]!_XX1/100</f>
        <v>7.4999999999999997E-3</v>
      </c>
      <c r="P53" s="277">
        <f>[0]!_XX1/100</f>
        <v>7.4999999999999997E-3</v>
      </c>
      <c r="Q53" s="277">
        <f>[0]!_XX1/100</f>
        <v>7.4999999999999997E-3</v>
      </c>
      <c r="R53" s="277">
        <f>[0]!_XX1/100</f>
        <v>7.4999999999999997E-3</v>
      </c>
      <c r="S53" s="277">
        <f>[0]!_XX1/100</f>
        <v>7.4999999999999997E-3</v>
      </c>
      <c r="T53" s="277">
        <f>[0]!_XX1/100</f>
        <v>7.4999999999999997E-3</v>
      </c>
      <c r="U53" s="277">
        <f>[0]!_XX1/100</f>
        <v>7.4999999999999997E-3</v>
      </c>
      <c r="V53" s="277">
        <f>[0]!_XX1/100</f>
        <v>7.4999999999999997E-3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6">
      <c r="A54" s="263" t="s">
        <v>271</v>
      </c>
      <c r="B54" s="263"/>
      <c r="C54" s="275">
        <f t="shared" ref="C54:V54" si="9">C52*C53</f>
        <v>1.875</v>
      </c>
      <c r="D54" s="275">
        <f t="shared" si="9"/>
        <v>1.875</v>
      </c>
      <c r="E54" s="275">
        <f t="shared" si="9"/>
        <v>1.875</v>
      </c>
      <c r="F54" s="275">
        <f t="shared" si="9"/>
        <v>1.875</v>
      </c>
      <c r="G54" s="275">
        <f t="shared" si="9"/>
        <v>1.875</v>
      </c>
      <c r="H54" s="275">
        <f t="shared" si="9"/>
        <v>1.875</v>
      </c>
      <c r="I54" s="275">
        <f t="shared" si="9"/>
        <v>1.875</v>
      </c>
      <c r="J54" s="275">
        <f t="shared" si="9"/>
        <v>1.875</v>
      </c>
      <c r="K54" s="275">
        <f t="shared" si="9"/>
        <v>1.875</v>
      </c>
      <c r="L54" s="275">
        <f t="shared" si="9"/>
        <v>1.875</v>
      </c>
      <c r="M54" s="275">
        <f t="shared" si="9"/>
        <v>1.875</v>
      </c>
      <c r="N54" s="275">
        <f t="shared" si="9"/>
        <v>1.875</v>
      </c>
      <c r="O54" s="275">
        <f t="shared" si="9"/>
        <v>1.875</v>
      </c>
      <c r="P54" s="275">
        <f t="shared" si="9"/>
        <v>1.875</v>
      </c>
      <c r="Q54" s="275">
        <f t="shared" si="9"/>
        <v>1.875</v>
      </c>
      <c r="R54" s="275">
        <f t="shared" si="9"/>
        <v>1.875</v>
      </c>
      <c r="S54" s="275">
        <f t="shared" si="9"/>
        <v>1.875</v>
      </c>
      <c r="T54" s="275">
        <f t="shared" si="9"/>
        <v>1.875</v>
      </c>
      <c r="U54" s="275">
        <f t="shared" si="9"/>
        <v>1.875</v>
      </c>
      <c r="V54" s="275">
        <f t="shared" si="9"/>
        <v>1.875</v>
      </c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6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6">
      <c r="A56" s="274" t="s">
        <v>277</v>
      </c>
      <c r="B56" s="263"/>
      <c r="C56" s="275">
        <f t="shared" ref="C56:V56" ca="1" si="10">C54+C50</f>
        <v>1.875</v>
      </c>
      <c r="D56" s="275">
        <f t="shared" ca="1" si="10"/>
        <v>612.73671120519998</v>
      </c>
      <c r="E56" s="275">
        <f t="shared" ca="1" si="10"/>
        <v>612.73671120519998</v>
      </c>
      <c r="F56" s="275">
        <f t="shared" ca="1" si="10"/>
        <v>365.40005099476804</v>
      </c>
      <c r="G56" s="275">
        <f t="shared" ca="1" si="10"/>
        <v>365.40005099476804</v>
      </c>
      <c r="H56" s="275">
        <f t="shared" ca="1" si="10"/>
        <v>365.40005099476804</v>
      </c>
      <c r="I56" s="275">
        <f t="shared" ca="1" si="10"/>
        <v>365.40005099476804</v>
      </c>
      <c r="J56" s="275">
        <f t="shared" ca="1" si="10"/>
        <v>365.40005099476804</v>
      </c>
      <c r="K56" s="275">
        <f t="shared" ca="1" si="10"/>
        <v>365.40005099476804</v>
      </c>
      <c r="L56" s="275">
        <f t="shared" ca="1" si="10"/>
        <v>365.40005099476804</v>
      </c>
      <c r="M56" s="275">
        <f t="shared" ca="1" si="10"/>
        <v>365.40005099476804</v>
      </c>
      <c r="N56" s="275">
        <f t="shared" ca="1" si="10"/>
        <v>365.40005099476804</v>
      </c>
      <c r="O56" s="275">
        <f t="shared" ca="1" si="10"/>
        <v>365.40005099476804</v>
      </c>
      <c r="P56" s="275">
        <f t="shared" ca="1" si="10"/>
        <v>365.40005099476804</v>
      </c>
      <c r="Q56" s="275">
        <f t="shared" ca="1" si="10"/>
        <v>365.40005099476804</v>
      </c>
      <c r="R56" s="275">
        <f t="shared" ca="1" si="10"/>
        <v>365.40005099476804</v>
      </c>
      <c r="S56" s="275">
        <f t="shared" ca="1" si="10"/>
        <v>365.40005099476804</v>
      </c>
      <c r="T56" s="275">
        <f t="shared" ca="1" si="10"/>
        <v>365.40005099476804</v>
      </c>
      <c r="U56" s="275">
        <f t="shared" ca="1" si="10"/>
        <v>365.40005099476804</v>
      </c>
      <c r="V56" s="275">
        <f t="shared" ca="1" si="10"/>
        <v>365.40005099476804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6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6">
      <c r="A58" s="274" t="s">
        <v>278</v>
      </c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6">
      <c r="A59" s="263" t="s">
        <v>177</v>
      </c>
      <c r="B59" s="263">
        <f>'ASSUM 1'!M30</f>
        <v>45</v>
      </c>
      <c r="C59" s="275">
        <f ca="1">FUEL!C88/365.25*$B$59</f>
        <v>298.46448466012345</v>
      </c>
      <c r="D59" s="275">
        <f ca="1">FUEL!D88/365.25*$B$59</f>
        <v>921.50063852174071</v>
      </c>
      <c r="E59" s="275">
        <f ca="1">FUEL!E88/365.25*$B$59</f>
        <v>1030.3864408514121</v>
      </c>
      <c r="F59" s="275">
        <f ca="1">FUEL!F88/365.25*$B$59</f>
        <v>1091.3543891500274</v>
      </c>
      <c r="G59" s="275">
        <f ca="1">FUEL!G88/365.25*$B$59</f>
        <v>1065.6103175663491</v>
      </c>
      <c r="H59" s="275">
        <f ca="1">FUEL!H88/365.25*$B$59</f>
        <v>1039.6724474411835</v>
      </c>
      <c r="I59" s="275">
        <f ca="1">FUEL!I88/365.25*$B$59</f>
        <v>1101.4076411303554</v>
      </c>
      <c r="J59" s="275">
        <f ca="1">FUEL!J88/365.25*$B$59</f>
        <v>1160.0723993993763</v>
      </c>
      <c r="K59" s="275">
        <f ca="1">FUEL!K88/365.25*$B$59</f>
        <v>1182.4001146328392</v>
      </c>
      <c r="L59" s="275">
        <f ca="1">FUEL!L88/365.25*$B$59</f>
        <v>1194.5407928046918</v>
      </c>
      <c r="M59" s="275">
        <f ca="1">FUEL!M88/365.25*$B$59</f>
        <v>1217.0038561148881</v>
      </c>
      <c r="N59" s="275">
        <f ca="1">FUEL!N88/365.25*$B$59</f>
        <v>1232.1158297833026</v>
      </c>
      <c r="O59" s="275">
        <f ca="1">FUEL!O88/365.25*$B$59</f>
        <v>1301.661614760709</v>
      </c>
      <c r="P59" s="275">
        <f ca="1">FUEL!P88/365.25*$B$59</f>
        <v>1313.183905454066</v>
      </c>
      <c r="Q59" s="275">
        <f ca="1">FUEL!Q88/365.25*$B$59</f>
        <v>1365.0803187839247</v>
      </c>
      <c r="R59" s="275">
        <f ca="1">FUEL!R88/365.25*$B$59</f>
        <v>1398.8734090548785</v>
      </c>
      <c r="S59" s="275">
        <f ca="1">FUEL!S88/365.25*$B$59</f>
        <v>1449.9416827774983</v>
      </c>
      <c r="T59" s="275">
        <f ca="1">FUEL!T88/365.25*$B$59</f>
        <v>1480.0606883921093</v>
      </c>
      <c r="U59" s="275">
        <f ca="1">FUEL!U88/365.25*$B$59</f>
        <v>1523.1026804781914</v>
      </c>
      <c r="V59" s="275">
        <f ca="1">FUEL!V88/365.25*$B$59</f>
        <v>1512.293644481503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6">
      <c r="A60" s="263" t="s">
        <v>178</v>
      </c>
      <c r="B60" s="263">
        <f>'ASSUM 1'!M29</f>
        <v>30</v>
      </c>
      <c r="C60" s="278">
        <f t="shared" ref="C60:V60" ca="1" si="11">C34/365.25*$B$60</f>
        <v>184.11637651254745</v>
      </c>
      <c r="D60" s="278">
        <f t="shared" ca="1" si="11"/>
        <v>492.74618966407439</v>
      </c>
      <c r="E60" s="278">
        <f t="shared" ca="1" si="11"/>
        <v>505.80874735226564</v>
      </c>
      <c r="F60" s="278">
        <f t="shared" ca="1" si="11"/>
        <v>498.00310806928144</v>
      </c>
      <c r="G60" s="278">
        <f t="shared" ca="1" si="11"/>
        <v>506.97494811887316</v>
      </c>
      <c r="H60" s="278">
        <f t="shared" ca="1" si="11"/>
        <v>511.77924006191529</v>
      </c>
      <c r="I60" s="278">
        <f t="shared" ca="1" si="11"/>
        <v>528.06387573631207</v>
      </c>
      <c r="J60" s="278">
        <f t="shared" ca="1" si="11"/>
        <v>544.90503656163173</v>
      </c>
      <c r="K60" s="278">
        <f t="shared" ca="1" si="11"/>
        <v>556.92612796920287</v>
      </c>
      <c r="L60" s="278">
        <f t="shared" ca="1" si="11"/>
        <v>567.52255073213644</v>
      </c>
      <c r="M60" s="278">
        <f t="shared" ca="1" si="11"/>
        <v>580.24994655684134</v>
      </c>
      <c r="N60" s="278">
        <f t="shared" ca="1" si="11"/>
        <v>591.76314284539671</v>
      </c>
      <c r="O60" s="278">
        <f t="shared" ca="1" si="11"/>
        <v>606.64570759597939</v>
      </c>
      <c r="P60" s="278">
        <f t="shared" ca="1" si="11"/>
        <v>617.99763151069021</v>
      </c>
      <c r="Q60" s="278">
        <f t="shared" ca="1" si="11"/>
        <v>635.56016009122334</v>
      </c>
      <c r="R60" s="278">
        <f t="shared" ca="1" si="11"/>
        <v>651.50430051647299</v>
      </c>
      <c r="S60" s="278">
        <f t="shared" ca="1" si="11"/>
        <v>669.75311926525114</v>
      </c>
      <c r="T60" s="278">
        <f t="shared" ca="1" si="11"/>
        <v>685.06990328533527</v>
      </c>
      <c r="U60" s="278">
        <f t="shared" ca="1" si="11"/>
        <v>701.98108327251055</v>
      </c>
      <c r="V60" s="278">
        <f t="shared" ca="1" si="11"/>
        <v>712.06411406387724</v>
      </c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6">
      <c r="A61" s="263"/>
      <c r="B61" s="263"/>
      <c r="C61" s="275">
        <f t="shared" ref="C61:V61" ca="1" si="12">C60+C59</f>
        <v>482.58086117267089</v>
      </c>
      <c r="D61" s="275">
        <f t="shared" ca="1" si="12"/>
        <v>1414.246828185815</v>
      </c>
      <c r="E61" s="275">
        <f t="shared" ca="1" si="12"/>
        <v>1536.1951882036778</v>
      </c>
      <c r="F61" s="275">
        <f t="shared" ca="1" si="12"/>
        <v>1589.3574972193087</v>
      </c>
      <c r="G61" s="275">
        <f t="shared" ca="1" si="12"/>
        <v>1572.5852656852221</v>
      </c>
      <c r="H61" s="275">
        <f t="shared" ca="1" si="12"/>
        <v>1551.4516875030988</v>
      </c>
      <c r="I61" s="275">
        <f t="shared" ca="1" si="12"/>
        <v>1629.4715168666676</v>
      </c>
      <c r="J61" s="275">
        <f t="shared" ca="1" si="12"/>
        <v>1704.977435961008</v>
      </c>
      <c r="K61" s="275">
        <f t="shared" ca="1" si="12"/>
        <v>1739.3262426020419</v>
      </c>
      <c r="L61" s="275">
        <f t="shared" ca="1" si="12"/>
        <v>1762.0633435368281</v>
      </c>
      <c r="M61" s="275">
        <f t="shared" ca="1" si="12"/>
        <v>1797.2538026717293</v>
      </c>
      <c r="N61" s="275">
        <f t="shared" ca="1" si="12"/>
        <v>1823.8789726286993</v>
      </c>
      <c r="O61" s="275">
        <f t="shared" ca="1" si="12"/>
        <v>1908.3073223566885</v>
      </c>
      <c r="P61" s="275">
        <f t="shared" ca="1" si="12"/>
        <v>1931.1815369647561</v>
      </c>
      <c r="Q61" s="275">
        <f t="shared" ca="1" si="12"/>
        <v>2000.6404788751479</v>
      </c>
      <c r="R61" s="275">
        <f t="shared" ca="1" si="12"/>
        <v>2050.3777095713513</v>
      </c>
      <c r="S61" s="275">
        <f t="shared" ca="1" si="12"/>
        <v>2119.6948020427494</v>
      </c>
      <c r="T61" s="275">
        <f t="shared" ca="1" si="12"/>
        <v>2165.1305916774445</v>
      </c>
      <c r="U61" s="275">
        <f t="shared" ca="1" si="12"/>
        <v>2225.083763750702</v>
      </c>
      <c r="V61" s="275">
        <f t="shared" ca="1" si="12"/>
        <v>2224.3577585453804</v>
      </c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6">
      <c r="A62" s="263" t="s">
        <v>279</v>
      </c>
      <c r="B62" s="263"/>
      <c r="C62" s="279"/>
      <c r="D62" s="275">
        <f ca="1">IF(D6&lt;3,+D61-'ASSUM 1'!N31,D61-C61)-IF(D6='ASSUM 1'!D36,D61,0)</f>
        <v>0</v>
      </c>
      <c r="E62" s="275">
        <f ca="1">IF(E6&lt;3,+E61-'ASSUM 1'!N31,E61-D61)-IF(E6='ASSUM 1'!D36,E61,0)</f>
        <v>121.9483600178628</v>
      </c>
      <c r="F62" s="275">
        <f ca="1">IF(F6&lt;3,+F61-'ASSUM 1'!N31,F61-E61)-IF(F6='ASSUM 1'!D36,F61,0)</f>
        <v>53.162309015630854</v>
      </c>
      <c r="G62" s="275">
        <f ca="1">IF(G6&lt;3,+G61-'ASSUM 1'!N31,G61-F61)-IF(G6='ASSUM 1'!D36,G61,0)</f>
        <v>-16.772231534086586</v>
      </c>
      <c r="H62" s="275">
        <f ca="1">IF(H6&lt;3,+H61-'ASSUM 1'!N31,H61-G61)-IF(H6='ASSUM 1'!D36,H61,0)</f>
        <v>-21.133578182123301</v>
      </c>
      <c r="I62" s="275">
        <f ca="1">IF(I6&lt;3,+I61-'ASSUM 1'!N31,I61-H61)-IF(I6='ASSUM 1'!D36,I61,0)</f>
        <v>78.019829363568761</v>
      </c>
      <c r="J62" s="275">
        <f ca="1">IF(J6&lt;3,+J61-'ASSUM 1'!N31,J61-I61)-IF(J6='ASSUM 1'!D36,J61,0)</f>
        <v>75.50591909434047</v>
      </c>
      <c r="K62" s="275">
        <f ca="1">IF(K6&lt;3,+K61-'ASSUM 1'!N31,K61-J61)-IF(K6='ASSUM 1'!D36,K61,0)</f>
        <v>34.348806641033889</v>
      </c>
      <c r="L62" s="275">
        <f ca="1">IF(L6&lt;3,+L61-'ASSUM 1'!N31,L61-K61)-IF(L6='ASSUM 1'!D36,L61,0)</f>
        <v>22.737100934786213</v>
      </c>
      <c r="M62" s="275">
        <f ca="1">IF(M6&lt;3,+M61-'ASSUM 1'!N31,M61-L61)-IF(M6='ASSUM 1'!D36,M61,0)</f>
        <v>35.190459134901175</v>
      </c>
      <c r="N62" s="275">
        <f ca="1">IF(N6&lt;3,+N61-'ASSUM 1'!N31,N61-M61)-IF(N6='ASSUM 1'!D36,N61,0)</f>
        <v>26.625169956970012</v>
      </c>
      <c r="O62" s="275">
        <f ca="1">IF(O6&lt;3,+O61-'ASSUM 1'!N31,O61-N61)-IF(O6='ASSUM 1'!D36,O61,0)</f>
        <v>84.428349727989144</v>
      </c>
      <c r="P62" s="275">
        <f ca="1">IF(P6&lt;3,+P61-'ASSUM 1'!N31,P61-O61)-IF(P6='ASSUM 1'!D36,P61,0)</f>
        <v>22.874214608067632</v>
      </c>
      <c r="Q62" s="275">
        <f ca="1">IF(Q6&lt;3,+Q61-'ASSUM 1'!N31,Q61-P61)-IF(Q6='ASSUM 1'!D36,Q61,0)</f>
        <v>69.458941910391786</v>
      </c>
      <c r="R62" s="275">
        <f ca="1">IF(R6&lt;3,+R61-'ASSUM 1'!N31,R61-Q61)-IF(R6='ASSUM 1'!D36,R61,0)</f>
        <v>49.737230696203369</v>
      </c>
      <c r="S62" s="275">
        <f ca="1">IF(S6&lt;3,+S61-'ASSUM 1'!N31,S61-R61)-IF(S6='ASSUM 1'!D36,S61,0)</f>
        <v>69.317092471398155</v>
      </c>
      <c r="T62" s="275">
        <f ca="1">IF(T6&lt;3,+T61-'ASSUM 1'!N31,T61-S61)-IF(T6='ASSUM 1'!D36,T61,0)</f>
        <v>45.435789634695084</v>
      </c>
      <c r="U62" s="275">
        <f ca="1">IF(U6&lt;3,+U61-'ASSUM 1'!N31,U61-T61)-IF(U6='ASSUM 1'!D36,U61,0)</f>
        <v>59.95317207325752</v>
      </c>
      <c r="V62" s="275">
        <f ca="1">IF(V6&lt;3,+V61-'ASSUM 1'!N31,V61-U61)-IF(V6='ASSUM 1'!D36,V61,0)</f>
        <v>-2225.083763750702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6">
      <c r="A63" s="263"/>
      <c r="B63" s="280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6">
      <c r="B64" s="281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6"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6"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6"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6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6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6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6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6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6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6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6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6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6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6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6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6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6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6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6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6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6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6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6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6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6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6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6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6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6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6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6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6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6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6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6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6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6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6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6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6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6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6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6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6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6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6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6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6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6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6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6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6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6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6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6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6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6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6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6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6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6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6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6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6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6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6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6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6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6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6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6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6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6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6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6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6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6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6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6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6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6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6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6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6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6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6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6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6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6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6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6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6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6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6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6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6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6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6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6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6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6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6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6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6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6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6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6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6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6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6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6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6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6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32" sqref="F32"/>
    </sheetView>
  </sheetViews>
  <sheetFormatPr defaultColWidth="8.81640625" defaultRowHeight="15"/>
  <cols>
    <col min="1" max="1" width="21.81640625" style="286" customWidth="1"/>
    <col min="2" max="2" width="6.81640625" style="286" customWidth="1"/>
    <col min="3" max="17" width="9.81640625" style="286" customWidth="1"/>
    <col min="18" max="26" width="8.81640625" style="286" customWidth="1"/>
    <col min="27" max="27" width="11.81640625" style="286" customWidth="1"/>
    <col min="28" max="28" width="10.81640625" style="286" customWidth="1"/>
    <col min="29" max="29" width="8.81640625" style="286" customWidth="1"/>
    <col min="30" max="31" width="10.81640625" style="286" customWidth="1"/>
    <col min="32" max="57" width="8.81640625" style="286" customWidth="1"/>
    <col min="58" max="58" width="11.81640625" style="286" customWidth="1"/>
    <col min="59" max="59" width="8.81640625" style="286" customWidth="1"/>
    <col min="60" max="60" width="10.81640625" style="286" customWidth="1"/>
    <col min="61" max="61" width="8.81640625" style="286" customWidth="1"/>
    <col min="62" max="62" width="11.81640625" style="286" customWidth="1"/>
    <col min="63" max="16384" width="8.81640625" style="286"/>
  </cols>
  <sheetData>
    <row r="1" spans="1:96" ht="21.9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6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6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6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6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6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2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2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6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6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6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6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6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6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6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6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6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6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6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6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6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6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6">
      <c r="A24" s="308" t="s">
        <v>293</v>
      </c>
      <c r="B24" s="295"/>
      <c r="C24" s="735">
        <f ca="1">'144A DEBT'!C34</f>
        <v>0</v>
      </c>
      <c r="D24" s="736">
        <f ca="1">'144A DEBT'!D34</f>
        <v>9369.68</v>
      </c>
      <c r="E24" s="736">
        <f ca="1">'144A DEBT'!E34</f>
        <v>9055.4599999999991</v>
      </c>
      <c r="F24" s="736">
        <f ca="1">'144A DEBT'!F34</f>
        <v>8740.07</v>
      </c>
      <c r="G24" s="736">
        <f ca="1">'144A DEBT'!G34</f>
        <v>8341.75</v>
      </c>
      <c r="H24" s="736">
        <f ca="1">'144A DEBT'!H34</f>
        <v>7986.67</v>
      </c>
      <c r="I24" s="736">
        <f ca="1">'144A DEBT'!I34</f>
        <v>7817.75</v>
      </c>
      <c r="J24" s="736">
        <f ca="1">'144A DEBT'!J34</f>
        <v>7293.27</v>
      </c>
      <c r="K24" s="736">
        <f ca="1">'144A DEBT'!K34</f>
        <v>6428.6</v>
      </c>
      <c r="L24" s="736">
        <f ca="1">'144A DEBT'!L34</f>
        <v>5491.87</v>
      </c>
      <c r="M24" s="736">
        <f ca="1">'144A DEBT'!M34</f>
        <v>4594.12</v>
      </c>
      <c r="N24" s="736">
        <f ca="1">'144A DEBT'!N34</f>
        <v>3708.18</v>
      </c>
      <c r="O24" s="736">
        <f ca="1">'144A DEBT'!O34</f>
        <v>2857.68</v>
      </c>
      <c r="P24" s="736">
        <f ca="1">'144A DEBT'!P34</f>
        <v>2018.99</v>
      </c>
      <c r="Q24" s="736">
        <f ca="1">'144A DEBT'!Q34</f>
        <v>1227.56</v>
      </c>
      <c r="R24" s="736">
        <f ca="1">'144A DEBT'!R34</f>
        <v>495.42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6">
      <c r="A25" s="308" t="s">
        <v>294</v>
      </c>
      <c r="B25" s="295"/>
      <c r="C25" s="735">
        <f ca="1">'144A DEBT'!C44</f>
        <v>92.860208</v>
      </c>
      <c r="D25" s="736">
        <f ca="1">'144A DEBT'!D44</f>
        <v>91.889119999999991</v>
      </c>
      <c r="E25" s="736">
        <f ca="1">'144A DEBT'!E44</f>
        <v>97.349615999999997</v>
      </c>
      <c r="F25" s="736">
        <f ca="1">'144A DEBT'!F44</f>
        <v>102.29126400000001</v>
      </c>
      <c r="G25" s="736">
        <f ca="1">'144A DEBT'!G44</f>
        <v>104.62905600000003</v>
      </c>
      <c r="H25" s="736">
        <f ca="1">'144A DEBT'!H44</f>
        <v>111.58497599999998</v>
      </c>
      <c r="I25" s="736">
        <f ca="1">'144A DEBT'!I44</f>
        <v>111.56166400000004</v>
      </c>
      <c r="J25" s="736">
        <f ca="1">'144A DEBT'!J44</f>
        <v>104.68072000000002</v>
      </c>
      <c r="K25" s="736">
        <f ca="1">'144A DEBT'!K44</f>
        <v>95.393343999999999</v>
      </c>
      <c r="L25" s="736">
        <f ca="1">'144A DEBT'!L44</f>
        <v>86.410448000000002</v>
      </c>
      <c r="M25" s="736">
        <f ca="1">'144A DEBT'!M44</f>
        <v>76.238128000000032</v>
      </c>
      <c r="N25" s="736">
        <f ca="1">'144A DEBT'!N44</f>
        <v>57.34504000000004</v>
      </c>
      <c r="O25" s="736">
        <f ca="1">'144A DEBT'!O44</f>
        <v>49.765940000000043</v>
      </c>
      <c r="P25" s="736">
        <f ca="1">'144A DEBT'!P44</f>
        <v>40.570613333333377</v>
      </c>
      <c r="Q25" s="736">
        <f ca="1">'144A DEBT'!Q44</f>
        <v>27.145680000000066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6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6">
      <c r="A27" s="308" t="s">
        <v>296</v>
      </c>
      <c r="B27" s="295"/>
      <c r="C27" s="735">
        <f t="shared" ref="C27:V27" ca="1" si="3">SUM(C24:C26)</f>
        <v>74.887708000000003</v>
      </c>
      <c r="D27" s="736">
        <f t="shared" ca="1" si="3"/>
        <v>9371.2422105999995</v>
      </c>
      <c r="E27" s="736">
        <f t="shared" ca="1" si="3"/>
        <v>8988.1747281461994</v>
      </c>
      <c r="F27" s="736">
        <f t="shared" ca="1" si="3"/>
        <v>8601.4120822741461</v>
      </c>
      <c r="G27" s="736">
        <f t="shared" ca="1" si="3"/>
        <v>8127.0550944675488</v>
      </c>
      <c r="H27" s="736">
        <f t="shared" ca="1" si="3"/>
        <v>7698.440115606174</v>
      </c>
      <c r="I27" s="736">
        <f t="shared" ca="1" si="3"/>
        <v>7446.8326504755396</v>
      </c>
      <c r="J27" s="736">
        <f t="shared" ca="1" si="3"/>
        <v>6830.5756212103806</v>
      </c>
      <c r="K27" s="736">
        <f t="shared" ca="1" si="3"/>
        <v>5869.4299656430603</v>
      </c>
      <c r="L27" s="736">
        <f t="shared" ca="1" si="3"/>
        <v>4834.1747065274221</v>
      </c>
      <c r="M27" s="736">
        <f t="shared" ca="1" si="3"/>
        <v>3834.2923796076634</v>
      </c>
      <c r="N27" s="736">
        <f t="shared" ca="1" si="3"/>
        <v>2835.0163645010703</v>
      </c>
      <c r="O27" s="736">
        <f t="shared" ca="1" si="3"/>
        <v>2907.4459400000001</v>
      </c>
      <c r="P27" s="736">
        <f t="shared" ca="1" si="3"/>
        <v>1959.948919269124</v>
      </c>
      <c r="Q27" s="736">
        <f t="shared" ca="1" si="3"/>
        <v>1052.7927761318469</v>
      </c>
      <c r="R27" s="736">
        <f t="shared" ca="1" si="3"/>
        <v>188.44375366319713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6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6">
      <c r="A29" s="307" t="s">
        <v>297</v>
      </c>
      <c r="B29" s="295"/>
      <c r="C29" s="735">
        <f t="shared" ref="C29:V29" ca="1" si="4">C21-C27</f>
        <v>10057.014703789115</v>
      </c>
      <c r="D29" s="736">
        <f t="shared" ca="1" si="4"/>
        <v>18567.285051159459</v>
      </c>
      <c r="E29" s="736">
        <f t="shared" ca="1" si="4"/>
        <v>17733.502630230549</v>
      </c>
      <c r="F29" s="736">
        <f t="shared" ca="1" si="4"/>
        <v>19298.973277227669</v>
      </c>
      <c r="G29" s="736">
        <f t="shared" ca="1" si="4"/>
        <v>20179.644378017292</v>
      </c>
      <c r="H29" s="736">
        <f t="shared" ca="1" si="4"/>
        <v>12108.097777022513</v>
      </c>
      <c r="I29" s="736">
        <f t="shared" ca="1" si="4"/>
        <v>19244.327504077737</v>
      </c>
      <c r="J29" s="736">
        <f t="shared" ca="1" si="4"/>
        <v>27562.272475005368</v>
      </c>
      <c r="K29" s="736">
        <f t="shared" ca="1" si="4"/>
        <v>28936.847921956825</v>
      </c>
      <c r="L29" s="736">
        <f t="shared" ca="1" si="4"/>
        <v>27736.399774589183</v>
      </c>
      <c r="M29" s="736">
        <f t="shared" ca="1" si="4"/>
        <v>29337.279318615649</v>
      </c>
      <c r="N29" s="736">
        <f t="shared" ca="1" si="4"/>
        <v>28465.263415846286</v>
      </c>
      <c r="O29" s="736">
        <f t="shared" ca="1" si="4"/>
        <v>28180.541784893576</v>
      </c>
      <c r="P29" s="736">
        <f t="shared" ca="1" si="4"/>
        <v>25940.847978114194</v>
      </c>
      <c r="Q29" s="736">
        <f t="shared" ca="1" si="4"/>
        <v>32176.844564357274</v>
      </c>
      <c r="R29" s="736">
        <f t="shared" ca="1" si="4"/>
        <v>38583.302251351874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6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6">
      <c r="A31" s="308" t="s">
        <v>298</v>
      </c>
      <c r="B31" s="309"/>
      <c r="C31" s="748">
        <f ca="1">'BKDEPR 144A'!F67</f>
        <v>3333.0035026674209</v>
      </c>
      <c r="D31" s="752">
        <f ca="1">'BKDEPR 144A'!G67</f>
        <v>5713.7202902870058</v>
      </c>
      <c r="E31" s="752">
        <f ca="1">'BKDEPR 144A'!H67</f>
        <v>5713.7202902870058</v>
      </c>
      <c r="F31" s="752">
        <f ca="1">'BKDEPR 144A'!I67</f>
        <v>5713.7202902870058</v>
      </c>
      <c r="G31" s="752">
        <f ca="1">'BKDEPR 144A'!J67</f>
        <v>5713.7202902870058</v>
      </c>
      <c r="H31" s="752">
        <f ca="1">'BKDEPR 144A'!K67</f>
        <v>5713.7202902870058</v>
      </c>
      <c r="I31" s="752">
        <f ca="1">'BKDEPR 144A'!L67</f>
        <v>5713.7202902870058</v>
      </c>
      <c r="J31" s="752">
        <f ca="1">'BKDEPR 144A'!M67</f>
        <v>5713.7202902870058</v>
      </c>
      <c r="K31" s="752">
        <f ca="1">'BKDEPR 144A'!N67</f>
        <v>5713.7202902870058</v>
      </c>
      <c r="L31" s="752">
        <f ca="1">'BKDEPR 144A'!O67</f>
        <v>5713.7202902870058</v>
      </c>
      <c r="M31" s="752">
        <f ca="1">'BKDEPR 144A'!P67</f>
        <v>5713.7202902870058</v>
      </c>
      <c r="N31" s="752">
        <f ca="1">'BKDEPR 144A'!Q67</f>
        <v>5713.7202902870058</v>
      </c>
      <c r="O31" s="752">
        <f ca="1">'BKDEPR 144A'!R67</f>
        <v>5713.7202902870058</v>
      </c>
      <c r="P31" s="752">
        <f ca="1">'BKDEPR 144A'!S67</f>
        <v>5713.7202902870058</v>
      </c>
      <c r="Q31" s="752">
        <f ca="1">'BKDEPR 144A'!T67</f>
        <v>5713.7202902870058</v>
      </c>
      <c r="R31" s="752">
        <f ca="1">'BKDEPR 144A'!U67</f>
        <v>5713.7202902870058</v>
      </c>
      <c r="S31" s="752">
        <f ca="1">'BKDEPR 144A'!V67</f>
        <v>5713.7202902870058</v>
      </c>
      <c r="T31" s="752">
        <f ca="1">'BKDEPR 144A'!W67</f>
        <v>5713.7202902870058</v>
      </c>
      <c r="U31" s="752">
        <f ca="1">'BKDEPR 144A'!X67</f>
        <v>5713.7202902870058</v>
      </c>
      <c r="V31" s="753">
        <f ca="1">'BKDEPR 144A'!Y67</f>
        <v>5713.7202902870058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6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6">
      <c r="A33" s="306" t="s">
        <v>299</v>
      </c>
      <c r="B33" s="310"/>
      <c r="C33" s="741">
        <f t="shared" ref="C33:V33" ca="1" si="5">C29-C31</f>
        <v>6724.0112011216934</v>
      </c>
      <c r="D33" s="742">
        <f t="shared" ca="1" si="5"/>
        <v>12853.564760872454</v>
      </c>
      <c r="E33" s="742">
        <f t="shared" ca="1" si="5"/>
        <v>12019.782339943544</v>
      </c>
      <c r="F33" s="742">
        <f t="shared" ca="1" si="5"/>
        <v>13585.252986940664</v>
      </c>
      <c r="G33" s="742">
        <f t="shared" ca="1" si="5"/>
        <v>14465.924087730287</v>
      </c>
      <c r="H33" s="742">
        <f t="shared" ca="1" si="5"/>
        <v>6394.3774867355069</v>
      </c>
      <c r="I33" s="742">
        <f t="shared" ca="1" si="5"/>
        <v>13530.607213790732</v>
      </c>
      <c r="J33" s="742">
        <f t="shared" ca="1" si="5"/>
        <v>21848.552184718363</v>
      </c>
      <c r="K33" s="742">
        <f t="shared" ca="1" si="5"/>
        <v>23223.12763166982</v>
      </c>
      <c r="L33" s="742">
        <f t="shared" ca="1" si="5"/>
        <v>22022.679484302178</v>
      </c>
      <c r="M33" s="742">
        <f t="shared" ca="1" si="5"/>
        <v>23623.559028328644</v>
      </c>
      <c r="N33" s="742">
        <f t="shared" ca="1" si="5"/>
        <v>22751.543125559281</v>
      </c>
      <c r="O33" s="742">
        <f t="shared" ca="1" si="5"/>
        <v>22466.821494606571</v>
      </c>
      <c r="P33" s="742">
        <f t="shared" ca="1" si="5"/>
        <v>20227.127687827189</v>
      </c>
      <c r="Q33" s="742">
        <f t="shared" ca="1" si="5"/>
        <v>26463.124274070269</v>
      </c>
      <c r="R33" s="742">
        <f t="shared" ca="1" si="5"/>
        <v>32869.581961064869</v>
      </c>
      <c r="S33" s="742">
        <f t="shared" ca="1" si="5"/>
        <v>38922.620664407819</v>
      </c>
      <c r="T33" s="742">
        <f t="shared" ca="1" si="5"/>
        <v>39523.476514890353</v>
      </c>
      <c r="U33" s="742">
        <f t="shared" ca="1" si="5"/>
        <v>41549.998853835896</v>
      </c>
      <c r="V33" s="744">
        <f t="shared" ca="1" si="5"/>
        <v>33377.49305841553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6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6">
      <c r="A35" s="308" t="s">
        <v>300</v>
      </c>
      <c r="B35" s="309"/>
      <c r="C35" s="735">
        <f>TAXES!C14</f>
        <v>325.51323265238909</v>
      </c>
      <c r="D35" s="736">
        <f ca="1">TAXES!D14</f>
        <v>115.02259716896427</v>
      </c>
      <c r="E35" s="736">
        <f ca="1">TAXES!E14</f>
        <v>151.40745588548441</v>
      </c>
      <c r="F35" s="736">
        <f ca="1">TAXES!F14</f>
        <v>322.65151931206606</v>
      </c>
      <c r="G35" s="736">
        <f ca="1">TAXES!G14</f>
        <v>445.53082647379733</v>
      </c>
      <c r="H35" s="736">
        <f ca="1">TAXES!H14</f>
        <v>159.80635215066877</v>
      </c>
      <c r="I35" s="736">
        <f ca="1">TAXES!I14</f>
        <v>617.99686768013419</v>
      </c>
      <c r="J35" s="736">
        <f ca="1">TAXES!J14</f>
        <v>1117.073565935792</v>
      </c>
      <c r="K35" s="736">
        <f ca="1">TAXES!K14</f>
        <v>1198.6384948163295</v>
      </c>
      <c r="L35" s="736">
        <f ca="1">TAXES!L14</f>
        <v>1127.521203910821</v>
      </c>
      <c r="M35" s="736">
        <f ca="1">TAXES!M14</f>
        <v>1222.6643786158588</v>
      </c>
      <c r="N35" s="736">
        <f ca="1">TAXES!N14</f>
        <v>1171.253022386247</v>
      </c>
      <c r="O35" s="736">
        <f ca="1">TAXES!O14</f>
        <v>1153.2601265925346</v>
      </c>
      <c r="P35" s="736">
        <f ca="1">TAXES!P14</f>
        <v>1019.7880961223216</v>
      </c>
      <c r="Q35" s="736">
        <f ca="1">TAXES!Q14</f>
        <v>1393.0382933603564</v>
      </c>
      <c r="R35" s="736">
        <f ca="1">TAXES!R14</f>
        <v>2046.6667437988472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6">
      <c r="A36" s="303" t="s">
        <v>301</v>
      </c>
      <c r="B36" s="309"/>
      <c r="C36" s="748">
        <f ca="1">(+C33-C35)*TAXES!C26</f>
        <v>2239.4742889642562</v>
      </c>
      <c r="D36" s="752">
        <f ca="1">(+D33-D35)*TAXES!C26</f>
        <v>4458.4897572962209</v>
      </c>
      <c r="E36" s="752">
        <f ca="1">(+E33-E35)*TAXES!C26</f>
        <v>4153.9312094203206</v>
      </c>
      <c r="F36" s="752">
        <f ca="1">(+F33-F35)*TAXES!C26</f>
        <v>4641.9105136700091</v>
      </c>
      <c r="G36" s="752">
        <f ca="1">(+G33-G35)*TAXES!C26</f>
        <v>4907.137641439771</v>
      </c>
      <c r="H36" s="752">
        <f ca="1">(+H33-H35)*TAXES!C26</f>
        <v>2182.0998971046929</v>
      </c>
      <c r="I36" s="752">
        <f ca="1">(+I33-I35)*TAXES!C26</f>
        <v>4519.4136211387085</v>
      </c>
      <c r="J36" s="752">
        <f ca="1">(+J33-J35)*TAXES!C26</f>
        <v>7256.0175165738992</v>
      </c>
      <c r="K36" s="752">
        <f ca="1">(+K33-K35)*TAXES!C26</f>
        <v>7708.5711978987219</v>
      </c>
      <c r="L36" s="752">
        <f ca="1">(+L33-L35)*TAXES!C26</f>
        <v>7313.305398136974</v>
      </c>
      <c r="M36" s="752">
        <f ca="1">(+M33-M35)*TAXES!C26</f>
        <v>7840.3131273994741</v>
      </c>
      <c r="N36" s="752">
        <f ca="1">(+N33-N35)*TAXES!C26</f>
        <v>7553.101536110561</v>
      </c>
      <c r="O36" s="752">
        <f ca="1">(+O33-O35)*TAXES!C26</f>
        <v>7459.7464788049128</v>
      </c>
      <c r="P36" s="752">
        <f ca="1">(+P33-P35)*TAXES!C26</f>
        <v>6722.5688570967041</v>
      </c>
      <c r="Q36" s="752">
        <f ca="1">(+Q33-Q35)*TAXES!C26</f>
        <v>8774.5300932484679</v>
      </c>
      <c r="R36" s="752">
        <f ca="1">(+R33-R35)*TAXES!C26</f>
        <v>10788.020326043106</v>
      </c>
      <c r="S36" s="752">
        <f ca="1">(+S33-S35)*TAXES!C26</f>
        <v>12685.554072494144</v>
      </c>
      <c r="T36" s="752">
        <f ca="1">(+T33-T35)*TAXES!C26</f>
        <v>12883.235647302898</v>
      </c>
      <c r="U36" s="752">
        <f ca="1">(+U33-U35)*TAXES!C26</f>
        <v>13549.961496815982</v>
      </c>
      <c r="V36" s="754">
        <f ca="1">(+V33-V35)*TAXES!C26</f>
        <v>10861.207090122682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6">
      <c r="A37" s="303" t="s">
        <v>302</v>
      </c>
      <c r="B37" s="309"/>
      <c r="C37" s="735">
        <f t="shared" ref="C37:V37" ca="1" si="6">C36+C35</f>
        <v>2564.9875216166452</v>
      </c>
      <c r="D37" s="736">
        <f t="shared" ca="1" si="6"/>
        <v>4573.5123544651851</v>
      </c>
      <c r="E37" s="736">
        <f t="shared" ca="1" si="6"/>
        <v>4305.3386653058051</v>
      </c>
      <c r="F37" s="736">
        <f t="shared" ca="1" si="6"/>
        <v>4964.5620329820749</v>
      </c>
      <c r="G37" s="736">
        <f t="shared" ca="1" si="6"/>
        <v>5352.6684679135687</v>
      </c>
      <c r="H37" s="736">
        <f t="shared" ca="1" si="6"/>
        <v>2341.9062492553617</v>
      </c>
      <c r="I37" s="736">
        <f t="shared" ca="1" si="6"/>
        <v>5137.4104888188431</v>
      </c>
      <c r="J37" s="736">
        <f t="shared" ca="1" si="6"/>
        <v>8373.0910825096908</v>
      </c>
      <c r="K37" s="736">
        <f t="shared" ca="1" si="6"/>
        <v>8907.2096927150524</v>
      </c>
      <c r="L37" s="736">
        <f t="shared" ca="1" si="6"/>
        <v>8440.8266020477949</v>
      </c>
      <c r="M37" s="736">
        <f t="shared" ca="1" si="6"/>
        <v>9062.9775060153333</v>
      </c>
      <c r="N37" s="736">
        <f t="shared" ca="1" si="6"/>
        <v>8724.3545584968087</v>
      </c>
      <c r="O37" s="736">
        <f t="shared" ca="1" si="6"/>
        <v>8613.0066053974479</v>
      </c>
      <c r="P37" s="736">
        <f t="shared" ca="1" si="6"/>
        <v>7742.3569532190259</v>
      </c>
      <c r="Q37" s="736">
        <f t="shared" ca="1" si="6"/>
        <v>10167.568386608824</v>
      </c>
      <c r="R37" s="736">
        <f t="shared" ca="1" si="6"/>
        <v>12834.687069841953</v>
      </c>
      <c r="S37" s="736">
        <f t="shared" ca="1" si="6"/>
        <v>15363.734529775833</v>
      </c>
      <c r="T37" s="736">
        <f t="shared" ca="1" si="6"/>
        <v>15597.46745561354</v>
      </c>
      <c r="U37" s="736">
        <f t="shared" ca="1" si="6"/>
        <v>16385.784645463355</v>
      </c>
      <c r="V37" s="737">
        <f t="shared" ca="1" si="6"/>
        <v>13206.679891044834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6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2" thickBot="1">
      <c r="A39" s="311" t="s">
        <v>303</v>
      </c>
      <c r="B39" s="285"/>
      <c r="C39" s="755">
        <f t="shared" ref="C39:V39" ca="1" si="7">C33-C37</f>
        <v>4159.0236795050478</v>
      </c>
      <c r="D39" s="756">
        <f t="shared" ca="1" si="7"/>
        <v>8280.0524064072688</v>
      </c>
      <c r="E39" s="756">
        <f t="shared" ca="1" si="7"/>
        <v>7714.4436746377387</v>
      </c>
      <c r="F39" s="756">
        <f t="shared" ca="1" si="7"/>
        <v>8620.6909539585904</v>
      </c>
      <c r="G39" s="756">
        <f t="shared" ca="1" si="7"/>
        <v>9113.2556198167185</v>
      </c>
      <c r="H39" s="756">
        <f t="shared" ca="1" si="7"/>
        <v>4052.4712374801452</v>
      </c>
      <c r="I39" s="756">
        <f t="shared" ca="1" si="7"/>
        <v>8393.1967249718891</v>
      </c>
      <c r="J39" s="756">
        <f t="shared" ca="1" si="7"/>
        <v>13475.461102208672</v>
      </c>
      <c r="K39" s="756">
        <f t="shared" ca="1" si="7"/>
        <v>14315.917938954768</v>
      </c>
      <c r="L39" s="756">
        <f t="shared" ca="1" si="7"/>
        <v>13581.852882254383</v>
      </c>
      <c r="M39" s="756">
        <f t="shared" ca="1" si="7"/>
        <v>14560.58152231331</v>
      </c>
      <c r="N39" s="756">
        <f t="shared" ca="1" si="7"/>
        <v>14027.188567062472</v>
      </c>
      <c r="O39" s="756">
        <f t="shared" ca="1" si="7"/>
        <v>13853.814889209123</v>
      </c>
      <c r="P39" s="756">
        <f t="shared" ca="1" si="7"/>
        <v>12484.770734608162</v>
      </c>
      <c r="Q39" s="756">
        <f t="shared" ca="1" si="7"/>
        <v>16295.555887461445</v>
      </c>
      <c r="R39" s="756">
        <f t="shared" ca="1" si="7"/>
        <v>20034.894891222917</v>
      </c>
      <c r="S39" s="756">
        <f t="shared" ca="1" si="7"/>
        <v>23558.886134631986</v>
      </c>
      <c r="T39" s="756">
        <f t="shared" ca="1" si="7"/>
        <v>23926.009059276814</v>
      </c>
      <c r="U39" s="756">
        <f t="shared" ca="1" si="7"/>
        <v>25164.214208372541</v>
      </c>
      <c r="V39" s="757">
        <f t="shared" ca="1" si="7"/>
        <v>20170.813167370696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2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6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6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6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6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6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6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6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6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6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6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6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6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6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6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6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6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6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6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6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6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6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6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6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6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6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6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6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6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6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6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6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6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6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6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6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6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6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6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6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6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6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6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6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6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6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6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6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6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6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6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6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6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6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6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6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6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6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6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6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6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6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6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6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6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6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6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6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6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6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6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6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6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6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6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6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6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6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6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6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6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6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6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6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6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6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6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6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6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6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6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6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6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6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6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6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6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6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6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6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6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6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6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6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6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6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6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6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6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6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6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6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6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6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6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view="pageBreakPreview" zoomScale="60" zoomScaleNormal="100" workbookViewId="0">
      <selection activeCell="B8" sqref="B8"/>
    </sheetView>
  </sheetViews>
  <sheetFormatPr defaultRowHeight="15.6"/>
  <cols>
    <col min="2" max="2" width="9.36328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</f>
        <v>-8630.5196917428566</v>
      </c>
      <c r="I3" s="774">
        <f ca="1">-'144A IDC'!I69</f>
        <v>43759.75201300453</v>
      </c>
      <c r="J3" s="774">
        <f ca="1">-'144A IDC'!J69</f>
        <v>39.871751741034011</v>
      </c>
      <c r="K3" s="774">
        <f ca="1">-'144A IDC'!K69</f>
        <v>16.202219813359019</v>
      </c>
      <c r="L3" s="774">
        <f ca="1">-'144A IDC'!L69</f>
        <v>-2644.0699886268544</v>
      </c>
      <c r="M3" s="774">
        <f ca="1">-'144A IDC'!M69</f>
        <v>-6532.6000142779967</v>
      </c>
      <c r="N3" s="774">
        <f ca="1">-'144A IDC'!N69</f>
        <v>-9684.6757574118237</v>
      </c>
      <c r="O3" s="774">
        <f ca="1">-'144A IDC'!O69</f>
        <v>-14409.675757411824</v>
      </c>
      <c r="P3" s="774">
        <f ca="1">-'144A IDC'!P69</f>
        <v>-17088.157296795249</v>
      </c>
      <c r="Q3" s="774">
        <f ca="1">-'144A IDC'!Q69</f>
        <v>-11408.741543400958</v>
      </c>
      <c r="R3" s="774">
        <f ca="1">-'144A IDC'!R69</f>
        <v>-11408.741543400958</v>
      </c>
      <c r="S3" s="774">
        <f ca="1">-'144A IDC'!S69</f>
        <v>-13104.80619379478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9848.3227211367266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14982.106765259125</v>
      </c>
      <c r="U4" s="776">
        <f ca="1">CSHFLO!E36+0.5*OandM!E11*(1-TAXES!E26-'ASSUM 1'!$N$40)</f>
        <v>14031.656847446129</v>
      </c>
      <c r="V4" s="776">
        <f ca="1">CSHFLO!F36+0.5*OandM!F11*(1-TAXES!F26-'ASSUM 1'!$N$40)</f>
        <v>13705.857845634535</v>
      </c>
      <c r="W4" s="776">
        <f ca="1">CSHFLO!G36+0.5*OandM!G11*(1-TAXES!G26-'ASSUM 1'!$N$40)</f>
        <v>13271.112393021302</v>
      </c>
      <c r="X4" s="776">
        <f ca="1">CSHFLO!H36+0.5*OandM!H11*(1-TAXES!H26-'ASSUM 1'!$N$40)</f>
        <v>10490.834104530766</v>
      </c>
      <c r="Y4" s="776">
        <f ca="1">CSHFLO!I36+0.5*OandM!I11*(1-TAXES!I26-'ASSUM 1'!$N$40)</f>
        <v>11367.915957866711</v>
      </c>
      <c r="Z4" s="776">
        <f ca="1">CSHFLO!J36+0.5*OandM!J11*(1-TAXES!J26-'ASSUM 1'!$N$40)</f>
        <v>12498.453020705248</v>
      </c>
      <c r="AA4" s="776">
        <f ca="1">CSHFLO!K36+0.5*OandM!K11*(1-TAXES!K26-'ASSUM 1'!$N$40)</f>
        <v>12311.287220134365</v>
      </c>
      <c r="AB4" s="776">
        <f ca="1">CSHFLO!L36+0.5*OandM!L11*(1-TAXES!L26-'ASSUM 1'!$N$40)</f>
        <v>12084.601828524712</v>
      </c>
      <c r="AC4" s="776">
        <f ca="1">CSHFLO!M36+0.5*OandM!M11*(1-TAXES!M26-'ASSUM 1'!$N$40)</f>
        <v>13062.42104227283</v>
      </c>
      <c r="AD4" s="776">
        <f ca="1">CSHFLO!N36+0.5*OandM!N11*(1-TAXES!N26-'ASSUM 1'!$N$40)</f>
        <v>12988.693756648805</v>
      </c>
      <c r="AE4" s="776">
        <f ca="1">CSHFLO!O36+0.5*OandM!O11*(1-TAXES!O26-'ASSUM 1'!$N$40)</f>
        <v>12769.402227346864</v>
      </c>
      <c r="AF4" s="776">
        <f ca="1">CSHFLO!P36+0.5*OandM!P11*(1-TAXES!P26-'ASSUM 1'!$N$40)</f>
        <v>11913.363202451535</v>
      </c>
      <c r="AG4" s="776">
        <f ca="1">CSHFLO!Q36+0.5*OandM!Q11*(1-TAXES!Q26-'ASSUM 1'!$N$40)</f>
        <v>16139.809037043437</v>
      </c>
      <c r="AH4" s="776">
        <f ca="1">CSHFLO!R36+0.5*OandM!R11*(1-TAXES!R26-'ASSUM 1'!$N$40)</f>
        <v>19244.424100356162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43759.75201300453</v>
      </c>
      <c r="J5" s="774">
        <f t="shared" ca="1" si="0"/>
        <v>39.871751741034011</v>
      </c>
      <c r="K5" s="774">
        <f t="shared" ca="1" si="0"/>
        <v>16.202219813359019</v>
      </c>
      <c r="L5" s="774">
        <f t="shared" ca="1" si="0"/>
        <v>-2644.0699886268544</v>
      </c>
      <c r="M5" s="774">
        <f t="shared" ca="1" si="0"/>
        <v>-6532.6000142779967</v>
      </c>
      <c r="N5" s="774">
        <f t="shared" ca="1" si="0"/>
        <v>-9684.6757574118237</v>
      </c>
      <c r="O5" s="774">
        <f t="shared" ca="1" si="0"/>
        <v>-4561.3530362750971</v>
      </c>
      <c r="P5" s="774">
        <f t="shared" ca="1" si="0"/>
        <v>-17088.157296795249</v>
      </c>
      <c r="Q5" s="774">
        <f t="shared" ca="1" si="0"/>
        <v>-11408.741543400958</v>
      </c>
      <c r="R5" s="774">
        <f t="shared" ca="1" si="0"/>
        <v>-11408.741543400958</v>
      </c>
      <c r="S5" s="774">
        <f t="shared" ca="1" si="0"/>
        <v>-13104.80619379478</v>
      </c>
      <c r="T5" s="774">
        <f t="shared" ca="1" si="0"/>
        <v>14982.106765259125</v>
      </c>
      <c r="U5" s="774">
        <f t="shared" ca="1" si="0"/>
        <v>14031.656847446129</v>
      </c>
      <c r="V5" s="774">
        <f t="shared" ca="1" si="0"/>
        <v>13705.857845634535</v>
      </c>
      <c r="W5" s="774">
        <f t="shared" ca="1" si="0"/>
        <v>13271.112393021302</v>
      </c>
      <c r="X5" s="774">
        <f t="shared" ca="1" si="0"/>
        <v>10490.834104530766</v>
      </c>
      <c r="Y5" s="774">
        <f t="shared" ca="1" si="0"/>
        <v>11367.915957866711</v>
      </c>
      <c r="Z5" s="774">
        <f t="shared" ca="1" si="0"/>
        <v>12498.453020705248</v>
      </c>
      <c r="AA5" s="774">
        <f t="shared" ca="1" si="0"/>
        <v>12311.287220134365</v>
      </c>
      <c r="AB5" s="774">
        <f t="shared" ca="1" si="0"/>
        <v>12084.601828524712</v>
      </c>
      <c r="AC5" s="774">
        <f t="shared" ca="1" si="0"/>
        <v>13062.42104227283</v>
      </c>
      <c r="AD5" s="774">
        <f t="shared" ca="1" si="0"/>
        <v>12988.693756648805</v>
      </c>
      <c r="AE5" s="774">
        <f t="shared" ca="1" si="0"/>
        <v>12769.402227346864</v>
      </c>
      <c r="AF5" s="774">
        <f t="shared" ca="1" si="0"/>
        <v>11913.363202451535</v>
      </c>
      <c r="AG5" s="774">
        <f t="shared" ca="1" si="0"/>
        <v>16139.809037043437</v>
      </c>
      <c r="AH5" s="774">
        <f t="shared" ca="1" si="0"/>
        <v>19244.424100356162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0.16</v>
      </c>
      <c r="C7" s="774">
        <f ca="1">XNPV(B7,D$5:AL$5,D$1:AL$1)</f>
        <v>8214.0224035451683</v>
      </c>
    </row>
    <row r="8" spans="1:39">
      <c r="A8" t="s">
        <v>419</v>
      </c>
      <c r="B8" s="119">
        <f ca="1">XIRR(D$5:AL$5,D$1:AL$1)</f>
        <v>0.18138399720191958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62"/>
  <sheetViews>
    <sheetView showOutlineSymbols="0" view="pageBreakPreview" zoomScale="60" zoomScaleNormal="75" workbookViewId="0">
      <selection activeCell="G13" sqref="G13"/>
    </sheetView>
  </sheetViews>
  <sheetFormatPr defaultColWidth="9.81640625" defaultRowHeight="15.6"/>
  <cols>
    <col min="1" max="1" width="20.81640625" style="317" customWidth="1"/>
    <col min="2" max="2" width="5.81640625" style="317" customWidth="1"/>
    <col min="3" max="22" width="9.81640625" style="317" customWidth="1"/>
    <col min="23" max="23" width="3.6328125" style="317" customWidth="1"/>
    <col min="24" max="16384" width="9.81640625" style="317"/>
  </cols>
  <sheetData>
    <row r="1" spans="1:33" ht="22.2">
      <c r="A1" s="316" t="str">
        <f ca="1">CSHFLO!A1</f>
        <v>DELMARVA, VA</v>
      </c>
    </row>
    <row r="2" spans="1:33">
      <c r="A2" s="319" t="s">
        <v>135</v>
      </c>
      <c r="B2" s="320"/>
    </row>
    <row r="3" spans="1:3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33">
      <c r="A4" s="322"/>
      <c r="B4" s="322"/>
    </row>
    <row r="5" spans="1:3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3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3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3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3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3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3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3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3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3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3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3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3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3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3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3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3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3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33">
      <c r="A24" s="326"/>
      <c r="W24" s="326"/>
    </row>
    <row r="25" spans="1:33">
      <c r="A25" s="326" t="s">
        <v>308</v>
      </c>
      <c r="V25" s="327"/>
      <c r="W25" s="326"/>
    </row>
    <row r="26" spans="1:33">
      <c r="A26" s="326" t="s">
        <v>309</v>
      </c>
      <c r="C26" s="327">
        <f ca="1">'Co IS'!C24</f>
        <v>0</v>
      </c>
      <c r="D26" s="327">
        <f ca="1">'Co IS'!D24</f>
        <v>9369.68</v>
      </c>
      <c r="E26" s="327">
        <f ca="1">'Co IS'!E24</f>
        <v>9055.4599999999991</v>
      </c>
      <c r="F26" s="327">
        <f ca="1">'Co IS'!F24</f>
        <v>8740.07</v>
      </c>
      <c r="G26" s="327">
        <f ca="1">'Co IS'!G24</f>
        <v>8341.75</v>
      </c>
      <c r="H26" s="327">
        <f ca="1">'Co IS'!H24</f>
        <v>7986.67</v>
      </c>
      <c r="I26" s="327">
        <f ca="1">'Co IS'!I24</f>
        <v>7817.75</v>
      </c>
      <c r="J26" s="327">
        <f ca="1">'Co IS'!J24</f>
        <v>7293.27</v>
      </c>
      <c r="K26" s="327">
        <f ca="1">'Co IS'!K24</f>
        <v>6428.6</v>
      </c>
      <c r="L26" s="327">
        <f ca="1">'Co IS'!L24</f>
        <v>5491.87</v>
      </c>
      <c r="M26" s="327">
        <f ca="1">'Co IS'!M24</f>
        <v>4594.12</v>
      </c>
      <c r="N26" s="327">
        <f ca="1">'Co IS'!N24</f>
        <v>3708.18</v>
      </c>
      <c r="O26" s="327">
        <f ca="1">'Co IS'!O24</f>
        <v>2857.68</v>
      </c>
      <c r="P26" s="327">
        <f ca="1">'Co IS'!P24</f>
        <v>2018.99</v>
      </c>
      <c r="Q26" s="327">
        <f ca="1">'Co IS'!Q24</f>
        <v>1227.56</v>
      </c>
      <c r="R26" s="327">
        <f ca="1">'Co IS'!R24</f>
        <v>495.42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3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33">
      <c r="A28" s="326" t="s">
        <v>294</v>
      </c>
      <c r="C28" s="327">
        <f ca="1">'Co IS'!C25</f>
        <v>92.860208</v>
      </c>
      <c r="D28" s="327">
        <f ca="1">'Co IS'!D25</f>
        <v>91.889119999999991</v>
      </c>
      <c r="E28" s="327">
        <f ca="1">'Co IS'!E25</f>
        <v>97.349615999999997</v>
      </c>
      <c r="F28" s="327">
        <f ca="1">'Co IS'!F25</f>
        <v>102.29126400000001</v>
      </c>
      <c r="G28" s="327">
        <f ca="1">'Co IS'!G25</f>
        <v>104.62905600000003</v>
      </c>
      <c r="H28" s="327">
        <f ca="1">'Co IS'!H25</f>
        <v>111.58497599999998</v>
      </c>
      <c r="I28" s="327">
        <f ca="1">'Co IS'!I25</f>
        <v>111.56166400000004</v>
      </c>
      <c r="J28" s="327">
        <f ca="1">'Co IS'!J25</f>
        <v>104.68072000000002</v>
      </c>
      <c r="K28" s="327">
        <f ca="1">'Co IS'!K25</f>
        <v>95.393343999999999</v>
      </c>
      <c r="L28" s="327">
        <f ca="1">'Co IS'!L25</f>
        <v>86.410448000000002</v>
      </c>
      <c r="M28" s="327">
        <f ca="1">'Co IS'!M25</f>
        <v>76.238128000000032</v>
      </c>
      <c r="N28" s="327">
        <f ca="1">'Co IS'!N25</f>
        <v>57.34504000000004</v>
      </c>
      <c r="O28" s="327">
        <f ca="1">'Co IS'!O25</f>
        <v>49.765940000000043</v>
      </c>
      <c r="P28" s="327">
        <f ca="1">'Co IS'!P25</f>
        <v>40.570613333333377</v>
      </c>
      <c r="Q28" s="327">
        <f ca="1">'Co IS'!Q25</f>
        <v>27.145680000000066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3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33">
      <c r="A30" s="326" t="s">
        <v>311</v>
      </c>
      <c r="C30" s="327">
        <f t="shared" ref="C30:V30" ca="1" si="3">SUM(C26:C29)</f>
        <v>74.887708000000003</v>
      </c>
      <c r="D30" s="327">
        <f t="shared" ca="1" si="3"/>
        <v>12431.242210599999</v>
      </c>
      <c r="E30" s="327">
        <f t="shared" ca="1" si="3"/>
        <v>11778.174728146199</v>
      </c>
      <c r="F30" s="327">
        <f t="shared" ca="1" si="3"/>
        <v>12246.412082274146</v>
      </c>
      <c r="G30" s="327">
        <f t="shared" ca="1" si="3"/>
        <v>12366.055094467549</v>
      </c>
      <c r="H30" s="327">
        <f t="shared" ca="1" si="3"/>
        <v>8508.440115606174</v>
      </c>
      <c r="I30" s="327">
        <f t="shared" ca="1" si="3"/>
        <v>11451.832650475541</v>
      </c>
      <c r="J30" s="327">
        <f t="shared" ca="1" si="3"/>
        <v>14795.575621210381</v>
      </c>
      <c r="K30" s="327">
        <f t="shared" ca="1" si="3"/>
        <v>14914.429965643061</v>
      </c>
      <c r="L30" s="327">
        <f t="shared" ca="1" si="3"/>
        <v>13384.174706527423</v>
      </c>
      <c r="M30" s="327">
        <f t="shared" ca="1" si="3"/>
        <v>12384.292379607663</v>
      </c>
      <c r="N30" s="327">
        <f t="shared" ca="1" si="3"/>
        <v>10935.016364501071</v>
      </c>
      <c r="O30" s="327">
        <f t="shared" ca="1" si="3"/>
        <v>11007.44594</v>
      </c>
      <c r="P30" s="327">
        <f t="shared" ca="1" si="3"/>
        <v>9609.9489192691253</v>
      </c>
      <c r="Q30" s="327">
        <f t="shared" ca="1" si="3"/>
        <v>8252.792776131846</v>
      </c>
      <c r="R30" s="327">
        <f t="shared" ca="1" si="3"/>
        <v>6479.443753663214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3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33">
      <c r="A32" s="622" t="str">
        <f>+'Co IS'!A35</f>
        <v>VA Income Taxes</v>
      </c>
      <c r="C32" s="327">
        <f>+'Co IS'!C35</f>
        <v>325.51323265238909</v>
      </c>
      <c r="D32" s="327">
        <f ca="1">+'Co IS'!D35</f>
        <v>115.02259716896427</v>
      </c>
      <c r="E32" s="327">
        <f ca="1">+'Co IS'!E35</f>
        <v>151.40745588548441</v>
      </c>
      <c r="F32" s="327">
        <f ca="1">+'Co IS'!F35</f>
        <v>322.65151931206606</v>
      </c>
      <c r="G32" s="327">
        <f ca="1">+'Co IS'!G35</f>
        <v>445.53082647379733</v>
      </c>
      <c r="H32" s="327">
        <f ca="1">+'Co IS'!H35</f>
        <v>159.80635215066877</v>
      </c>
      <c r="I32" s="327">
        <f ca="1">+'Co IS'!I35</f>
        <v>617.99686768013419</v>
      </c>
      <c r="J32" s="327">
        <f ca="1">+'Co IS'!J35</f>
        <v>1117.073565935792</v>
      </c>
      <c r="K32" s="327">
        <f ca="1">+'Co IS'!K35</f>
        <v>1198.6384948163295</v>
      </c>
      <c r="L32" s="327">
        <f ca="1">+'Co IS'!L35</f>
        <v>1127.521203910821</v>
      </c>
      <c r="M32" s="327">
        <f ca="1">+'Co IS'!M35</f>
        <v>1222.6643786158588</v>
      </c>
      <c r="N32" s="327">
        <f ca="1">+'Co IS'!N35</f>
        <v>1171.253022386247</v>
      </c>
      <c r="O32" s="327">
        <f ca="1">+'Co IS'!O35</f>
        <v>1153.2601265925346</v>
      </c>
      <c r="P32" s="327">
        <f ca="1">+'Co IS'!P35</f>
        <v>1019.7880961223216</v>
      </c>
      <c r="Q32" s="327">
        <f ca="1">+'Co IS'!Q35</f>
        <v>1393.0382933603564</v>
      </c>
      <c r="R32" s="327">
        <f ca="1">+'Co IS'!R35</f>
        <v>2046.6667437988472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596.84272173137231</v>
      </c>
      <c r="E33" s="328">
        <f ca="1">TAXES!E33</f>
        <v>830.21754977207274</v>
      </c>
      <c r="F33" s="328">
        <f ca="1">TAXES!F33</f>
        <v>1769.2058308944956</v>
      </c>
      <c r="G33" s="328">
        <f ca="1">TAXES!G33</f>
        <v>2442.994031831322</v>
      </c>
      <c r="H33" s="328">
        <f ca="1">TAXES!H33</f>
        <v>876.27149762616716</v>
      </c>
      <c r="I33" s="328">
        <f ca="1">TAXES!I33</f>
        <v>3388.6828244460689</v>
      </c>
      <c r="J33" s="328">
        <f ca="1">TAXES!J33</f>
        <v>6125.2867198812592</v>
      </c>
      <c r="K33" s="328">
        <f ca="1">TAXES!K33</f>
        <v>6572.5344132428736</v>
      </c>
      <c r="L33" s="328">
        <f ca="1">TAXES!L33</f>
        <v>6182.5746014443357</v>
      </c>
      <c r="M33" s="328">
        <f ca="1">TAXES!M33</f>
        <v>6704.2763427436257</v>
      </c>
      <c r="N33" s="328">
        <f ca="1">TAXES!N33</f>
        <v>6422.370739417921</v>
      </c>
      <c r="O33" s="328">
        <f ca="1">TAXES!O33</f>
        <v>6323.7096941490645</v>
      </c>
      <c r="P33" s="328">
        <f ca="1">TAXES!P33</f>
        <v>5591.8380604040631</v>
      </c>
      <c r="Q33" s="328">
        <f ca="1">TAXES!Q33</f>
        <v>7638.4933085926195</v>
      </c>
      <c r="R33" s="328">
        <f ca="1">TAXES!R33</f>
        <v>11222.555978497012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711.86531890033655</v>
      </c>
      <c r="E34" s="327">
        <f t="shared" ca="1" si="4"/>
        <v>981.62500565755715</v>
      </c>
      <c r="F34" s="327">
        <f t="shared" ca="1" si="4"/>
        <v>2091.8573502065619</v>
      </c>
      <c r="G34" s="327">
        <f t="shared" ca="1" si="4"/>
        <v>2888.5248583051193</v>
      </c>
      <c r="H34" s="327">
        <f t="shared" ca="1" si="4"/>
        <v>1036.077849776836</v>
      </c>
      <c r="I34" s="327">
        <f t="shared" ca="1" si="4"/>
        <v>4006.679692126203</v>
      </c>
      <c r="J34" s="327">
        <f t="shared" ca="1" si="4"/>
        <v>7242.3602858170507</v>
      </c>
      <c r="K34" s="327">
        <f t="shared" ca="1" si="4"/>
        <v>7771.1729080592031</v>
      </c>
      <c r="L34" s="327">
        <f t="shared" ca="1" si="4"/>
        <v>7310.0958053551567</v>
      </c>
      <c r="M34" s="327">
        <f t="shared" ca="1" si="4"/>
        <v>7926.9407213594841</v>
      </c>
      <c r="N34" s="327">
        <f t="shared" ca="1" si="4"/>
        <v>7593.6237618041678</v>
      </c>
      <c r="O34" s="327">
        <f t="shared" ca="1" si="4"/>
        <v>7476.9698207415986</v>
      </c>
      <c r="P34" s="327">
        <f t="shared" ca="1" si="4"/>
        <v>6611.6261565263849</v>
      </c>
      <c r="Q34" s="327">
        <f t="shared" ca="1" si="4"/>
        <v>9031.5316019529764</v>
      </c>
      <c r="R34" s="327">
        <f t="shared" ca="1" si="4"/>
        <v>13269.222722295859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9731.5014711367257</v>
      </c>
      <c r="D36" s="335">
        <f t="shared" ca="1" si="5"/>
        <v>14795.419732259124</v>
      </c>
      <c r="E36" s="335">
        <f t="shared" ca="1" si="5"/>
        <v>13839.929264555129</v>
      </c>
      <c r="F36" s="335">
        <f t="shared" ca="1" si="5"/>
        <v>13508.953618005478</v>
      </c>
      <c r="G36" s="335">
        <f t="shared" ca="1" si="5"/>
        <v>13068.891751246259</v>
      </c>
      <c r="H36" s="335">
        <f t="shared" ca="1" si="5"/>
        <v>10283.153505427799</v>
      </c>
      <c r="I36" s="335">
        <f t="shared" ca="1" si="5"/>
        <v>11154.627982587963</v>
      </c>
      <c r="J36" s="335">
        <f t="shared" ca="1" si="5"/>
        <v>12279.406270093974</v>
      </c>
      <c r="K36" s="335">
        <f t="shared" ca="1" si="5"/>
        <v>12086.326207256587</v>
      </c>
      <c r="L36" s="335">
        <f t="shared" ca="1" si="5"/>
        <v>11853.566868299235</v>
      </c>
      <c r="M36" s="335">
        <f t="shared" ca="1" si="5"/>
        <v>12825.148138121263</v>
      </c>
      <c r="N36" s="335">
        <f t="shared" ca="1" si="5"/>
        <v>12745.014484085146</v>
      </c>
      <c r="O36" s="335">
        <f t="shared" ca="1" si="5"/>
        <v>12519.143614423987</v>
      </c>
      <c r="P36" s="335">
        <f t="shared" ca="1" si="5"/>
        <v>11656.34760697974</v>
      </c>
      <c r="Q36" s="335">
        <f t="shared" ca="1" si="5"/>
        <v>15875.854020493904</v>
      </c>
      <c r="R36" s="335">
        <f t="shared" ca="1" si="5"/>
        <v>18973.342298359792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3.6225485382601619E-3</v>
      </c>
      <c r="W37" s="326"/>
    </row>
    <row r="38" spans="1:23" ht="16.8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9369.68</v>
      </c>
      <c r="E44" s="685">
        <f ca="1">'144A DEBT'!E34</f>
        <v>9055.4599999999991</v>
      </c>
      <c r="F44" s="685">
        <f ca="1">'144A DEBT'!F34</f>
        <v>8740.07</v>
      </c>
      <c r="G44" s="685">
        <f ca="1">'144A DEBT'!G34</f>
        <v>8341.75</v>
      </c>
      <c r="H44" s="685">
        <f ca="1">'144A DEBT'!H34</f>
        <v>7986.67</v>
      </c>
      <c r="I44" s="685">
        <f ca="1">'144A DEBT'!I34</f>
        <v>7817.75</v>
      </c>
      <c r="J44" s="685">
        <f ca="1">'144A DEBT'!J34</f>
        <v>7293.27</v>
      </c>
      <c r="K44" s="685">
        <f ca="1">'144A DEBT'!K34</f>
        <v>6428.6</v>
      </c>
      <c r="L44" s="685">
        <f ca="1">'144A DEBT'!L34</f>
        <v>5491.87</v>
      </c>
      <c r="M44" s="685">
        <f ca="1">'144A DEBT'!M34</f>
        <v>4594.12</v>
      </c>
      <c r="N44" s="685">
        <f ca="1">'144A DEBT'!N34</f>
        <v>3708.18</v>
      </c>
      <c r="O44" s="685">
        <f ca="1">'144A DEBT'!O34</f>
        <v>2857.68</v>
      </c>
      <c r="P44" s="685">
        <f ca="1">'144A DEBT'!P34</f>
        <v>2018.99</v>
      </c>
      <c r="Q44" s="685">
        <f ca="1">'144A DEBT'!Q34</f>
        <v>1227.56</v>
      </c>
      <c r="R44" s="685">
        <f ca="1">'144A DEBT'!R34</f>
        <v>495.42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12429.68</v>
      </c>
      <c r="E46" s="685">
        <f t="shared" ca="1" si="8"/>
        <v>11845.46</v>
      </c>
      <c r="F46" s="685">
        <f t="shared" ca="1" si="8"/>
        <v>12385.07</v>
      </c>
      <c r="G46" s="685">
        <f t="shared" ca="1" si="8"/>
        <v>12580.75</v>
      </c>
      <c r="H46" s="685">
        <f t="shared" ca="1" si="8"/>
        <v>8796.67</v>
      </c>
      <c r="I46" s="685">
        <f t="shared" ca="1" si="8"/>
        <v>11822.75</v>
      </c>
      <c r="J46" s="685">
        <f t="shared" ca="1" si="8"/>
        <v>15258.27</v>
      </c>
      <c r="K46" s="685">
        <f t="shared" ca="1" si="8"/>
        <v>15473.6</v>
      </c>
      <c r="L46" s="685">
        <f t="shared" ca="1" si="8"/>
        <v>14041.869999999999</v>
      </c>
      <c r="M46" s="685">
        <f t="shared" ca="1" si="8"/>
        <v>13144.119999999999</v>
      </c>
      <c r="N46" s="685">
        <f t="shared" ca="1" si="8"/>
        <v>11808.18</v>
      </c>
      <c r="O46" s="685">
        <f t="shared" ca="1" si="8"/>
        <v>10957.68</v>
      </c>
      <c r="P46" s="685">
        <f t="shared" ca="1" si="8"/>
        <v>9668.9900000000016</v>
      </c>
      <c r="Q46" s="685">
        <f t="shared" ca="1" si="8"/>
        <v>8427.56</v>
      </c>
      <c r="R46" s="685">
        <f t="shared" ca="1" si="8"/>
        <v>6786.4200000000164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12429.68</v>
      </c>
      <c r="E49" s="690">
        <f t="shared" ca="1" si="9"/>
        <v>11845.46</v>
      </c>
      <c r="F49" s="690">
        <f t="shared" ca="1" si="9"/>
        <v>12385.07</v>
      </c>
      <c r="G49" s="690">
        <f t="shared" ca="1" si="9"/>
        <v>12580.75</v>
      </c>
      <c r="H49" s="690">
        <f t="shared" ca="1" si="9"/>
        <v>8796.67</v>
      </c>
      <c r="I49" s="690">
        <f t="shared" ca="1" si="9"/>
        <v>11822.75</v>
      </c>
      <c r="J49" s="690">
        <f t="shared" ca="1" si="9"/>
        <v>15258.27</v>
      </c>
      <c r="K49" s="690">
        <f t="shared" ca="1" si="9"/>
        <v>15473.6</v>
      </c>
      <c r="L49" s="690">
        <f t="shared" ca="1" si="9"/>
        <v>14041.869999999999</v>
      </c>
      <c r="M49" s="690">
        <f t="shared" ca="1" si="9"/>
        <v>13144.119999999999</v>
      </c>
      <c r="N49" s="690">
        <f t="shared" ca="1" si="9"/>
        <v>11808.18</v>
      </c>
      <c r="O49" s="690">
        <f t="shared" ca="1" si="9"/>
        <v>10957.68</v>
      </c>
      <c r="P49" s="690">
        <f t="shared" ca="1" si="9"/>
        <v>9668.9900000000016</v>
      </c>
      <c r="Q49" s="690">
        <f t="shared" ca="1" si="9"/>
        <v>8427.56</v>
      </c>
      <c r="R49" s="690">
        <f t="shared" ca="1" si="9"/>
        <v>6786.4200000000164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2.2477269939177402</v>
      </c>
      <c r="E52" s="693">
        <f t="shared" ca="1" si="10"/>
        <v>2.2455631945368846</v>
      </c>
      <c r="F52" s="693">
        <f t="shared" ca="1" si="10"/>
        <v>2.2484510019310497</v>
      </c>
      <c r="G52" s="693">
        <f t="shared" ca="1" si="10"/>
        <v>2.2513341179197526</v>
      </c>
      <c r="H52" s="693">
        <f t="shared" ca="1" si="10"/>
        <v>2.253997418433431</v>
      </c>
      <c r="I52" s="693">
        <f t="shared" ca="1" si="10"/>
        <v>2.2510110021094674</v>
      </c>
      <c r="J52" s="693">
        <f t="shared" ca="1" si="10"/>
        <v>2.2490978451109731</v>
      </c>
      <c r="K52" s="693">
        <f t="shared" ca="1" si="10"/>
        <v>2.2471777143624525</v>
      </c>
      <c r="L52" s="693">
        <f t="shared" ca="1" si="10"/>
        <v>2.3179133107044732</v>
      </c>
      <c r="M52" s="693">
        <f t="shared" ca="1" si="10"/>
        <v>2.5210041630088904</v>
      </c>
      <c r="N52" s="693">
        <f t="shared" ca="1" si="10"/>
        <v>2.648473736883278</v>
      </c>
      <c r="O52" s="693">
        <f t="shared" ca="1" si="10"/>
        <v>2.8293908359402344</v>
      </c>
      <c r="P52" s="693">
        <f t="shared" ca="1" si="10"/>
        <v>2.8832300667158872</v>
      </c>
      <c r="Q52" s="693">
        <f t="shared" ca="1" si="10"/>
        <v>3.934730621743272</v>
      </c>
      <c r="R52" s="693">
        <f t="shared" ca="1" si="10"/>
        <v>5.7058078890370432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2.7223273274903219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2.2455631945368846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2.2477269939177402</v>
      </c>
      <c r="E57" s="693">
        <f t="shared" ca="1" si="11"/>
        <v>2.2455631945368846</v>
      </c>
      <c r="F57" s="693">
        <f t="shared" ca="1" si="11"/>
        <v>2.2484510019310497</v>
      </c>
      <c r="G57" s="693">
        <f t="shared" ca="1" si="11"/>
        <v>2.2513341179197526</v>
      </c>
      <c r="H57" s="693">
        <f t="shared" ca="1" si="11"/>
        <v>2.253997418433431</v>
      </c>
      <c r="I57" s="693">
        <f t="shared" ca="1" si="11"/>
        <v>2.2510110021094674</v>
      </c>
      <c r="J57" s="693">
        <f t="shared" ca="1" si="11"/>
        <v>2.2490978451109731</v>
      </c>
      <c r="K57" s="693">
        <f t="shared" ca="1" si="11"/>
        <v>2.2471777143624525</v>
      </c>
      <c r="L57" s="693">
        <f t="shared" ca="1" si="11"/>
        <v>2.3179133107044732</v>
      </c>
      <c r="M57" s="693">
        <f t="shared" ca="1" si="11"/>
        <v>2.5210041630088904</v>
      </c>
      <c r="N57" s="693">
        <f t="shared" ca="1" si="11"/>
        <v>2.648473736883278</v>
      </c>
      <c r="O57" s="693">
        <f t="shared" ca="1" si="11"/>
        <v>2.8293908359402344</v>
      </c>
      <c r="P57" s="693">
        <f t="shared" ca="1" si="11"/>
        <v>2.8832300667158872</v>
      </c>
      <c r="Q57" s="693">
        <f t="shared" ca="1" si="11"/>
        <v>3.934730621743272</v>
      </c>
      <c r="R57" s="693">
        <f ca="1">IF(R49&gt;1,(R13-R21)/R49,0)</f>
        <v>5.7058078890370432</v>
      </c>
      <c r="S57" s="693"/>
      <c r="T57" s="693"/>
      <c r="U57" s="693"/>
      <c r="V57" s="694"/>
      <c r="W57" s="673"/>
    </row>
    <row r="58" spans="1:23" ht="16.2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3" sqref="D23"/>
    </sheetView>
  </sheetViews>
  <sheetFormatPr defaultRowHeight="15.6"/>
  <cols>
    <col min="1" max="1" width="9.81640625" customWidth="1"/>
    <col min="3" max="3" width="10.6328125" bestFit="1" customWidth="1"/>
    <col min="4" max="4" width="9.81640625" bestFit="1" customWidth="1"/>
  </cols>
  <sheetData>
    <row r="2" spans="1:4">
      <c r="C2" s="97" t="s">
        <v>450</v>
      </c>
      <c r="D2" s="97" t="s">
        <v>26</v>
      </c>
    </row>
    <row r="3" spans="1:4">
      <c r="A3" t="s">
        <v>445</v>
      </c>
      <c r="C3">
        <f>'ENA Assumptions'!B4</f>
        <v>20</v>
      </c>
      <c r="D3">
        <f>'ASSUM 1'!S32</f>
        <v>15</v>
      </c>
    </row>
    <row r="4" spans="1:4">
      <c r="A4" t="s">
        <v>449</v>
      </c>
      <c r="C4" s="119">
        <f>'ASSUM 1'!$S39</f>
        <v>0.06</v>
      </c>
      <c r="D4" s="119">
        <f>'ASSUM 1'!$S39</f>
        <v>0.06</v>
      </c>
    </row>
    <row r="5" spans="1:4">
      <c r="A5" t="s">
        <v>448</v>
      </c>
      <c r="C5" s="812">
        <f>C6-C4</f>
        <v>1.9000000000000003E-2</v>
      </c>
      <c r="D5" s="812">
        <f>'ASSUM 1'!S40</f>
        <v>4.4999999999999998E-2</v>
      </c>
    </row>
    <row r="6" spans="1:4">
      <c r="A6" t="s">
        <v>446</v>
      </c>
      <c r="C6" s="813">
        <f>'ENA Assumptions'!B3</f>
        <v>7.9000000000000001E-2</v>
      </c>
      <c r="D6" s="119">
        <f>SUM(D4:D5)</f>
        <v>0.105</v>
      </c>
    </row>
    <row r="7" spans="1:4">
      <c r="A7" t="s">
        <v>453</v>
      </c>
      <c r="C7" s="818">
        <f>'ENA IDC'!C41*1000</f>
        <v>10631.25</v>
      </c>
      <c r="D7" s="818">
        <f>'144A IDC'!C41*1000</f>
        <v>2700</v>
      </c>
    </row>
    <row r="8" spans="1:4">
      <c r="A8" t="s">
        <v>442</v>
      </c>
      <c r="C8" s="814">
        <f ca="1">'ENA Debt'!B53</f>
        <v>14.037538874999994</v>
      </c>
      <c r="D8" s="814">
        <f ca="1">'144A DEBT'!B53</f>
        <v>13.210317490955473</v>
      </c>
    </row>
    <row r="9" spans="1:4">
      <c r="A9" t="s">
        <v>452</v>
      </c>
      <c r="B9" s="119">
        <v>0.16</v>
      </c>
      <c r="C9" s="774">
        <f ca="1">'ENE FCF'!C7</f>
        <v>11959.112736444302</v>
      </c>
      <c r="D9" s="774">
        <f ca="1">'144A FCF'!C7</f>
        <v>8214.0224035451683</v>
      </c>
    </row>
    <row r="10" spans="1:4">
      <c r="A10" t="s">
        <v>447</v>
      </c>
      <c r="C10" s="119">
        <f ca="1">'ENE FCF'!B8</f>
        <v>0.20003431439399721</v>
      </c>
      <c r="D10" s="119">
        <f ca="1">'144A FCF'!B8</f>
        <v>0.18138399720191958</v>
      </c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zoomScaleSheetLayoutView="100" workbookViewId="0">
      <selection activeCell="E8" sqref="E8"/>
    </sheetView>
  </sheetViews>
  <sheetFormatPr defaultRowHeight="15.6"/>
  <cols>
    <col min="1" max="1" width="15.08984375" bestFit="1" customWidth="1"/>
    <col min="8" max="8" width="6.6328125" customWidth="1"/>
  </cols>
  <sheetData>
    <row r="1" spans="1:8">
      <c r="A1" t="s">
        <v>443</v>
      </c>
    </row>
    <row r="2" spans="1:8">
      <c r="A2" s="349" t="s">
        <v>394</v>
      </c>
      <c r="B2" s="243">
        <f>315*375</f>
        <v>118125</v>
      </c>
    </row>
    <row r="3" spans="1:8">
      <c r="A3" s="349" t="s">
        <v>396</v>
      </c>
      <c r="B3" s="766">
        <v>7.9000000000000001E-2</v>
      </c>
    </row>
    <row r="4" spans="1:8">
      <c r="A4" s="349" t="s">
        <v>397</v>
      </c>
      <c r="B4">
        <v>20</v>
      </c>
    </row>
    <row r="5" spans="1:8">
      <c r="A5" s="349" t="s">
        <v>399</v>
      </c>
    </row>
    <row r="6" spans="1:8">
      <c r="A6" s="349" t="s">
        <v>400</v>
      </c>
      <c r="B6">
        <v>1</v>
      </c>
    </row>
    <row r="8" spans="1:8" ht="16.2" thickBot="1"/>
    <row r="9" spans="1:8" ht="16.2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8" ht="63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</row>
    <row r="11" spans="1:8" ht="16.2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3">
        <v>0</v>
      </c>
    </row>
    <row r="12" spans="1:8">
      <c r="A12" s="49">
        <f t="shared" ref="A12:A27" si="0">A11+1</f>
        <v>2001</v>
      </c>
      <c r="B12" s="8"/>
      <c r="C12" s="75">
        <v>1.4999999999999999E-2</v>
      </c>
      <c r="D12" s="765">
        <v>1</v>
      </c>
      <c r="E12" s="765">
        <f t="shared" ref="E12:E31" si="1">1-D12</f>
        <v>0</v>
      </c>
      <c r="F12" s="770"/>
      <c r="G12">
        <v>2001</v>
      </c>
      <c r="H12" s="813">
        <v>3.4000000000000002E-2</v>
      </c>
    </row>
    <row r="13" spans="1:8">
      <c r="A13" s="49">
        <f t="shared" si="0"/>
        <v>2002</v>
      </c>
      <c r="B13" s="8"/>
      <c r="C13" s="75">
        <v>3.5000000000000003E-2</v>
      </c>
      <c r="D13" s="765">
        <v>0.7</v>
      </c>
      <c r="E13" s="765">
        <f t="shared" si="1"/>
        <v>0.30000000000000004</v>
      </c>
      <c r="F13" s="770"/>
      <c r="G13">
        <v>2002</v>
      </c>
      <c r="H13" s="813">
        <v>3.1E-2</v>
      </c>
    </row>
    <row r="14" spans="1:8">
      <c r="A14" s="49">
        <f t="shared" si="0"/>
        <v>2003</v>
      </c>
      <c r="B14" s="8"/>
      <c r="C14" s="75">
        <v>4.4999999999999998E-2</v>
      </c>
      <c r="D14" s="765">
        <v>0.7</v>
      </c>
      <c r="E14" s="765">
        <f t="shared" si="1"/>
        <v>0.30000000000000004</v>
      </c>
      <c r="F14" s="770"/>
      <c r="G14">
        <v>2003</v>
      </c>
      <c r="H14" s="813">
        <v>4.0500000000000001E-2</v>
      </c>
    </row>
    <row r="15" spans="1:8">
      <c r="A15" s="49">
        <f t="shared" si="0"/>
        <v>2004</v>
      </c>
      <c r="B15" s="8"/>
      <c r="C15" s="75">
        <v>0.06</v>
      </c>
      <c r="D15" s="765">
        <v>0.7</v>
      </c>
      <c r="E15" s="765">
        <f t="shared" si="1"/>
        <v>0.30000000000000004</v>
      </c>
      <c r="F15" s="770"/>
      <c r="G15">
        <v>2004</v>
      </c>
      <c r="H15" s="813">
        <v>4.7100000000000003E-2</v>
      </c>
    </row>
    <row r="16" spans="1:8">
      <c r="A16" s="49">
        <f t="shared" si="0"/>
        <v>2005</v>
      </c>
      <c r="B16" s="8"/>
      <c r="C16" s="75">
        <v>7.0999999999999994E-2</v>
      </c>
      <c r="D16" s="765">
        <v>0.7</v>
      </c>
      <c r="E16" s="765">
        <f t="shared" si="1"/>
        <v>0.30000000000000004</v>
      </c>
      <c r="F16" s="770"/>
      <c r="G16">
        <v>2005</v>
      </c>
      <c r="H16" s="813">
        <v>8.9999999999999993E-3</v>
      </c>
    </row>
    <row r="17" spans="1:8">
      <c r="A17" s="49">
        <f t="shared" si="0"/>
        <v>2006</v>
      </c>
      <c r="B17" s="8"/>
      <c r="C17" s="75">
        <v>7.2999999999999995E-2</v>
      </c>
      <c r="D17" s="765">
        <v>0.7</v>
      </c>
      <c r="E17" s="765">
        <f t="shared" si="1"/>
        <v>0.30000000000000004</v>
      </c>
      <c r="F17" s="770"/>
      <c r="G17">
        <v>2006</v>
      </c>
      <c r="H17" s="813">
        <v>4.4499999999999998E-2</v>
      </c>
    </row>
    <row r="18" spans="1:8">
      <c r="A18" s="49">
        <f t="shared" si="0"/>
        <v>2007</v>
      </c>
      <c r="B18" s="8"/>
      <c r="C18" s="75">
        <v>7.0999999999999994E-2</v>
      </c>
      <c r="D18" s="765">
        <v>0.7</v>
      </c>
      <c r="E18" s="765">
        <f t="shared" si="1"/>
        <v>0.30000000000000004</v>
      </c>
      <c r="F18" s="770"/>
      <c r="G18">
        <v>2007</v>
      </c>
      <c r="H18" s="813">
        <v>8.8499999999999995E-2</v>
      </c>
    </row>
    <row r="19" spans="1:8">
      <c r="A19" s="49">
        <f t="shared" si="0"/>
        <v>2008</v>
      </c>
      <c r="B19" s="8"/>
      <c r="C19" s="75">
        <v>6.8000000000000005E-2</v>
      </c>
      <c r="D19" s="765">
        <v>0.7</v>
      </c>
      <c r="E19" s="765">
        <f t="shared" si="1"/>
        <v>0.30000000000000004</v>
      </c>
      <c r="F19" s="770"/>
      <c r="G19">
        <v>2008</v>
      </c>
      <c r="H19" s="813">
        <v>0.10050000000000001</v>
      </c>
    </row>
    <row r="20" spans="1:8">
      <c r="A20" s="49">
        <f t="shared" si="0"/>
        <v>2009</v>
      </c>
      <c r="B20" s="8"/>
      <c r="C20" s="75">
        <v>6.6000000000000003E-2</v>
      </c>
      <c r="D20" s="765">
        <v>0.7</v>
      </c>
      <c r="E20" s="765">
        <f t="shared" si="1"/>
        <v>0.30000000000000004</v>
      </c>
      <c r="F20" s="770"/>
      <c r="G20">
        <v>2009</v>
      </c>
      <c r="H20" s="813">
        <v>9.5000000000000001E-2</v>
      </c>
    </row>
    <row r="21" spans="1:8">
      <c r="A21" s="49">
        <f t="shared" si="0"/>
        <v>2010</v>
      </c>
      <c r="B21" s="8"/>
      <c r="C21" s="75">
        <v>6.2E-2</v>
      </c>
      <c r="D21" s="765">
        <v>0.7</v>
      </c>
      <c r="E21" s="765">
        <f t="shared" si="1"/>
        <v>0.30000000000000004</v>
      </c>
      <c r="F21" s="770"/>
      <c r="G21">
        <v>2010</v>
      </c>
      <c r="H21" s="813">
        <v>9.5000000000000001E-2</v>
      </c>
    </row>
    <row r="22" spans="1:8">
      <c r="A22" s="49">
        <f t="shared" si="0"/>
        <v>2011</v>
      </c>
      <c r="B22" s="8"/>
      <c r="C22" s="75">
        <v>5.8999999999999997E-2</v>
      </c>
      <c r="D22" s="765">
        <v>0.7</v>
      </c>
      <c r="E22" s="765">
        <f t="shared" si="1"/>
        <v>0.30000000000000004</v>
      </c>
      <c r="F22" s="770"/>
      <c r="G22">
        <v>2011</v>
      </c>
      <c r="H22" s="813">
        <v>0.09</v>
      </c>
    </row>
    <row r="23" spans="1:8">
      <c r="A23" s="49">
        <f t="shared" si="0"/>
        <v>2012</v>
      </c>
      <c r="B23" s="8"/>
      <c r="C23" s="75">
        <v>5.5E-2</v>
      </c>
      <c r="D23" s="765">
        <v>0.7</v>
      </c>
      <c r="E23" s="765">
        <f t="shared" si="1"/>
        <v>0.30000000000000004</v>
      </c>
      <c r="F23" s="770"/>
      <c r="G23">
        <v>2012</v>
      </c>
      <c r="H23" s="813">
        <v>0.09</v>
      </c>
    </row>
    <row r="24" spans="1:8">
      <c r="A24" s="49">
        <f t="shared" si="0"/>
        <v>2013</v>
      </c>
      <c r="B24" s="8"/>
      <c r="C24" s="75">
        <v>4.9000000000000002E-2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3">
        <v>8.5000000000000006E-2</v>
      </c>
    </row>
    <row r="25" spans="1:8">
      <c r="A25" s="49">
        <f t="shared" si="0"/>
        <v>2014</v>
      </c>
      <c r="B25" s="8"/>
      <c r="C25" s="75">
        <v>4.5999999999999999E-2</v>
      </c>
      <c r="D25" s="765">
        <v>0.7</v>
      </c>
      <c r="E25" s="765">
        <f t="shared" si="1"/>
        <v>0.30000000000000004</v>
      </c>
      <c r="F25" s="770"/>
      <c r="G25">
        <v>2014</v>
      </c>
      <c r="H25" s="813">
        <v>0.08</v>
      </c>
    </row>
    <row r="26" spans="1:8">
      <c r="A26" s="49">
        <f t="shared" si="0"/>
        <v>2015</v>
      </c>
      <c r="B26" s="8"/>
      <c r="C26" s="75">
        <v>4.2999999999999997E-2</v>
      </c>
      <c r="D26" s="765">
        <v>0.7</v>
      </c>
      <c r="E26" s="765">
        <f t="shared" si="1"/>
        <v>0.30000000000000004</v>
      </c>
      <c r="F26" s="770"/>
      <c r="G26">
        <v>2015</v>
      </c>
      <c r="H26" s="813">
        <v>6.9900000000000184E-2</v>
      </c>
    </row>
    <row r="27" spans="1:8">
      <c r="A27" s="49">
        <f t="shared" si="0"/>
        <v>2016</v>
      </c>
      <c r="B27" s="8"/>
      <c r="C27" s="75">
        <v>0.04</v>
      </c>
      <c r="D27" s="765">
        <v>0.7</v>
      </c>
      <c r="E27" s="765">
        <f t="shared" si="1"/>
        <v>0.30000000000000004</v>
      </c>
      <c r="F27" s="770"/>
      <c r="H27" s="819"/>
    </row>
    <row r="28" spans="1:8">
      <c r="A28" s="49">
        <v>2017</v>
      </c>
      <c r="B28" s="8"/>
      <c r="C28" s="75">
        <v>3.7999999999999999E-2</v>
      </c>
      <c r="D28" s="765">
        <v>0.7</v>
      </c>
      <c r="E28" s="765">
        <f t="shared" si="1"/>
        <v>0.30000000000000004</v>
      </c>
      <c r="F28" s="770"/>
    </row>
    <row r="29" spans="1:8">
      <c r="A29" s="49">
        <v>2018</v>
      </c>
      <c r="C29" s="75">
        <v>3.5000000000000003E-2</v>
      </c>
      <c r="D29" s="765">
        <v>0.7</v>
      </c>
      <c r="E29" s="765">
        <f t="shared" si="1"/>
        <v>0.30000000000000004</v>
      </c>
      <c r="F29" s="770"/>
    </row>
    <row r="30" spans="1:8">
      <c r="A30" s="49">
        <v>2019</v>
      </c>
      <c r="C30" s="75">
        <v>0.03</v>
      </c>
      <c r="D30" s="765">
        <v>0.7</v>
      </c>
      <c r="E30" s="765">
        <f t="shared" si="1"/>
        <v>0.30000000000000004</v>
      </c>
      <c r="F30" s="770"/>
    </row>
    <row r="31" spans="1:8" ht="16.2" thickBot="1">
      <c r="A31" s="49">
        <v>2020</v>
      </c>
      <c r="C31" s="75">
        <f>1-SUM(C11:C30)</f>
        <v>3.8999999999999702E-2</v>
      </c>
      <c r="D31" s="765">
        <v>0.7</v>
      </c>
      <c r="E31" s="765">
        <f t="shared" si="1"/>
        <v>0.30000000000000004</v>
      </c>
      <c r="F31" s="770"/>
    </row>
    <row r="32" spans="1:8" ht="16.2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32" sqref="F32"/>
    </sheetView>
  </sheetViews>
  <sheetFormatPr defaultColWidth="8.81640625" defaultRowHeight="15"/>
  <cols>
    <col min="1" max="1" width="21.81640625" style="286" customWidth="1"/>
    <col min="2" max="2" width="6.81640625" style="286" customWidth="1"/>
    <col min="3" max="17" width="9.81640625" style="286" customWidth="1"/>
    <col min="18" max="26" width="8.81640625" style="286" customWidth="1"/>
    <col min="27" max="27" width="11.81640625" style="286" customWidth="1"/>
    <col min="28" max="28" width="10.81640625" style="286" customWidth="1"/>
    <col min="29" max="29" width="8.81640625" style="286" customWidth="1"/>
    <col min="30" max="31" width="10.81640625" style="286" customWidth="1"/>
    <col min="32" max="57" width="8.81640625" style="286" customWidth="1"/>
    <col min="58" max="58" width="11.81640625" style="286" customWidth="1"/>
    <col min="59" max="59" width="8.81640625" style="286" customWidth="1"/>
    <col min="60" max="60" width="10.81640625" style="286" customWidth="1"/>
    <col min="61" max="61" width="8.81640625" style="286" customWidth="1"/>
    <col min="62" max="62" width="11.81640625" style="286" customWidth="1"/>
    <col min="63" max="16384" width="8.81640625" style="286"/>
  </cols>
  <sheetData>
    <row r="1" spans="1:96" ht="21.9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6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6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6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6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6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2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2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6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6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6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6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6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6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6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6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6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6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6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6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6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6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6">
      <c r="A24" s="308" t="s">
        <v>293</v>
      </c>
      <c r="B24" s="295"/>
      <c r="C24" s="735">
        <f ca="1">'ENA Debt'!C34</f>
        <v>0</v>
      </c>
      <c r="D24" s="736">
        <f ca="1">'ENA Debt'!D34</f>
        <v>12403.13</v>
      </c>
      <c r="E24" s="736">
        <f ca="1">'ENA Debt'!E34</f>
        <v>12151.96</v>
      </c>
      <c r="F24" s="736">
        <f ca="1">'ENA Debt'!F34</f>
        <v>11699.25</v>
      </c>
      <c r="G24" s="736">
        <f ca="1">'ENA Debt'!G34</f>
        <v>11113.2</v>
      </c>
      <c r="H24" s="736">
        <f ca="1">'ENA Debt'!H34</f>
        <v>10348.549999999999</v>
      </c>
      <c r="I24" s="736">
        <f ca="1">'ENA Debt'!I34</f>
        <v>9464.2000000000007</v>
      </c>
      <c r="J24" s="736">
        <f ca="1">'ENA Debt'!J34</f>
        <v>8562.5</v>
      </c>
      <c r="K24" s="736">
        <f ca="1">'ENA Debt'!K34</f>
        <v>7687.46</v>
      </c>
      <c r="L24" s="736">
        <f ca="1">'ENA Debt'!L34</f>
        <v>6847.77</v>
      </c>
      <c r="M24" s="736">
        <f ca="1">'ENA Debt'!M34</f>
        <v>6036.6</v>
      </c>
      <c r="N24" s="736">
        <f ca="1">'ENA Debt'!N34</f>
        <v>5273.19</v>
      </c>
      <c r="O24" s="736">
        <f ca="1">'ENA Debt'!O34</f>
        <v>4548.8500000000004</v>
      </c>
      <c r="P24" s="736">
        <f ca="1">'ENA Debt'!P34</f>
        <v>3877.84</v>
      </c>
      <c r="Q24" s="736">
        <f ca="1">'ENA Debt'!Q34</f>
        <v>3275.67</v>
      </c>
      <c r="R24" s="736">
        <f ca="1">'ENA Debt'!R34</f>
        <v>2710.7</v>
      </c>
      <c r="S24" s="736">
        <f ca="1">'ENA Debt'!S34</f>
        <v>2182.9499999999998</v>
      </c>
      <c r="T24" s="736">
        <f ca="1">'ENA Debt'!T34</f>
        <v>1690.55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6">
      <c r="A25" s="308" t="s">
        <v>294</v>
      </c>
      <c r="B25" s="295"/>
      <c r="C25" s="735">
        <f ca="1">'ENA Debt'!C44</f>
        <v>135.05974399999999</v>
      </c>
      <c r="D25" s="736">
        <f ca="1">'ENA Debt'!D44</f>
        <v>141.319456</v>
      </c>
      <c r="E25" s="736">
        <f ca="1">'ENA Debt'!E44</f>
        <v>142.38032000000001</v>
      </c>
      <c r="F25" s="736">
        <f ca="1">'ENA Debt'!F44</f>
        <v>140.30845600000001</v>
      </c>
      <c r="G25" s="736">
        <f ca="1">'ENA Debt'!G44</f>
        <v>134.61776799999998</v>
      </c>
      <c r="H25" s="736">
        <f ca="1">'ENA Debt'!H44</f>
        <v>126.01764800000001</v>
      </c>
      <c r="I25" s="736">
        <f ca="1">'ENA Debt'!I44</f>
        <v>116.66603199999996</v>
      </c>
      <c r="J25" s="736">
        <f ca="1">'ENA Debt'!J44</f>
        <v>107.220192</v>
      </c>
      <c r="K25" s="736">
        <f ca="1">'ENA Debt'!K44</f>
        <v>97.533799999999999</v>
      </c>
      <c r="L25" s="736">
        <f ca="1">'ENA Debt'!L44</f>
        <v>88.038439999999994</v>
      </c>
      <c r="M25" s="736">
        <f ca="1">'ENA Debt'!M44</f>
        <v>79.126000000000005</v>
      </c>
      <c r="N25" s="736">
        <f ca="1">'ENA Debt'!N44</f>
        <v>70.590615999999997</v>
      </c>
      <c r="O25" s="736">
        <f ca="1">'ENA Debt'!O44</f>
        <v>62.804336000000013</v>
      </c>
      <c r="P25" s="736">
        <f ca="1">'ENA Debt'!P44</f>
        <v>55.913487999999994</v>
      </c>
      <c r="Q25" s="736">
        <f ca="1">'ENA Debt'!Q44</f>
        <v>48.928416000000006</v>
      </c>
      <c r="R25" s="736">
        <f ca="1">'ENA Debt'!R44</f>
        <v>44.106175999999941</v>
      </c>
      <c r="S25" s="736">
        <f ca="1">'ENA Debt'!S44</f>
        <v>41.316819999999936</v>
      </c>
      <c r="T25" s="736">
        <f ca="1">'ENA Debt'!T44</f>
        <v>38.610959999999906</v>
      </c>
      <c r="U25" s="736">
        <f ca="1">'ENA Debt'!U44</f>
        <v>36.479699999999859</v>
      </c>
      <c r="V25" s="736">
        <f ca="1">'ENA Debt'!V44</f>
        <v>38.209399999999718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6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6">
      <c r="A27" s="308" t="s">
        <v>296</v>
      </c>
      <c r="B27" s="295"/>
      <c r="C27" s="735">
        <f t="shared" ref="C27:V27" ca="1" si="3">SUM(C24:C26)</f>
        <v>117.087244</v>
      </c>
      <c r="D27" s="736">
        <f t="shared" ca="1" si="3"/>
        <v>12454.122546599998</v>
      </c>
      <c r="E27" s="736">
        <f t="shared" ca="1" si="3"/>
        <v>12129.7054321462</v>
      </c>
      <c r="F27" s="736">
        <f t="shared" ca="1" si="3"/>
        <v>11598.609274274148</v>
      </c>
      <c r="G27" s="736">
        <f t="shared" ca="1" si="3"/>
        <v>10928.49380646755</v>
      </c>
      <c r="H27" s="736">
        <f t="shared" ca="1" si="3"/>
        <v>10074.752787606174</v>
      </c>
      <c r="I27" s="736">
        <f t="shared" ca="1" si="3"/>
        <v>9098.3870184755397</v>
      </c>
      <c r="J27" s="736">
        <f t="shared" ca="1" si="3"/>
        <v>8102.3450932103806</v>
      </c>
      <c r="K27" s="736">
        <f t="shared" ca="1" si="3"/>
        <v>7130.4304216430601</v>
      </c>
      <c r="L27" s="736">
        <f t="shared" ca="1" si="3"/>
        <v>6191.7026985274233</v>
      </c>
      <c r="M27" s="736">
        <f t="shared" ca="1" si="3"/>
        <v>5279.6602516076637</v>
      </c>
      <c r="N27" s="736">
        <f t="shared" ca="1" si="3"/>
        <v>4413.2719405010703</v>
      </c>
      <c r="O27" s="736">
        <f t="shared" ca="1" si="3"/>
        <v>4611.6543360000005</v>
      </c>
      <c r="P27" s="736">
        <f t="shared" ca="1" si="3"/>
        <v>3834.1417939357907</v>
      </c>
      <c r="Q27" s="736">
        <f t="shared" ca="1" si="3"/>
        <v>3122.6855121318472</v>
      </c>
      <c r="R27" s="736">
        <f t="shared" ca="1" si="3"/>
        <v>2447.8299296631967</v>
      </c>
      <c r="S27" s="736">
        <f t="shared" ca="1" si="3"/>
        <v>1809.3905209478937</v>
      </c>
      <c r="T27" s="736">
        <f t="shared" ca="1" si="3"/>
        <v>1203.4713068092774</v>
      </c>
      <c r="U27" s="736">
        <f t="shared" ca="1" si="3"/>
        <v>-603.01526789108198</v>
      </c>
      <c r="V27" s="737">
        <f t="shared" ca="1" si="3"/>
        <v>-718.16362608835095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6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6">
      <c r="A29" s="307" t="s">
        <v>297</v>
      </c>
      <c r="B29" s="295"/>
      <c r="C29" s="735">
        <f t="shared" ref="C29:V29" ca="1" si="4">C21-C27</f>
        <v>10014.815167789115</v>
      </c>
      <c r="D29" s="736">
        <f t="shared" ca="1" si="4"/>
        <v>15484.404715159462</v>
      </c>
      <c r="E29" s="736">
        <f t="shared" ca="1" si="4"/>
        <v>14591.97192623055</v>
      </c>
      <c r="F29" s="736">
        <f t="shared" ca="1" si="4"/>
        <v>16301.776085227668</v>
      </c>
      <c r="G29" s="736">
        <f t="shared" ca="1" si="4"/>
        <v>17378.205666017289</v>
      </c>
      <c r="H29" s="736">
        <f t="shared" ca="1" si="4"/>
        <v>9731.7851050225127</v>
      </c>
      <c r="I29" s="736">
        <f t="shared" ca="1" si="4"/>
        <v>17592.773136077736</v>
      </c>
      <c r="J29" s="736">
        <f t="shared" ca="1" si="4"/>
        <v>26290.503003005368</v>
      </c>
      <c r="K29" s="736">
        <f t="shared" ca="1" si="4"/>
        <v>27675.847465956824</v>
      </c>
      <c r="L29" s="736">
        <f t="shared" ca="1" si="4"/>
        <v>26378.87178258918</v>
      </c>
      <c r="M29" s="736">
        <f t="shared" ca="1" si="4"/>
        <v>27891.91144661565</v>
      </c>
      <c r="N29" s="736">
        <f t="shared" ca="1" si="4"/>
        <v>26887.007839846287</v>
      </c>
      <c r="O29" s="736">
        <f t="shared" ca="1" si="4"/>
        <v>26476.333388893578</v>
      </c>
      <c r="P29" s="736">
        <f t="shared" ca="1" si="4"/>
        <v>24066.655103447527</v>
      </c>
      <c r="Q29" s="736">
        <f t="shared" ca="1" si="4"/>
        <v>30106.951828357272</v>
      </c>
      <c r="R29" s="736">
        <f t="shared" ca="1" si="4"/>
        <v>36323.916075351874</v>
      </c>
      <c r="S29" s="736">
        <f t="shared" ca="1" si="4"/>
        <v>42412.074134694827</v>
      </c>
      <c r="T29" s="736">
        <f t="shared" ca="1" si="4"/>
        <v>43508.035845177357</v>
      </c>
      <c r="U29" s="736">
        <f t="shared" ca="1" si="4"/>
        <v>47227.239444122897</v>
      </c>
      <c r="V29" s="737">
        <f t="shared" ca="1" si="4"/>
        <v>39053.003948702535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6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6">
      <c r="A31" s="308" t="s">
        <v>298</v>
      </c>
      <c r="B31" s="309"/>
      <c r="C31" s="748">
        <f ca="1">'BKDEPR 144A'!F67</f>
        <v>3333.0035026674209</v>
      </c>
      <c r="D31" s="752">
        <f ca="1">'BKDEPR 144A'!G67</f>
        <v>5713.7202902870058</v>
      </c>
      <c r="E31" s="752">
        <f ca="1">'BKDEPR 144A'!H67</f>
        <v>5713.7202902870058</v>
      </c>
      <c r="F31" s="752">
        <f ca="1">'BKDEPR 144A'!I67</f>
        <v>5713.7202902870058</v>
      </c>
      <c r="G31" s="752">
        <f ca="1">'BKDEPR 144A'!J67</f>
        <v>5713.7202902870058</v>
      </c>
      <c r="H31" s="752">
        <f ca="1">'BKDEPR 144A'!K67</f>
        <v>5713.7202902870058</v>
      </c>
      <c r="I31" s="752">
        <f ca="1">'BKDEPR 144A'!L67</f>
        <v>5713.7202902870058</v>
      </c>
      <c r="J31" s="752">
        <f ca="1">'BKDEPR 144A'!M67</f>
        <v>5713.7202902870058</v>
      </c>
      <c r="K31" s="752">
        <f ca="1">'BKDEPR 144A'!N67</f>
        <v>5713.7202902870058</v>
      </c>
      <c r="L31" s="752">
        <f ca="1">'BKDEPR 144A'!O67</f>
        <v>5713.7202902870058</v>
      </c>
      <c r="M31" s="752">
        <f ca="1">'BKDEPR 144A'!P67</f>
        <v>5713.7202902870058</v>
      </c>
      <c r="N31" s="752">
        <f ca="1">'BKDEPR 144A'!Q67</f>
        <v>5713.7202902870058</v>
      </c>
      <c r="O31" s="752">
        <f ca="1">'BKDEPR 144A'!R67</f>
        <v>5713.7202902870058</v>
      </c>
      <c r="P31" s="752">
        <f ca="1">'BKDEPR 144A'!S67</f>
        <v>5713.7202902870058</v>
      </c>
      <c r="Q31" s="752">
        <f ca="1">'BKDEPR 144A'!T67</f>
        <v>5713.7202902870058</v>
      </c>
      <c r="R31" s="752">
        <f ca="1">'BKDEPR 144A'!U67</f>
        <v>5713.7202902870058</v>
      </c>
      <c r="S31" s="752">
        <f ca="1">'BKDEPR 144A'!V67</f>
        <v>5713.7202902870058</v>
      </c>
      <c r="T31" s="752">
        <f ca="1">'BKDEPR 144A'!W67</f>
        <v>5713.7202902870058</v>
      </c>
      <c r="U31" s="752">
        <f ca="1">'BKDEPR 144A'!X67</f>
        <v>5713.7202902870058</v>
      </c>
      <c r="V31" s="753">
        <f ca="1">'BKDEPR 144A'!Y67</f>
        <v>5713.7202902870058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6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6">
      <c r="A33" s="306" t="s">
        <v>299</v>
      </c>
      <c r="B33" s="310"/>
      <c r="C33" s="741">
        <f t="shared" ref="C33:V33" ca="1" si="5">C29-C31</f>
        <v>6681.8116651216933</v>
      </c>
      <c r="D33" s="742">
        <f t="shared" ca="1" si="5"/>
        <v>9770.6844248724556</v>
      </c>
      <c r="E33" s="742">
        <f t="shared" ca="1" si="5"/>
        <v>8878.2516359435431</v>
      </c>
      <c r="F33" s="742">
        <f t="shared" ca="1" si="5"/>
        <v>10588.055794940661</v>
      </c>
      <c r="G33" s="742">
        <f t="shared" ca="1" si="5"/>
        <v>11664.485375730284</v>
      </c>
      <c r="H33" s="742">
        <f t="shared" ca="1" si="5"/>
        <v>4018.0648147355068</v>
      </c>
      <c r="I33" s="742">
        <f t="shared" ca="1" si="5"/>
        <v>11879.052845790731</v>
      </c>
      <c r="J33" s="742">
        <f t="shared" ca="1" si="5"/>
        <v>20576.782712718363</v>
      </c>
      <c r="K33" s="742">
        <f t="shared" ca="1" si="5"/>
        <v>21962.127175669819</v>
      </c>
      <c r="L33" s="742">
        <f t="shared" ca="1" si="5"/>
        <v>20665.151492302175</v>
      </c>
      <c r="M33" s="742">
        <f t="shared" ca="1" si="5"/>
        <v>22178.191156328645</v>
      </c>
      <c r="N33" s="742">
        <f t="shared" ca="1" si="5"/>
        <v>21173.287549559282</v>
      </c>
      <c r="O33" s="742">
        <f t="shared" ca="1" si="5"/>
        <v>20762.613098606573</v>
      </c>
      <c r="P33" s="742">
        <f t="shared" ca="1" si="5"/>
        <v>18352.934813160522</v>
      </c>
      <c r="Q33" s="742">
        <f t="shared" ca="1" si="5"/>
        <v>24393.231538070268</v>
      </c>
      <c r="R33" s="742">
        <f t="shared" ca="1" si="5"/>
        <v>30610.195785064869</v>
      </c>
      <c r="S33" s="742">
        <f t="shared" ca="1" si="5"/>
        <v>36698.353844407822</v>
      </c>
      <c r="T33" s="742">
        <f t="shared" ca="1" si="5"/>
        <v>37794.315554890352</v>
      </c>
      <c r="U33" s="742">
        <f t="shared" ca="1" si="5"/>
        <v>41513.519153835892</v>
      </c>
      <c r="V33" s="744">
        <f t="shared" ca="1" si="5"/>
        <v>33339.28365841553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6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6">
      <c r="A35" s="308" t="s">
        <v>300</v>
      </c>
      <c r="B35" s="309"/>
      <c r="C35" s="735">
        <f>'TAXES-ENA'!C14</f>
        <v>325.51323265238909</v>
      </c>
      <c r="D35" s="736">
        <f ca="1">'TAXES-ENA'!D14</f>
        <v>-69.950222991035517</v>
      </c>
      <c r="E35" s="736">
        <f ca="1">'TAXES-ENA'!E14</f>
        <v>-37.084386354515516</v>
      </c>
      <c r="F35" s="736">
        <f ca="1">'TAXES-ENA'!F14</f>
        <v>142.81968779206599</v>
      </c>
      <c r="G35" s="736">
        <f ca="1">'TAXES-ENA'!G14</f>
        <v>277.44450375379716</v>
      </c>
      <c r="H35" s="736">
        <f ca="1">'TAXES-ENA'!H14</f>
        <v>17.227591830668789</v>
      </c>
      <c r="I35" s="736">
        <f ca="1">'TAXES-ENA'!I14</f>
        <v>518.90360560013414</v>
      </c>
      <c r="J35" s="736">
        <f ca="1">'TAXES-ENA'!J14</f>
        <v>1040.7673976157921</v>
      </c>
      <c r="K35" s="736">
        <f ca="1">'TAXES-ENA'!K14</f>
        <v>1122.9784674563293</v>
      </c>
      <c r="L35" s="736">
        <f ca="1">'TAXES-ENA'!L14</f>
        <v>1046.0695243908208</v>
      </c>
      <c r="M35" s="736">
        <f ca="1">'TAXES-ENA'!M14</f>
        <v>1135.942306295859</v>
      </c>
      <c r="N35" s="736">
        <f ca="1">'TAXES-ENA'!N14</f>
        <v>1076.5576878262473</v>
      </c>
      <c r="O35" s="736">
        <f ca="1">'TAXES-ENA'!O14</f>
        <v>1051.0076228325345</v>
      </c>
      <c r="P35" s="736">
        <f ca="1">'TAXES-ENA'!P14</f>
        <v>907.33652364232159</v>
      </c>
      <c r="Q35" s="736">
        <f ca="1">'TAXES-ENA'!Q14</f>
        <v>1268.8447292003564</v>
      </c>
      <c r="R35" s="736">
        <f ca="1">'TAXES-ENA'!R14</f>
        <v>1911.1035732388473</v>
      </c>
      <c r="S35" s="736">
        <f ca="1">'TAXES-ENA'!S14</f>
        <v>2544.7244480816894</v>
      </c>
      <c r="T35" s="736">
        <f ca="1">'TAXES-ENA'!T14</f>
        <v>2610.4821507106412</v>
      </c>
      <c r="U35" s="736">
        <f ca="1">'TAXES-ENA'!U14</f>
        <v>2833.6343666473736</v>
      </c>
      <c r="V35" s="736">
        <f ca="1">'TAXES-ENA'!V14</f>
        <v>2343.1802369221518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6">
      <c r="A36" s="303" t="s">
        <v>301</v>
      </c>
      <c r="B36" s="309"/>
      <c r="C36" s="748">
        <f ca="1">(+C33-C35)*'TAXES-ENA'!C26</f>
        <v>2224.7044513642563</v>
      </c>
      <c r="D36" s="752">
        <f ca="1">(+D33-D35)*'TAXES-ENA'!D26</f>
        <v>3444.2221267522218</v>
      </c>
      <c r="E36" s="752">
        <f ca="1">(+E33-E35)*'TAXES-ENA'!E26</f>
        <v>3120.3676078043204</v>
      </c>
      <c r="F36" s="752">
        <f ca="1">(+F33-F35)*'TAXES-ENA'!F26</f>
        <v>3655.8326375020083</v>
      </c>
      <c r="G36" s="752">
        <f ca="1">(+G33-G35)*'TAXES-ENA'!G26</f>
        <v>3985.4643051917701</v>
      </c>
      <c r="H36" s="752">
        <f ca="1">(+H33-H35)*'TAXES-ENA'!H26</f>
        <v>1400.2930280166934</v>
      </c>
      <c r="I36" s="752">
        <f ca="1">(+I33-I35)*'TAXES-ENA'!I26</f>
        <v>3976.0522340667085</v>
      </c>
      <c r="J36" s="752">
        <f ca="1">(+J33-J35)*'TAXES-ENA'!J26</f>
        <v>6837.6053602858992</v>
      </c>
      <c r="K36" s="752">
        <f ca="1">(+K33-K35)*'TAXES-ENA'!K26</f>
        <v>7293.7020478747199</v>
      </c>
      <c r="L36" s="752">
        <f ca="1">(+L33-L35)*'TAXES-ENA'!L26</f>
        <v>6866.6786887689741</v>
      </c>
      <c r="M36" s="752">
        <f ca="1">(+M33-M35)*'TAXES-ENA'!M26</f>
        <v>7364.7870975114747</v>
      </c>
      <c r="N36" s="752">
        <f ca="1">(+N33-N35)*'TAXES-ENA'!N26</f>
        <v>7033.8554516065615</v>
      </c>
      <c r="O36" s="752">
        <f ca="1">(+O33-O35)*'TAXES-ENA'!O26</f>
        <v>6899.0619165209127</v>
      </c>
      <c r="P36" s="752">
        <f ca="1">(+P33-P35)*'TAXES-ENA'!P26</f>
        <v>6105.959401331369</v>
      </c>
      <c r="Q36" s="752">
        <f ca="1">(+Q33-Q35)*'TAXES-ENA'!Q26</f>
        <v>8093.5353831044686</v>
      </c>
      <c r="R36" s="752">
        <f ca="1">(+R33-R35)*'TAXES-ENA'!R26</f>
        <v>10044.682274139106</v>
      </c>
      <c r="S36" s="752">
        <f ca="1">(+S33-S35)*'TAXES-ENA'!S26</f>
        <v>11953.770288714146</v>
      </c>
      <c r="T36" s="752">
        <f ca="1">(+T33-T35)*'TAXES-ENA'!T26</f>
        <v>12314.3416914629</v>
      </c>
      <c r="U36" s="752">
        <f ca="1">(+U33-U35)*'TAXES-ENA'!U26</f>
        <v>13537.95967551598</v>
      </c>
      <c r="V36" s="752">
        <f ca="1">(+V33-V35)*'TAXES-ENA'!V26</f>
        <v>10848.636197522683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6">
      <c r="A37" s="303" t="s">
        <v>302</v>
      </c>
      <c r="B37" s="309"/>
      <c r="C37" s="735">
        <f t="shared" ref="C37:V37" ca="1" si="6">C36+C35</f>
        <v>2550.2176840166453</v>
      </c>
      <c r="D37" s="736">
        <f t="shared" ca="1" si="6"/>
        <v>3374.2719037611864</v>
      </c>
      <c r="E37" s="736">
        <f t="shared" ca="1" si="6"/>
        <v>3083.2832214498048</v>
      </c>
      <c r="F37" s="736">
        <f t="shared" ca="1" si="6"/>
        <v>3798.6523252940742</v>
      </c>
      <c r="G37" s="736">
        <f t="shared" ca="1" si="6"/>
        <v>4262.9088089455672</v>
      </c>
      <c r="H37" s="736">
        <f t="shared" ca="1" si="6"/>
        <v>1417.5206198473622</v>
      </c>
      <c r="I37" s="736">
        <f t="shared" ca="1" si="6"/>
        <v>4494.9558396668426</v>
      </c>
      <c r="J37" s="736">
        <f t="shared" ca="1" si="6"/>
        <v>7878.3727579016913</v>
      </c>
      <c r="K37" s="736">
        <f t="shared" ca="1" si="6"/>
        <v>8416.6805153310488</v>
      </c>
      <c r="L37" s="736">
        <f t="shared" ca="1" si="6"/>
        <v>7912.7482131597953</v>
      </c>
      <c r="M37" s="736">
        <f t="shared" ca="1" si="6"/>
        <v>8500.7294038073342</v>
      </c>
      <c r="N37" s="736">
        <f t="shared" ca="1" si="6"/>
        <v>8110.4131394328087</v>
      </c>
      <c r="O37" s="736">
        <f t="shared" ca="1" si="6"/>
        <v>7950.069539353447</v>
      </c>
      <c r="P37" s="736">
        <f t="shared" ca="1" si="6"/>
        <v>7013.2959249736905</v>
      </c>
      <c r="Q37" s="736">
        <f t="shared" ca="1" si="6"/>
        <v>9362.3801123048252</v>
      </c>
      <c r="R37" s="736">
        <f t="shared" ca="1" si="6"/>
        <v>11955.785847377952</v>
      </c>
      <c r="S37" s="736">
        <f t="shared" ca="1" si="6"/>
        <v>14498.494736795836</v>
      </c>
      <c r="T37" s="736">
        <f t="shared" ca="1" si="6"/>
        <v>14924.82384217354</v>
      </c>
      <c r="U37" s="736">
        <f t="shared" ca="1" si="6"/>
        <v>16371.594042163353</v>
      </c>
      <c r="V37" s="737">
        <f t="shared" ca="1" si="6"/>
        <v>13191.816434444834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6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2" thickBot="1">
      <c r="A39" s="311" t="s">
        <v>303</v>
      </c>
      <c r="B39" s="285"/>
      <c r="C39" s="755">
        <f t="shared" ref="C39:V39" ca="1" si="7">C33-C37</f>
        <v>4131.5939811050484</v>
      </c>
      <c r="D39" s="756">
        <f t="shared" ca="1" si="7"/>
        <v>6396.4125211112696</v>
      </c>
      <c r="E39" s="756">
        <f t="shared" ca="1" si="7"/>
        <v>5794.9684144937382</v>
      </c>
      <c r="F39" s="756">
        <f t="shared" ca="1" si="7"/>
        <v>6789.4034696465869</v>
      </c>
      <c r="G39" s="756">
        <f t="shared" ca="1" si="7"/>
        <v>7401.5765667847172</v>
      </c>
      <c r="H39" s="756">
        <f t="shared" ca="1" si="7"/>
        <v>2600.5441948881444</v>
      </c>
      <c r="I39" s="756">
        <f t="shared" ca="1" si="7"/>
        <v>7384.0970061238886</v>
      </c>
      <c r="J39" s="756">
        <f t="shared" ca="1" si="7"/>
        <v>12698.409954816671</v>
      </c>
      <c r="K39" s="756">
        <f t="shared" ca="1" si="7"/>
        <v>13545.44666033877</v>
      </c>
      <c r="L39" s="756">
        <f t="shared" ca="1" si="7"/>
        <v>12752.40327914238</v>
      </c>
      <c r="M39" s="756">
        <f t="shared" ca="1" si="7"/>
        <v>13677.461752521311</v>
      </c>
      <c r="N39" s="756">
        <f t="shared" ca="1" si="7"/>
        <v>13062.874410126473</v>
      </c>
      <c r="O39" s="756">
        <f t="shared" ca="1" si="7"/>
        <v>12812.543559253125</v>
      </c>
      <c r="P39" s="756">
        <f t="shared" ca="1" si="7"/>
        <v>11339.638888186832</v>
      </c>
      <c r="Q39" s="756">
        <f t="shared" ca="1" si="7"/>
        <v>15030.851425765442</v>
      </c>
      <c r="R39" s="756">
        <f t="shared" ca="1" si="7"/>
        <v>18654.409937686916</v>
      </c>
      <c r="S39" s="756">
        <f t="shared" ca="1" si="7"/>
        <v>22199.859107611985</v>
      </c>
      <c r="T39" s="756">
        <f t="shared" ca="1" si="7"/>
        <v>22869.491712716812</v>
      </c>
      <c r="U39" s="756">
        <f t="shared" ca="1" si="7"/>
        <v>25141.925111672539</v>
      </c>
      <c r="V39" s="757">
        <f t="shared" ca="1" si="7"/>
        <v>20147.467223970696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2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6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6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6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6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6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6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6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6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6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6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6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6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6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6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6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6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6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6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6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6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6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6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6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6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6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6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6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6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6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6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6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6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6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6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6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6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6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6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6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6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6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6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6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6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6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6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6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6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6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6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6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6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6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6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6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6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6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6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6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6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6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6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6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6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6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6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6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6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6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6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6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6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6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6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6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6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6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6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6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6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6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6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6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6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6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6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6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6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6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6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6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6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6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6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6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6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6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6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6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6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6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6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6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6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6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6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6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6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6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6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6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6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6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6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view="pageBreakPreview" zoomScale="60" zoomScaleNormal="100" workbookViewId="0">
      <selection activeCell="B8" sqref="B8"/>
    </sheetView>
  </sheetViews>
  <sheetFormatPr defaultRowHeight="15.6"/>
  <cols>
    <col min="2" max="2" width="9.36328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124.01237674103402</v>
      </c>
      <c r="K3" s="774">
        <f ca="1">-'ENA IDC'!K69</f>
        <v>100.34284481335902</v>
      </c>
      <c r="L3" s="774">
        <f ca="1">-'ENA IDC'!L69</f>
        <v>73.123678039812575</v>
      </c>
      <c r="M3" s="774">
        <f ca="1">-'ENA IDC'!M69</f>
        <v>45.904511266266127</v>
      </c>
      <c r="N3" s="774">
        <f ca="1">-'ENA IDC'!N69</f>
        <v>5.5516955629953983</v>
      </c>
      <c r="O3" s="774">
        <f ca="1">-'ENA IDC'!O69</f>
        <v>-13018.206333666059</v>
      </c>
      <c r="P3" s="774">
        <f ca="1">-'ENA IDC'!P69</f>
        <v>-17088.157308168396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9806.1231851367265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13969.166971150498</v>
      </c>
      <c r="U4" s="776">
        <f ca="1">'CSHFLO-ENA'!E36+0.5*OandM!E11*(1-'TAXES-ENA'!E26-'ASSUM 1'!$N$40)</f>
        <v>10564.460535458202</v>
      </c>
      <c r="V4" s="776">
        <f ca="1">'CSHFLO-ENA'!F36+0.5*OandM!F11*(1-'TAXES-ENA'!F26-'ASSUM 1'!$N$40)</f>
        <v>10839.48615957909</v>
      </c>
      <c r="W4" s="776">
        <f ca="1">'CSHFLO-ENA'!G36+0.5*OandM!G11*(1-'TAXES-ENA'!G26-'ASSUM 1'!$N$40)</f>
        <v>8710.9333399893003</v>
      </c>
      <c r="X4" s="776">
        <f ca="1">'CSHFLO-ENA'!H36+0.5*OandM!H11*(1-'TAXES-ENA'!H26-'ASSUM 1'!$N$40)</f>
        <v>1462.0320619387678</v>
      </c>
      <c r="Y4" s="776">
        <f ca="1">'CSHFLO-ENA'!I36+0.5*OandM!I11*(1-'TAXES-ENA'!I26-'ASSUM 1'!$N$40)</f>
        <v>5740.6912390187072</v>
      </c>
      <c r="Z4" s="776">
        <f ca="1">'CSHFLO-ENA'!J36+0.5*OandM!J11*(1-'TAXES-ENA'!J26-'ASSUM 1'!$N$40)</f>
        <v>11299.526873313249</v>
      </c>
      <c r="AA4" s="776">
        <f ca="1">'CSHFLO-ENA'!K36+0.5*OandM!K11*(1-'TAXES-ENA'!K26-'ASSUM 1'!$N$40)</f>
        <v>12553.315941518365</v>
      </c>
      <c r="AB4" s="776">
        <f ca="1">'CSHFLO-ENA'!L36+0.5*OandM!L11*(1-'TAXES-ENA'!L26-'ASSUM 1'!$N$40)</f>
        <v>12008.902225412714</v>
      </c>
      <c r="AC4" s="776">
        <f ca="1">'CSHFLO-ENA'!M36+0.5*OandM!M11*(1-'TAXES-ENA'!M26-'ASSUM 1'!$N$40)</f>
        <v>13405.55127248083</v>
      </c>
      <c r="AD4" s="776">
        <f ca="1">'CSHFLO-ENA'!N36+0.5*OandM!N11*(1-'TAXES-ENA'!N26-'ASSUM 1'!$N$40)</f>
        <v>13155.004599712807</v>
      </c>
      <c r="AE4" s="776">
        <f ca="1">'CSHFLO-ENA'!O36+0.5*OandM!O11*(1-'TAXES-ENA'!O26-'ASSUM 1'!$N$40)</f>
        <v>13331.255897390865</v>
      </c>
      <c r="AF4" s="776">
        <f ca="1">'CSHFLO-ENA'!P36+0.5*OandM!P11*(1-'TAXES-ENA'!P26-'ASSUM 1'!$N$40)</f>
        <v>12630.106356030203</v>
      </c>
      <c r="AG4" s="776">
        <f ca="1">'CSHFLO-ENA'!Q36+0.5*OandM!Q11*(1-'TAXES-ENA'!Q26-'ASSUM 1'!$N$40)</f>
        <v>16641.354575347435</v>
      </c>
      <c r="AH4" s="776">
        <f ca="1">'CSHFLO-ENA'!R36+0.5*OandM!R11*(1-'TAXES-ENA'!R26-'ASSUM 1'!$N$40)</f>
        <v>19075.564146820179</v>
      </c>
      <c r="AI4" s="776">
        <f ca="1">'CSHFLO-ENA'!S36+0.5*OandM!S11*(1-'TAXES-ENA'!S26-'ASSUM 1'!$N$40)</f>
        <v>21397.861214477405</v>
      </c>
      <c r="AJ4" s="776">
        <f ca="1">'CSHFLO-ENA'!T36+0.5*OandM!T11*(1-'TAXES-ENA'!T26-'ASSUM 1'!$N$40)</f>
        <v>22335.141949706493</v>
      </c>
      <c r="AK4" s="776">
        <f ca="1">'CSHFLO-ENA'!U36+0.5*OandM!U11*(1-'TAXES-ENA'!U26-'ASSUM 1'!$N$40)</f>
        <v>24955.152747847987</v>
      </c>
      <c r="AL4" s="776">
        <f ca="1">'CSHFLO-ENA'!V36+0.5*OandM!V11*(1-'TAXES-ENA'!V26-'ASSUM 1'!$N$40)</f>
        <v>37971.745533465291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124.01237674103402</v>
      </c>
      <c r="K5" s="774">
        <f t="shared" ca="1" si="0"/>
        <v>100.34284481335902</v>
      </c>
      <c r="L5" s="774">
        <f t="shared" ca="1" si="0"/>
        <v>73.123678039812575</v>
      </c>
      <c r="M5" s="774">
        <f t="shared" ca="1" si="0"/>
        <v>45.904511266266127</v>
      </c>
      <c r="N5" s="774">
        <f t="shared" ca="1" si="0"/>
        <v>5.5516955629953983</v>
      </c>
      <c r="O5" s="774">
        <f t="shared" ca="1" si="0"/>
        <v>-3212.0831485293329</v>
      </c>
      <c r="P5" s="774">
        <f t="shared" ca="1" si="0"/>
        <v>-17088.157308168396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13969.166971150498</v>
      </c>
      <c r="U5" s="774">
        <f t="shared" ca="1" si="0"/>
        <v>10564.460535458202</v>
      </c>
      <c r="V5" s="774">
        <f t="shared" ca="1" si="0"/>
        <v>10839.48615957909</v>
      </c>
      <c r="W5" s="774">
        <f t="shared" ca="1" si="0"/>
        <v>8710.9333399893003</v>
      </c>
      <c r="X5" s="774">
        <f t="shared" ca="1" si="0"/>
        <v>1462.0320619387678</v>
      </c>
      <c r="Y5" s="774">
        <f t="shared" ca="1" si="0"/>
        <v>5740.6912390187072</v>
      </c>
      <c r="Z5" s="774">
        <f t="shared" ca="1" si="0"/>
        <v>11299.526873313249</v>
      </c>
      <c r="AA5" s="774">
        <f t="shared" ca="1" si="0"/>
        <v>12553.315941518365</v>
      </c>
      <c r="AB5" s="774">
        <f t="shared" ca="1" si="0"/>
        <v>12008.902225412714</v>
      </c>
      <c r="AC5" s="774">
        <f t="shared" ca="1" si="0"/>
        <v>13405.55127248083</v>
      </c>
      <c r="AD5" s="774">
        <f t="shared" ca="1" si="0"/>
        <v>13155.004599712807</v>
      </c>
      <c r="AE5" s="774">
        <f t="shared" ca="1" si="0"/>
        <v>13331.255897390865</v>
      </c>
      <c r="AF5" s="774">
        <f t="shared" ca="1" si="0"/>
        <v>12630.106356030203</v>
      </c>
      <c r="AG5" s="774">
        <f t="shared" ca="1" si="0"/>
        <v>16641.354575347435</v>
      </c>
      <c r="AH5" s="774">
        <f t="shared" ca="1" si="0"/>
        <v>19075.564146820179</v>
      </c>
      <c r="AI5" s="774">
        <f t="shared" ca="1" si="0"/>
        <v>21397.861214477405</v>
      </c>
      <c r="AJ5" s="774">
        <f t="shared" ca="1" si="0"/>
        <v>22335.141949706493</v>
      </c>
      <c r="AK5" s="774">
        <f t="shared" ca="1" si="0"/>
        <v>24955.152747847987</v>
      </c>
      <c r="AL5" s="774">
        <f t="shared" ca="1" si="0"/>
        <v>37971.745533465291</v>
      </c>
      <c r="AM5" s="774">
        <f t="shared" si="0"/>
        <v>0</v>
      </c>
    </row>
    <row r="7" spans="1:39">
      <c r="A7" t="s">
        <v>418</v>
      </c>
      <c r="B7" s="119">
        <f>'ENA-144A Comparison'!B9</f>
        <v>0.16</v>
      </c>
      <c r="C7" s="774">
        <f ca="1">XNPV(B7,D$5:AL$5,D$1:AL$1)</f>
        <v>11959.112736444302</v>
      </c>
    </row>
    <row r="8" spans="1:39">
      <c r="A8" t="s">
        <v>419</v>
      </c>
      <c r="B8" s="119">
        <f ca="1">XIRR(D$5:AL$5,D$1:AL$1)</f>
        <v>0.20003431439399721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N5" zoomScaleNormal="100" workbookViewId="0">
      <selection activeCell="X17" sqref="X17"/>
    </sheetView>
  </sheetViews>
  <sheetFormatPr defaultColWidth="8.90625" defaultRowHeight="15.6"/>
  <cols>
    <col min="1" max="1" width="8.90625" style="782"/>
    <col min="2" max="2" width="4.08984375" style="782" customWidth="1"/>
    <col min="3" max="4" width="8.90625" style="782"/>
    <col min="5" max="5" width="9.36328125" style="782" bestFit="1" customWidth="1"/>
    <col min="6" max="6" width="9.54296875" style="782" customWidth="1"/>
    <col min="7" max="13" width="10" style="782" bestFit="1" customWidth="1"/>
    <col min="14" max="24" width="9" style="782" bestFit="1" customWidth="1"/>
    <col min="25" max="25" width="8.54296875" style="782" bestFit="1" customWidth="1"/>
    <col min="26" max="26" width="7.54296875" style="782" bestFit="1" customWidth="1"/>
    <col min="27" max="27" width="4.453125" style="782" customWidth="1"/>
    <col min="28" max="16384" width="8.9062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2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36678</v>
      </c>
      <c r="E6" s="787">
        <v>2001</v>
      </c>
      <c r="F6" s="787">
        <v>2002</v>
      </c>
      <c r="G6" s="787">
        <v>2003</v>
      </c>
      <c r="H6" s="787">
        <v>2004</v>
      </c>
      <c r="I6" s="787">
        <v>2005</v>
      </c>
      <c r="J6" s="787">
        <v>2006</v>
      </c>
      <c r="K6" s="787">
        <v>2007</v>
      </c>
      <c r="L6" s="787">
        <v>2008</v>
      </c>
      <c r="M6" s="787">
        <v>2009</v>
      </c>
      <c r="N6" s="787">
        <v>2010</v>
      </c>
      <c r="O6" s="787">
        <v>2011</v>
      </c>
      <c r="P6" s="787">
        <v>2012</v>
      </c>
      <c r="Q6" s="787">
        <v>2013</v>
      </c>
      <c r="R6" s="787">
        <v>2014</v>
      </c>
      <c r="S6" s="787">
        <v>2015</v>
      </c>
      <c r="T6" s="787">
        <v>2016</v>
      </c>
      <c r="U6" s="787">
        <v>2017</v>
      </c>
      <c r="V6" s="787">
        <v>2018</v>
      </c>
      <c r="W6" s="787">
        <v>2019</v>
      </c>
      <c r="X6" s="787">
        <v>2020</v>
      </c>
      <c r="Y6" s="785"/>
    </row>
    <row r="7" spans="1:27">
      <c r="A7" s="788"/>
      <c r="B7" s="788"/>
      <c r="C7" s="788"/>
      <c r="D7" s="789"/>
      <c r="E7" s="790"/>
      <c r="F7" s="790"/>
      <c r="G7" s="790"/>
      <c r="H7" s="790"/>
      <c r="I7" s="790"/>
      <c r="J7" s="790"/>
      <c r="K7" s="790"/>
      <c r="L7" s="790"/>
      <c r="M7" s="790"/>
      <c r="N7" s="790"/>
      <c r="O7" s="790"/>
      <c r="P7" s="790"/>
      <c r="Q7" s="790"/>
      <c r="R7" s="790"/>
      <c r="S7" s="790"/>
      <c r="T7" s="790"/>
      <c r="U7" s="790"/>
      <c r="V7" s="790"/>
      <c r="W7" s="790"/>
      <c r="X7" s="790"/>
      <c r="Y7" s="788"/>
    </row>
    <row r="8" spans="1:27">
      <c r="A8" s="791" t="s">
        <v>425</v>
      </c>
      <c r="B8" s="791"/>
      <c r="C8" s="791"/>
      <c r="D8" s="792">
        <v>135</v>
      </c>
      <c r="E8" s="793">
        <v>315</v>
      </c>
      <c r="F8" s="793">
        <v>315</v>
      </c>
      <c r="G8" s="793">
        <v>315</v>
      </c>
      <c r="H8" s="793">
        <v>315</v>
      </c>
      <c r="I8" s="793">
        <v>315</v>
      </c>
      <c r="J8" s="793">
        <v>315</v>
      </c>
      <c r="K8" s="793">
        <v>315</v>
      </c>
      <c r="L8" s="793">
        <v>315</v>
      </c>
      <c r="M8" s="793">
        <v>315</v>
      </c>
      <c r="N8" s="793">
        <v>315</v>
      </c>
      <c r="O8" s="793">
        <v>315</v>
      </c>
      <c r="P8" s="793">
        <v>315</v>
      </c>
      <c r="Q8" s="793">
        <v>315</v>
      </c>
      <c r="R8" s="793">
        <v>315</v>
      </c>
      <c r="S8" s="793">
        <v>315</v>
      </c>
      <c r="T8" s="793">
        <v>315</v>
      </c>
      <c r="U8" s="793">
        <v>315</v>
      </c>
      <c r="V8" s="793">
        <v>315</v>
      </c>
      <c r="W8" s="793">
        <v>315</v>
      </c>
      <c r="X8" s="793">
        <v>315</v>
      </c>
      <c r="Y8" s="793"/>
    </row>
    <row r="9" spans="1:27">
      <c r="A9" s="791" t="s">
        <v>426</v>
      </c>
      <c r="B9" s="791"/>
      <c r="C9" s="791"/>
      <c r="D9" s="794" t="s">
        <v>427</v>
      </c>
      <c r="E9" s="795" t="s">
        <v>428</v>
      </c>
      <c r="F9" s="795" t="s">
        <v>429</v>
      </c>
      <c r="G9" s="795" t="s">
        <v>429</v>
      </c>
      <c r="H9" s="795" t="s">
        <v>429</v>
      </c>
      <c r="I9" s="795" t="s">
        <v>429</v>
      </c>
      <c r="J9" s="795" t="s">
        <v>429</v>
      </c>
      <c r="K9" s="795" t="s">
        <v>429</v>
      </c>
      <c r="L9" s="795" t="s">
        <v>429</v>
      </c>
      <c r="M9" s="795" t="s">
        <v>429</v>
      </c>
      <c r="N9" s="795" t="s">
        <v>429</v>
      </c>
      <c r="O9" s="795" t="s">
        <v>429</v>
      </c>
      <c r="P9" s="795" t="s">
        <v>429</v>
      </c>
      <c r="Q9" s="795" t="s">
        <v>429</v>
      </c>
      <c r="R9" s="795" t="s">
        <v>429</v>
      </c>
      <c r="S9" s="795" t="s">
        <v>429</v>
      </c>
      <c r="T9" s="795" t="s">
        <v>429</v>
      </c>
      <c r="U9" s="795" t="s">
        <v>429</v>
      </c>
      <c r="V9" s="795" t="s">
        <v>429</v>
      </c>
      <c r="W9" s="795" t="s">
        <v>429</v>
      </c>
      <c r="X9" s="795" t="s">
        <v>429</v>
      </c>
      <c r="Y9" s="793"/>
    </row>
    <row r="10" spans="1:27">
      <c r="D10" s="796"/>
      <c r="I10" s="797"/>
    </row>
    <row r="11" spans="1:27">
      <c r="A11" s="782" t="s">
        <v>430</v>
      </c>
      <c r="D11" s="805">
        <f t="shared" ref="D11:X11" si="0">D13-D12</f>
        <v>3341.4719999999998</v>
      </c>
      <c r="E11" s="799">
        <f t="shared" si="0"/>
        <v>17254.768999999971</v>
      </c>
      <c r="F11" s="799">
        <f t="shared" si="0"/>
        <v>15355.241999999998</v>
      </c>
      <c r="G11" s="799">
        <f t="shared" si="0"/>
        <v>14371.159999999989</v>
      </c>
      <c r="H11" s="799">
        <f t="shared" si="0"/>
        <v>13450.762999999992</v>
      </c>
      <c r="I11" s="806">
        <f t="shared" si="0"/>
        <v>12527.356</v>
      </c>
      <c r="J11" s="799">
        <f t="shared" si="0"/>
        <v>11612.152000000002</v>
      </c>
      <c r="K11" s="799">
        <f t="shared" si="0"/>
        <v>10685.498000000007</v>
      </c>
      <c r="L11" s="799">
        <f t="shared" si="0"/>
        <v>9804.4630000000034</v>
      </c>
      <c r="M11" s="799">
        <f t="shared" si="0"/>
        <v>8926.9579999999987</v>
      </c>
      <c r="N11" s="799">
        <f t="shared" si="0"/>
        <v>8068.1710000000094</v>
      </c>
      <c r="O11" s="799">
        <f t="shared" si="0"/>
        <v>7227.7669999999998</v>
      </c>
      <c r="P11" s="799">
        <f t="shared" si="0"/>
        <v>6372.1080000000002</v>
      </c>
      <c r="Q11" s="799">
        <f t="shared" si="0"/>
        <v>5534.7790000000023</v>
      </c>
      <c r="R11" s="799">
        <f t="shared" si="0"/>
        <v>4692.5019999999968</v>
      </c>
      <c r="S11" s="799">
        <f t="shared" si="0"/>
        <v>3853.5870000000032</v>
      </c>
      <c r="T11" s="799">
        <f t="shared" si="0"/>
        <v>3047.5349999999999</v>
      </c>
      <c r="U11" s="799">
        <f t="shared" si="0"/>
        <v>2286.0679999999993</v>
      </c>
      <c r="V11" s="799">
        <f t="shared" si="0"/>
        <v>1572.8760000000002</v>
      </c>
      <c r="W11" s="799">
        <f t="shared" si="0"/>
        <v>868.67699999999968</v>
      </c>
      <c r="X11" s="799">
        <f t="shared" si="0"/>
        <v>184.82300000000001</v>
      </c>
    </row>
    <row r="12" spans="1:27" ht="16.8">
      <c r="A12" s="782" t="s">
        <v>431</v>
      </c>
      <c r="D12" s="807">
        <v>288.101</v>
      </c>
      <c r="E12" s="808">
        <f>138.127+156475.619</f>
        <v>156613.74600000001</v>
      </c>
      <c r="F12" s="808">
        <v>143047.427</v>
      </c>
      <c r="G12" s="808">
        <v>131042.379</v>
      </c>
      <c r="H12" s="808">
        <v>120001.458</v>
      </c>
      <c r="I12" s="809">
        <v>109628.626</v>
      </c>
      <c r="J12" s="808">
        <v>99448.612999999998</v>
      </c>
      <c r="K12" s="808">
        <v>89567.87</v>
      </c>
      <c r="L12" s="808">
        <v>79921.67</v>
      </c>
      <c r="M12" s="808">
        <v>70894.725999999995</v>
      </c>
      <c r="N12" s="808">
        <v>62109.470999999998</v>
      </c>
      <c r="O12" s="808">
        <v>53931.597999999998</v>
      </c>
      <c r="P12" s="808">
        <v>46251.211000000003</v>
      </c>
      <c r="Q12" s="808">
        <v>38977.478999999999</v>
      </c>
      <c r="R12" s="808">
        <v>32216.681</v>
      </c>
      <c r="S12" s="808">
        <v>25968.42</v>
      </c>
      <c r="T12" s="808">
        <v>19955.955000000002</v>
      </c>
      <c r="U12" s="808">
        <v>14413.088</v>
      </c>
      <c r="V12" s="808">
        <v>9206.4429999999993</v>
      </c>
      <c r="W12" s="808">
        <v>4390.7190000000001</v>
      </c>
      <c r="X12" s="808">
        <v>26.256</v>
      </c>
    </row>
    <row r="13" spans="1:27">
      <c r="B13" s="782" t="s">
        <v>432</v>
      </c>
      <c r="D13" s="805">
        <v>3629.5729999999999</v>
      </c>
      <c r="E13" s="810">
        <f>1308.656+172559.859</f>
        <v>173868.51499999998</v>
      </c>
      <c r="F13" s="810">
        <v>158402.66899999999</v>
      </c>
      <c r="G13" s="810">
        <v>145413.53899999999</v>
      </c>
      <c r="H13" s="810">
        <v>133452.22099999999</v>
      </c>
      <c r="I13" s="811">
        <v>122155.982</v>
      </c>
      <c r="J13" s="810">
        <v>111060.765</v>
      </c>
      <c r="K13" s="810">
        <v>100253.368</v>
      </c>
      <c r="L13" s="810">
        <v>89726.133000000002</v>
      </c>
      <c r="M13" s="810">
        <v>79821.683999999994</v>
      </c>
      <c r="N13" s="810">
        <v>70177.642000000007</v>
      </c>
      <c r="O13" s="810">
        <v>61159.364999999998</v>
      </c>
      <c r="P13" s="810">
        <v>52623.319000000003</v>
      </c>
      <c r="Q13" s="810">
        <v>44512.258000000002</v>
      </c>
      <c r="R13" s="810">
        <v>36909.182999999997</v>
      </c>
      <c r="S13" s="810">
        <v>29822.007000000001</v>
      </c>
      <c r="T13" s="810">
        <v>23003.49</v>
      </c>
      <c r="U13" s="810">
        <v>16699.155999999999</v>
      </c>
      <c r="V13" s="810">
        <v>10779.319</v>
      </c>
      <c r="W13" s="810">
        <v>5259.3959999999997</v>
      </c>
      <c r="X13" s="810">
        <v>211.07900000000001</v>
      </c>
    </row>
    <row r="14" spans="1:27">
      <c r="A14" s="798"/>
      <c r="B14" s="798"/>
      <c r="C14" s="798"/>
      <c r="D14" s="798"/>
      <c r="E14" s="798"/>
      <c r="F14" s="798"/>
      <c r="G14" s="798"/>
      <c r="H14" s="798"/>
      <c r="I14" s="798"/>
      <c r="J14" s="798"/>
      <c r="K14" s="798"/>
      <c r="L14" s="798"/>
      <c r="M14" s="798"/>
      <c r="N14" s="798"/>
      <c r="O14" s="798"/>
      <c r="P14" s="798"/>
      <c r="Q14" s="798"/>
      <c r="R14" s="798"/>
      <c r="S14" s="798"/>
      <c r="T14" s="798"/>
      <c r="U14" s="798"/>
      <c r="V14" s="798"/>
      <c r="W14" s="798"/>
      <c r="X14" s="798"/>
      <c r="Y14" s="798"/>
    </row>
    <row r="15" spans="1:27">
      <c r="I15" s="797"/>
    </row>
    <row r="16" spans="1:27">
      <c r="A16" s="782" t="s">
        <v>433</v>
      </c>
      <c r="D16" s="799">
        <f ca="1">OandM!C34-OandM!C21-OandM!C13-OandM!C11-OandM!C16-OandM!C14+OandM!C41</f>
        <v>986.97383617792389</v>
      </c>
      <c r="E16" s="799">
        <f ca="1">OandM!D34-OandM!D21-OandM!D13-OandM!D11-OandM!D16-OandM!D14+OandM!D41</f>
        <v>2791.3941350267269</v>
      </c>
      <c r="F16" s="799">
        <f ca="1">OandM!E34-OandM!E21-OandM!E13-OandM!E11-OandM!E16-OandM!E14+OandM!E41</f>
        <v>2842.4641539090062</v>
      </c>
      <c r="G16" s="799">
        <f ca="1">OandM!F34-OandM!F21-OandM!F13-OandM!F11-OandM!F16-OandM!F14+OandM!F41</f>
        <v>2658.1199210448749</v>
      </c>
      <c r="H16" s="799">
        <f ca="1">OandM!G34-OandM!G21-OandM!G13-OandM!G11-OandM!G16-OandM!G14+OandM!G41</f>
        <v>2714.9257780988901</v>
      </c>
      <c r="I16" s="799">
        <f ca="1">OandM!H34-OandM!H21-OandM!H13-OandM!H11-OandM!H16-OandM!H14+OandM!H41</f>
        <v>2719.4629941428752</v>
      </c>
      <c r="J16" s="799">
        <f ca="1">OandM!I34-OandM!I21-OandM!I13-OandM!I11-OandM!I16-OandM!I14+OandM!I41</f>
        <v>2822.9413915242176</v>
      </c>
      <c r="K16" s="799">
        <f ca="1">OandM!J34-OandM!J21-OandM!J13-OandM!J11-OandM!J16-OandM!J14+OandM!J41</f>
        <v>2932.7786202568104</v>
      </c>
      <c r="L16" s="799">
        <f ca="1">OandM!K34-OandM!K21-OandM!K13-OandM!K11-OandM!K16-OandM!K14+OandM!K41</f>
        <v>2998.3721567959601</v>
      </c>
      <c r="M16" s="799">
        <f ca="1">OandM!L34-OandM!L21-OandM!L13-OandM!L11-OandM!L16-OandM!L14+OandM!L41</f>
        <v>3049.1216947464745</v>
      </c>
      <c r="N16" s="799">
        <f ca="1">OandM!M34-OandM!M21-OandM!M13-OandM!M11-OandM!M16-OandM!M14+OandM!M41</f>
        <v>3119.2453620212746</v>
      </c>
      <c r="O16" s="799">
        <f ca="1">OandM!N34-OandM!N21-OandM!N13-OandM!N11-OandM!N16-OandM!N14+OandM!N41</f>
        <v>3175.829937050657</v>
      </c>
      <c r="P16" s="799">
        <f ca="1">OandM!O34-OandM!O21-OandM!O13-OandM!O11-OandM!O16-OandM!O14+OandM!O41</f>
        <v>23797.085157009093</v>
      </c>
      <c r="Q16" s="799">
        <f ca="1">OandM!P34-OandM!P21-OandM!P13-OandM!P11-OandM!P16-OandM!P14+OandM!P41</f>
        <v>3299.1815009428901</v>
      </c>
      <c r="R16" s="799">
        <f ca="1">OandM!Q34-OandM!Q21-OandM!Q13-OandM!Q11-OandM!Q16-OandM!Q14+OandM!Q41</f>
        <v>3406.7113985489277</v>
      </c>
      <c r="S16" s="799">
        <f ca="1">OandM!R34-OandM!R21-OandM!R13-OandM!R11-OandM!R16-OandM!R14+OandM!R41</f>
        <v>3516.4582074322207</v>
      </c>
      <c r="T16" s="799">
        <f ca="1">OandM!S34-OandM!S21-OandM!S13-OandM!S11-OandM!S16-OandM!S14+OandM!S41</f>
        <v>3628.649794694184</v>
      </c>
      <c r="U16" s="799">
        <f ca="1">OandM!T34-OandM!T21-OandM!T13-OandM!T11-OandM!T16-OandM!T14+OandM!T41</f>
        <v>3711.8920862405503</v>
      </c>
      <c r="V16" s="799">
        <f ca="1">OandM!U34-OandM!U21-OandM!U13-OandM!U11-OandM!U16-OandM!U14+OandM!U41</f>
        <v>3806.5145864687788</v>
      </c>
      <c r="W16" s="799">
        <f ca="1">OandM!V34-OandM!V21-OandM!V13-OandM!V11-OandM!V16-OandM!V14+OandM!V41</f>
        <v>3838.9581367304399</v>
      </c>
      <c r="X16" s="799">
        <f>OandM!W34-OandM!W21-OandM!W13-OandM!W11-OandM!W16-OandM!W14+OandM!W41</f>
        <v>0</v>
      </c>
    </row>
    <row r="17" spans="1:24">
      <c r="A17" s="782" t="s">
        <v>434</v>
      </c>
      <c r="C17" s="800">
        <v>7.0000000000000007E-2</v>
      </c>
      <c r="D17" s="801">
        <f ca="1">(NPV($C$17,D16:$X$16)-OandM!C40)/(1+$C$17)^D5</f>
        <v>35987.621744418328</v>
      </c>
      <c r="E17" s="801">
        <f ca="1">(NPV($C$17,E16:$X$16)-OandM!D40)/(1+$C$17)^E5</f>
        <v>33883.594734043705</v>
      </c>
      <c r="F17" s="801">
        <f ca="1">(NPV($C$17,F16:$X$16)-OandM!E40)/(1+$C$17)^F5</f>
        <v>30495.063857215107</v>
      </c>
      <c r="G17" s="801">
        <f ca="1">(NPV($C$17,G16:$X$16)-OandM!F40)/(1+$C$17)^G5</f>
        <v>27338.004210417184</v>
      </c>
      <c r="H17" s="801">
        <f ca="1">(NPV($C$17,H16:$X$16)-OandM!G40)/(1+$C$17)^H5</f>
        <v>24565.709557998165</v>
      </c>
      <c r="I17" s="801">
        <f ca="1">(NPV($C$17,I16:$X$16)-OandM!H40)/(1+$C$17)^I5</f>
        <v>21981.840840741002</v>
      </c>
      <c r="J17" s="801">
        <f ca="1">(NPV($C$17,J16:$X$16)-OandM!I40)/(1+$C$17)^J5</f>
        <v>19607.292804126253</v>
      </c>
      <c r="K17" s="801">
        <f ca="1">(NPV($C$17,K16:$X$16)-OandM!J40)/(1+$C$17)^K5</f>
        <v>17369.239371366515</v>
      </c>
      <c r="L17" s="801">
        <f ca="1">(NPV($C$17,L16:$X$16)-OandM!K40)/(1+$C$17)^L5</f>
        <v>15257.56942129611</v>
      </c>
      <c r="M17" s="801">
        <f ca="1">(NPV($C$17,M16:$X$16)-OandM!L40)/(1+$C$17)^M5</f>
        <v>13288.818681777444</v>
      </c>
      <c r="N17" s="801">
        <f ca="1">(NPV($C$17,N16:$X$16)-OandM!M40)/(1+$C$17)^N5</f>
        <v>11461.339180961648</v>
      </c>
      <c r="O17" s="801">
        <f ca="1">(NPV($C$17,O16:$X$16)-OandM!N40)/(1+$C$17)^O5</f>
        <v>9757.3936217942955</v>
      </c>
      <c r="P17" s="801">
        <f ca="1">(NPV($C$17,P16:$X$16)-OandM!O40)/(1+$C$17)^P5</f>
        <v>8175.1443427643253</v>
      </c>
      <c r="Q17" s="801">
        <f ca="1">(NPV($C$17,Q16:$X$16)-OandM!P40)/(1+$C$17)^Q5</f>
        <v>6701.1341502073365</v>
      </c>
      <c r="R17" s="801">
        <f ca="1">(NPV($C$17,R16:$X$16)-OandM!Q40)/(1+$C$17)^R5</f>
        <v>4814.3310279849011</v>
      </c>
      <c r="S17" s="801">
        <f ca="1">(NPV($C$17,S16:$X$16)-OandM!R40)/(1+$C$17)^S5</f>
        <v>3044.3410722970707</v>
      </c>
      <c r="T17" s="801">
        <f ca="1">(NPV($C$17,T16:$X$16)-OandM!S40)/(1+$C$17)^T5</f>
        <v>1384.005735598296</v>
      </c>
      <c r="U17" s="801">
        <f ca="1">(NPV($C$17,U16:$X$16)-OandM!T40)/(1+$C$17)^U5</f>
        <v>-173.44856506596071</v>
      </c>
      <c r="V17" s="801">
        <f ca="1">(NPV($C$17,V16:$X$16)-OandM!U40)/(1+$C$17)^V5</f>
        <v>-1625.6794177011302</v>
      </c>
      <c r="W17" s="801">
        <f ca="1">(NPV($C$17,W16:$X$16)-OandM!V40)/(1+$C$17)^W5</f>
        <v>-2982.0646336663676</v>
      </c>
      <c r="X17" s="801">
        <f>(NPV($C$17,X16:$X$16)-OandM!W40)/(1+$C$17)^X5</f>
        <v>0</v>
      </c>
    </row>
    <row r="20" spans="1:24">
      <c r="A20" s="782" t="s">
        <v>435</v>
      </c>
      <c r="D20" s="799">
        <f>D13+E13</f>
        <v>177498.08799999999</v>
      </c>
      <c r="E20" s="799">
        <f>E13</f>
        <v>173868.51499999998</v>
      </c>
      <c r="F20" s="799">
        <f t="shared" ref="F20:W20" si="1">F13</f>
        <v>158402.66899999999</v>
      </c>
      <c r="G20" s="799">
        <f t="shared" si="1"/>
        <v>145413.53899999999</v>
      </c>
      <c r="H20" s="799">
        <f t="shared" si="1"/>
        <v>133452.22099999999</v>
      </c>
      <c r="I20" s="799">
        <f t="shared" si="1"/>
        <v>122155.982</v>
      </c>
      <c r="J20" s="799">
        <f t="shared" si="1"/>
        <v>111060.765</v>
      </c>
      <c r="K20" s="799">
        <f t="shared" si="1"/>
        <v>100253.368</v>
      </c>
      <c r="L20" s="799">
        <f t="shared" si="1"/>
        <v>89726.133000000002</v>
      </c>
      <c r="M20" s="799">
        <f t="shared" si="1"/>
        <v>79821.683999999994</v>
      </c>
      <c r="N20" s="799">
        <f t="shared" si="1"/>
        <v>70177.642000000007</v>
      </c>
      <c r="O20" s="799">
        <f t="shared" si="1"/>
        <v>61159.364999999998</v>
      </c>
      <c r="P20" s="799">
        <f t="shared" si="1"/>
        <v>52623.319000000003</v>
      </c>
      <c r="Q20" s="799">
        <f t="shared" si="1"/>
        <v>44512.258000000002</v>
      </c>
      <c r="R20" s="799">
        <f t="shared" si="1"/>
        <v>36909.182999999997</v>
      </c>
      <c r="S20" s="799">
        <f t="shared" si="1"/>
        <v>29822.007000000001</v>
      </c>
      <c r="T20" s="799">
        <f t="shared" si="1"/>
        <v>23003.49</v>
      </c>
      <c r="U20" s="799">
        <f t="shared" si="1"/>
        <v>16699.155999999999</v>
      </c>
      <c r="V20" s="799">
        <f t="shared" si="1"/>
        <v>10779.319</v>
      </c>
      <c r="W20" s="799">
        <f t="shared" si="1"/>
        <v>5259.3959999999997</v>
      </c>
      <c r="X20" s="799">
        <v>0</v>
      </c>
    </row>
    <row r="21" spans="1:24">
      <c r="A21" s="782" t="s">
        <v>436</v>
      </c>
      <c r="D21" s="801">
        <f ca="1">-D17</f>
        <v>-35987.621744418328</v>
      </c>
      <c r="E21" s="801">
        <f ca="1">-E17</f>
        <v>-33883.594734043705</v>
      </c>
      <c r="F21" s="801">
        <f t="shared" ref="F21:X21" ca="1" si="2">-F17</f>
        <v>-30495.063857215107</v>
      </c>
      <c r="G21" s="801">
        <f t="shared" ca="1" si="2"/>
        <v>-27338.004210417184</v>
      </c>
      <c r="H21" s="801">
        <f t="shared" ca="1" si="2"/>
        <v>-24565.709557998165</v>
      </c>
      <c r="I21" s="801">
        <f t="shared" ca="1" si="2"/>
        <v>-21981.840840741002</v>
      </c>
      <c r="J21" s="801">
        <f t="shared" ca="1" si="2"/>
        <v>-19607.292804126253</v>
      </c>
      <c r="K21" s="801">
        <f t="shared" ca="1" si="2"/>
        <v>-17369.239371366515</v>
      </c>
      <c r="L21" s="801">
        <f t="shared" ca="1" si="2"/>
        <v>-15257.56942129611</v>
      </c>
      <c r="M21" s="801">
        <f t="shared" ca="1" si="2"/>
        <v>-13288.818681777444</v>
      </c>
      <c r="N21" s="801">
        <f t="shared" ca="1" si="2"/>
        <v>-11461.339180961648</v>
      </c>
      <c r="O21" s="801">
        <f t="shared" ca="1" si="2"/>
        <v>-9757.3936217942955</v>
      </c>
      <c r="P21" s="801">
        <f t="shared" ca="1" si="2"/>
        <v>-8175.1443427643253</v>
      </c>
      <c r="Q21" s="801">
        <f t="shared" ca="1" si="2"/>
        <v>-6701.1341502073365</v>
      </c>
      <c r="R21" s="801">
        <f t="shared" ca="1" si="2"/>
        <v>-4814.3310279849011</v>
      </c>
      <c r="S21" s="801">
        <f t="shared" ca="1" si="2"/>
        <v>-3044.3410722970707</v>
      </c>
      <c r="T21" s="801">
        <f t="shared" ca="1" si="2"/>
        <v>-1384.005735598296</v>
      </c>
      <c r="U21" s="801">
        <f t="shared" ca="1" si="2"/>
        <v>173.44856506596071</v>
      </c>
      <c r="V21" s="801">
        <f t="shared" ca="1" si="2"/>
        <v>1625.6794177011302</v>
      </c>
      <c r="W21" s="801">
        <f t="shared" ca="1" si="2"/>
        <v>2982.0646336663676</v>
      </c>
      <c r="X21" s="801">
        <f t="shared" si="2"/>
        <v>0</v>
      </c>
    </row>
    <row r="22" spans="1:24">
      <c r="A22" s="782" t="s">
        <v>437</v>
      </c>
      <c r="D22" s="802">
        <f ca="1">SUM(D20:D21)</f>
        <v>141510.46625558165</v>
      </c>
      <c r="E22" s="802">
        <f ca="1">SUM(E20:E21)</f>
        <v>139984.92026595629</v>
      </c>
      <c r="F22" s="802">
        <f t="shared" ref="F22:X22" ca="1" si="3">SUM(F20:F21)</f>
        <v>127907.60514278489</v>
      </c>
      <c r="G22" s="802">
        <f t="shared" ca="1" si="3"/>
        <v>118075.5347895828</v>
      </c>
      <c r="H22" s="802">
        <f t="shared" ca="1" si="3"/>
        <v>108886.51144200182</v>
      </c>
      <c r="I22" s="802">
        <f t="shared" ca="1" si="3"/>
        <v>100174.141159259</v>
      </c>
      <c r="J22" s="802">
        <f t="shared" ca="1" si="3"/>
        <v>91453.47219587375</v>
      </c>
      <c r="K22" s="802">
        <f t="shared" ca="1" si="3"/>
        <v>82884.12862863348</v>
      </c>
      <c r="L22" s="802">
        <f t="shared" ca="1" si="3"/>
        <v>74468.563578703892</v>
      </c>
      <c r="M22" s="802">
        <f t="shared" ca="1" si="3"/>
        <v>66532.865318222553</v>
      </c>
      <c r="N22" s="802">
        <f t="shared" ca="1" si="3"/>
        <v>58716.302819038363</v>
      </c>
      <c r="O22" s="802">
        <f t="shared" ca="1" si="3"/>
        <v>51401.971378205701</v>
      </c>
      <c r="P22" s="802">
        <f t="shared" ca="1" si="3"/>
        <v>44448.174657235679</v>
      </c>
      <c r="Q22" s="802">
        <f t="shared" ca="1" si="3"/>
        <v>37811.123849792668</v>
      </c>
      <c r="R22" s="802">
        <f t="shared" ca="1" si="3"/>
        <v>32094.851972015094</v>
      </c>
      <c r="S22" s="802">
        <f t="shared" ca="1" si="3"/>
        <v>26777.665927702932</v>
      </c>
      <c r="T22" s="802">
        <f t="shared" ca="1" si="3"/>
        <v>21619.484264401704</v>
      </c>
      <c r="U22" s="802">
        <f t="shared" ca="1" si="3"/>
        <v>16872.604565065958</v>
      </c>
      <c r="V22" s="802">
        <f t="shared" ca="1" si="3"/>
        <v>12404.99841770113</v>
      </c>
      <c r="W22" s="802">
        <f t="shared" ca="1" si="3"/>
        <v>8241.4606336663674</v>
      </c>
      <c r="X22" s="802">
        <f t="shared" si="3"/>
        <v>0</v>
      </c>
    </row>
    <row r="23" spans="1:24">
      <c r="A23" s="782" t="s">
        <v>438</v>
      </c>
      <c r="D23" s="803">
        <f ca="1">D22/315</f>
        <v>449.2395754145449</v>
      </c>
      <c r="E23" s="803">
        <f t="shared" ref="E23:X23" ca="1" si="4">E22/315</f>
        <v>444.39657227287711</v>
      </c>
      <c r="F23" s="803">
        <f t="shared" ca="1" si="4"/>
        <v>406.05588934217423</v>
      </c>
      <c r="G23" s="803">
        <f t="shared" ca="1" si="4"/>
        <v>374.84296758597714</v>
      </c>
      <c r="H23" s="803">
        <f t="shared" ca="1" si="4"/>
        <v>345.6714648952439</v>
      </c>
      <c r="I23" s="803">
        <f t="shared" ca="1" si="4"/>
        <v>318.01314653733016</v>
      </c>
      <c r="J23" s="803">
        <f t="shared" ca="1" si="4"/>
        <v>290.32848316150398</v>
      </c>
      <c r="K23" s="803">
        <f t="shared" ca="1" si="4"/>
        <v>263.1242178686777</v>
      </c>
      <c r="L23" s="803">
        <f t="shared" ca="1" si="4"/>
        <v>236.40813834509171</v>
      </c>
      <c r="M23" s="803">
        <f t="shared" ca="1" si="4"/>
        <v>211.21544545467478</v>
      </c>
      <c r="N23" s="803">
        <f t="shared" ca="1" si="4"/>
        <v>186.40096133028052</v>
      </c>
      <c r="O23" s="803">
        <f t="shared" ca="1" si="4"/>
        <v>163.18086151811335</v>
      </c>
      <c r="P23" s="803">
        <f t="shared" ca="1" si="4"/>
        <v>141.10531637217676</v>
      </c>
      <c r="Q23" s="803">
        <f t="shared" ca="1" si="4"/>
        <v>120.03531380886561</v>
      </c>
      <c r="R23" s="803">
        <f t="shared" ca="1" si="4"/>
        <v>101.88841895877808</v>
      </c>
      <c r="S23" s="803">
        <f t="shared" ca="1" si="4"/>
        <v>85.008463262548986</v>
      </c>
      <c r="T23" s="803">
        <f t="shared" ca="1" si="4"/>
        <v>68.633283379053026</v>
      </c>
      <c r="U23" s="803">
        <f t="shared" ca="1" si="4"/>
        <v>53.563824016082407</v>
      </c>
      <c r="V23" s="803">
        <f t="shared" ca="1" si="4"/>
        <v>39.380947357781366</v>
      </c>
      <c r="W23" s="803">
        <f t="shared" ca="1" si="4"/>
        <v>26.163367091004339</v>
      </c>
      <c r="X23" s="803">
        <f t="shared" si="4"/>
        <v>0</v>
      </c>
    </row>
    <row r="25" spans="1:24">
      <c r="A25" s="782" t="s">
        <v>439</v>
      </c>
      <c r="D25" s="799">
        <f>'ENA Debt'!C20</f>
        <v>118125</v>
      </c>
      <c r="E25" s="799">
        <f ca="1">'ENA Debt'!D20</f>
        <v>118125</v>
      </c>
      <c r="F25" s="799">
        <f ca="1">'ENA Debt'!E20</f>
        <v>116353.125</v>
      </c>
      <c r="G25" s="799">
        <f ca="1">'ENA Debt'!F20</f>
        <v>112218.75</v>
      </c>
      <c r="H25" s="799">
        <f ca="1">'ENA Debt'!G20</f>
        <v>106903.125</v>
      </c>
      <c r="I25" s="799">
        <f ca="1">'ENA Debt'!H20</f>
        <v>99815.625</v>
      </c>
      <c r="J25" s="799">
        <f ca="1">'ENA Debt'!I20</f>
        <v>91428.75</v>
      </c>
      <c r="K25" s="799">
        <f ca="1">'ENA Debt'!J20</f>
        <v>82805.625</v>
      </c>
      <c r="L25" s="799">
        <f ca="1">'ENA Debt'!K20</f>
        <v>74418.75</v>
      </c>
      <c r="M25" s="799">
        <f ca="1">'ENA Debt'!L20</f>
        <v>66386.25</v>
      </c>
      <c r="N25" s="799">
        <f ca="1">'ENA Debt'!M20</f>
        <v>58590</v>
      </c>
      <c r="O25" s="799">
        <f ca="1">'ENA Debt'!N20</f>
        <v>51266.25</v>
      </c>
      <c r="P25" s="799">
        <f ca="1">'ENA Debt'!O20</f>
        <v>44296.875</v>
      </c>
      <c r="Q25" s="799">
        <f ca="1">'ENA Debt'!P20</f>
        <v>37800</v>
      </c>
      <c r="R25" s="799">
        <f ca="1">'ENA Debt'!Q20</f>
        <v>32011.875</v>
      </c>
      <c r="S25" s="799">
        <f ca="1">'ENA Debt'!R20</f>
        <v>26578.125</v>
      </c>
      <c r="T25" s="799">
        <f ca="1">'ENA Debt'!S20</f>
        <v>21498.75</v>
      </c>
      <c r="U25" s="799">
        <f ca="1">'ENA Debt'!T20</f>
        <v>16773.75</v>
      </c>
      <c r="V25" s="799">
        <f ca="1">'ENA Debt'!U20</f>
        <v>12285</v>
      </c>
      <c r="W25" s="799">
        <f ca="1">'ENA Debt'!V20</f>
        <v>8150.625</v>
      </c>
      <c r="X25" s="799">
        <f ca="1">'ENA Debt'!W20</f>
        <v>4606.875</v>
      </c>
    </row>
    <row r="26" spans="1:24">
      <c r="A26" s="782" t="s">
        <v>438</v>
      </c>
      <c r="D26" s="803">
        <f>D25/315</f>
        <v>375</v>
      </c>
      <c r="E26" s="803">
        <f t="shared" ref="E26:X26" ca="1" si="5">E25/315</f>
        <v>375</v>
      </c>
      <c r="F26" s="803">
        <f t="shared" ca="1" si="5"/>
        <v>369.375</v>
      </c>
      <c r="G26" s="803">
        <f t="shared" ca="1" si="5"/>
        <v>356.25</v>
      </c>
      <c r="H26" s="803">
        <f t="shared" ca="1" si="5"/>
        <v>339.375</v>
      </c>
      <c r="I26" s="803">
        <f t="shared" ca="1" si="5"/>
        <v>316.875</v>
      </c>
      <c r="J26" s="803">
        <f t="shared" ca="1" si="5"/>
        <v>290.25</v>
      </c>
      <c r="K26" s="803">
        <f t="shared" ca="1" si="5"/>
        <v>262.875</v>
      </c>
      <c r="L26" s="803">
        <f t="shared" ca="1" si="5"/>
        <v>236.25</v>
      </c>
      <c r="M26" s="803">
        <f t="shared" ca="1" si="5"/>
        <v>210.75</v>
      </c>
      <c r="N26" s="803">
        <f t="shared" ca="1" si="5"/>
        <v>186</v>
      </c>
      <c r="O26" s="803">
        <f t="shared" ca="1" si="5"/>
        <v>162.75</v>
      </c>
      <c r="P26" s="803">
        <f t="shared" ca="1" si="5"/>
        <v>140.625</v>
      </c>
      <c r="Q26" s="803">
        <f t="shared" ca="1" si="5"/>
        <v>120</v>
      </c>
      <c r="R26" s="803">
        <f t="shared" ca="1" si="5"/>
        <v>101.625</v>
      </c>
      <c r="S26" s="803">
        <f t="shared" ca="1" si="5"/>
        <v>84.375</v>
      </c>
      <c r="T26" s="803">
        <f t="shared" ca="1" si="5"/>
        <v>68.25</v>
      </c>
      <c r="U26" s="803">
        <f t="shared" ca="1" si="5"/>
        <v>53.25</v>
      </c>
      <c r="V26" s="803">
        <f t="shared" ca="1" si="5"/>
        <v>39</v>
      </c>
      <c r="W26" s="803">
        <f t="shared" ca="1" si="5"/>
        <v>25.875</v>
      </c>
      <c r="X26" s="803">
        <f t="shared" ca="1" si="5"/>
        <v>14.625</v>
      </c>
    </row>
    <row r="28" spans="1:24">
      <c r="A28" s="782" t="s">
        <v>440</v>
      </c>
      <c r="D28" s="804">
        <f ca="1">D23-D26</f>
        <v>74.239575414544902</v>
      </c>
      <c r="E28" s="804">
        <f t="shared" ref="E28:X28" ca="1" si="6">E23-E26</f>
        <v>69.396572272877108</v>
      </c>
      <c r="F28" s="804">
        <f t="shared" ca="1" si="6"/>
        <v>36.680889342174225</v>
      </c>
      <c r="G28" s="804">
        <f t="shared" ca="1" si="6"/>
        <v>18.592967585977135</v>
      </c>
      <c r="H28" s="804">
        <f t="shared" ca="1" si="6"/>
        <v>6.2964648952439006</v>
      </c>
      <c r="I28" s="804">
        <f t="shared" ca="1" si="6"/>
        <v>1.138146537330158</v>
      </c>
      <c r="J28" s="804">
        <f t="shared" ca="1" si="6"/>
        <v>7.8483161503982046E-2</v>
      </c>
      <c r="K28" s="804">
        <f t="shared" ca="1" si="6"/>
        <v>0.24921786867770379</v>
      </c>
      <c r="L28" s="804">
        <f t="shared" ca="1" si="6"/>
        <v>0.15813834509171443</v>
      </c>
      <c r="M28" s="804">
        <f t="shared" ca="1" si="6"/>
        <v>0.4654454546747786</v>
      </c>
      <c r="N28" s="804">
        <f t="shared" ca="1" si="6"/>
        <v>0.4009613302805235</v>
      </c>
      <c r="O28" s="804">
        <f t="shared" ca="1" si="6"/>
        <v>0.43086151811334616</v>
      </c>
      <c r="P28" s="804">
        <f t="shared" ca="1" si="6"/>
        <v>0.48031637217675893</v>
      </c>
      <c r="Q28" s="804">
        <f t="shared" ca="1" si="6"/>
        <v>3.5313808865609531E-2</v>
      </c>
      <c r="R28" s="804">
        <f t="shared" ca="1" si="6"/>
        <v>0.26341895877807531</v>
      </c>
      <c r="S28" s="804">
        <f t="shared" ca="1" si="6"/>
        <v>0.63346326254898599</v>
      </c>
      <c r="T28" s="804">
        <f t="shared" ca="1" si="6"/>
        <v>0.3832833790530259</v>
      </c>
      <c r="U28" s="804">
        <f t="shared" ca="1" si="6"/>
        <v>0.31382401608240684</v>
      </c>
      <c r="V28" s="804">
        <f t="shared" ca="1" si="6"/>
        <v>0.38094735778136624</v>
      </c>
      <c r="W28" s="804">
        <f t="shared" ca="1" si="6"/>
        <v>0.28836709100433922</v>
      </c>
      <c r="X28" s="804">
        <f t="shared" ca="1" si="6"/>
        <v>-14.625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topLeftCell="A17" zoomScale="60" zoomScaleNormal="75" workbookViewId="0">
      <selection activeCell="G32" sqref="G32"/>
    </sheetView>
  </sheetViews>
  <sheetFormatPr defaultColWidth="9.81640625" defaultRowHeight="15.6"/>
  <cols>
    <col min="1" max="1" width="20.81640625" style="317" customWidth="1"/>
    <col min="2" max="2" width="5.81640625" style="317" customWidth="1"/>
    <col min="3" max="22" width="9.81640625" style="317" customWidth="1"/>
    <col min="23" max="23" width="3.6328125" style="317" customWidth="1"/>
    <col min="24" max="16384" width="9.81640625" style="317"/>
  </cols>
  <sheetData>
    <row r="1" spans="1:23" ht="22.2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2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12403.13</v>
      </c>
      <c r="E26" s="327">
        <f ca="1">'IS-ENA'!E24</f>
        <v>12151.96</v>
      </c>
      <c r="F26" s="327">
        <f ca="1">'IS-ENA'!F24</f>
        <v>11699.25</v>
      </c>
      <c r="G26" s="327">
        <f ca="1">'IS-ENA'!G24</f>
        <v>11113.2</v>
      </c>
      <c r="H26" s="327">
        <f ca="1">'IS-ENA'!H24</f>
        <v>10348.549999999999</v>
      </c>
      <c r="I26" s="327">
        <f ca="1">'IS-ENA'!I24</f>
        <v>9464.2000000000007</v>
      </c>
      <c r="J26" s="327">
        <f ca="1">'IS-ENA'!J24</f>
        <v>8562.5</v>
      </c>
      <c r="K26" s="327">
        <f ca="1">'IS-ENA'!K24</f>
        <v>7687.46</v>
      </c>
      <c r="L26" s="327">
        <f ca="1">'IS-ENA'!L24</f>
        <v>6847.77</v>
      </c>
      <c r="M26" s="327">
        <f ca="1">'IS-ENA'!M24</f>
        <v>6036.6</v>
      </c>
      <c r="N26" s="327">
        <f ca="1">'IS-ENA'!N24</f>
        <v>5273.19</v>
      </c>
      <c r="O26" s="327">
        <f ca="1">'IS-ENA'!O24</f>
        <v>4548.8500000000004</v>
      </c>
      <c r="P26" s="327">
        <f ca="1">'IS-ENA'!P24</f>
        <v>3877.84</v>
      </c>
      <c r="Q26" s="327">
        <f ca="1">'IS-ENA'!Q24</f>
        <v>3275.67</v>
      </c>
      <c r="R26" s="327">
        <f ca="1">'IS-ENA'!R24</f>
        <v>2710.7</v>
      </c>
      <c r="S26" s="327">
        <f ca="1">'IS-ENA'!S24</f>
        <v>2182.9499999999998</v>
      </c>
      <c r="T26" s="327">
        <f ca="1">'IS-ENA'!T24</f>
        <v>1690.55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1771.875</v>
      </c>
      <c r="E27" s="327">
        <f ca="1">'ENA Debt'!E35</f>
        <v>4134.375</v>
      </c>
      <c r="F27" s="327">
        <f ca="1">'ENA Debt'!F35</f>
        <v>5315.625</v>
      </c>
      <c r="G27" s="327">
        <f ca="1">'ENA Debt'!G35</f>
        <v>7087.5</v>
      </c>
      <c r="H27" s="327">
        <f ca="1">'ENA Debt'!H35</f>
        <v>8386.875</v>
      </c>
      <c r="I27" s="327">
        <f ca="1">'ENA Debt'!I35</f>
        <v>8623.125</v>
      </c>
      <c r="J27" s="327">
        <f ca="1">'ENA Debt'!J35</f>
        <v>8386.875</v>
      </c>
      <c r="K27" s="327">
        <f ca="1">'ENA Debt'!K35</f>
        <v>8032.5</v>
      </c>
      <c r="L27" s="327">
        <f ca="1">'ENA Debt'!L35</f>
        <v>7796.25</v>
      </c>
      <c r="M27" s="327">
        <f ca="1">'ENA Debt'!M35</f>
        <v>7323.75</v>
      </c>
      <c r="N27" s="327">
        <f ca="1">'ENA Debt'!N35</f>
        <v>6969.375</v>
      </c>
      <c r="O27" s="327">
        <f ca="1">'ENA Debt'!O35</f>
        <v>6496.875</v>
      </c>
      <c r="P27" s="327">
        <f ca="1">'ENA Debt'!P35</f>
        <v>5788.125</v>
      </c>
      <c r="Q27" s="327">
        <f ca="1">'ENA Debt'!Q35</f>
        <v>5433.75</v>
      </c>
      <c r="R27" s="327">
        <f ca="1">'ENA Debt'!R35</f>
        <v>5079.375</v>
      </c>
      <c r="S27" s="327">
        <f ca="1">'ENA Debt'!S35</f>
        <v>4725</v>
      </c>
      <c r="T27" s="327">
        <f ca="1">'ENA Debt'!T35</f>
        <v>4488.75</v>
      </c>
      <c r="U27" s="327">
        <f ca="1">'ENA Debt'!U35</f>
        <v>4134.375</v>
      </c>
      <c r="V27" s="327">
        <f ca="1">'ENA Debt'!V35</f>
        <v>3543.75</v>
      </c>
      <c r="W27" s="326"/>
    </row>
    <row r="28" spans="1:23">
      <c r="A28" s="326" t="s">
        <v>294</v>
      </c>
      <c r="C28" s="327">
        <f ca="1">'IS-ENA'!C25</f>
        <v>135.05974399999999</v>
      </c>
      <c r="D28" s="327">
        <f ca="1">'IS-ENA'!D25</f>
        <v>141.319456</v>
      </c>
      <c r="E28" s="327">
        <f ca="1">'IS-ENA'!E25</f>
        <v>142.38032000000001</v>
      </c>
      <c r="F28" s="327">
        <f ca="1">'IS-ENA'!F25</f>
        <v>140.30845600000001</v>
      </c>
      <c r="G28" s="327">
        <f ca="1">'IS-ENA'!G25</f>
        <v>134.61776799999998</v>
      </c>
      <c r="H28" s="327">
        <f ca="1">'IS-ENA'!H25</f>
        <v>126.01764800000001</v>
      </c>
      <c r="I28" s="327">
        <f ca="1">'IS-ENA'!I25</f>
        <v>116.66603199999996</v>
      </c>
      <c r="J28" s="327">
        <f ca="1">'IS-ENA'!J25</f>
        <v>107.220192</v>
      </c>
      <c r="K28" s="327">
        <f ca="1">'IS-ENA'!K25</f>
        <v>97.533799999999999</v>
      </c>
      <c r="L28" s="327">
        <f ca="1">'IS-ENA'!L25</f>
        <v>88.038439999999994</v>
      </c>
      <c r="M28" s="327">
        <f ca="1">'IS-ENA'!M25</f>
        <v>79.126000000000005</v>
      </c>
      <c r="N28" s="327">
        <f ca="1">'IS-ENA'!N25</f>
        <v>70.590615999999997</v>
      </c>
      <c r="O28" s="327">
        <f ca="1">'IS-ENA'!O25</f>
        <v>62.804336000000013</v>
      </c>
      <c r="P28" s="327">
        <f ca="1">'IS-ENA'!P25</f>
        <v>55.913487999999994</v>
      </c>
      <c r="Q28" s="327">
        <f ca="1">'IS-ENA'!Q25</f>
        <v>48.928416000000006</v>
      </c>
      <c r="R28" s="327">
        <f ca="1">'IS-ENA'!R25</f>
        <v>44.106175999999941</v>
      </c>
      <c r="S28" s="327">
        <f ca="1">'IS-ENA'!S25</f>
        <v>41.316819999999936</v>
      </c>
      <c r="T28" s="327">
        <f ca="1">'IS-ENA'!T25</f>
        <v>38.610959999999906</v>
      </c>
      <c r="U28" s="327">
        <f ca="1">'IS-ENA'!U25</f>
        <v>36.479699999999859</v>
      </c>
      <c r="V28" s="327">
        <f ca="1">'IS-ENA'!V25</f>
        <v>38.209399999999718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117.087244</v>
      </c>
      <c r="D30" s="327">
        <f t="shared" ca="1" si="3"/>
        <v>14225.997546599998</v>
      </c>
      <c r="E30" s="327">
        <f t="shared" ca="1" si="3"/>
        <v>16264.0804321462</v>
      </c>
      <c r="F30" s="327">
        <f t="shared" ca="1" si="3"/>
        <v>16914.234274274146</v>
      </c>
      <c r="G30" s="327">
        <f t="shared" ca="1" si="3"/>
        <v>18015.993806467552</v>
      </c>
      <c r="H30" s="327">
        <f t="shared" ca="1" si="3"/>
        <v>18461.627787606172</v>
      </c>
      <c r="I30" s="327">
        <f t="shared" ca="1" si="3"/>
        <v>17721.512018475543</v>
      </c>
      <c r="J30" s="327">
        <f t="shared" ca="1" si="3"/>
        <v>16489.220093210381</v>
      </c>
      <c r="K30" s="327">
        <f t="shared" ca="1" si="3"/>
        <v>15162.930421643059</v>
      </c>
      <c r="L30" s="327">
        <f t="shared" ca="1" si="3"/>
        <v>13987.952698527424</v>
      </c>
      <c r="M30" s="327">
        <f t="shared" ca="1" si="3"/>
        <v>12603.410251607664</v>
      </c>
      <c r="N30" s="327">
        <f t="shared" ca="1" si="3"/>
        <v>11382.646940501068</v>
      </c>
      <c r="O30" s="327">
        <f t="shared" ca="1" si="3"/>
        <v>11108.529336</v>
      </c>
      <c r="P30" s="327">
        <f t="shared" ca="1" si="3"/>
        <v>9622.2667939357907</v>
      </c>
      <c r="Q30" s="327">
        <f t="shared" ca="1" si="3"/>
        <v>8556.4355121318476</v>
      </c>
      <c r="R30" s="327">
        <f t="shared" ca="1" si="3"/>
        <v>7527.2049296631976</v>
      </c>
      <c r="S30" s="327">
        <f t="shared" ca="1" si="3"/>
        <v>6534.3905209478935</v>
      </c>
      <c r="T30" s="327">
        <f t="shared" ca="1" si="3"/>
        <v>5692.2213068092778</v>
      </c>
      <c r="U30" s="327">
        <f t="shared" ca="1" si="3"/>
        <v>3531.3597321089183</v>
      </c>
      <c r="V30" s="327">
        <f t="shared" ca="1" si="3"/>
        <v>2825.5863739116489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-69.950222991035517</v>
      </c>
      <c r="E32" s="327">
        <f ca="1">+'IS-ENA'!E35</f>
        <v>-37.084386354515516</v>
      </c>
      <c r="F32" s="327">
        <f ca="1">+'IS-ENA'!F35</f>
        <v>142.81968779206599</v>
      </c>
      <c r="G32" s="327">
        <f ca="1">+'IS-ENA'!G35</f>
        <v>277.44450375379716</v>
      </c>
      <c r="H32" s="327">
        <f ca="1">+'IS-ENA'!H35</f>
        <v>17.227591830668789</v>
      </c>
      <c r="I32" s="327">
        <f ca="1">+'IS-ENA'!I35</f>
        <v>518.90360560013414</v>
      </c>
      <c r="J32" s="327">
        <f ca="1">+'IS-ENA'!J35</f>
        <v>1040.7673976157921</v>
      </c>
      <c r="K32" s="327">
        <f ca="1">+'IS-ENA'!K35</f>
        <v>1122.9784674563293</v>
      </c>
      <c r="L32" s="327">
        <f ca="1">+'IS-ENA'!L35</f>
        <v>1046.0695243908208</v>
      </c>
      <c r="M32" s="327">
        <f ca="1">+'IS-ENA'!M35</f>
        <v>1135.942306295859</v>
      </c>
      <c r="N32" s="327">
        <f ca="1">+'IS-ENA'!N35</f>
        <v>1076.5576878262473</v>
      </c>
      <c r="O32" s="327">
        <f ca="1">+'IS-ENA'!O35</f>
        <v>1051.0076228325345</v>
      </c>
      <c r="P32" s="327">
        <f ca="1">+'IS-ENA'!P35</f>
        <v>907.33652364232159</v>
      </c>
      <c r="Q32" s="327">
        <f ca="1">+'IS-ENA'!Q35</f>
        <v>1268.8447292003564</v>
      </c>
      <c r="R32" s="327">
        <f ca="1">+'IS-ENA'!R35</f>
        <v>1911.1035732388473</v>
      </c>
      <c r="S32" s="327">
        <f ca="1">+'IS-ENA'!S35</f>
        <v>2544.7244480816894</v>
      </c>
      <c r="T32" s="327">
        <f ca="1">+'IS-ENA'!T35</f>
        <v>2610.4821507106412</v>
      </c>
      <c r="U32" s="327">
        <f ca="1">+'IS-ENA'!U35</f>
        <v>2833.6343666473736</v>
      </c>
      <c r="V32" s="327">
        <f ca="1">+'IS-ENA'!V35</f>
        <v>2343.1802369221518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0</v>
      </c>
      <c r="E33" s="328">
        <f ca="1">+'TAXES-ENA'!E33</f>
        <v>0</v>
      </c>
      <c r="F33" s="328">
        <f ca="1">+'TAXES-ENA'!F33</f>
        <v>147.58715646994193</v>
      </c>
      <c r="G33" s="328">
        <f ca="1">+'TAXES-ENA'!G33</f>
        <v>1521.3206955833211</v>
      </c>
      <c r="H33" s="328">
        <f ca="1">+'TAXES-ENA'!H33</f>
        <v>94.464628538167176</v>
      </c>
      <c r="I33" s="328">
        <f ca="1">+'TAXES-ENA'!I33</f>
        <v>2845.3214373740689</v>
      </c>
      <c r="J33" s="328">
        <f ca="1">+'TAXES-ENA'!J33</f>
        <v>5706.8745635932592</v>
      </c>
      <c r="K33" s="328">
        <f ca="1">+'TAXES-ENA'!K33</f>
        <v>6157.6652632188716</v>
      </c>
      <c r="L33" s="328">
        <f ca="1">+'TAXES-ENA'!L33</f>
        <v>5735.947892076334</v>
      </c>
      <c r="M33" s="328">
        <f ca="1">+'TAXES-ENA'!M33</f>
        <v>6228.7503128556264</v>
      </c>
      <c r="N33" s="328">
        <f ca="1">+'TAXES-ENA'!N33</f>
        <v>5903.1246549139214</v>
      </c>
      <c r="O33" s="328">
        <f ca="1">+'TAXES-ENA'!O33</f>
        <v>5763.0251318650644</v>
      </c>
      <c r="P33" s="328">
        <f ca="1">+'TAXES-ENA'!P33</f>
        <v>4975.2286046387298</v>
      </c>
      <c r="Q33" s="328">
        <f ca="1">+'TAXES-ENA'!Q33</f>
        <v>6957.4985984486202</v>
      </c>
      <c r="R33" s="328">
        <f ca="1">+'TAXES-ENA'!R33</f>
        <v>10479.217926593012</v>
      </c>
      <c r="S33" s="328">
        <f ca="1">+'TAXES-ENA'!S33</f>
        <v>13953.572390314597</v>
      </c>
      <c r="T33" s="328">
        <f ca="1">+'TAXES-ENA'!T33</f>
        <v>14314.143793063351</v>
      </c>
      <c r="U33" s="328">
        <f ca="1">+'TAXES-ENA'!U33</f>
        <v>15537.761777116431</v>
      </c>
      <c r="V33" s="328">
        <f ca="1">+'TAXES-ENA'!V33</f>
        <v>12848.438299123132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-69.950222991035517</v>
      </c>
      <c r="E34" s="327">
        <f t="shared" ca="1" si="4"/>
        <v>-37.084386354515516</v>
      </c>
      <c r="F34" s="327">
        <f t="shared" ca="1" si="4"/>
        <v>290.40684426200789</v>
      </c>
      <c r="G34" s="327">
        <f t="shared" ca="1" si="4"/>
        <v>1798.7651993371182</v>
      </c>
      <c r="H34" s="327">
        <f t="shared" ca="1" si="4"/>
        <v>111.69222036883596</v>
      </c>
      <c r="I34" s="327">
        <f t="shared" ca="1" si="4"/>
        <v>3364.225042974203</v>
      </c>
      <c r="J34" s="327">
        <f t="shared" ca="1" si="4"/>
        <v>6747.6419612090513</v>
      </c>
      <c r="K34" s="327">
        <f t="shared" ca="1" si="4"/>
        <v>7280.6437306752014</v>
      </c>
      <c r="L34" s="327">
        <f t="shared" ca="1" si="4"/>
        <v>6782.0174164671553</v>
      </c>
      <c r="M34" s="327">
        <f t="shared" ca="1" si="4"/>
        <v>7364.6926191514849</v>
      </c>
      <c r="N34" s="327">
        <f t="shared" ca="1" si="4"/>
        <v>6979.6823427401687</v>
      </c>
      <c r="O34" s="327">
        <f t="shared" ca="1" si="4"/>
        <v>6814.0327546975986</v>
      </c>
      <c r="P34" s="327">
        <f t="shared" ca="1" si="4"/>
        <v>5882.5651282810513</v>
      </c>
      <c r="Q34" s="327">
        <f t="shared" ca="1" si="4"/>
        <v>8226.3433276489759</v>
      </c>
      <c r="R34" s="327">
        <f t="shared" ca="1" si="4"/>
        <v>12390.321499831858</v>
      </c>
      <c r="S34" s="327">
        <f t="shared" ca="1" si="4"/>
        <v>16498.296838396287</v>
      </c>
      <c r="T34" s="327">
        <f t="shared" ca="1" si="4"/>
        <v>16924.625943773994</v>
      </c>
      <c r="U34" s="327">
        <f t="shared" ca="1" si="4"/>
        <v>18371.396143763806</v>
      </c>
      <c r="V34" s="327">
        <f t="shared" ca="1" si="4"/>
        <v>15191.618536045284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9689.3019351367257</v>
      </c>
      <c r="D36" s="335">
        <f t="shared" ca="1" si="5"/>
        <v>13782.479938150498</v>
      </c>
      <c r="E36" s="335">
        <f t="shared" ca="1" si="5"/>
        <v>10372.732952567201</v>
      </c>
      <c r="F36" s="335">
        <f t="shared" ca="1" si="5"/>
        <v>10642.581931950033</v>
      </c>
      <c r="G36" s="335">
        <f t="shared" ca="1" si="5"/>
        <v>8508.7126982142581</v>
      </c>
      <c r="H36" s="335">
        <f t="shared" ca="1" si="5"/>
        <v>1254.3514628358002</v>
      </c>
      <c r="I36" s="335">
        <f t="shared" ca="1" si="5"/>
        <v>5527.4032637399596</v>
      </c>
      <c r="J36" s="335">
        <f t="shared" ca="1" si="5"/>
        <v>11080.480122701974</v>
      </c>
      <c r="K36" s="335">
        <f t="shared" ca="1" si="5"/>
        <v>12328.354928640587</v>
      </c>
      <c r="L36" s="335">
        <f t="shared" ca="1" si="5"/>
        <v>11777.867265187237</v>
      </c>
      <c r="M36" s="335">
        <f t="shared" ca="1" si="5"/>
        <v>13168.278368329264</v>
      </c>
      <c r="N36" s="335">
        <f t="shared" ca="1" si="5"/>
        <v>12911.325327149149</v>
      </c>
      <c r="O36" s="335">
        <f t="shared" ca="1" si="5"/>
        <v>13080.997284467989</v>
      </c>
      <c r="P36" s="335">
        <f t="shared" ca="1" si="5"/>
        <v>12373.090760558407</v>
      </c>
      <c r="Q36" s="335">
        <f t="shared" ca="1" si="5"/>
        <v>16377.399558797903</v>
      </c>
      <c r="R36" s="335">
        <f t="shared" ca="1" si="5"/>
        <v>18804.482344823809</v>
      </c>
      <c r="S36" s="335">
        <f t="shared" ca="1" si="5"/>
        <v>21119.460203827133</v>
      </c>
      <c r="T36" s="335">
        <f t="shared" ca="1" si="5"/>
        <v>22049.224111768664</v>
      </c>
      <c r="U36" s="335">
        <f t="shared" ca="1" si="5"/>
        <v>24661.515128285835</v>
      </c>
      <c r="V36" s="335">
        <f t="shared" ca="1" si="5"/>
        <v>37670.179698174965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6.8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12403.13</v>
      </c>
      <c r="E44" s="685">
        <f ca="1">'ENA Debt'!E34</f>
        <v>12151.96</v>
      </c>
      <c r="F44" s="685">
        <f ca="1">'ENA Debt'!F34</f>
        <v>11699.25</v>
      </c>
      <c r="G44" s="685">
        <f ca="1">'ENA Debt'!G34</f>
        <v>11113.2</v>
      </c>
      <c r="H44" s="685">
        <f ca="1">'ENA Debt'!H34</f>
        <v>10348.549999999999</v>
      </c>
      <c r="I44" s="685">
        <f ca="1">'ENA Debt'!I34</f>
        <v>9464.2000000000007</v>
      </c>
      <c r="J44" s="685">
        <f ca="1">'ENA Debt'!J34</f>
        <v>8562.5</v>
      </c>
      <c r="K44" s="685">
        <f ca="1">'ENA Debt'!K34</f>
        <v>7687.46</v>
      </c>
      <c r="L44" s="685">
        <f ca="1">'ENA Debt'!L34</f>
        <v>6847.77</v>
      </c>
      <c r="M44" s="685">
        <f ca="1">'ENA Debt'!M34</f>
        <v>6036.6</v>
      </c>
      <c r="N44" s="685">
        <f ca="1">'ENA Debt'!N34</f>
        <v>5273.19</v>
      </c>
      <c r="O44" s="685">
        <f ca="1">'ENA Debt'!O34</f>
        <v>4548.8500000000004</v>
      </c>
      <c r="P44" s="685">
        <f ca="1">'ENA Debt'!P34</f>
        <v>3877.84</v>
      </c>
      <c r="Q44" s="685">
        <f ca="1">'ENA Debt'!Q34</f>
        <v>3275.67</v>
      </c>
      <c r="R44" s="685">
        <f ca="1">'ENA Debt'!R34</f>
        <v>2710.7</v>
      </c>
      <c r="S44" s="685">
        <f ca="1">'ENA Debt'!S34</f>
        <v>2182.9499999999998</v>
      </c>
      <c r="T44" s="685">
        <f ca="1">'ENA Debt'!T34</f>
        <v>1690.55</v>
      </c>
      <c r="U44" s="685">
        <f ca="1">'ENA Debt'!U34</f>
        <v>1224.81</v>
      </c>
      <c r="V44" s="685">
        <f ca="1">'ENA Debt'!V34</f>
        <v>800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1771.875</v>
      </c>
      <c r="E45" s="687">
        <f ca="1">'ENA Debt'!E35</f>
        <v>4134.375</v>
      </c>
      <c r="F45" s="687">
        <f ca="1">'ENA Debt'!F35</f>
        <v>5315.625</v>
      </c>
      <c r="G45" s="687">
        <f ca="1">'ENA Debt'!G35</f>
        <v>7087.5</v>
      </c>
      <c r="H45" s="687">
        <f ca="1">'ENA Debt'!H35</f>
        <v>8386.875</v>
      </c>
      <c r="I45" s="687">
        <f ca="1">'ENA Debt'!I35</f>
        <v>8623.125</v>
      </c>
      <c r="J45" s="687">
        <f ca="1">'ENA Debt'!J35</f>
        <v>8386.875</v>
      </c>
      <c r="K45" s="687">
        <f ca="1">'ENA Debt'!K35</f>
        <v>8032.5</v>
      </c>
      <c r="L45" s="687">
        <f ca="1">'ENA Debt'!L35</f>
        <v>7796.25</v>
      </c>
      <c r="M45" s="687">
        <f ca="1">'ENA Debt'!M35</f>
        <v>7323.75</v>
      </c>
      <c r="N45" s="687">
        <f ca="1">'ENA Debt'!N35</f>
        <v>6969.375</v>
      </c>
      <c r="O45" s="687">
        <f ca="1">'ENA Debt'!O35</f>
        <v>6496.875</v>
      </c>
      <c r="P45" s="687">
        <f ca="1">'ENA Debt'!P35</f>
        <v>5788.125</v>
      </c>
      <c r="Q45" s="687">
        <f ca="1">'ENA Debt'!Q35</f>
        <v>5433.75</v>
      </c>
      <c r="R45" s="687">
        <f ca="1">'ENA Debt'!R35</f>
        <v>5079.375</v>
      </c>
      <c r="S45" s="687">
        <f ca="1">'ENA Debt'!S35</f>
        <v>4725</v>
      </c>
      <c r="T45" s="687">
        <f ca="1">'ENA Debt'!T35</f>
        <v>4488.75</v>
      </c>
      <c r="U45" s="687">
        <f ca="1">'ENA Debt'!U35</f>
        <v>4134.375</v>
      </c>
      <c r="V45" s="687">
        <f ca="1">'ENA Debt'!V35</f>
        <v>3543.75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14175.004999999999</v>
      </c>
      <c r="E46" s="685">
        <f t="shared" ca="1" si="8"/>
        <v>16286.334999999999</v>
      </c>
      <c r="F46" s="685">
        <f t="shared" ca="1" si="8"/>
        <v>17014.875</v>
      </c>
      <c r="G46" s="685">
        <f t="shared" ca="1" si="8"/>
        <v>18200.7</v>
      </c>
      <c r="H46" s="685">
        <f t="shared" ca="1" si="8"/>
        <v>18735.424999999999</v>
      </c>
      <c r="I46" s="685">
        <f t="shared" ca="1" si="8"/>
        <v>18087.325000000001</v>
      </c>
      <c r="J46" s="685">
        <f t="shared" ca="1" si="8"/>
        <v>16949.375</v>
      </c>
      <c r="K46" s="685">
        <f t="shared" ca="1" si="8"/>
        <v>15719.96</v>
      </c>
      <c r="L46" s="685">
        <f t="shared" ca="1" si="8"/>
        <v>14644.02</v>
      </c>
      <c r="M46" s="685">
        <f t="shared" ca="1" si="8"/>
        <v>13360.35</v>
      </c>
      <c r="N46" s="685">
        <f t="shared" ca="1" si="8"/>
        <v>12242.564999999999</v>
      </c>
      <c r="O46" s="685">
        <f t="shared" ca="1" si="8"/>
        <v>11045.725</v>
      </c>
      <c r="P46" s="685">
        <f t="shared" ca="1" si="8"/>
        <v>9665.9650000000001</v>
      </c>
      <c r="Q46" s="685">
        <f t="shared" ca="1" si="8"/>
        <v>8709.42</v>
      </c>
      <c r="R46" s="685">
        <f t="shared" ca="1" si="8"/>
        <v>7790.0749999999998</v>
      </c>
      <c r="S46" s="685">
        <f t="shared" ca="1" si="8"/>
        <v>6907.95</v>
      </c>
      <c r="T46" s="685">
        <f ca="1">T45+T44</f>
        <v>6179.3</v>
      </c>
      <c r="U46" s="685">
        <f ca="1">U45+U44</f>
        <v>5359.1849999999995</v>
      </c>
      <c r="V46" s="685">
        <f ca="1">V45+V44</f>
        <v>4343.75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14175.004999999999</v>
      </c>
      <c r="E49" s="690">
        <f t="shared" ca="1" si="9"/>
        <v>16286.334999999999</v>
      </c>
      <c r="F49" s="690">
        <f t="shared" ca="1" si="9"/>
        <v>17014.875</v>
      </c>
      <c r="G49" s="690">
        <f t="shared" ca="1" si="9"/>
        <v>18200.7</v>
      </c>
      <c r="H49" s="690">
        <f t="shared" ca="1" si="9"/>
        <v>18735.424999999999</v>
      </c>
      <c r="I49" s="690">
        <f t="shared" ca="1" si="9"/>
        <v>18087.325000000001</v>
      </c>
      <c r="J49" s="690">
        <f t="shared" ca="1" si="9"/>
        <v>16949.375</v>
      </c>
      <c r="K49" s="690">
        <f t="shared" ca="1" si="9"/>
        <v>15719.96</v>
      </c>
      <c r="L49" s="690">
        <f t="shared" ca="1" si="9"/>
        <v>14644.02</v>
      </c>
      <c r="M49" s="690">
        <f t="shared" ca="1" si="9"/>
        <v>13360.35</v>
      </c>
      <c r="N49" s="690">
        <f t="shared" ca="1" si="9"/>
        <v>12242.564999999999</v>
      </c>
      <c r="O49" s="690">
        <f t="shared" ca="1" si="9"/>
        <v>11045.725</v>
      </c>
      <c r="P49" s="690">
        <f t="shared" ca="1" si="9"/>
        <v>9665.9650000000001</v>
      </c>
      <c r="Q49" s="690">
        <f t="shared" ca="1" si="9"/>
        <v>8709.42</v>
      </c>
      <c r="R49" s="690">
        <f t="shared" ca="1" si="9"/>
        <v>7790.0749999999998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1.9709712456369124</v>
      </c>
      <c r="E52" s="693">
        <f t="shared" ca="1" si="10"/>
        <v>1.6332544429645397</v>
      </c>
      <c r="F52" s="693">
        <f t="shared" ca="1" si="10"/>
        <v>1.6366398842475298</v>
      </c>
      <c r="G52" s="693">
        <f t="shared" ca="1" si="10"/>
        <v>1.5561748561329469</v>
      </c>
      <c r="H52" s="693">
        <f t="shared" ca="1" si="10"/>
        <v>1.0582984624480527</v>
      </c>
      <c r="I52" s="693">
        <f t="shared" ca="1" si="10"/>
        <v>1.4713696096680799</v>
      </c>
      <c r="J52" s="693">
        <f t="shared" ca="1" si="10"/>
        <v>2.0246966143071004</v>
      </c>
      <c r="K52" s="693">
        <f t="shared" ca="1" si="10"/>
        <v>2.2119604045403967</v>
      </c>
      <c r="L52" s="693">
        <f t="shared" ca="1" si="10"/>
        <v>2.2226026309839657</v>
      </c>
      <c r="M52" s="693">
        <f t="shared" ca="1" si="10"/>
        <v>2.4802030814378675</v>
      </c>
      <c r="N52" s="693">
        <f t="shared" ca="1" si="10"/>
        <v>2.5545018229750376</v>
      </c>
      <c r="O52" s="693">
        <f t="shared" ca="1" si="10"/>
        <v>2.8068378829968688</v>
      </c>
      <c r="P52" s="693">
        <f t="shared" ca="1" si="10"/>
        <v>2.8841323843791336</v>
      </c>
      <c r="Q52" s="693">
        <f t="shared" ca="1" si="10"/>
        <v>3.8073922716528457</v>
      </c>
      <c r="R52" s="693">
        <f t="shared" ca="1" si="10"/>
        <v>4.9706849772715751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2.3526480381095234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1.0582984624480527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0.98031250000000003</v>
      </c>
      <c r="E55" s="697">
        <f ca="1">1-SUM($C$45:E45)/('ASSUM 1'!$S$29*1000)</f>
        <v>0.93437499999999996</v>
      </c>
      <c r="F55" s="697">
        <f ca="1">1-SUM($C$45:F45)/('ASSUM 1'!$S$29*1000)</f>
        <v>0.87531249999999994</v>
      </c>
      <c r="G55" s="697">
        <f ca="1">1-SUM($C$45:G45)/('ASSUM 1'!$S$29*1000)</f>
        <v>0.79656250000000006</v>
      </c>
      <c r="H55" s="697">
        <f ca="1">1-SUM($C$45:H45)/('ASSUM 1'!$S$29*1000)</f>
        <v>0.70337499999999997</v>
      </c>
      <c r="I55" s="697">
        <f ca="1">1-SUM($C$45:I45)/('ASSUM 1'!$S$29*1000)</f>
        <v>0.60756250000000001</v>
      </c>
      <c r="J55" s="697">
        <f ca="1">1-SUM($C$45:J45)/('ASSUM 1'!$S$29*1000)</f>
        <v>0.51437500000000003</v>
      </c>
      <c r="K55" s="697">
        <f ca="1">1-SUM($C$45:K45)/('ASSUM 1'!$S$29*1000)</f>
        <v>0.42512499999999998</v>
      </c>
      <c r="L55" s="697">
        <f ca="1">1-SUM($C$45:L45)/('ASSUM 1'!$S$29*1000)</f>
        <v>0.33850000000000002</v>
      </c>
      <c r="M55" s="697">
        <f ca="1">1-SUM($C$45:M45)/('ASSUM 1'!$S$29*1000)</f>
        <v>0.25712500000000005</v>
      </c>
      <c r="N55" s="697">
        <f ca="1">1-SUM($C$45:N45)/('ASSUM 1'!$S$29*1000)</f>
        <v>0.1796875</v>
      </c>
      <c r="O55" s="697">
        <f ca="1">1-SUM($C$45:O45)/('ASSUM 1'!$S$29*1000)</f>
        <v>0.10750000000000004</v>
      </c>
      <c r="P55" s="697">
        <f ca="1">1-SUM($C$45:P45)/('ASSUM 1'!$S$29*1000)</f>
        <v>4.3187500000000045E-2</v>
      </c>
      <c r="Q55" s="697">
        <f ca="1">1-SUM($C$45:Q45)/('ASSUM 1'!$S$29*1000)</f>
        <v>-1.7187499999999911E-2</v>
      </c>
      <c r="R55" s="697">
        <f ca="1">1-SUM($C$45:R45)/('ASSUM 1'!$S$29*1000)</f>
        <v>-7.3625000000000052E-2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1.9709712456369124</v>
      </c>
      <c r="E57" s="693">
        <f t="shared" ca="1" si="11"/>
        <v>1.6332544429645397</v>
      </c>
      <c r="F57" s="693">
        <f t="shared" ca="1" si="11"/>
        <v>1.6366398842475298</v>
      </c>
      <c r="G57" s="693">
        <f t="shared" ca="1" si="11"/>
        <v>1.5561748561329469</v>
      </c>
      <c r="H57" s="693">
        <f t="shared" ca="1" si="11"/>
        <v>1.0582984624480527</v>
      </c>
      <c r="I57" s="693">
        <f t="shared" ca="1" si="11"/>
        <v>1.4713696096680799</v>
      </c>
      <c r="J57" s="693">
        <f t="shared" ca="1" si="11"/>
        <v>2.0246966143071004</v>
      </c>
      <c r="K57" s="693">
        <f t="shared" ca="1" si="11"/>
        <v>2.2119604045403967</v>
      </c>
      <c r="L57" s="693">
        <f t="shared" ca="1" si="11"/>
        <v>2.2226026309839657</v>
      </c>
      <c r="M57" s="693">
        <f t="shared" ca="1" si="11"/>
        <v>2.4802030814378675</v>
      </c>
      <c r="N57" s="693">
        <f t="shared" ca="1" si="11"/>
        <v>2.5545018229750376</v>
      </c>
      <c r="O57" s="693">
        <f t="shared" ca="1" si="11"/>
        <v>2.8068378829968688</v>
      </c>
      <c r="P57" s="693">
        <f t="shared" ca="1" si="11"/>
        <v>2.8841323843791336</v>
      </c>
      <c r="Q57" s="693">
        <f t="shared" ca="1" si="11"/>
        <v>3.8073922716528457</v>
      </c>
      <c r="R57" s="693">
        <f ca="1">IF(R49&gt;1,(R13-R21)/R49,0)</f>
        <v>4.9706849772715751</v>
      </c>
      <c r="S57" s="693"/>
      <c r="T57" s="693"/>
      <c r="U57" s="693"/>
      <c r="V57" s="694"/>
      <c r="W57" s="673"/>
    </row>
    <row r="58" spans="1:23" ht="16.2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2657.8125</v>
      </c>
      <c r="E61" s="761">
        <f t="shared" ca="1" si="12"/>
        <v>10335.9375</v>
      </c>
      <c r="F61" s="761">
        <f t="shared" ca="1" si="12"/>
        <v>18604.6875</v>
      </c>
      <c r="G61" s="761">
        <f t="shared" ca="1" si="12"/>
        <v>31893.75</v>
      </c>
      <c r="H61" s="761">
        <f t="shared" ca="1" si="12"/>
        <v>46127.8125</v>
      </c>
      <c r="I61" s="761">
        <f t="shared" ca="1" si="12"/>
        <v>56050.3125</v>
      </c>
      <c r="J61" s="761">
        <f t="shared" ca="1" si="12"/>
        <v>62901.5625</v>
      </c>
      <c r="K61" s="761">
        <f t="shared" ca="1" si="12"/>
        <v>68276.25</v>
      </c>
      <c r="L61" s="761">
        <f t="shared" ca="1" si="12"/>
        <v>74064.375</v>
      </c>
      <c r="M61" s="761">
        <f t="shared" ca="1" si="12"/>
        <v>76899.375</v>
      </c>
      <c r="N61" s="761">
        <f t="shared" ca="1" si="12"/>
        <v>80147.8125</v>
      </c>
      <c r="O61" s="761">
        <f t="shared" ca="1" si="12"/>
        <v>81210.9375</v>
      </c>
      <c r="P61" s="761">
        <f t="shared" ca="1" si="12"/>
        <v>78139.6875</v>
      </c>
      <c r="Q61" s="761">
        <f t="shared" ca="1" si="12"/>
        <v>78789.375</v>
      </c>
      <c r="R61" s="761">
        <f t="shared" ca="1" si="12"/>
        <v>78730.3125</v>
      </c>
      <c r="S61" s="761">
        <f ca="1">S60*S45</f>
        <v>77962.5</v>
      </c>
      <c r="T61" s="761">
        <f ca="1">T60*T45</f>
        <v>78553.125</v>
      </c>
      <c r="U61" s="761">
        <f ca="1">U60*U45</f>
        <v>76485.9375</v>
      </c>
      <c r="V61" s="761">
        <f ca="1">V60*V45</f>
        <v>69103.125</v>
      </c>
    </row>
    <row r="62" spans="1:23">
      <c r="C62" s="330">
        <f ca="1">SUM(C61:V61)/'ENA Assumptions'!B2</f>
        <v>9.7095000000000002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81640625" defaultRowHeight="15.6"/>
  <cols>
    <col min="1" max="1" width="25.81640625" style="543" customWidth="1"/>
    <col min="2" max="2" width="6.81640625" style="543" customWidth="1"/>
    <col min="3" max="22" width="9.81640625" style="543" customWidth="1"/>
    <col min="23" max="23" width="5.08984375" style="546" customWidth="1"/>
    <col min="24" max="16384" width="9.81640625" style="546"/>
  </cols>
  <sheetData>
    <row r="1" spans="1:255" ht="22.2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10014.815167789115</v>
      </c>
      <c r="D9" s="557">
        <f ca="1">'IS-ENA'!D29</f>
        <v>15484.404715159462</v>
      </c>
      <c r="E9" s="557">
        <f ca="1">'IS-ENA'!E29</f>
        <v>14591.97192623055</v>
      </c>
      <c r="F9" s="557">
        <f ca="1">'IS-ENA'!F29</f>
        <v>16301.776085227668</v>
      </c>
      <c r="G9" s="557">
        <f ca="1">'IS-ENA'!G29</f>
        <v>17378.205666017289</v>
      </c>
      <c r="H9" s="557">
        <f ca="1">'IS-ENA'!H29</f>
        <v>9731.7851050225127</v>
      </c>
      <c r="I9" s="557">
        <f ca="1">'IS-ENA'!I29</f>
        <v>17592.773136077736</v>
      </c>
      <c r="J9" s="557">
        <f ca="1">'IS-ENA'!J29</f>
        <v>26290.503003005368</v>
      </c>
      <c r="K9" s="557">
        <f ca="1">'IS-ENA'!K29</f>
        <v>27675.847465956824</v>
      </c>
      <c r="L9" s="557">
        <f ca="1">'IS-ENA'!L29</f>
        <v>26378.87178258918</v>
      </c>
      <c r="M9" s="557">
        <f ca="1">'IS-ENA'!M29</f>
        <v>27891.91144661565</v>
      </c>
      <c r="N9" s="557">
        <f ca="1">'IS-ENA'!N29</f>
        <v>26887.007839846287</v>
      </c>
      <c r="O9" s="557">
        <f ca="1">'IS-ENA'!O29</f>
        <v>26476.333388893578</v>
      </c>
      <c r="P9" s="557">
        <f ca="1">'IS-ENA'!P29</f>
        <v>24066.655103447527</v>
      </c>
      <c r="Q9" s="557">
        <f ca="1">'IS-ENA'!Q29</f>
        <v>30106.951828357272</v>
      </c>
      <c r="R9" s="557">
        <f ca="1">'IS-ENA'!R29</f>
        <v>36323.916075351874</v>
      </c>
      <c r="S9" s="557">
        <f ca="1">'IS-ENA'!S29</f>
        <v>42412.074134694827</v>
      </c>
      <c r="T9" s="557">
        <f ca="1">'IS-ENA'!T29</f>
        <v>43508.035845177357</v>
      </c>
      <c r="U9" s="557">
        <f ca="1">'IS-ENA'!U29</f>
        <v>47227.239444122897</v>
      </c>
      <c r="V9" s="557">
        <f ca="1">'IS-ENA'!V29</f>
        <v>39053.003948702535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186.55792690444105</v>
      </c>
      <c r="D13" s="557">
        <f t="shared" ca="1" si="0"/>
        <v>-1165.8370498505919</v>
      </c>
      <c r="E13" s="557">
        <f t="shared" ca="1" si="0"/>
        <v>-618.07310590859197</v>
      </c>
      <c r="F13" s="557">
        <f t="shared" ca="1" si="0"/>
        <v>2380.3281298677666</v>
      </c>
      <c r="G13" s="557">
        <f t="shared" ca="1" si="0"/>
        <v>4624.0750625632863</v>
      </c>
      <c r="H13" s="557">
        <f t="shared" ca="1" si="0"/>
        <v>287.12653051114648</v>
      </c>
      <c r="I13" s="557">
        <f t="shared" ca="1" si="0"/>
        <v>8648.393426668903</v>
      </c>
      <c r="J13" s="557">
        <f t="shared" ca="1" si="0"/>
        <v>17346.123293596534</v>
      </c>
      <c r="K13" s="557">
        <f t="shared" ca="1" si="0"/>
        <v>18716.307790938823</v>
      </c>
      <c r="L13" s="557">
        <f t="shared" ca="1" si="0"/>
        <v>17434.492073180347</v>
      </c>
      <c r="M13" s="557">
        <f t="shared" ca="1" si="0"/>
        <v>18932.371771597649</v>
      </c>
      <c r="N13" s="557">
        <f t="shared" ca="1" si="0"/>
        <v>17942.628130437453</v>
      </c>
      <c r="O13" s="557">
        <f t="shared" ca="1" si="0"/>
        <v>17516.793713875577</v>
      </c>
      <c r="P13" s="557">
        <f t="shared" ca="1" si="0"/>
        <v>15122.275394038694</v>
      </c>
      <c r="Q13" s="557">
        <f t="shared" ca="1" si="0"/>
        <v>21147.412153339272</v>
      </c>
      <c r="R13" s="557">
        <f t="shared" ca="1" si="0"/>
        <v>31851.726220647455</v>
      </c>
      <c r="S13" s="557">
        <f t="shared" ca="1" si="0"/>
        <v>42412.074134694827</v>
      </c>
      <c r="T13" s="557">
        <f t="shared" ca="1" si="0"/>
        <v>43508.035845177357</v>
      </c>
      <c r="U13" s="557">
        <f t="shared" ca="1" si="0"/>
        <v>47227.239444122897</v>
      </c>
      <c r="V13" s="557">
        <f t="shared" ca="1" si="0"/>
        <v>39053.003948702535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-69.950222991035517</v>
      </c>
      <c r="E14" s="559">
        <f ca="1">IF(E5='ASSUM 1'!$M$39,+CSHFLO!E13*'ASSUM 1'!$N$39,E13*'ASSUM 1'!$N$40)</f>
        <v>-37.084386354515516</v>
      </c>
      <c r="F14" s="559">
        <f ca="1">IF(F5='ASSUM 1'!$M$39,+CSHFLO!F13*'ASSUM 1'!$N$39,F13*'ASSUM 1'!$N$40)</f>
        <v>142.81968779206599</v>
      </c>
      <c r="G14" s="559">
        <f ca="1">IF(G5='ASSUM 1'!$M$39,+CSHFLO!G13*'ASSUM 1'!$N$39,G13*'ASSUM 1'!$N$40)</f>
        <v>277.44450375379716</v>
      </c>
      <c r="H14" s="559">
        <f ca="1">IF(H5='ASSUM 1'!$M$39,+CSHFLO!H13*'ASSUM 1'!$N$39,H13*'ASSUM 1'!$N$40)</f>
        <v>17.227591830668789</v>
      </c>
      <c r="I14" s="559">
        <f ca="1">IF(I5='ASSUM 1'!$M$39,+CSHFLO!I13*'ASSUM 1'!$N$39,I13*'ASSUM 1'!$N$40)</f>
        <v>518.90360560013414</v>
      </c>
      <c r="J14" s="559">
        <f ca="1">IF(J5='ASSUM 1'!$M$39,+CSHFLO!J13*'ASSUM 1'!$N$39,J13*'ASSUM 1'!$N$40)</f>
        <v>1040.7673976157921</v>
      </c>
      <c r="K14" s="559">
        <f ca="1">IF(K5='ASSUM 1'!$M$39,+CSHFLO!K13*'ASSUM 1'!$N$39,K13*'ASSUM 1'!$N$40)</f>
        <v>1122.9784674563293</v>
      </c>
      <c r="L14" s="559">
        <f ca="1">IF(L5='ASSUM 1'!$M$39,+CSHFLO!L13*'ASSUM 1'!$N$39,L13*'ASSUM 1'!$N$40)</f>
        <v>1046.0695243908208</v>
      </c>
      <c r="M14" s="559">
        <f ca="1">IF(M5='ASSUM 1'!$M$39,+CSHFLO!M13*'ASSUM 1'!$N$39,M13*'ASSUM 1'!$N$40)</f>
        <v>1135.942306295859</v>
      </c>
      <c r="N14" s="559">
        <f ca="1">IF(N5='ASSUM 1'!$M$39,+CSHFLO!N13*'ASSUM 1'!$N$39,N13*'ASSUM 1'!$N$40)</f>
        <v>1076.5576878262473</v>
      </c>
      <c r="O14" s="559">
        <f ca="1">IF(O5='ASSUM 1'!$M$39,+CSHFLO!O13*'ASSUM 1'!$N$39,O13*'ASSUM 1'!$N$40)</f>
        <v>1051.0076228325345</v>
      </c>
      <c r="P14" s="559">
        <f ca="1">IF(P5='ASSUM 1'!$M$39,+CSHFLO!P13*'ASSUM 1'!$N$39,P13*'ASSUM 1'!$N$40)</f>
        <v>907.33652364232159</v>
      </c>
      <c r="Q14" s="559">
        <f ca="1">IF(Q5='ASSUM 1'!$M$39,+CSHFLO!Q13*'ASSUM 1'!$N$39,Q13*'ASSUM 1'!$N$40)</f>
        <v>1268.8447292003564</v>
      </c>
      <c r="R14" s="559">
        <f ca="1">IF(R5='ASSUM 1'!$M$39,+CSHFLO!R13*'ASSUM 1'!$N$39,R13*'ASSUM 1'!$N$40)</f>
        <v>1911.1035732388473</v>
      </c>
      <c r="S14" s="559">
        <f ca="1">IF(S5='ASSUM 1'!$M$39,+CSHFLO!S13*'ASSUM 1'!$N$39,S13*'ASSUM 1'!$N$40)</f>
        <v>2544.7244480816894</v>
      </c>
      <c r="T14" s="559">
        <f ca="1">IF(T5='ASSUM 1'!$M$39,+CSHFLO!T13*'ASSUM 1'!$N$39,T13*'ASSUM 1'!$N$40)</f>
        <v>2610.4821507106412</v>
      </c>
      <c r="U14" s="559">
        <f ca="1">IF(U5='ASSUM 1'!$M$39,+CSHFLO!U13*'ASSUM 1'!$N$39,U13*'ASSUM 1'!$N$40)</f>
        <v>2833.6343666473736</v>
      </c>
      <c r="V14" s="559">
        <f ca="1">IF(V5='ASSUM 1'!$M$39,+CSHFLO!V13*'ASSUM 1'!$N$39,V13*'ASSUM 1'!$N$40)</f>
        <v>2343.1802369221518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-138.95530574794805</v>
      </c>
      <c r="D15" s="557">
        <f t="shared" ca="1" si="1"/>
        <v>-1095.8868268595563</v>
      </c>
      <c r="E15" s="557">
        <f t="shared" ca="1" si="1"/>
        <v>-580.9887195540764</v>
      </c>
      <c r="F15" s="557">
        <f t="shared" ca="1" si="1"/>
        <v>2237.5084420757007</v>
      </c>
      <c r="G15" s="557">
        <f t="shared" ca="1" si="1"/>
        <v>4346.6305588094892</v>
      </c>
      <c r="H15" s="557">
        <f t="shared" ca="1" si="1"/>
        <v>269.89893868047767</v>
      </c>
      <c r="I15" s="557">
        <f t="shared" ca="1" si="1"/>
        <v>8129.4898210687688</v>
      </c>
      <c r="J15" s="557">
        <f t="shared" ca="1" si="1"/>
        <v>16305.355895980741</v>
      </c>
      <c r="K15" s="557">
        <f t="shared" ca="1" si="1"/>
        <v>17593.329323482492</v>
      </c>
      <c r="L15" s="557">
        <f t="shared" ca="1" si="1"/>
        <v>16388.422548789527</v>
      </c>
      <c r="M15" s="557">
        <f t="shared" ca="1" si="1"/>
        <v>17796.42946530179</v>
      </c>
      <c r="N15" s="557">
        <f t="shared" ca="1" si="1"/>
        <v>16866.070442611206</v>
      </c>
      <c r="O15" s="557">
        <f t="shared" ca="1" si="1"/>
        <v>16465.786091043043</v>
      </c>
      <c r="P15" s="557">
        <f t="shared" ca="1" si="1"/>
        <v>14214.938870396372</v>
      </c>
      <c r="Q15" s="557">
        <f t="shared" ca="1" si="1"/>
        <v>19878.567424138917</v>
      </c>
      <c r="R15" s="557">
        <f t="shared" ca="1" si="1"/>
        <v>29940.622647408607</v>
      </c>
      <c r="S15" s="557">
        <f t="shared" ca="1" si="1"/>
        <v>39867.349686613139</v>
      </c>
      <c r="T15" s="557">
        <f t="shared" ca="1" si="1"/>
        <v>40897.553694466718</v>
      </c>
      <c r="U15" s="557">
        <f t="shared" ca="1" si="1"/>
        <v>44393.60507747552</v>
      </c>
      <c r="V15" s="557">
        <f t="shared" ca="1" si="1"/>
        <v>36709.82371178038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138.95530574794805</v>
      </c>
      <c r="E18" s="561">
        <f t="shared" ca="1" si="2"/>
        <v>1234.8421326075045</v>
      </c>
      <c r="F18" s="561">
        <f t="shared" ca="1" si="2"/>
        <v>1815.8308521615809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138.95530574794805</v>
      </c>
      <c r="D19" s="561">
        <f t="shared" ca="1" si="3"/>
        <v>1095.8868268595563</v>
      </c>
      <c r="E19" s="561">
        <f t="shared" ca="1" si="3"/>
        <v>580.9887195540764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0</v>
      </c>
      <c r="E20" s="561">
        <f t="shared" ca="1" si="4"/>
        <v>0</v>
      </c>
      <c r="F20" s="561">
        <f t="shared" ca="1" si="4"/>
        <v>-1815.8308521615809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138.95530574794805</v>
      </c>
      <c r="D21" s="561">
        <f t="shared" ca="1" si="5"/>
        <v>1234.8421326075045</v>
      </c>
      <c r="E21" s="561">
        <f t="shared" ca="1" si="5"/>
        <v>1815.8308521615809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0</v>
      </c>
      <c r="E23" s="562">
        <f t="shared" ca="1" si="6"/>
        <v>0</v>
      </c>
      <c r="F23" s="562">
        <f t="shared" ca="1" si="6"/>
        <v>421.67758991411984</v>
      </c>
      <c r="G23" s="562">
        <f t="shared" ca="1" si="6"/>
        <v>4346.6305588094892</v>
      </c>
      <c r="H23" s="562">
        <f t="shared" ca="1" si="6"/>
        <v>269.89893868047767</v>
      </c>
      <c r="I23" s="562">
        <f t="shared" ca="1" si="6"/>
        <v>8129.4898210687688</v>
      </c>
      <c r="J23" s="562">
        <f t="shared" ca="1" si="6"/>
        <v>16305.355895980741</v>
      </c>
      <c r="K23" s="562">
        <f t="shared" ca="1" si="6"/>
        <v>17593.329323482492</v>
      </c>
      <c r="L23" s="562">
        <f t="shared" ca="1" si="6"/>
        <v>16388.422548789527</v>
      </c>
      <c r="M23" s="562">
        <f t="shared" ca="1" si="6"/>
        <v>17796.42946530179</v>
      </c>
      <c r="N23" s="562">
        <f t="shared" ca="1" si="6"/>
        <v>16866.070442611206</v>
      </c>
      <c r="O23" s="562">
        <f t="shared" ca="1" si="6"/>
        <v>16465.786091043043</v>
      </c>
      <c r="P23" s="562">
        <f t="shared" ca="1" si="6"/>
        <v>14214.938870396372</v>
      </c>
      <c r="Q23" s="562">
        <f t="shared" ca="1" si="6"/>
        <v>19878.567424138917</v>
      </c>
      <c r="R23" s="562">
        <f t="shared" ca="1" si="6"/>
        <v>29940.622647408607</v>
      </c>
      <c r="S23" s="562">
        <f t="shared" ca="1" si="6"/>
        <v>39867.349686613139</v>
      </c>
      <c r="T23" s="562">
        <f t="shared" ca="1" si="6"/>
        <v>40897.553694466718</v>
      </c>
      <c r="U23" s="562">
        <f t="shared" ca="1" si="6"/>
        <v>44393.60507747552</v>
      </c>
      <c r="V23" s="562">
        <f t="shared" ca="1" si="6"/>
        <v>36709.82371178038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0</v>
      </c>
      <c r="E28" s="565">
        <f t="shared" ca="1" si="7"/>
        <v>0</v>
      </c>
      <c r="F28" s="565">
        <f t="shared" ca="1" si="7"/>
        <v>421.67758991411984</v>
      </c>
      <c r="G28" s="565">
        <f t="shared" ca="1" si="7"/>
        <v>4346.6305588094892</v>
      </c>
      <c r="H28" s="565">
        <f t="shared" ca="1" si="7"/>
        <v>269.89893868047767</v>
      </c>
      <c r="I28" s="565">
        <f t="shared" ca="1" si="7"/>
        <v>8129.4898210687688</v>
      </c>
      <c r="J28" s="565">
        <f t="shared" ca="1" si="7"/>
        <v>16305.355895980741</v>
      </c>
      <c r="K28" s="565">
        <f t="shared" ca="1" si="7"/>
        <v>17593.329323482492</v>
      </c>
      <c r="L28" s="565">
        <f t="shared" ca="1" si="7"/>
        <v>16388.422548789527</v>
      </c>
      <c r="M28" s="565">
        <f t="shared" ca="1" si="7"/>
        <v>17796.42946530179</v>
      </c>
      <c r="N28" s="565">
        <f t="shared" ca="1" si="7"/>
        <v>16866.070442611206</v>
      </c>
      <c r="O28" s="565">
        <f t="shared" ca="1" si="7"/>
        <v>16465.786091043043</v>
      </c>
      <c r="P28" s="565">
        <f t="shared" ca="1" si="7"/>
        <v>14214.938870396372</v>
      </c>
      <c r="Q28" s="565">
        <f t="shared" ca="1" si="7"/>
        <v>19878.567424138917</v>
      </c>
      <c r="R28" s="565">
        <f t="shared" ca="1" si="7"/>
        <v>29940.622647408607</v>
      </c>
      <c r="S28" s="565">
        <f t="shared" ca="1" si="7"/>
        <v>39867.349686613139</v>
      </c>
      <c r="T28" s="565">
        <f t="shared" ca="1" si="7"/>
        <v>40897.553694466718</v>
      </c>
      <c r="U28" s="565">
        <f t="shared" ca="1" si="7"/>
        <v>44393.60507747552</v>
      </c>
      <c r="V28" s="565">
        <f t="shared" ca="1" si="7"/>
        <v>36709.82371178038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0</v>
      </c>
      <c r="E30" s="562">
        <f t="shared" ca="1" si="8"/>
        <v>0</v>
      </c>
      <c r="F30" s="562">
        <f t="shared" ca="1" si="8"/>
        <v>147.58715646994193</v>
      </c>
      <c r="G30" s="562">
        <f t="shared" ca="1" si="8"/>
        <v>1521.3206955833211</v>
      </c>
      <c r="H30" s="562">
        <f t="shared" ca="1" si="8"/>
        <v>94.464628538167176</v>
      </c>
      <c r="I30" s="562">
        <f t="shared" ca="1" si="8"/>
        <v>2845.3214373740689</v>
      </c>
      <c r="J30" s="562">
        <f t="shared" ca="1" si="8"/>
        <v>5706.8745635932592</v>
      </c>
      <c r="K30" s="562">
        <f t="shared" ca="1" si="8"/>
        <v>6157.6652632188716</v>
      </c>
      <c r="L30" s="562">
        <f t="shared" ca="1" si="8"/>
        <v>5735.947892076334</v>
      </c>
      <c r="M30" s="562">
        <f t="shared" ca="1" si="8"/>
        <v>6228.7503128556264</v>
      </c>
      <c r="N30" s="562">
        <f t="shared" ca="1" si="8"/>
        <v>5903.1246549139214</v>
      </c>
      <c r="O30" s="562">
        <f t="shared" ca="1" si="8"/>
        <v>5763.0251318650644</v>
      </c>
      <c r="P30" s="562">
        <f t="shared" ca="1" si="8"/>
        <v>4975.2286046387298</v>
      </c>
      <c r="Q30" s="562">
        <f t="shared" ca="1" si="8"/>
        <v>6957.4985984486202</v>
      </c>
      <c r="R30" s="562">
        <f t="shared" ca="1" si="8"/>
        <v>10479.217926593012</v>
      </c>
      <c r="S30" s="562">
        <f t="shared" ca="1" si="8"/>
        <v>13953.572390314597</v>
      </c>
      <c r="T30" s="562">
        <f t="shared" ca="1" si="8"/>
        <v>14314.143793063351</v>
      </c>
      <c r="U30" s="562">
        <f t="shared" ca="1" si="8"/>
        <v>15537.761777116431</v>
      </c>
      <c r="V30" s="562">
        <f t="shared" ca="1" si="8"/>
        <v>12848.438299123132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0</v>
      </c>
      <c r="E33" s="562">
        <f t="shared" ca="1" si="9"/>
        <v>0</v>
      </c>
      <c r="F33" s="562">
        <f t="shared" ca="1" si="9"/>
        <v>147.58715646994193</v>
      </c>
      <c r="G33" s="562">
        <f t="shared" ca="1" si="9"/>
        <v>1521.3206955833211</v>
      </c>
      <c r="H33" s="562">
        <f t="shared" ca="1" si="9"/>
        <v>94.464628538167176</v>
      </c>
      <c r="I33" s="562">
        <f t="shared" ca="1" si="9"/>
        <v>2845.3214373740689</v>
      </c>
      <c r="J33" s="562">
        <f t="shared" ca="1" si="9"/>
        <v>5706.8745635932592</v>
      </c>
      <c r="K33" s="562">
        <f t="shared" ca="1" si="9"/>
        <v>6157.6652632188716</v>
      </c>
      <c r="L33" s="562">
        <f t="shared" ca="1" si="9"/>
        <v>5735.947892076334</v>
      </c>
      <c r="M33" s="562">
        <f t="shared" ca="1" si="9"/>
        <v>6228.7503128556264</v>
      </c>
      <c r="N33" s="562">
        <f t="shared" ca="1" si="9"/>
        <v>5903.1246549139214</v>
      </c>
      <c r="O33" s="562">
        <f t="shared" ca="1" si="9"/>
        <v>5763.0251318650644</v>
      </c>
      <c r="P33" s="562">
        <f t="shared" ca="1" si="9"/>
        <v>4975.2286046387298</v>
      </c>
      <c r="Q33" s="562">
        <f t="shared" ca="1" si="9"/>
        <v>6957.4985984486202</v>
      </c>
      <c r="R33" s="562">
        <f t="shared" ca="1" si="9"/>
        <v>10479.217926593012</v>
      </c>
      <c r="S33" s="562">
        <f t="shared" ca="1" si="9"/>
        <v>13953.572390314597</v>
      </c>
      <c r="T33" s="562">
        <f t="shared" ca="1" si="9"/>
        <v>14314.143793063351</v>
      </c>
      <c r="U33" s="562">
        <f t="shared" ca="1" si="9"/>
        <v>15537.761777116431</v>
      </c>
      <c r="V33" s="562">
        <f t="shared" ca="1" si="9"/>
        <v>12848.438299123132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9"/>
  <sheetViews>
    <sheetView topLeftCell="A12" zoomScaleNormal="100" workbookViewId="0">
      <selection activeCell="H31" sqref="H31"/>
    </sheetView>
  </sheetViews>
  <sheetFormatPr defaultColWidth="9.81640625" defaultRowHeight="15.6"/>
  <cols>
    <col min="1" max="1" width="20.81640625" style="338" customWidth="1"/>
    <col min="2" max="16384" width="9.81640625" style="338"/>
  </cols>
  <sheetData>
    <row r="1" spans="1:32" ht="22.2">
      <c r="A1" s="336" t="s">
        <v>0</v>
      </c>
      <c r="B1" s="337"/>
      <c r="C1" s="337"/>
      <c r="D1" s="337"/>
    </row>
    <row r="2" spans="1:32">
      <c r="A2" s="339" t="s">
        <v>408</v>
      </c>
      <c r="B2" s="340"/>
      <c r="C2" s="341"/>
      <c r="D2" s="337"/>
    </row>
    <row r="3" spans="1:32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32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32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32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32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32">
      <c r="A8" s="337"/>
      <c r="B8" s="337"/>
      <c r="C8" s="337"/>
      <c r="D8" s="337"/>
    </row>
    <row r="9" spans="1:32">
      <c r="A9" s="339" t="s">
        <v>393</v>
      </c>
      <c r="B9" s="346"/>
      <c r="C9" s="347"/>
      <c r="D9" s="347"/>
      <c r="E9" s="348"/>
    </row>
    <row r="10" spans="1:32">
      <c r="A10" s="349" t="s">
        <v>30</v>
      </c>
      <c r="B10" s="345" t="s">
        <v>411</v>
      </c>
      <c r="C10" s="337">
        <f ca="1">ROUND(B11-SUM(C35:S35),0)</f>
        <v>16774</v>
      </c>
      <c r="D10" s="350" t="s">
        <v>330</v>
      </c>
      <c r="E10" s="348"/>
    </row>
    <row r="11" spans="1:32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32">
      <c r="A12" s="349" t="s">
        <v>396</v>
      </c>
      <c r="B12" s="352">
        <f>'ENA Assumptions'!B3</f>
        <v>7.9000000000000001E-2</v>
      </c>
      <c r="C12" s="337" t="s">
        <v>76</v>
      </c>
      <c r="D12" s="337"/>
      <c r="E12" s="348"/>
    </row>
    <row r="13" spans="1:32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32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32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32" ht="16.2" thickBot="1">
      <c r="A16" s="347"/>
      <c r="B16" s="354"/>
      <c r="C16" s="347"/>
      <c r="D16" s="347"/>
    </row>
    <row r="17" spans="1:32" ht="16.2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32">
      <c r="A18" s="359"/>
      <c r="C18" s="351"/>
      <c r="D18" s="351"/>
      <c r="X18" s="767"/>
    </row>
    <row r="19" spans="1:32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32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116353.125</v>
      </c>
      <c r="F20" s="351">
        <f t="shared" ca="1" si="1"/>
        <v>112218.75</v>
      </c>
      <c r="G20" s="351">
        <f t="shared" ca="1" si="1"/>
        <v>106903.125</v>
      </c>
      <c r="H20" s="351">
        <f t="shared" ca="1" si="1"/>
        <v>99815.625</v>
      </c>
      <c r="I20" s="351">
        <f t="shared" ca="1" si="1"/>
        <v>91428.75</v>
      </c>
      <c r="J20" s="351">
        <f t="shared" ca="1" si="1"/>
        <v>82805.625</v>
      </c>
      <c r="K20" s="351">
        <f t="shared" ca="1" si="1"/>
        <v>74418.75</v>
      </c>
      <c r="L20" s="351">
        <f t="shared" ca="1" si="1"/>
        <v>66386.25</v>
      </c>
      <c r="M20" s="351">
        <f t="shared" ca="1" si="1"/>
        <v>58590</v>
      </c>
      <c r="N20" s="351">
        <f t="shared" ca="1" si="1"/>
        <v>51266.25</v>
      </c>
      <c r="O20" s="351">
        <f t="shared" ca="1" si="1"/>
        <v>44296.875</v>
      </c>
      <c r="P20" s="351">
        <f t="shared" ca="1" si="1"/>
        <v>37800</v>
      </c>
      <c r="Q20" s="351">
        <f t="shared" ca="1" si="1"/>
        <v>32011.875</v>
      </c>
      <c r="R20" s="351">
        <f t="shared" ca="1" si="1"/>
        <v>26578.125</v>
      </c>
      <c r="S20" s="351">
        <f t="shared" ca="1" si="1"/>
        <v>21498.75</v>
      </c>
      <c r="T20" s="351">
        <f ca="1">S31</f>
        <v>16773.75</v>
      </c>
      <c r="U20" s="351">
        <f ca="1">T31</f>
        <v>12285</v>
      </c>
      <c r="V20" s="351">
        <f ca="1">U31</f>
        <v>8150.625</v>
      </c>
      <c r="W20" s="351">
        <f ca="1">V31</f>
        <v>4606.875</v>
      </c>
      <c r="X20" s="767"/>
    </row>
    <row r="21" spans="1:32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0</v>
      </c>
      <c r="E21" s="768">
        <f ca="1">VLOOKUP(E5,'ENA Assumptions'!$A$11:$E$31,3)*VLOOKUP(E5,'ENA Assumptions'!$A$11:$E$31,5)*$C$20*IF(E19=0,0,1)</f>
        <v>1240.3125000000002</v>
      </c>
      <c r="F21" s="768">
        <f ca="1">VLOOKUP(F5,'ENA Assumptions'!$A$11:$E$31,3)*VLOOKUP(F5,'ENA Assumptions'!$A$11:$E$31,5)*$C$20*IF(F19=0,0,1)</f>
        <v>1594.6875000000002</v>
      </c>
      <c r="G21" s="768">
        <f ca="1">VLOOKUP(G5,'ENA Assumptions'!$A$11:$E$31,3)*VLOOKUP(G5,'ENA Assumptions'!$A$11:$E$31,5)*$C$20*IF(G19=0,0,1)</f>
        <v>2126.2500000000005</v>
      </c>
      <c r="H21" s="768">
        <f ca="1">VLOOKUP(H5,'ENA Assumptions'!$A$11:$E$31,3)*VLOOKUP(H5,'ENA Assumptions'!$A$11:$E$31,5)*$C$20*IF(H19=0,0,1)</f>
        <v>2516.0625000000005</v>
      </c>
      <c r="I21" s="768">
        <f ca="1">VLOOKUP(I5,'ENA Assumptions'!$A$11:$E$31,3)*VLOOKUP(I5,'ENA Assumptions'!$A$11:$E$31,5)*$C$20*IF(I19=0,0,1)</f>
        <v>2586.9375000000005</v>
      </c>
      <c r="J21" s="768">
        <f ca="1">VLOOKUP(J5,'ENA Assumptions'!$A$11:$E$31,3)*VLOOKUP(J5,'ENA Assumptions'!$A$11:$E$31,5)*$C$20*IF(J19=0,0,1)</f>
        <v>2516.0625000000005</v>
      </c>
      <c r="K21" s="768">
        <f ca="1">VLOOKUP(K5,'ENA Assumptions'!$A$11:$E$31,3)*VLOOKUP(K5,'ENA Assumptions'!$A$11:$E$31,5)*$C$20*IF(K19=0,0,1)</f>
        <v>2409.7500000000005</v>
      </c>
      <c r="L21" s="768">
        <f ca="1">VLOOKUP(L5,'ENA Assumptions'!$A$11:$E$31,3)*VLOOKUP(L5,'ENA Assumptions'!$A$11:$E$31,5)*$C$20*IF(L19=0,0,1)</f>
        <v>2338.8750000000005</v>
      </c>
      <c r="M21" s="768">
        <f ca="1">VLOOKUP(M5,'ENA Assumptions'!$A$11:$E$31,3)*VLOOKUP(M5,'ENA Assumptions'!$A$11:$E$31,5)*$C$20*IF(M19=0,0,1)</f>
        <v>2197.1250000000005</v>
      </c>
      <c r="N21" s="768">
        <f ca="1">VLOOKUP(N5,'ENA Assumptions'!$A$11:$E$31,3)*VLOOKUP(N5,'ENA Assumptions'!$A$11:$E$31,5)*$C$20*IF(N19=0,0,1)</f>
        <v>2090.8125</v>
      </c>
      <c r="O21" s="768">
        <f ca="1">VLOOKUP(O5,'ENA Assumptions'!$A$11:$E$31,3)*VLOOKUP(O5,'ENA Assumptions'!$A$11:$E$31,5)*$C$20*IF(O19=0,0,1)</f>
        <v>1949.0625000000005</v>
      </c>
      <c r="P21" s="768">
        <f ca="1">VLOOKUP(P5,'ENA Assumptions'!$A$11:$E$31,3)*VLOOKUP(P5,'ENA Assumptions'!$A$11:$E$31,5)*$C$20*IF(P19=0,0,1)</f>
        <v>1736.4375000000005</v>
      </c>
      <c r="Q21" s="768">
        <f ca="1">VLOOKUP(Q5,'ENA Assumptions'!$A$11:$E$31,3)*VLOOKUP(Q5,'ENA Assumptions'!$A$11:$E$31,5)*$C$20*IF(Q19=0,0,1)</f>
        <v>1630.1250000000002</v>
      </c>
      <c r="R21" s="768">
        <f ca="1">VLOOKUP(R5,'ENA Assumptions'!$A$11:$E$31,3)*VLOOKUP(R5,'ENA Assumptions'!$A$11:$E$31,5)*$C$20*IF(R19=0,0,1)</f>
        <v>1523.8125000000002</v>
      </c>
      <c r="S21" s="768">
        <f ca="1">VLOOKUP(S5,'ENA Assumptions'!$A$11:$E$31,3)*VLOOKUP(S5,'ENA Assumptions'!$A$11:$E$31,5)*$C$20*IF(S19=0,0,1)</f>
        <v>1417.5000000000002</v>
      </c>
      <c r="T21" s="768">
        <f ca="1">VLOOKUP(T5,'ENA Assumptions'!$A$11:$E$31,3)*VLOOKUP(T5,'ENA Assumptions'!$A$11:$E$31,5)*$C$20*IF(T19=0,0,1)</f>
        <v>1346.6250000000002</v>
      </c>
      <c r="U21" s="768">
        <f ca="1">VLOOKUP(U5,'ENA Assumptions'!$A$11:$E$31,3)*VLOOKUP(U5,'ENA Assumptions'!$A$11:$E$31,5)*$C$20*IF(U19=0,0,1)</f>
        <v>1240.3125000000002</v>
      </c>
      <c r="V21" s="768">
        <f ca="1">VLOOKUP(V5,'ENA Assumptions'!$A$11:$E$31,3)*VLOOKUP(V5,'ENA Assumptions'!$A$11:$E$31,5)*$C$20*IF(V19=0,0,1)</f>
        <v>1063.1250000000002</v>
      </c>
      <c r="W21" s="768">
        <f>VLOOKUP(W5,'ENA Assumptions'!$A$11:$E$31,3)*VLOOKUP(W5,'ENA Assumptions'!$A$11:$E$31,5)*$C$20*IF(W19=0,0,1)</f>
        <v>1382.0624999999895</v>
      </c>
      <c r="X21" s="767"/>
    </row>
    <row r="22" spans="1:32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6201.5625</v>
      </c>
      <c r="E22" s="351">
        <f ca="1">IF(OR(E7&lt;12,E19=0),0,+E20*'ASSUM 1'!$S$42/2)</f>
        <v>6108.5390625</v>
      </c>
      <c r="F22" s="351">
        <f ca="1">IF(OR(F7&lt;12,F19=0),0,+F20*'ASSUM 1'!$S$42/2)</f>
        <v>5891.484375</v>
      </c>
      <c r="G22" s="351">
        <f ca="1">IF(OR(G7&lt;12,G19=0),0,+G20*'ASSUM 1'!$S$42/2)</f>
        <v>5612.4140625</v>
      </c>
      <c r="H22" s="351">
        <f ca="1">IF(OR(H7&lt;12,H19=0),0,+H20*'ASSUM 1'!$S$42/2)</f>
        <v>5240.3203125</v>
      </c>
      <c r="I22" s="351">
        <f ca="1">IF(OR(I7&lt;12,I19=0),0,+I20*'ASSUM 1'!$S$42/2)</f>
        <v>4800.0093749999996</v>
      </c>
      <c r="J22" s="351">
        <f ca="1">IF(OR(J7&lt;12,J19=0),0,+J20*'ASSUM 1'!$S$42/2)</f>
        <v>4347.2953124999995</v>
      </c>
      <c r="K22" s="351">
        <f ca="1">IF(OR(K7&lt;12,K19=0),0,+K20*'ASSUM 1'!$S$42/2)</f>
        <v>3906.984375</v>
      </c>
      <c r="L22" s="351">
        <f ca="1">IF(OR(L7&lt;12,L19=0),0,+L20*'ASSUM 1'!$S$42/2)</f>
        <v>3485.2781249999998</v>
      </c>
      <c r="M22" s="351">
        <f ca="1">IF(OR(M7&lt;12,M19=0),0,+M20*'ASSUM 1'!$S$42/2)</f>
        <v>3075.9749999999999</v>
      </c>
      <c r="N22" s="351">
        <f ca="1">IF(OR(N7&lt;12,N19=0),0,+N20*'ASSUM 1'!$S$42/2)</f>
        <v>2691.4781250000001</v>
      </c>
      <c r="O22" s="351">
        <f ca="1">IF(OR(O7&lt;12,O19=0),0,+O20*'ASSUM 1'!$S$42/2)</f>
        <v>2325.5859375</v>
      </c>
      <c r="P22" s="351">
        <f ca="1">IF(OR(P7&lt;12,P19=0),0,+P20*'ASSUM 1'!$S$42/2)</f>
        <v>1984.5</v>
      </c>
      <c r="Q22" s="351">
        <f ca="1">IF(OR(Q7&lt;12,Q19=0),0,+Q20*'ASSUM 1'!$S$42/2)</f>
        <v>1680.6234374999999</v>
      </c>
      <c r="R22" s="351">
        <f ca="1">IF(OR(R7&lt;12,R19=0),0,+R20*'ASSUM 1'!$S$42/2)</f>
        <v>1395.3515625</v>
      </c>
      <c r="S22" s="351">
        <f ca="1">IF(OR(S7&lt;12,S19=0),0,+S20*'ASSUM 1'!$S$42/2)</f>
        <v>1128.684375</v>
      </c>
      <c r="T22" s="351">
        <f ca="1">IF(OR(T7&lt;12,T19=0),0,+T20*'ASSUM 1'!$S$42/2)</f>
        <v>880.62187499999993</v>
      </c>
      <c r="U22" s="351">
        <f ca="1">IF(OR(U7&lt;12,U19=0),0,+U20*'ASSUM 1'!$S$42/2)</f>
        <v>644.96249999999998</v>
      </c>
      <c r="V22" s="351">
        <f ca="1">IF(OR(V7&lt;12,V19=0),0,+V20*'ASSUM 1'!$S$42/2)</f>
        <v>427.90781249999998</v>
      </c>
      <c r="W22" s="351">
        <f ca="1">IF(OR(W7&lt;12,W19=0),0,+W20*'ASSUM 1'!$S$42/2)</f>
        <v>0</v>
      </c>
      <c r="X22" s="767"/>
    </row>
    <row r="23" spans="1:32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6201.5625</v>
      </c>
      <c r="E23" s="351">
        <f t="shared" ref="E23:W23" ca="1" si="2">E22+E21</f>
        <v>7348.8515625</v>
      </c>
      <c r="F23" s="351">
        <f t="shared" ca="1" si="2"/>
        <v>7486.171875</v>
      </c>
      <c r="G23" s="351">
        <f t="shared" ca="1" si="2"/>
        <v>7738.6640625</v>
      </c>
      <c r="H23" s="351">
        <f t="shared" ca="1" si="2"/>
        <v>7756.3828125</v>
      </c>
      <c r="I23" s="351">
        <f t="shared" ca="1" si="2"/>
        <v>7386.9468749999996</v>
      </c>
      <c r="J23" s="351">
        <f t="shared" ca="1" si="2"/>
        <v>6863.3578125000004</v>
      </c>
      <c r="K23" s="351">
        <f t="shared" ca="1" si="2"/>
        <v>6316.734375</v>
      </c>
      <c r="L23" s="351">
        <f t="shared" ca="1" si="2"/>
        <v>5824.1531250000007</v>
      </c>
      <c r="M23" s="351">
        <f t="shared" ca="1" si="2"/>
        <v>5273.1</v>
      </c>
      <c r="N23" s="351">
        <f t="shared" ca="1" si="2"/>
        <v>4782.2906249999996</v>
      </c>
      <c r="O23" s="351">
        <f t="shared" ca="1" si="2"/>
        <v>4274.6484375</v>
      </c>
      <c r="P23" s="351">
        <f t="shared" ca="1" si="2"/>
        <v>3720.9375000000005</v>
      </c>
      <c r="Q23" s="351">
        <f t="shared" ca="1" si="2"/>
        <v>3310.7484375000004</v>
      </c>
      <c r="R23" s="351">
        <f t="shared" ca="1" si="2"/>
        <v>2919.1640625</v>
      </c>
      <c r="S23" s="351">
        <f t="shared" ca="1" si="2"/>
        <v>2546.1843750000003</v>
      </c>
      <c r="T23" s="351">
        <f t="shared" ca="1" si="2"/>
        <v>2227.2468750000003</v>
      </c>
      <c r="U23" s="351">
        <f t="shared" ca="1" si="2"/>
        <v>1885.2750000000001</v>
      </c>
      <c r="V23" s="351">
        <f t="shared" ca="1" si="2"/>
        <v>1491.0328125000001</v>
      </c>
      <c r="W23" s="351">
        <f t="shared" ca="1" si="2"/>
        <v>1382.0624999999895</v>
      </c>
      <c r="X23" s="767"/>
    </row>
    <row r="24" spans="1:32">
      <c r="A24" s="359" t="s">
        <v>268</v>
      </c>
      <c r="C24" s="351">
        <f t="shared" ref="C24:S24" ca="1" si="3">C20-C21</f>
        <v>118125</v>
      </c>
      <c r="D24" s="351">
        <f t="shared" ca="1" si="3"/>
        <v>118125</v>
      </c>
      <c r="E24" s="351">
        <f t="shared" ca="1" si="3"/>
        <v>115112.8125</v>
      </c>
      <c r="F24" s="351">
        <f t="shared" ca="1" si="3"/>
        <v>110624.0625</v>
      </c>
      <c r="G24" s="351">
        <f t="shared" ca="1" si="3"/>
        <v>104776.875</v>
      </c>
      <c r="H24" s="351">
        <f t="shared" ca="1" si="3"/>
        <v>97299.5625</v>
      </c>
      <c r="I24" s="351">
        <f t="shared" ca="1" si="3"/>
        <v>88841.8125</v>
      </c>
      <c r="J24" s="351">
        <f t="shared" ca="1" si="3"/>
        <v>80289.5625</v>
      </c>
      <c r="K24" s="351">
        <f t="shared" ca="1" si="3"/>
        <v>72009</v>
      </c>
      <c r="L24" s="351">
        <f t="shared" ca="1" si="3"/>
        <v>64047.375</v>
      </c>
      <c r="M24" s="351">
        <f t="shared" ca="1" si="3"/>
        <v>56392.875</v>
      </c>
      <c r="N24" s="351">
        <f t="shared" ca="1" si="3"/>
        <v>49175.4375</v>
      </c>
      <c r="O24" s="351">
        <f t="shared" ca="1" si="3"/>
        <v>42347.8125</v>
      </c>
      <c r="P24" s="351">
        <f t="shared" ca="1" si="3"/>
        <v>36063.5625</v>
      </c>
      <c r="Q24" s="351">
        <f t="shared" ca="1" si="3"/>
        <v>30381.75</v>
      </c>
      <c r="R24" s="351">
        <f t="shared" ca="1" si="3"/>
        <v>25054.3125</v>
      </c>
      <c r="S24" s="351">
        <f t="shared" ca="1" si="3"/>
        <v>20081.25</v>
      </c>
      <c r="T24" s="351">
        <f ca="1">T20-T21</f>
        <v>15427.125</v>
      </c>
      <c r="U24" s="351">
        <f ca="1">U20-U21</f>
        <v>11044.6875</v>
      </c>
      <c r="V24" s="351">
        <f ca="1">V20-V21</f>
        <v>7087.5</v>
      </c>
      <c r="W24" s="351">
        <f ca="1">W20-W21</f>
        <v>3224.8125000000105</v>
      </c>
      <c r="X24" s="767"/>
    </row>
    <row r="25" spans="1:32">
      <c r="A25" s="359"/>
      <c r="C25" s="351"/>
      <c r="D25" s="351"/>
      <c r="X25" s="767"/>
    </row>
    <row r="26" spans="1:32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32">
      <c r="A27" s="359" t="s">
        <v>20</v>
      </c>
      <c r="C27" s="351">
        <f t="shared" ref="C27:S27" ca="1" si="5">C24</f>
        <v>118125</v>
      </c>
      <c r="D27" s="351">
        <f t="shared" ca="1" si="5"/>
        <v>118125</v>
      </c>
      <c r="E27" s="351">
        <f t="shared" ca="1" si="5"/>
        <v>115112.8125</v>
      </c>
      <c r="F27" s="351">
        <f t="shared" ca="1" si="5"/>
        <v>110624.0625</v>
      </c>
      <c r="G27" s="351">
        <f t="shared" ca="1" si="5"/>
        <v>104776.875</v>
      </c>
      <c r="H27" s="351">
        <f t="shared" ca="1" si="5"/>
        <v>97299.5625</v>
      </c>
      <c r="I27" s="351">
        <f t="shared" ca="1" si="5"/>
        <v>88841.8125</v>
      </c>
      <c r="J27" s="351">
        <f t="shared" ca="1" si="5"/>
        <v>80289.5625</v>
      </c>
      <c r="K27" s="351">
        <f t="shared" ca="1" si="5"/>
        <v>72009</v>
      </c>
      <c r="L27" s="351">
        <f t="shared" ca="1" si="5"/>
        <v>64047.375</v>
      </c>
      <c r="M27" s="351">
        <f t="shared" ca="1" si="5"/>
        <v>56392.875</v>
      </c>
      <c r="N27" s="351">
        <f t="shared" ca="1" si="5"/>
        <v>49175.4375</v>
      </c>
      <c r="O27" s="351">
        <f t="shared" ca="1" si="5"/>
        <v>42347.8125</v>
      </c>
      <c r="P27" s="351">
        <f t="shared" ca="1" si="5"/>
        <v>36063.5625</v>
      </c>
      <c r="Q27" s="351">
        <f t="shared" ca="1" si="5"/>
        <v>30381.75</v>
      </c>
      <c r="R27" s="351">
        <f t="shared" ca="1" si="5"/>
        <v>25054.3125</v>
      </c>
      <c r="S27" s="351">
        <f t="shared" ca="1" si="5"/>
        <v>20081.25</v>
      </c>
      <c r="T27" s="351">
        <f ca="1">T24</f>
        <v>15427.125</v>
      </c>
      <c r="U27" s="351">
        <f ca="1">U24</f>
        <v>11044.6875</v>
      </c>
      <c r="V27" s="351">
        <f ca="1">V24</f>
        <v>7087.5</v>
      </c>
      <c r="W27" s="351">
        <f ca="1">W24</f>
        <v>3224.8125000000105</v>
      </c>
      <c r="X27" s="767"/>
    </row>
    <row r="28" spans="1:32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1771.875</v>
      </c>
      <c r="E28" s="621">
        <f ca="1">VLOOKUP(E5,'ENA Assumptions'!$A$11:$E$31,3)*VLOOKUP(E5,'ENA Assumptions'!$A$11:$E$31,4)*$C$20*IF(E26=0,0,1)</f>
        <v>2894.0625</v>
      </c>
      <c r="F28" s="621">
        <f ca="1">VLOOKUP(F5,'ENA Assumptions'!$A$11:$E$31,3)*VLOOKUP(F5,'ENA Assumptions'!$A$11:$E$31,4)*$C$20*IF(F26=0,0,1)</f>
        <v>3720.9375</v>
      </c>
      <c r="G28" s="621">
        <f ca="1">VLOOKUP(G5,'ENA Assumptions'!$A$11:$E$31,3)*VLOOKUP(G5,'ENA Assumptions'!$A$11:$E$31,4)*$C$20*IF(G26=0,0,1)</f>
        <v>4961.2499999999991</v>
      </c>
      <c r="H28" s="621">
        <f ca="1">VLOOKUP(H5,'ENA Assumptions'!$A$11:$E$31,3)*VLOOKUP(H5,'ENA Assumptions'!$A$11:$E$31,4)*$C$20*IF(H26=0,0,1)</f>
        <v>5870.8124999999991</v>
      </c>
      <c r="I28" s="621">
        <f ca="1">VLOOKUP(I5,'ENA Assumptions'!$A$11:$E$31,3)*VLOOKUP(I5,'ENA Assumptions'!$A$11:$E$31,4)*$C$20*IF(I26=0,0,1)</f>
        <v>6036.1874999999991</v>
      </c>
      <c r="J28" s="621">
        <f ca="1">VLOOKUP(J5,'ENA Assumptions'!$A$11:$E$31,3)*VLOOKUP(J5,'ENA Assumptions'!$A$11:$E$31,4)*$C$20*IF(J26=0,0,1)</f>
        <v>5870.8124999999991</v>
      </c>
      <c r="K28" s="621">
        <f ca="1">VLOOKUP(K5,'ENA Assumptions'!$A$11:$E$31,3)*VLOOKUP(K5,'ENA Assumptions'!$A$11:$E$31,4)*$C$20*IF(K26=0,0,1)</f>
        <v>5622.75</v>
      </c>
      <c r="L28" s="621">
        <f ca="1">VLOOKUP(L5,'ENA Assumptions'!$A$11:$E$31,3)*VLOOKUP(L5,'ENA Assumptions'!$A$11:$E$31,4)*$C$20*IF(L26=0,0,1)</f>
        <v>5457.375</v>
      </c>
      <c r="M28" s="621">
        <f ca="1">VLOOKUP(M5,'ENA Assumptions'!$A$11:$E$31,3)*VLOOKUP(M5,'ENA Assumptions'!$A$11:$E$31,4)*$C$20*IF(M26=0,0,1)</f>
        <v>5126.6249999999991</v>
      </c>
      <c r="N28" s="621">
        <f ca="1">VLOOKUP(N5,'ENA Assumptions'!$A$11:$E$31,3)*VLOOKUP(N5,'ENA Assumptions'!$A$11:$E$31,4)*$C$20*IF(N26=0,0,1)</f>
        <v>4878.5625</v>
      </c>
      <c r="O28" s="621">
        <f ca="1">VLOOKUP(O5,'ENA Assumptions'!$A$11:$E$31,3)*VLOOKUP(O5,'ENA Assumptions'!$A$11:$E$31,4)*$C$20*IF(O26=0,0,1)</f>
        <v>4547.8125</v>
      </c>
      <c r="P28" s="621">
        <f ca="1">VLOOKUP(P5,'ENA Assumptions'!$A$11:$E$31,3)*VLOOKUP(P5,'ENA Assumptions'!$A$11:$E$31,4)*$C$20*IF(P26=0,0,1)</f>
        <v>4051.6874999999995</v>
      </c>
      <c r="Q28" s="621">
        <f ca="1">VLOOKUP(Q5,'ENA Assumptions'!$A$11:$E$31,3)*VLOOKUP(Q5,'ENA Assumptions'!$A$11:$E$31,4)*$C$20*IF(Q26=0,0,1)</f>
        <v>3803.625</v>
      </c>
      <c r="R28" s="621">
        <f ca="1">VLOOKUP(R5,'ENA Assumptions'!$A$11:$E$31,3)*VLOOKUP(R5,'ENA Assumptions'!$A$11:$E$31,4)*$C$20*IF(R26=0,0,1)</f>
        <v>3555.5624999999995</v>
      </c>
      <c r="S28" s="621">
        <f ca="1">VLOOKUP(S5,'ENA Assumptions'!$A$11:$E$31,3)*VLOOKUP(S5,'ENA Assumptions'!$A$11:$E$31,4)*$C$20*IF(S26=0,0,1)</f>
        <v>3307.4999999999995</v>
      </c>
      <c r="T28" s="621">
        <f ca="1">VLOOKUP(T5,'ENA Assumptions'!$A$11:$E$31,3)*VLOOKUP(T5,'ENA Assumptions'!$A$11:$E$31,4)*$C$20*IF(T26=0,0,1)</f>
        <v>3142.125</v>
      </c>
      <c r="U28" s="621">
        <f ca="1">VLOOKUP(U5,'ENA Assumptions'!$A$11:$E$31,3)*VLOOKUP(U5,'ENA Assumptions'!$A$11:$E$31,4)*$C$20*IF(U26=0,0,1)</f>
        <v>2894.0625</v>
      </c>
      <c r="V28" s="621">
        <f ca="1">VLOOKUP(V5,'ENA Assumptions'!$A$11:$E$31,3)*VLOOKUP(V5,'ENA Assumptions'!$A$11:$E$31,4)*$C$20*IF(V26=0,0,1)</f>
        <v>2480.6249999999995</v>
      </c>
      <c r="W28" s="621">
        <f>VLOOKUP(W5,'ENA Assumptions'!$A$11:$E$31,3)*VLOOKUP(W5,'ENA Assumptions'!$A$11:$E$31,4)*$C$20*IF(W26=0,0,1)</f>
        <v>3224.812499999975</v>
      </c>
      <c r="X28" s="767"/>
    </row>
    <row r="29" spans="1:32">
      <c r="A29" s="359" t="s">
        <v>403</v>
      </c>
      <c r="C29" s="620">
        <v>0</v>
      </c>
      <c r="D29" s="351">
        <f ca="1">D27*'ASSUM 1'!$S$42/2</f>
        <v>6201.5625</v>
      </c>
      <c r="E29" s="351">
        <f ca="1">E27*'ASSUM 1'!$S$42/2</f>
        <v>6043.4226562499998</v>
      </c>
      <c r="F29" s="351">
        <f ca="1">F27*'ASSUM 1'!$S$42/2</f>
        <v>5807.7632812499996</v>
      </c>
      <c r="G29" s="351">
        <f ca="1">G27*'ASSUM 1'!$S$42/2</f>
        <v>5500.7859374999998</v>
      </c>
      <c r="H29" s="351">
        <f ca="1">H27*'ASSUM 1'!$S$42/2</f>
        <v>5108.2270312499995</v>
      </c>
      <c r="I29" s="351">
        <f ca="1">I27*'ASSUM 1'!$S$42/2</f>
        <v>4664.1951562499999</v>
      </c>
      <c r="J29" s="351">
        <f ca="1">J27*'ASSUM 1'!$S$42/2</f>
        <v>4215.2020312499999</v>
      </c>
      <c r="K29" s="351">
        <f ca="1">K27*'ASSUM 1'!$S$42/2</f>
        <v>3780.4724999999999</v>
      </c>
      <c r="L29" s="351">
        <f ca="1">L27*'ASSUM 1'!$S$42/2</f>
        <v>3362.4871874999999</v>
      </c>
      <c r="M29" s="351">
        <f ca="1">M27*'ASSUM 1'!$S$42/2</f>
        <v>2960.6259375</v>
      </c>
      <c r="N29" s="351">
        <f ca="1">N27*'ASSUM 1'!$S$42/2</f>
        <v>2581.71046875</v>
      </c>
      <c r="O29" s="351">
        <f ca="1">O27*'ASSUM 1'!$S$42/2</f>
        <v>2223.2601562499999</v>
      </c>
      <c r="P29" s="351">
        <f ca="1">P27*'ASSUM 1'!$S$42/2</f>
        <v>1893.3370312499999</v>
      </c>
      <c r="Q29" s="351">
        <f ca="1">Q27*'ASSUM 1'!$S$42/2</f>
        <v>1595.0418749999999</v>
      </c>
      <c r="R29" s="351">
        <f ca="1">R27*'ASSUM 1'!$S$42/2</f>
        <v>1315.3514062499999</v>
      </c>
      <c r="S29" s="351">
        <f ca="1">S27*'ASSUM 1'!$S$42/2</f>
        <v>1054.265625</v>
      </c>
      <c r="T29" s="351">
        <f ca="1">T27*'ASSUM 1'!$S$42/2</f>
        <v>809.92406249999999</v>
      </c>
      <c r="U29" s="351">
        <f ca="1">U27*'ASSUM 1'!$S$42/2</f>
        <v>579.84609375000002</v>
      </c>
      <c r="V29" s="351">
        <f ca="1">V27*'ASSUM 1'!$S$42/2</f>
        <v>372.09375</v>
      </c>
      <c r="W29" s="351">
        <f ca="1">W27*'ASSUM 1'!$S$42/2</f>
        <v>169.30265625000055</v>
      </c>
      <c r="X29" s="767"/>
    </row>
    <row r="30" spans="1:32">
      <c r="A30" s="359" t="s">
        <v>404</v>
      </c>
      <c r="C30" s="351">
        <f ca="1">C29+C28</f>
        <v>0</v>
      </c>
      <c r="D30" s="351">
        <f ca="1">D29+D28</f>
        <v>7973.4375</v>
      </c>
      <c r="E30" s="351">
        <f t="shared" ref="E30:W30" ca="1" si="6">E29+E28</f>
        <v>8937.4851562500007</v>
      </c>
      <c r="F30" s="351">
        <f t="shared" ca="1" si="6"/>
        <v>9528.7007812499996</v>
      </c>
      <c r="G30" s="351">
        <f t="shared" ca="1" si="6"/>
        <v>10462.035937499999</v>
      </c>
      <c r="H30" s="351">
        <f t="shared" ca="1" si="6"/>
        <v>10979.039531249999</v>
      </c>
      <c r="I30" s="351">
        <f t="shared" ca="1" si="6"/>
        <v>10700.38265625</v>
      </c>
      <c r="J30" s="351">
        <f t="shared" ca="1" si="6"/>
        <v>10086.014531249999</v>
      </c>
      <c r="K30" s="351">
        <f t="shared" ca="1" si="6"/>
        <v>9403.2224999999999</v>
      </c>
      <c r="L30" s="351">
        <f t="shared" ca="1" si="6"/>
        <v>8819.862187499999</v>
      </c>
      <c r="M30" s="351">
        <f t="shared" ca="1" si="6"/>
        <v>8087.2509374999991</v>
      </c>
      <c r="N30" s="351">
        <f t="shared" ca="1" si="6"/>
        <v>7460.2729687499996</v>
      </c>
      <c r="O30" s="351">
        <f t="shared" ca="1" si="6"/>
        <v>6771.0726562500004</v>
      </c>
      <c r="P30" s="351">
        <f t="shared" ca="1" si="6"/>
        <v>5945.0245312499992</v>
      </c>
      <c r="Q30" s="351">
        <f t="shared" ca="1" si="6"/>
        <v>5398.6668749999999</v>
      </c>
      <c r="R30" s="351">
        <f t="shared" ca="1" si="6"/>
        <v>4870.9139062499999</v>
      </c>
      <c r="S30" s="351">
        <f t="shared" ca="1" si="6"/>
        <v>4361.765625</v>
      </c>
      <c r="T30" s="351">
        <f t="shared" ca="1" si="6"/>
        <v>3952.0490625000002</v>
      </c>
      <c r="U30" s="351">
        <f t="shared" ca="1" si="6"/>
        <v>3473.9085937499999</v>
      </c>
      <c r="V30" s="351">
        <f t="shared" ca="1" si="6"/>
        <v>2852.7187499999995</v>
      </c>
      <c r="W30" s="351">
        <f t="shared" ca="1" si="6"/>
        <v>3394.1151562499754</v>
      </c>
      <c r="X30" s="767"/>
    </row>
    <row r="31" spans="1:32">
      <c r="A31" s="359" t="s">
        <v>268</v>
      </c>
      <c r="C31" s="351">
        <f t="shared" ref="C31:S31" ca="1" si="7">C27-C28</f>
        <v>118125</v>
      </c>
      <c r="D31" s="351">
        <f t="shared" ca="1" si="7"/>
        <v>116353.125</v>
      </c>
      <c r="E31" s="351">
        <f t="shared" ca="1" si="7"/>
        <v>112218.75</v>
      </c>
      <c r="F31" s="351">
        <f t="shared" ca="1" si="7"/>
        <v>106903.125</v>
      </c>
      <c r="G31" s="351">
        <f t="shared" ca="1" si="7"/>
        <v>99815.625</v>
      </c>
      <c r="H31" s="351">
        <f t="shared" ca="1" si="7"/>
        <v>91428.75</v>
      </c>
      <c r="I31" s="351">
        <f t="shared" ca="1" si="7"/>
        <v>82805.625</v>
      </c>
      <c r="J31" s="351">
        <f t="shared" ca="1" si="7"/>
        <v>74418.75</v>
      </c>
      <c r="K31" s="351">
        <f t="shared" ca="1" si="7"/>
        <v>66386.25</v>
      </c>
      <c r="L31" s="351">
        <f t="shared" ca="1" si="7"/>
        <v>58590</v>
      </c>
      <c r="M31" s="351">
        <f t="shared" ca="1" si="7"/>
        <v>51266.25</v>
      </c>
      <c r="N31" s="351">
        <f t="shared" ca="1" si="7"/>
        <v>44296.875</v>
      </c>
      <c r="O31" s="351">
        <f t="shared" ca="1" si="7"/>
        <v>37800</v>
      </c>
      <c r="P31" s="351">
        <f t="shared" ca="1" si="7"/>
        <v>32011.875</v>
      </c>
      <c r="Q31" s="351">
        <f t="shared" ca="1" si="7"/>
        <v>26578.125</v>
      </c>
      <c r="R31" s="351">
        <f t="shared" ca="1" si="7"/>
        <v>21498.75</v>
      </c>
      <c r="S31" s="351">
        <f t="shared" ca="1" si="7"/>
        <v>16773.75</v>
      </c>
      <c r="T31" s="351">
        <f ca="1">T27-T28</f>
        <v>12285</v>
      </c>
      <c r="U31" s="351">
        <f ca="1">U27-U28</f>
        <v>8150.625</v>
      </c>
      <c r="V31" s="351">
        <f ca="1">V27-V28</f>
        <v>4606.875</v>
      </c>
      <c r="W31" s="351">
        <f ca="1">W27-W28</f>
        <v>3.5470293369144201E-11</v>
      </c>
      <c r="X31" s="767"/>
    </row>
    <row r="32" spans="1:32">
      <c r="A32" s="359"/>
      <c r="C32" s="351"/>
      <c r="D32" s="351"/>
      <c r="X32" s="767"/>
    </row>
    <row r="33" spans="1:24">
      <c r="A33" s="363" t="s">
        <v>405</v>
      </c>
      <c r="C33" s="351"/>
      <c r="D33" s="351"/>
      <c r="X33" s="767"/>
    </row>
    <row r="34" spans="1:24">
      <c r="A34" s="359" t="s">
        <v>403</v>
      </c>
      <c r="C34" s="351">
        <f t="shared" ref="C34:S34" ca="1" si="8">ROUND(+C29+C22,2)</f>
        <v>0</v>
      </c>
      <c r="D34" s="351">
        <f t="shared" ca="1" si="8"/>
        <v>12403.13</v>
      </c>
      <c r="E34" s="351">
        <f t="shared" ca="1" si="8"/>
        <v>12151.96</v>
      </c>
      <c r="F34" s="351">
        <f t="shared" ca="1" si="8"/>
        <v>11699.25</v>
      </c>
      <c r="G34" s="351">
        <f t="shared" ca="1" si="8"/>
        <v>11113.2</v>
      </c>
      <c r="H34" s="351">
        <f t="shared" ca="1" si="8"/>
        <v>10348.549999999999</v>
      </c>
      <c r="I34" s="351">
        <f t="shared" ca="1" si="8"/>
        <v>9464.2000000000007</v>
      </c>
      <c r="J34" s="351">
        <f t="shared" ca="1" si="8"/>
        <v>8562.5</v>
      </c>
      <c r="K34" s="351">
        <f t="shared" ca="1" si="8"/>
        <v>7687.46</v>
      </c>
      <c r="L34" s="351">
        <f t="shared" ca="1" si="8"/>
        <v>6847.77</v>
      </c>
      <c r="M34" s="351">
        <f t="shared" ca="1" si="8"/>
        <v>6036.6</v>
      </c>
      <c r="N34" s="351">
        <f t="shared" ca="1" si="8"/>
        <v>5273.19</v>
      </c>
      <c r="O34" s="351">
        <f t="shared" ca="1" si="8"/>
        <v>4548.8500000000004</v>
      </c>
      <c r="P34" s="351">
        <f t="shared" ca="1" si="8"/>
        <v>3877.84</v>
      </c>
      <c r="Q34" s="351">
        <f t="shared" ca="1" si="8"/>
        <v>3275.67</v>
      </c>
      <c r="R34" s="351">
        <f t="shared" ca="1" si="8"/>
        <v>2710.7</v>
      </c>
      <c r="S34" s="351">
        <f t="shared" ca="1" si="8"/>
        <v>2182.9499999999998</v>
      </c>
      <c r="T34" s="351">
        <f ca="1">ROUND(+T29+T22,2)</f>
        <v>1690.55</v>
      </c>
      <c r="U34" s="351">
        <f ca="1">ROUND(+U29+U22,2)</f>
        <v>1224.81</v>
      </c>
      <c r="V34" s="351">
        <f ca="1">ROUND(+V29+V22,2)</f>
        <v>800</v>
      </c>
      <c r="W34" s="351">
        <f ca="1">ROUND(+W29+W22,2)</f>
        <v>169.3</v>
      </c>
      <c r="X34" s="767"/>
    </row>
    <row r="35" spans="1:24">
      <c r="A35" s="359" t="s">
        <v>402</v>
      </c>
      <c r="C35" s="364">
        <f t="shared" ref="C35:S35" ca="1" si="9">C28+C21</f>
        <v>0</v>
      </c>
      <c r="D35" s="364">
        <f t="shared" ca="1" si="9"/>
        <v>1771.875</v>
      </c>
      <c r="E35" s="364">
        <f t="shared" ca="1" si="9"/>
        <v>4134.375</v>
      </c>
      <c r="F35" s="364">
        <f t="shared" ca="1" si="9"/>
        <v>5315.625</v>
      </c>
      <c r="G35" s="364">
        <f t="shared" ca="1" si="9"/>
        <v>7087.5</v>
      </c>
      <c r="H35" s="364">
        <f t="shared" ca="1" si="9"/>
        <v>8386.875</v>
      </c>
      <c r="I35" s="364">
        <f t="shared" ca="1" si="9"/>
        <v>8623.125</v>
      </c>
      <c r="J35" s="364">
        <f t="shared" ca="1" si="9"/>
        <v>8386.875</v>
      </c>
      <c r="K35" s="364">
        <f t="shared" ca="1" si="9"/>
        <v>8032.5</v>
      </c>
      <c r="L35" s="364">
        <f t="shared" ca="1" si="9"/>
        <v>7796.25</v>
      </c>
      <c r="M35" s="364">
        <f t="shared" ca="1" si="9"/>
        <v>7323.75</v>
      </c>
      <c r="N35" s="364">
        <f t="shared" ca="1" si="9"/>
        <v>6969.375</v>
      </c>
      <c r="O35" s="364">
        <f t="shared" ca="1" si="9"/>
        <v>6496.875</v>
      </c>
      <c r="P35" s="364">
        <f t="shared" ca="1" si="9"/>
        <v>5788.125</v>
      </c>
      <c r="Q35" s="364">
        <f t="shared" ca="1" si="9"/>
        <v>5433.75</v>
      </c>
      <c r="R35" s="364">
        <f t="shared" ca="1" si="9"/>
        <v>5079.375</v>
      </c>
      <c r="S35" s="364">
        <f t="shared" ca="1" si="9"/>
        <v>4725</v>
      </c>
      <c r="T35" s="364">
        <f ca="1">T28+T21</f>
        <v>4488.75</v>
      </c>
      <c r="U35" s="364">
        <f ca="1">U28+U21</f>
        <v>4134.375</v>
      </c>
      <c r="V35" s="364">
        <f ca="1">V28+V21</f>
        <v>3543.75</v>
      </c>
      <c r="W35" s="364">
        <f>W28+W21</f>
        <v>4606.8749999999645</v>
      </c>
      <c r="X35" s="767"/>
    </row>
    <row r="36" spans="1:24" ht="16.2" thickBot="1">
      <c r="A36" s="359" t="s">
        <v>406</v>
      </c>
      <c r="C36" s="351">
        <f t="shared" ref="C36:S36" ca="1" si="10">C34+C35</f>
        <v>0</v>
      </c>
      <c r="D36" s="351">
        <f t="shared" ca="1" si="10"/>
        <v>14175.004999999999</v>
      </c>
      <c r="E36" s="351">
        <f t="shared" ca="1" si="10"/>
        <v>16286.334999999999</v>
      </c>
      <c r="F36" s="351">
        <f t="shared" ca="1" si="10"/>
        <v>17014.875</v>
      </c>
      <c r="G36" s="351">
        <f t="shared" ca="1" si="10"/>
        <v>18200.7</v>
      </c>
      <c r="H36" s="351">
        <f t="shared" ca="1" si="10"/>
        <v>18735.424999999999</v>
      </c>
      <c r="I36" s="351">
        <f t="shared" ca="1" si="10"/>
        <v>18087.325000000001</v>
      </c>
      <c r="J36" s="351">
        <f t="shared" ca="1" si="10"/>
        <v>16949.375</v>
      </c>
      <c r="K36" s="351">
        <f t="shared" ca="1" si="10"/>
        <v>15719.96</v>
      </c>
      <c r="L36" s="351">
        <f t="shared" ca="1" si="10"/>
        <v>14644.02</v>
      </c>
      <c r="M36" s="351">
        <f t="shared" ca="1" si="10"/>
        <v>13360.35</v>
      </c>
      <c r="N36" s="351">
        <f t="shared" ca="1" si="10"/>
        <v>12242.564999999999</v>
      </c>
      <c r="O36" s="351">
        <f t="shared" ca="1" si="10"/>
        <v>11045.725</v>
      </c>
      <c r="P36" s="351">
        <f t="shared" ca="1" si="10"/>
        <v>9665.9650000000001</v>
      </c>
      <c r="Q36" s="351">
        <f t="shared" ca="1" si="10"/>
        <v>8709.42</v>
      </c>
      <c r="R36" s="351">
        <f t="shared" ca="1" si="10"/>
        <v>7790.0749999999998</v>
      </c>
      <c r="S36" s="351">
        <f t="shared" ca="1" si="10"/>
        <v>6907.95</v>
      </c>
      <c r="T36" s="351">
        <f ca="1">T34+T35</f>
        <v>6179.3</v>
      </c>
      <c r="U36" s="351">
        <f ca="1">U34+U35</f>
        <v>5359.1849999999995</v>
      </c>
      <c r="V36" s="351">
        <f ca="1">V34+V35</f>
        <v>4343.75</v>
      </c>
      <c r="W36" s="351">
        <f ca="1">W34+W35</f>
        <v>4776.1749999999647</v>
      </c>
      <c r="X36" s="767"/>
    </row>
    <row r="37" spans="1:24" ht="16.2" thickTop="1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  <c r="T37" s="356"/>
      <c r="U37" s="356"/>
      <c r="V37" s="356"/>
      <c r="W37" s="356"/>
    </row>
    <row r="38" spans="1:2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4">
      <c r="A40" s="337" t="s">
        <v>266</v>
      </c>
      <c r="C40" s="362">
        <f ca="1">'ASSUM 1'!R46</f>
        <v>11643.396666666667</v>
      </c>
      <c r="D40" s="351">
        <f t="shared" ref="D40:R40" ca="1" si="11">C42</f>
        <v>16882.468000000001</v>
      </c>
      <c r="E40" s="351">
        <f t="shared" ca="1" si="11"/>
        <v>17664.932000000001</v>
      </c>
      <c r="F40" s="351">
        <f t="shared" ca="1" si="11"/>
        <v>17797.54</v>
      </c>
      <c r="G40" s="351">
        <f t="shared" ca="1" si="11"/>
        <v>17538.557000000001</v>
      </c>
      <c r="H40" s="351">
        <f t="shared" ca="1" si="11"/>
        <v>16827.220999999998</v>
      </c>
      <c r="I40" s="351">
        <f t="shared" ca="1" si="11"/>
        <v>15752.206</v>
      </c>
      <c r="J40" s="351">
        <f t="shared" ca="1" si="11"/>
        <v>14583.253999999995</v>
      </c>
      <c r="K40" s="351">
        <f t="shared" ca="1" si="11"/>
        <v>13402.523999999999</v>
      </c>
      <c r="L40" s="351">
        <f t="shared" ca="1" si="11"/>
        <v>12191.725</v>
      </c>
      <c r="M40" s="351">
        <f t="shared" ca="1" si="11"/>
        <v>11004.804999999998</v>
      </c>
      <c r="N40" s="351">
        <f t="shared" ca="1" si="11"/>
        <v>9890.75</v>
      </c>
      <c r="O40" s="351">
        <f t="shared" ca="1" si="11"/>
        <v>8823.8269999999993</v>
      </c>
      <c r="P40" s="351">
        <f t="shared" ca="1" si="11"/>
        <v>7850.5420000000013</v>
      </c>
      <c r="Q40" s="351">
        <f t="shared" ca="1" si="11"/>
        <v>6989.1859999999988</v>
      </c>
      <c r="R40" s="351">
        <f t="shared" ca="1" si="11"/>
        <v>6116.0520000000006</v>
      </c>
      <c r="S40" s="351">
        <f ca="1">R42</f>
        <v>5513.2719999999927</v>
      </c>
      <c r="T40" s="351">
        <f ca="1">S42</f>
        <v>5164.6024999999918</v>
      </c>
      <c r="U40" s="351">
        <f ca="1">T42</f>
        <v>4826.3699999999881</v>
      </c>
      <c r="V40" s="351">
        <f ca="1">U42</f>
        <v>4559.9624999999824</v>
      </c>
      <c r="W40" s="351">
        <f ca="1">V42</f>
        <v>4776.1749999999647</v>
      </c>
    </row>
    <row r="41" spans="1:24">
      <c r="A41" s="337" t="s">
        <v>328</v>
      </c>
      <c r="C41" s="364">
        <f ca="1">C40-((AVERAGE(D36:H36))*'ASSUM 1'!$Q$46/12)</f>
        <v>-5239.0713333333333</v>
      </c>
      <c r="D41" s="364">
        <f ca="1">D40-((AVERAGE(E36:I36))*'ASSUM 1'!$Q$46/12)</f>
        <v>-782.46399999999994</v>
      </c>
      <c r="E41" s="364">
        <f ca="1">E40-((AVERAGE(F36:J36))*'ASSUM 1'!$Q$46/12)</f>
        <v>-132.60800000000017</v>
      </c>
      <c r="F41" s="364">
        <f ca="1">F40-((AVERAGE(G36:K36))*'ASSUM 1'!$Q$46/12)</f>
        <v>258.98300000000017</v>
      </c>
      <c r="G41" s="364">
        <f ca="1">G40-((AVERAGE(H36:L36))*'ASSUM 1'!$Q$46/12)</f>
        <v>711.33600000000297</v>
      </c>
      <c r="H41" s="364">
        <f ca="1">H40-((AVERAGE(I36:M36))*'ASSUM 1'!$Q$46/12)</f>
        <v>1075.0149999999976</v>
      </c>
      <c r="I41" s="364">
        <f ca="1">I40-((AVERAGE(J36:N36))*'ASSUM 1'!$Q$46/12)</f>
        <v>1168.9520000000048</v>
      </c>
      <c r="J41" s="364">
        <f ca="1">J40-((AVERAGE(K36:O36))*'ASSUM 1'!$Q$46/12)</f>
        <v>1180.7299999999959</v>
      </c>
      <c r="K41" s="364">
        <f ca="1">K40-((AVERAGE(L36:P36))*'ASSUM 1'!$Q$46/12)</f>
        <v>1210.7989999999991</v>
      </c>
      <c r="L41" s="364">
        <f ca="1">L40-((AVERAGE(M36:Q36))*'ASSUM 1'!$Q$46/12)</f>
        <v>1186.9200000000019</v>
      </c>
      <c r="M41" s="364">
        <f ca="1">M40-((AVERAGE(N36:R36))*'ASSUM 1'!$Q$46/12)</f>
        <v>1114.0549999999985</v>
      </c>
      <c r="N41" s="364">
        <f ca="1">N40-((AVERAGE(O36:S36))*'ASSUM 1'!$Q$46/12)</f>
        <v>1066.9230000000007</v>
      </c>
      <c r="O41" s="364">
        <f ca="1">O40-((AVERAGE(P36:T36))*'ASSUM 1'!$Q$46/12)</f>
        <v>973.28499999999804</v>
      </c>
      <c r="P41" s="364">
        <f ca="1">P40-((AVERAGE(Q36:U36))*'ASSUM 1'!$Q$46/12)</f>
        <v>861.3560000000025</v>
      </c>
      <c r="Q41" s="364">
        <f ca="1">Q40-((AVERAGE(R36:V36))*'ASSUM 1'!$Q$46/12)</f>
        <v>873.1339999999982</v>
      </c>
      <c r="R41" s="364">
        <f ca="1">R40-((AVERAGE(S36:W36))*'ASSUM 1'!$Q$46/12)</f>
        <v>602.78000000000793</v>
      </c>
      <c r="S41" s="364">
        <f ca="1">S40-((AVERAGE(T36:X36))*'ASSUM 1'!$Q$46/12)</f>
        <v>348.66950000000088</v>
      </c>
      <c r="T41" s="364">
        <f ca="1">T40-((AVERAGE(U36:Y36))*'ASSUM 1'!$Q$46/12)</f>
        <v>338.23250000000371</v>
      </c>
      <c r="U41" s="364">
        <f ca="1">U40-((AVERAGE(V36:Z36))*'ASSUM 1'!$Q$46/12)</f>
        <v>266.40750000000571</v>
      </c>
      <c r="V41" s="364">
        <f ca="1">V40-((AVERAGE(W36:AA36))*'ASSUM 1'!$Q$46/12)</f>
        <v>-216.21249999998236</v>
      </c>
      <c r="W41" s="364">
        <v>0</v>
      </c>
    </row>
    <row r="42" spans="1:24">
      <c r="A42" s="337"/>
      <c r="C42" s="351">
        <f t="shared" ref="C42:R42" ca="1" si="12">C40-C41</f>
        <v>16882.468000000001</v>
      </c>
      <c r="D42" s="351">
        <f t="shared" ca="1" si="12"/>
        <v>17664.932000000001</v>
      </c>
      <c r="E42" s="351">
        <f t="shared" ca="1" si="12"/>
        <v>17797.54</v>
      </c>
      <c r="F42" s="351">
        <f t="shared" ca="1" si="12"/>
        <v>17538.557000000001</v>
      </c>
      <c r="G42" s="351">
        <f t="shared" ca="1" si="12"/>
        <v>16827.220999999998</v>
      </c>
      <c r="H42" s="351">
        <f t="shared" ca="1" si="12"/>
        <v>15752.206</v>
      </c>
      <c r="I42" s="351">
        <f t="shared" ca="1" si="12"/>
        <v>14583.253999999995</v>
      </c>
      <c r="J42" s="351">
        <f t="shared" ca="1" si="12"/>
        <v>13402.523999999999</v>
      </c>
      <c r="K42" s="351">
        <f t="shared" ca="1" si="12"/>
        <v>12191.725</v>
      </c>
      <c r="L42" s="351">
        <f t="shared" ca="1" si="12"/>
        <v>11004.804999999998</v>
      </c>
      <c r="M42" s="351">
        <f t="shared" ca="1" si="12"/>
        <v>9890.75</v>
      </c>
      <c r="N42" s="351">
        <f t="shared" ca="1" si="12"/>
        <v>8823.8269999999993</v>
      </c>
      <c r="O42" s="351">
        <f t="shared" ca="1" si="12"/>
        <v>7850.5420000000013</v>
      </c>
      <c r="P42" s="351">
        <f t="shared" ca="1" si="12"/>
        <v>6989.1859999999988</v>
      </c>
      <c r="Q42" s="351">
        <f t="shared" ca="1" si="12"/>
        <v>6116.0520000000006</v>
      </c>
      <c r="R42" s="351">
        <f t="shared" ca="1" si="12"/>
        <v>5513.2719999999927</v>
      </c>
      <c r="S42" s="351">
        <f ca="1">S40-S41</f>
        <v>5164.6024999999918</v>
      </c>
      <c r="T42" s="351">
        <f ca="1">T40-T41</f>
        <v>4826.3699999999881</v>
      </c>
      <c r="U42" s="351">
        <f ca="1">U40-U41</f>
        <v>4559.9624999999824</v>
      </c>
      <c r="V42" s="351">
        <f ca="1">V40-V41</f>
        <v>4776.1749999999647</v>
      </c>
      <c r="W42" s="351">
        <v>0</v>
      </c>
    </row>
    <row r="43" spans="1:2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24">
      <c r="A44" s="345" t="s">
        <v>329</v>
      </c>
      <c r="C44" s="351">
        <f ca="1">C42*'ASSUM 1'!$S$46</f>
        <v>135.05974399999999</v>
      </c>
      <c r="D44" s="351">
        <f ca="1">D42*'ASSUM 1'!$S$46</f>
        <v>141.319456</v>
      </c>
      <c r="E44" s="351">
        <f ca="1">E42*'ASSUM 1'!$S$46</f>
        <v>142.38032000000001</v>
      </c>
      <c r="F44" s="351">
        <f ca="1">F42*'ASSUM 1'!$S$46</f>
        <v>140.30845600000001</v>
      </c>
      <c r="G44" s="351">
        <f ca="1">G42*'ASSUM 1'!$S$46</f>
        <v>134.61776799999998</v>
      </c>
      <c r="H44" s="351">
        <f ca="1">H42*'ASSUM 1'!$S$46</f>
        <v>126.01764800000001</v>
      </c>
      <c r="I44" s="351">
        <f ca="1">I42*'ASSUM 1'!$S$46</f>
        <v>116.66603199999996</v>
      </c>
      <c r="J44" s="351">
        <f ca="1">J42*'ASSUM 1'!$S$46</f>
        <v>107.220192</v>
      </c>
      <c r="K44" s="351">
        <f ca="1">K42*'ASSUM 1'!$S$46</f>
        <v>97.533799999999999</v>
      </c>
      <c r="L44" s="351">
        <f ca="1">L42*'ASSUM 1'!$S$46</f>
        <v>88.038439999999994</v>
      </c>
      <c r="M44" s="351">
        <f ca="1">M42*'ASSUM 1'!$S$46</f>
        <v>79.126000000000005</v>
      </c>
      <c r="N44" s="351">
        <f ca="1">N42*'ASSUM 1'!$S$46</f>
        <v>70.590615999999997</v>
      </c>
      <c r="O44" s="351">
        <f ca="1">O42*'ASSUM 1'!$S$46</f>
        <v>62.804336000000013</v>
      </c>
      <c r="P44" s="351">
        <f ca="1">P42*'ASSUM 1'!$S$46</f>
        <v>55.913487999999994</v>
      </c>
      <c r="Q44" s="351">
        <f ca="1">Q42*'ASSUM 1'!$S$46</f>
        <v>48.928416000000006</v>
      </c>
      <c r="R44" s="351">
        <f ca="1">R42*'ASSUM 1'!$S$46</f>
        <v>44.106175999999941</v>
      </c>
      <c r="S44" s="351">
        <f ca="1">S42*'ASSUM 1'!$S$46</f>
        <v>41.316819999999936</v>
      </c>
      <c r="T44" s="351">
        <f ca="1">T42*'ASSUM 1'!$S$46</f>
        <v>38.610959999999906</v>
      </c>
      <c r="U44" s="351">
        <f ca="1">U42*'ASSUM 1'!$S$46</f>
        <v>36.479699999999859</v>
      </c>
      <c r="V44" s="351">
        <f ca="1">V42*'ASSUM 1'!$S$46</f>
        <v>38.209399999999718</v>
      </c>
      <c r="W44" s="351">
        <v>0</v>
      </c>
    </row>
    <row r="45" spans="1:24"/>
    <row r="46" spans="1:24"/>
    <row r="47" spans="1:2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4">
      <c r="A48" s="338" t="s">
        <v>451</v>
      </c>
      <c r="B48" s="778">
        <f ca="1">SUM(C48:W48)</f>
        <v>1304021.9046093745</v>
      </c>
      <c r="C48" s="778">
        <f ca="1">C47*C30</f>
        <v>0</v>
      </c>
      <c r="D48" s="778">
        <f t="shared" ref="D48:W48" ca="1" si="13">D47*D30</f>
        <v>11960.15625</v>
      </c>
      <c r="E48" s="778">
        <f t="shared" ca="1" si="13"/>
        <v>22343.712890625</v>
      </c>
      <c r="F48" s="778">
        <f t="shared" ca="1" si="13"/>
        <v>33350.452734375001</v>
      </c>
      <c r="G48" s="778">
        <f t="shared" ca="1" si="13"/>
        <v>47079.161718749994</v>
      </c>
      <c r="H48" s="778">
        <f t="shared" ca="1" si="13"/>
        <v>60384.717421874993</v>
      </c>
      <c r="I48" s="778">
        <f t="shared" ca="1" si="13"/>
        <v>69552.487265624994</v>
      </c>
      <c r="J48" s="778">
        <f t="shared" ca="1" si="13"/>
        <v>75645.108984374994</v>
      </c>
      <c r="K48" s="778">
        <f t="shared" ca="1" si="13"/>
        <v>79927.391250000001</v>
      </c>
      <c r="L48" s="778">
        <f t="shared" ca="1" si="13"/>
        <v>83788.690781249985</v>
      </c>
      <c r="M48" s="778">
        <f t="shared" ca="1" si="13"/>
        <v>84916.134843749984</v>
      </c>
      <c r="N48" s="778">
        <f t="shared" ca="1" si="13"/>
        <v>85793.13914062499</v>
      </c>
      <c r="O48" s="778">
        <f t="shared" ca="1" si="13"/>
        <v>84638.408203125</v>
      </c>
      <c r="P48" s="778">
        <f t="shared" ca="1" si="13"/>
        <v>80257.83117187499</v>
      </c>
      <c r="Q48" s="778">
        <f t="shared" ca="1" si="13"/>
        <v>78280.669687500005</v>
      </c>
      <c r="R48" s="778">
        <f t="shared" ca="1" si="13"/>
        <v>75499.165546874996</v>
      </c>
      <c r="S48" s="778">
        <f t="shared" ca="1" si="13"/>
        <v>71969.1328125</v>
      </c>
      <c r="T48" s="778">
        <f t="shared" ca="1" si="13"/>
        <v>69160.858593750003</v>
      </c>
      <c r="U48" s="778">
        <f t="shared" ca="1" si="13"/>
        <v>64267.308984374999</v>
      </c>
      <c r="V48" s="778">
        <f t="shared" ca="1" si="13"/>
        <v>55628.015624999993</v>
      </c>
      <c r="W48" s="778">
        <f t="shared" ca="1" si="13"/>
        <v>69579.36070312449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354162.37499999977</v>
      </c>
      <c r="C51" s="779">
        <f ca="1">C50*D21</f>
        <v>0</v>
      </c>
      <c r="D51" s="779">
        <f t="shared" ref="D51:W51" ca="1" si="14">D50*E21</f>
        <v>2480.6250000000005</v>
      </c>
      <c r="E51" s="779">
        <f t="shared" ca="1" si="14"/>
        <v>4784.0625000000009</v>
      </c>
      <c r="F51" s="779">
        <f t="shared" ca="1" si="14"/>
        <v>8505.0000000000018</v>
      </c>
      <c r="G51" s="779">
        <f t="shared" ca="1" si="14"/>
        <v>12580.312500000002</v>
      </c>
      <c r="H51" s="779">
        <f t="shared" ca="1" si="14"/>
        <v>15521.625000000004</v>
      </c>
      <c r="I51" s="779">
        <f t="shared" ca="1" si="14"/>
        <v>17612.437500000004</v>
      </c>
      <c r="J51" s="779">
        <f t="shared" ca="1" si="14"/>
        <v>19278.000000000004</v>
      </c>
      <c r="K51" s="779">
        <f t="shared" ca="1" si="14"/>
        <v>21049.875000000004</v>
      </c>
      <c r="L51" s="779">
        <f t="shared" ca="1" si="14"/>
        <v>21971.250000000004</v>
      </c>
      <c r="M51" s="779">
        <f t="shared" ca="1" si="14"/>
        <v>22998.9375</v>
      </c>
      <c r="N51" s="779">
        <f t="shared" ca="1" si="14"/>
        <v>23388.750000000007</v>
      </c>
      <c r="O51" s="779">
        <f t="shared" ca="1" si="14"/>
        <v>22573.687500000007</v>
      </c>
      <c r="P51" s="779">
        <f t="shared" ca="1" si="14"/>
        <v>22821.750000000004</v>
      </c>
      <c r="Q51" s="779">
        <f t="shared" ca="1" si="14"/>
        <v>22857.187500000004</v>
      </c>
      <c r="R51" s="779">
        <f t="shared" ca="1" si="14"/>
        <v>22680.000000000004</v>
      </c>
      <c r="S51" s="779">
        <f t="shared" ca="1" si="14"/>
        <v>22892.625000000004</v>
      </c>
      <c r="T51" s="779">
        <f t="shared" ca="1" si="14"/>
        <v>22325.625000000004</v>
      </c>
      <c r="U51" s="779">
        <f t="shared" ca="1" si="14"/>
        <v>20199.375000000004</v>
      </c>
      <c r="V51" s="779">
        <f t="shared" si="14"/>
        <v>27641.249999999789</v>
      </c>
      <c r="W51" s="779">
        <f t="shared" si="14"/>
        <v>0</v>
      </c>
    </row>
    <row r="53" spans="1:23">
      <c r="A53" s="338" t="s">
        <v>442</v>
      </c>
      <c r="B53" s="780">
        <f ca="1">(B48+B51)/C20</f>
        <v>14.037538874999994</v>
      </c>
    </row>
    <row r="56" spans="1:23"/>
    <row r="57" spans="1:23"/>
    <row r="58" spans="1:23"/>
    <row r="59" spans="1:23"/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3"/>
  <sheetViews>
    <sheetView view="pageBreakPreview" topLeftCell="A12" zoomScale="60" zoomScaleNormal="100" workbookViewId="0">
      <selection activeCell="F32" sqref="F32"/>
    </sheetView>
  </sheetViews>
  <sheetFormatPr defaultColWidth="9.81640625" defaultRowHeight="15.6"/>
  <cols>
    <col min="1" max="1" width="25.81640625" style="406" customWidth="1"/>
    <col min="2" max="2" width="4.81640625" style="406" customWidth="1"/>
    <col min="3" max="8" width="9.81640625" style="406" customWidth="1"/>
    <col min="9" max="9" width="11.6328125" style="406" customWidth="1"/>
    <col min="10" max="16384" width="9.81640625" style="406"/>
  </cols>
  <sheetData>
    <row r="1" spans="1:33" ht="22.2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33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33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33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33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33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33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33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33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33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33" ht="16.2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33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33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33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33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33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33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33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33" ht="16.2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33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33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33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33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33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33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33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33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33" ht="16.2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33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33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33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33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 ht="16.2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10.63125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10631.25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11.643396666666668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11643.396666666667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31.013265676357054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 ht="16.2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-124.01237674103402</v>
      </c>
      <c r="K65" s="427">
        <f t="shared" ca="1" si="4"/>
        <v>-100.34284481335902</v>
      </c>
      <c r="L65" s="427">
        <f t="shared" ca="1" si="4"/>
        <v>-73.123678039812575</v>
      </c>
      <c r="M65" s="427">
        <f t="shared" ca="1" si="4"/>
        <v>-45.904511266266127</v>
      </c>
      <c r="N65" s="427">
        <f t="shared" ca="1" si="4"/>
        <v>-5.5516955629953983</v>
      </c>
      <c r="O65" s="427">
        <f t="shared" ca="1" si="4"/>
        <v>4665.9375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79518.55614240779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1332.40693511891</v>
      </c>
      <c r="P68" s="427">
        <f t="shared" ca="1" si="5"/>
        <v>0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65679.717850127126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-124.01237674103402</v>
      </c>
      <c r="K69" s="437">
        <f t="shared" ca="1" si="6"/>
        <v>-100.34284481335902</v>
      </c>
      <c r="L69" s="437">
        <f t="shared" ca="1" si="6"/>
        <v>-73.123678039812575</v>
      </c>
      <c r="M69" s="437">
        <f t="shared" ca="1" si="6"/>
        <v>-45.904511266266127</v>
      </c>
      <c r="N69" s="437">
        <f t="shared" ca="1" si="6"/>
        <v>-5.5516955629953983</v>
      </c>
      <c r="O69" s="437">
        <f t="shared" ca="1" si="6"/>
        <v>13018.206333666059</v>
      </c>
      <c r="P69" s="437">
        <f t="shared" ca="1" si="6"/>
        <v>17088.157308168396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 ht="16.2">
      <c r="A70" s="418" t="s">
        <v>337</v>
      </c>
      <c r="B70" s="418"/>
      <c r="C70" s="438">
        <f ca="1">C68+C69</f>
        <v>183804.71785012714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35835.523687143228</v>
      </c>
      <c r="J70" s="440">
        <f t="shared" ca="1" si="7"/>
        <v>8719.4610630030165</v>
      </c>
      <c r="K70" s="440">
        <f t="shared" ca="1" si="7"/>
        <v>5580.3448178286399</v>
      </c>
      <c r="L70" s="440">
        <f t="shared" ca="1" si="7"/>
        <v>6459.4763476113303</v>
      </c>
      <c r="M70" s="440">
        <f t="shared" ca="1" si="7"/>
        <v>6486.6955143848763</v>
      </c>
      <c r="N70" s="440">
        <f t="shared" ca="1" si="7"/>
        <v>9679.124073221974</v>
      </c>
      <c r="O70" s="440">
        <f t="shared" ca="1" si="7"/>
        <v>14350.613268784969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179.48771545655063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35835.523687143235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35835.523687143235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1332.40693511891</v>
      </c>
      <c r="P77" s="440">
        <f ca="1">IF(P8&gt;=$D$92,IF(SUM($D77:O77)&gt;=($D$91+HLOOKUP($D$92,$D$8:$Y$69,62)),0,MIN(P73,($D$91-SUM($D77:O77)+HLOOKUP($D$92,$D$8:$Y$69,62)))),0)</f>
        <v>0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69993.235148293446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8352.2688336660594</v>
      </c>
      <c r="P78" s="437">
        <f t="shared" ca="1" si="9"/>
        <v>17088.157308168396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144435.2026930289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35835.523687143235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2.2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0.06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1.9000000000000003E-2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1'!S22+0.06</f>
        <v>0.09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79518.55614240779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1332.40693511891</v>
      </c>
      <c r="P102" s="619">
        <f ca="1">P77+IF(P101&gt;0,SUM($D78:O78),0)</f>
        <v>0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79518.55614240779</v>
      </c>
      <c r="J103" s="427">
        <f ca="1">SUM($D$102:J102)</f>
        <v>88362.029582151838</v>
      </c>
      <c r="K103" s="427">
        <f ca="1">SUM($D$102:K102)</f>
        <v>94042.717244793836</v>
      </c>
      <c r="L103" s="453">
        <f ca="1">SUM($D$102:L102)</f>
        <v>100575.31727044498</v>
      </c>
      <c r="M103" s="427">
        <f ca="1">SUM($D$102:M102)</f>
        <v>107107.91729609613</v>
      </c>
      <c r="N103" s="427">
        <f ca="1">SUM($D$102:N102)</f>
        <v>116792.5930648811</v>
      </c>
      <c r="O103" s="427">
        <f ca="1">SUM($D$102:O102)</f>
        <v>118125.00000000001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29762.970417848162</v>
      </c>
      <c r="K104" s="427">
        <f t="shared" ca="1" si="13"/>
        <v>24082.282755206164</v>
      </c>
      <c r="L104" s="427">
        <f t="shared" ca="1" si="13"/>
        <v>17549.682729555017</v>
      </c>
      <c r="M104" s="427">
        <f t="shared" ca="1" si="13"/>
        <v>11017.08270390387</v>
      </c>
      <c r="N104" s="427">
        <f t="shared" ca="1" si="13"/>
        <v>1332.4069351188955</v>
      </c>
      <c r="O104" s="427">
        <f t="shared" ca="1" si="13"/>
        <v>0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7.9000000000000001E-2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4665.9375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7.9000000000000001E-2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4665.9375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0.09</v>
      </c>
      <c r="D109" s="440">
        <f>$D$91*C109</f>
        <v>10631.25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124.01237674103402</v>
      </c>
      <c r="K111" s="427">
        <f ca="1">IF(K9&gt;=1,+K104*'ASSUM 1'!S43/12,0)</f>
        <v>100.34284481335902</v>
      </c>
      <c r="L111" s="427">
        <f ca="1">IF(L9&gt;=1,+L104*'ASSUM 1'!S43/12,0)</f>
        <v>73.123678039812575</v>
      </c>
      <c r="M111" s="427">
        <f ca="1">IF(M9&gt;=1,+M104*'ASSUM 1'!S43/12,0)</f>
        <v>45.904511266266127</v>
      </c>
      <c r="N111" s="427">
        <f ca="1">IF(N9&gt;=1,+N104*'ASSUM 1'!S43/12,0)</f>
        <v>5.5516955629953983</v>
      </c>
      <c r="O111" s="427">
        <f ca="1">IF(O9&gt;=1,+O104*'ASSUM 1'!S43/12,0)</f>
        <v>0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4665.9375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-124.01237674103402</v>
      </c>
      <c r="K113" s="427">
        <f t="shared" ca="1" si="18"/>
        <v>-100.34284481335902</v>
      </c>
      <c r="L113" s="427">
        <f t="shared" ca="1" si="18"/>
        <v>-73.123678039812575</v>
      </c>
      <c r="M113" s="427">
        <f t="shared" ca="1" si="18"/>
        <v>-45.904511266266127</v>
      </c>
      <c r="N113" s="427">
        <f t="shared" ca="1" si="18"/>
        <v>-5.5516955629953983</v>
      </c>
      <c r="O113" s="427">
        <f t="shared" ca="1" si="18"/>
        <v>4665.9375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7.399999999999999">
      <c r="A115" s="455" t="s">
        <v>358</v>
      </c>
      <c r="B115" s="456"/>
      <c r="C115" s="417"/>
      <c r="D115" s="457">
        <f ca="1">SUM(D113:Z113)</f>
        <v>4317.002393576533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7.399999999999999">
      <c r="A116" s="458" t="s">
        <v>359</v>
      </c>
      <c r="B116" s="403"/>
      <c r="C116" s="404"/>
      <c r="D116" s="459">
        <f>D109</f>
        <v>10631.25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183804.71785012714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35835.523687143235</v>
      </c>
      <c r="J121" s="427">
        <f t="shared" ca="1" si="19"/>
        <v>8719.4610630030165</v>
      </c>
      <c r="K121" s="427">
        <f t="shared" ca="1" si="19"/>
        <v>5580.3448178286399</v>
      </c>
      <c r="L121" s="427">
        <f t="shared" ca="1" si="19"/>
        <v>6459.4763476113303</v>
      </c>
      <c r="M121" s="427">
        <f t="shared" ca="1" si="19"/>
        <v>6486.6955143848763</v>
      </c>
      <c r="N121" s="427">
        <f t="shared" ca="1" si="19"/>
        <v>9679.124073221974</v>
      </c>
      <c r="O121" s="427">
        <f t="shared" ca="1" si="19"/>
        <v>14350.613268784969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79518.55614240779</v>
      </c>
      <c r="J122" s="427">
        <f t="shared" ca="1" si="20"/>
        <v>88238.017205410812</v>
      </c>
      <c r="K122" s="427">
        <f t="shared" ca="1" si="20"/>
        <v>93818.362023239446</v>
      </c>
      <c r="L122" s="427">
        <f t="shared" ca="1" si="20"/>
        <v>100277.83837085078</v>
      </c>
      <c r="M122" s="427">
        <f t="shared" ca="1" si="20"/>
        <v>106764.53388523565</v>
      </c>
      <c r="N122" s="427">
        <f t="shared" ca="1" si="20"/>
        <v>116443.65795845762</v>
      </c>
      <c r="O122" s="427">
        <f t="shared" ca="1" si="20"/>
        <v>130794.2712272426</v>
      </c>
      <c r="P122" s="427">
        <f t="shared" ca="1" si="20"/>
        <v>147882.42853541099</v>
      </c>
      <c r="Q122" s="427">
        <f t="shared" ca="1" si="20"/>
        <v>159291.1700901851</v>
      </c>
      <c r="R122" s="427">
        <f t="shared" ca="1" si="20"/>
        <v>170699.91164495921</v>
      </c>
      <c r="S122" s="427">
        <f t="shared" ca="1" si="20"/>
        <v>183804.71785012714</v>
      </c>
      <c r="T122" s="427">
        <f t="shared" ca="1" si="20"/>
        <v>183804.71785012714</v>
      </c>
      <c r="U122" s="427">
        <f t="shared" ca="1" si="20"/>
        <v>183804.71785012714</v>
      </c>
      <c r="V122" s="427">
        <f t="shared" ca="1" si="20"/>
        <v>183804.71785012714</v>
      </c>
      <c r="W122" s="427">
        <f t="shared" ca="1" si="20"/>
        <v>183804.71785012714</v>
      </c>
      <c r="X122" s="427">
        <f t="shared" ca="1" si="20"/>
        <v>183804.71785012714</v>
      </c>
      <c r="Y122" s="427">
        <f t="shared" ca="1" si="20"/>
        <v>183804.71785012714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20740.696710149103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-124.01237674103402</v>
      </c>
      <c r="K125" s="467">
        <f ca="1">-IF(K101&gt;0,SUM($D$124:J125),0)+IF(YEAR(K$8)=$B$125,K$78+K113,0)</f>
        <v>-100.34284481335902</v>
      </c>
      <c r="L125" s="467">
        <f ca="1">-IF(L101&gt;0,SUM($D$124:K125),0)+IF(YEAR(L$8)=$B$125,L$78+L113,0)</f>
        <v>-73.123678039812575</v>
      </c>
      <c r="M125" s="467">
        <f ca="1">-IF(M101&gt;0,SUM($D$124:L125),0)+IF(YEAR(M$8)=$B$125,M$78+M113,0)</f>
        <v>-45.904511266266127</v>
      </c>
      <c r="N125" s="467">
        <f ca="1">-IF(N101&gt;0,SUM($D$124:M125),0)+IF(YEAR(N$8)=$B$125,N$78+N113,0)</f>
        <v>-5.5516955629953983</v>
      </c>
      <c r="O125" s="467">
        <f ca="1">-IF(O101&gt;0,SUM($D$124:N125),0)+IF(YEAR(O$8)=$B$125,O$78+O113,0)</f>
        <v>13018.206333666059</v>
      </c>
      <c r="P125" s="467">
        <f ca="1">-IF(P101&gt;0,SUM($D$124:O125),0)+IF(YEAR(P$8)=$B$125,P$78+P113,0)</f>
        <v>17088.157308168396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65679.717850127126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-124.01237674103402</v>
      </c>
      <c r="K127" s="427">
        <f t="shared" ca="1" si="23"/>
        <v>-100.34284481335902</v>
      </c>
      <c r="L127" s="427">
        <f t="shared" ca="1" si="23"/>
        <v>-73.123678039812575</v>
      </c>
      <c r="M127" s="427">
        <f t="shared" ca="1" si="23"/>
        <v>-45.904511266266127</v>
      </c>
      <c r="N127" s="427">
        <f t="shared" ca="1" si="23"/>
        <v>-5.5516955629953983</v>
      </c>
      <c r="O127" s="427">
        <f t="shared" ca="1" si="23"/>
        <v>13018.206333666059</v>
      </c>
      <c r="P127" s="427">
        <f t="shared" ca="1" si="23"/>
        <v>17088.157308168396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13560.877020476568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13560.877020476568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59"/>
  <sheetViews>
    <sheetView showOutlineSymbols="0" view="pageBreakPreview" topLeftCell="A19" zoomScale="60" zoomScaleNormal="75" workbookViewId="0">
      <selection activeCell="A47" sqref="A47:A53"/>
    </sheetView>
  </sheetViews>
  <sheetFormatPr defaultColWidth="9.81640625" defaultRowHeight="15.6"/>
  <cols>
    <col min="1" max="1" width="20.81640625" style="338" customWidth="1"/>
    <col min="2" max="16384" width="9.81640625" style="338"/>
  </cols>
  <sheetData>
    <row r="1" spans="1:33" ht="22.2">
      <c r="A1" s="336" t="s">
        <v>0</v>
      </c>
      <c r="B1" s="337"/>
      <c r="C1" s="337"/>
      <c r="D1" s="337"/>
    </row>
    <row r="2" spans="1:33">
      <c r="A2" s="339" t="s">
        <v>408</v>
      </c>
      <c r="B2" s="340"/>
      <c r="C2" s="341"/>
      <c r="D2" s="337"/>
    </row>
    <row r="3" spans="1:3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3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3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3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3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33">
      <c r="A8" s="337"/>
      <c r="B8" s="337"/>
      <c r="C8" s="337"/>
      <c r="D8" s="337"/>
    </row>
    <row r="9" spans="1:33">
      <c r="A9" s="339" t="s">
        <v>393</v>
      </c>
      <c r="B9" s="346"/>
      <c r="C9" s="347"/>
      <c r="D9" s="347"/>
      <c r="E9" s="348"/>
    </row>
    <row r="10" spans="1:33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33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33">
      <c r="A12" s="349" t="s">
        <v>396</v>
      </c>
      <c r="B12" s="352">
        <f>'ASSUM 1'!S42</f>
        <v>0.105</v>
      </c>
      <c r="C12" s="337" t="s">
        <v>76</v>
      </c>
      <c r="D12" s="337"/>
      <c r="E12" s="348"/>
    </row>
    <row r="13" spans="1:33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3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33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33">
      <c r="A16" s="347"/>
      <c r="B16" s="354"/>
      <c r="C16" s="347"/>
      <c r="D16" s="347"/>
    </row>
    <row r="17" spans="1:33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33">
      <c r="A18" s="359"/>
      <c r="C18" s="351"/>
      <c r="D18" s="351"/>
      <c r="T18" s="358"/>
    </row>
    <row r="19" spans="1:33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33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33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33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4564.3499999999995</v>
      </c>
      <c r="F22" s="351">
        <f ca="1">IF(OR(F7&lt;12,F19=0),0,+F20*'ASSUM 1'!$S$42/2)</f>
        <v>4417.875</v>
      </c>
      <c r="G22" s="351">
        <f ca="1">IF(OR(G7&lt;12,G19=0),0,+G20*'ASSUM 1'!$S$42/2)</f>
        <v>4226.5124999999998</v>
      </c>
      <c r="H22" s="351">
        <f ca="1">IF(OR(H7&lt;12,H19=0),0,+H20*'ASSUM 1'!$S$42/2)</f>
        <v>4003.9649999999997</v>
      </c>
      <c r="I22" s="351">
        <f ca="1">IF(OR(I7&lt;12,I19=0),0,+I20*'ASSUM 1'!$S$42/2)</f>
        <v>3961.44</v>
      </c>
      <c r="J22" s="351">
        <f ca="1">IF(OR(J7&lt;12,J19=0),0,+J20*'ASSUM 1'!$S$42/2)</f>
        <v>3751.1774999999998</v>
      </c>
      <c r="K22" s="351">
        <f ca="1">IF(OR(K7&lt;12,K19=0),0,+K20*'ASSUM 1'!$S$42/2)</f>
        <v>3333.0149999999999</v>
      </c>
      <c r="L22" s="351">
        <f ca="1">IF(OR(L7&lt;12,L19=0),0,+L20*'ASSUM 1'!$S$42/2)</f>
        <v>2858.1524999999997</v>
      </c>
      <c r="M22" s="351">
        <f ca="1">IF(OR(M7&lt;12,M19=0),0,+M20*'ASSUM 1'!$S$42/2)</f>
        <v>2409.2774999999997</v>
      </c>
      <c r="N22" s="351">
        <f ca="1">IF(OR(N7&lt;12,N19=0),0,+N20*'ASSUM 1'!$S$42/2)</f>
        <v>1960.4024999999999</v>
      </c>
      <c r="O22" s="351">
        <f ca="1">IF(OR(O7&lt;12,O19=0),0,+O20*'ASSUM 1'!$S$42/2)</f>
        <v>1535.1524999999999</v>
      </c>
      <c r="P22" s="351">
        <f ca="1">IF(OR(P7&lt;12,P19=0),0,+P20*'ASSUM 1'!$S$42/2)</f>
        <v>1109.9024999999999</v>
      </c>
      <c r="Q22" s="351">
        <f ca="1">IF(OR(Q7&lt;12,Q19=0),0,+Q20*'ASSUM 1'!$S$42/2)</f>
        <v>708.27749999999992</v>
      </c>
      <c r="R22" s="351">
        <f ca="1">IF(OR(R7&lt;12,R19=0),0,+R20*'ASSUM 1'!$S$42/2)</f>
        <v>330.27749999999997</v>
      </c>
      <c r="S22" s="351">
        <f ca="1">IF(OR(S7&lt;12,S19=0),0,+S20*'ASSUM 1'!$S$42/2)</f>
        <v>-8.5947249317541714E-13</v>
      </c>
      <c r="T22" s="358"/>
    </row>
    <row r="23" spans="1:33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6022.5240170780644</v>
      </c>
      <c r="E23" s="351">
        <f ca="1">IF(E7&lt;12,0,IF(E20&gt;1,PMT('ASSUM 1'!$S$42/2,'ASSUM 1'!$S$32*IF('ASSUM 1'!$S$34="semi",2,1),-(($C$20))),0))</f>
        <v>6022.5240170780644</v>
      </c>
      <c r="F23" s="351">
        <f ca="1">IF(F7&lt;12,0,IF(F20&gt;1,PMT('ASSUM 1'!$S$42/2,'ASSUM 1'!$S$32*IF('ASSUM 1'!$S$34="semi",2,1),-(($C$20))),0))</f>
        <v>6022.5240170780644</v>
      </c>
      <c r="G23" s="351">
        <f ca="1">IF(G7&lt;12,0,IF(G20&gt;1,PMT('ASSUM 1'!$S$42/2,'ASSUM 1'!$S$32*IF('ASSUM 1'!$S$34="semi",2,1),-(($C$20))),0))</f>
        <v>6022.5240170780644</v>
      </c>
      <c r="H23" s="351">
        <f ca="1">IF(H7&lt;12,0,IF(H20&gt;1,PMT('ASSUM 1'!$S$42/2,'ASSUM 1'!$S$32*IF('ASSUM 1'!$S$34="semi",2,1),-(($C$20))),0))</f>
        <v>6022.5240170780644</v>
      </c>
      <c r="I23" s="351">
        <f ca="1">IF(I7&lt;12,0,IF(I20&gt;1,PMT('ASSUM 1'!$S$42/2,'ASSUM 1'!$S$32*IF('ASSUM 1'!$S$34="semi",2,1),-(($C$20))),0))</f>
        <v>6022.5240170780644</v>
      </c>
      <c r="J23" s="351">
        <f ca="1">IF(J7&lt;12,0,IF(J20&gt;1,PMT('ASSUM 1'!$S$42/2,'ASSUM 1'!$S$32*IF('ASSUM 1'!$S$34="semi",2,1),-(($C$20))),0))</f>
        <v>6022.5240170780644</v>
      </c>
      <c r="K23" s="351">
        <f ca="1">IF(K7&lt;12,0,IF(K20&gt;1,PMT('ASSUM 1'!$S$42/2,'ASSUM 1'!$S$32*IF('ASSUM 1'!$S$34="semi",2,1),-(($C$20))),0))</f>
        <v>6022.5240170780644</v>
      </c>
      <c r="L23" s="351">
        <f ca="1">IF(L7&lt;12,0,IF(L20&gt;1,PMT('ASSUM 1'!$S$42/2,'ASSUM 1'!$S$32*IF('ASSUM 1'!$S$34="semi",2,1),-(($C$20))),0))</f>
        <v>6022.5240170780644</v>
      </c>
      <c r="M23" s="351">
        <f ca="1">IF(M7&lt;12,0,IF(M20&gt;1,PMT('ASSUM 1'!$S$42/2,'ASSUM 1'!$S$32*IF('ASSUM 1'!$S$34="semi",2,1),-(($C$20))),0))</f>
        <v>6022.5240170780644</v>
      </c>
      <c r="N23" s="351">
        <f ca="1">IF(N7&lt;12,0,IF(N20&gt;1,PMT('ASSUM 1'!$S$42/2,'ASSUM 1'!$S$32*IF('ASSUM 1'!$S$34="semi",2,1),-(($C$20))),0))</f>
        <v>6022.5240170780644</v>
      </c>
      <c r="O23" s="351">
        <f ca="1">IF(O7&lt;12,0,IF(O20&gt;1,PMT('ASSUM 1'!$S$42/2,'ASSUM 1'!$S$32*IF('ASSUM 1'!$S$34="semi",2,1),-(($C$20))),0))</f>
        <v>6022.5240170780644</v>
      </c>
      <c r="P23" s="351">
        <f ca="1">IF(P7&lt;12,0,IF(P20&gt;1,PMT('ASSUM 1'!$S$42/2,'ASSUM 1'!$S$32*IF('ASSUM 1'!$S$34="semi",2,1),-(($C$20))),0))</f>
        <v>6022.5240170780644</v>
      </c>
      <c r="Q23" s="351">
        <f ca="1">IF(Q7&lt;12,0,IF(Q20&gt;1,PMT('ASSUM 1'!$S$42/2,'ASSUM 1'!$S$32*IF('ASSUM 1'!$S$34="semi",2,1),-(($C$20))),0))</f>
        <v>6022.5240170780644</v>
      </c>
      <c r="R23" s="351">
        <f ca="1">IF(R7&lt;12,0,IF(R20&gt;1,PMT('ASSUM 1'!$S$42/2,'ASSUM 1'!$S$32*IF('ASSUM 1'!$S$34="semi",2,1),-(($C$20))),0))</f>
        <v>6022.5240170780644</v>
      </c>
      <c r="S23" s="351">
        <f ca="1">IF(S7&lt;12,0,IF(S20&gt;1,PMT('ASSUM 1'!$S$42/2,'ASSUM 1'!$S$32*IF('ASSUM 1'!$S$34="semi",2,1),-(($C$20))),0))</f>
        <v>0</v>
      </c>
      <c r="T23" s="358"/>
    </row>
    <row r="24" spans="1:33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33">
      <c r="A25" s="359"/>
      <c r="C25" s="351"/>
      <c r="D25" s="351"/>
      <c r="T25" s="358"/>
    </row>
    <row r="26" spans="1:33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33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33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33">
      <c r="A29" s="359" t="s">
        <v>403</v>
      </c>
      <c r="C29" s="620">
        <v>0</v>
      </c>
      <c r="D29" s="351">
        <f ca="1">D27*'ASSUM 1'!$S$42/2</f>
        <v>4644.6750000000002</v>
      </c>
      <c r="E29" s="351">
        <f ca="1">E27*'ASSUM 1'!$S$42/2</f>
        <v>4491.1125000000002</v>
      </c>
      <c r="F29" s="351">
        <f ca="1">F27*'ASSUM 1'!$S$42/2</f>
        <v>4322.1937499999995</v>
      </c>
      <c r="G29" s="351">
        <f ca="1">G27*'ASSUM 1'!$S$42/2</f>
        <v>4115.2387499999995</v>
      </c>
      <c r="H29" s="351">
        <f ca="1">H27*'ASSUM 1'!$S$42/2</f>
        <v>3982.7024999999999</v>
      </c>
      <c r="I29" s="351">
        <f ca="1">I27*'ASSUM 1'!$S$42/2</f>
        <v>3856.3087499999997</v>
      </c>
      <c r="J29" s="351">
        <f ca="1">J27*'ASSUM 1'!$S$42/2</f>
        <v>3542.0962500000001</v>
      </c>
      <c r="K29" s="351">
        <f ca="1">K27*'ASSUM 1'!$S$42/2</f>
        <v>3095.5837499999998</v>
      </c>
      <c r="L29" s="351">
        <f ca="1">L27*'ASSUM 1'!$S$42/2</f>
        <v>2633.7149999999997</v>
      </c>
      <c r="M29" s="351">
        <f ca="1">M27*'ASSUM 1'!$S$42/2</f>
        <v>2184.84</v>
      </c>
      <c r="N29" s="351">
        <f ca="1">N27*'ASSUM 1'!$S$42/2</f>
        <v>1747.7774999999999</v>
      </c>
      <c r="O29" s="351">
        <f ca="1">O27*'ASSUM 1'!$S$42/2</f>
        <v>1322.5274999999999</v>
      </c>
      <c r="P29" s="351">
        <f ca="1">P27*'ASSUM 1'!$S$42/2</f>
        <v>909.08999999999992</v>
      </c>
      <c r="Q29" s="351">
        <f ca="1">Q27*'ASSUM 1'!$S$42/2</f>
        <v>519.27750000000003</v>
      </c>
      <c r="R29" s="351">
        <f ca="1">R27*'ASSUM 1'!$S$42/2</f>
        <v>165.13874999999956</v>
      </c>
      <c r="S29" s="351">
        <f ca="1">S27*'ASSUM 1'!$S$42/2</f>
        <v>-8.5947249317541714E-13</v>
      </c>
      <c r="T29" s="358"/>
    </row>
    <row r="30" spans="1:33">
      <c r="A30" s="359" t="s">
        <v>404</v>
      </c>
      <c r="C30" s="351">
        <f ca="1">IF(C27&gt;1,PMT('ASSUM 1'!$S$42/2,'ASSUM 1'!$S$32*IF('ASSUM 1'!$S$34="semi",2,1),-(($C$20))),0)</f>
        <v>6022.5240170780644</v>
      </c>
      <c r="D30" s="351">
        <f ca="1">IF(D27&gt;1,PMT('ASSUM 1'!$S$42/2,'ASSUM 1'!$S$32*IF('ASSUM 1'!$S$34="semi",2,1),-(($C$20))),0)</f>
        <v>6022.5240170780644</v>
      </c>
      <c r="E30" s="351">
        <f ca="1">IF(E27&gt;1,PMT('ASSUM 1'!$S$42/2,'ASSUM 1'!$S$32*IF('ASSUM 1'!$S$34="semi",2,1),-(($C$20))),0)</f>
        <v>6022.5240170780644</v>
      </c>
      <c r="F30" s="351">
        <f ca="1">IF(F27&gt;1,PMT('ASSUM 1'!$S$42/2,'ASSUM 1'!$S$32*IF('ASSUM 1'!$S$34="semi",2,1),-(($C$20))),0)</f>
        <v>6022.5240170780644</v>
      </c>
      <c r="G30" s="351">
        <f ca="1">IF(G27&gt;1,PMT('ASSUM 1'!$S$42/2,'ASSUM 1'!$S$32*IF('ASSUM 1'!$S$34="semi",2,1),-(($C$20))),0)</f>
        <v>6022.5240170780644</v>
      </c>
      <c r="H30" s="351">
        <f ca="1">IF(H27&gt;1,PMT('ASSUM 1'!$S$42/2,'ASSUM 1'!$S$32*IF('ASSUM 1'!$S$34="semi",2,1),-(($C$20))),0)</f>
        <v>6022.5240170780644</v>
      </c>
      <c r="I30" s="351">
        <f ca="1">IF(I27&gt;1,PMT('ASSUM 1'!$S$42/2,'ASSUM 1'!$S$32*IF('ASSUM 1'!$S$34="semi",2,1),-(($C$20))),0)</f>
        <v>6022.5240170780644</v>
      </c>
      <c r="J30" s="351">
        <f ca="1">IF(J27&gt;1,PMT('ASSUM 1'!$S$42/2,'ASSUM 1'!$S$32*IF('ASSUM 1'!$S$34="semi",2,1),-(($C$20))),0)</f>
        <v>6022.5240170780644</v>
      </c>
      <c r="K30" s="351">
        <f ca="1">IF(K27&gt;1,PMT('ASSUM 1'!$S$42/2,'ASSUM 1'!$S$32*IF('ASSUM 1'!$S$34="semi",2,1),-(($C$20))),0)</f>
        <v>6022.5240170780644</v>
      </c>
      <c r="L30" s="351">
        <f ca="1">IF(L27&gt;1,PMT('ASSUM 1'!$S$42/2,'ASSUM 1'!$S$32*IF('ASSUM 1'!$S$34="semi",2,1),-(($C$20))),0)</f>
        <v>6022.5240170780644</v>
      </c>
      <c r="M30" s="351">
        <f ca="1">IF(M27&gt;1,PMT('ASSUM 1'!$S$42/2,'ASSUM 1'!$S$32*IF('ASSUM 1'!$S$34="semi",2,1),-(($C$20))),0)</f>
        <v>6022.5240170780644</v>
      </c>
      <c r="N30" s="351">
        <f ca="1">IF(N27&gt;1,PMT('ASSUM 1'!$S$42/2,'ASSUM 1'!$S$32*IF('ASSUM 1'!$S$34="semi",2,1),-(($C$20))),0)</f>
        <v>6022.5240170780644</v>
      </c>
      <c r="O30" s="351">
        <f ca="1">IF(O27&gt;1,PMT('ASSUM 1'!$S$42/2,'ASSUM 1'!$S$32*IF('ASSUM 1'!$S$34="semi",2,1),-(($C$20))),0)</f>
        <v>6022.5240170780644</v>
      </c>
      <c r="P30" s="351">
        <f ca="1">IF(P27&gt;1,PMT('ASSUM 1'!$S$42/2,'ASSUM 1'!$S$32*IF('ASSUM 1'!$S$34="semi",2,1),-(($C$20))),0)</f>
        <v>6022.5240170780644</v>
      </c>
      <c r="Q30" s="351">
        <f ca="1">IF(Q27&gt;1,PMT('ASSUM 1'!$S$42/2,'ASSUM 1'!$S$32*IF('ASSUM 1'!$S$34="semi",2,1),-(($C$20))),0)</f>
        <v>6022.5240170780644</v>
      </c>
      <c r="R30" s="351">
        <f ca="1">IF(R27&gt;1,PMT('ASSUM 1'!$S$42/2,'ASSUM 1'!$S$32*IF('ASSUM 1'!$S$34="semi",2,1),-(($C$20))),0)</f>
        <v>6022.5240170780644</v>
      </c>
      <c r="S30" s="351">
        <f ca="1">IF(S27&gt;1,PMT('ASSUM 1'!$S$42/2,'ASSUM 1'!$S$32*IF('ASSUM 1'!$S$34="semi",2,1),-(($C$20))),0)</f>
        <v>0</v>
      </c>
      <c r="T30" s="358"/>
    </row>
    <row r="31" spans="1:33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33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9369.68</v>
      </c>
      <c r="E34" s="351">
        <f t="shared" ca="1" si="6"/>
        <v>9055.4599999999991</v>
      </c>
      <c r="F34" s="351">
        <f t="shared" ca="1" si="6"/>
        <v>8740.07</v>
      </c>
      <c r="G34" s="351">
        <f t="shared" ca="1" si="6"/>
        <v>8341.75</v>
      </c>
      <c r="H34" s="351">
        <f t="shared" ca="1" si="6"/>
        <v>7986.67</v>
      </c>
      <c r="I34" s="351">
        <f t="shared" ca="1" si="6"/>
        <v>7817.75</v>
      </c>
      <c r="J34" s="351">
        <f t="shared" ca="1" si="6"/>
        <v>7293.27</v>
      </c>
      <c r="K34" s="351">
        <f t="shared" ca="1" si="6"/>
        <v>6428.6</v>
      </c>
      <c r="L34" s="351">
        <f t="shared" ca="1" si="6"/>
        <v>5491.87</v>
      </c>
      <c r="M34" s="351">
        <f t="shared" ca="1" si="6"/>
        <v>4594.12</v>
      </c>
      <c r="N34" s="351">
        <f t="shared" ca="1" si="6"/>
        <v>3708.18</v>
      </c>
      <c r="O34" s="351">
        <f t="shared" ca="1" si="6"/>
        <v>2857.68</v>
      </c>
      <c r="P34" s="351">
        <f t="shared" ca="1" si="6"/>
        <v>2018.99</v>
      </c>
      <c r="Q34" s="351">
        <f t="shared" ca="1" si="6"/>
        <v>1227.56</v>
      </c>
      <c r="R34" s="351">
        <f t="shared" ca="1" si="6"/>
        <v>495.42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12429.68</v>
      </c>
      <c r="E36" s="351">
        <f t="shared" ca="1" si="8"/>
        <v>11845.46</v>
      </c>
      <c r="F36" s="351">
        <f t="shared" ca="1" si="8"/>
        <v>12385.07</v>
      </c>
      <c r="G36" s="351">
        <f t="shared" ca="1" si="8"/>
        <v>12580.75</v>
      </c>
      <c r="H36" s="351">
        <f t="shared" ca="1" si="8"/>
        <v>8796.67</v>
      </c>
      <c r="I36" s="351">
        <f t="shared" ca="1" si="8"/>
        <v>11822.75</v>
      </c>
      <c r="J36" s="351">
        <f t="shared" ca="1" si="8"/>
        <v>15258.27</v>
      </c>
      <c r="K36" s="351">
        <f t="shared" ca="1" si="8"/>
        <v>15473.6</v>
      </c>
      <c r="L36" s="351">
        <f t="shared" ca="1" si="8"/>
        <v>14041.869999999999</v>
      </c>
      <c r="M36" s="351">
        <f t="shared" ca="1" si="8"/>
        <v>13144.119999999999</v>
      </c>
      <c r="N36" s="351">
        <f t="shared" ca="1" si="8"/>
        <v>11808.18</v>
      </c>
      <c r="O36" s="351">
        <f t="shared" ca="1" si="8"/>
        <v>10957.68</v>
      </c>
      <c r="P36" s="351">
        <f t="shared" ca="1" si="8"/>
        <v>9668.9900000000016</v>
      </c>
      <c r="Q36" s="351">
        <f t="shared" ca="1" si="8"/>
        <v>8427.56</v>
      </c>
      <c r="R36" s="351">
        <f t="shared" ca="1" si="8"/>
        <v>6786.4200000000164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11643.396666666667</v>
      </c>
      <c r="D40" s="351">
        <f t="shared" ref="D40:R40" ca="1" si="9">C42</f>
        <v>11607.526</v>
      </c>
      <c r="E40" s="351">
        <f t="shared" ca="1" si="9"/>
        <v>11486.14</v>
      </c>
      <c r="F40" s="351">
        <f t="shared" ca="1" si="9"/>
        <v>12168.701999999999</v>
      </c>
      <c r="G40" s="351">
        <f t="shared" ca="1" si="9"/>
        <v>12786.408000000001</v>
      </c>
      <c r="H40" s="351">
        <f t="shared" ca="1" si="9"/>
        <v>13078.632000000003</v>
      </c>
      <c r="I40" s="351">
        <f t="shared" ca="1" si="9"/>
        <v>13948.121999999998</v>
      </c>
      <c r="J40" s="351">
        <f t="shared" ca="1" si="9"/>
        <v>13945.208000000004</v>
      </c>
      <c r="K40" s="351">
        <f t="shared" ca="1" si="9"/>
        <v>13085.090000000002</v>
      </c>
      <c r="L40" s="351">
        <f t="shared" ca="1" si="9"/>
        <v>11924.168</v>
      </c>
      <c r="M40" s="351">
        <f t="shared" ca="1" si="9"/>
        <v>10801.306</v>
      </c>
      <c r="N40" s="351">
        <f t="shared" ca="1" si="9"/>
        <v>9529.7660000000033</v>
      </c>
      <c r="O40" s="351">
        <f t="shared" ca="1" si="9"/>
        <v>7168.1300000000047</v>
      </c>
      <c r="P40" s="351">
        <f t="shared" ca="1" si="9"/>
        <v>6220.7425000000048</v>
      </c>
      <c r="Q40" s="351">
        <f t="shared" ca="1" si="9"/>
        <v>5071.3266666666723</v>
      </c>
      <c r="R40" s="351">
        <f t="shared" ca="1" si="9"/>
        <v>3393.2100000000082</v>
      </c>
      <c r="S40" s="351"/>
    </row>
    <row r="41" spans="1:23">
      <c r="A41" s="337" t="s">
        <v>328</v>
      </c>
      <c r="C41" s="364">
        <f ca="1">C40-((AVERAGE(D36:H36))*'ASSUM 1'!$Q$46/12)</f>
        <v>35.870666666667603</v>
      </c>
      <c r="D41" s="364">
        <f ca="1">D40-((AVERAGE(E36:I36))*'ASSUM 1'!$Q$46/12)</f>
        <v>121.38600000000042</v>
      </c>
      <c r="E41" s="364">
        <f ca="1">E40-((AVERAGE(F36:J36))*'ASSUM 1'!$Q$46/12)</f>
        <v>-682.5619999999999</v>
      </c>
      <c r="F41" s="364">
        <f ca="1">F40-((AVERAGE(G36:K36))*'ASSUM 1'!$Q$46/12)</f>
        <v>-617.70600000000195</v>
      </c>
      <c r="G41" s="364">
        <f ca="1">G40-((AVERAGE(H36:L36))*'ASSUM 1'!$Q$46/12)</f>
        <v>-292.22400000000198</v>
      </c>
      <c r="H41" s="364">
        <f ca="1">H40-((AVERAGE(I36:M36))*'ASSUM 1'!$Q$46/12)</f>
        <v>-869.48999999999432</v>
      </c>
      <c r="I41" s="364">
        <f ca="1">I40-((AVERAGE(J36:N36))*'ASSUM 1'!$Q$46/12)</f>
        <v>2.9139999999933934</v>
      </c>
      <c r="J41" s="364">
        <f ca="1">J40-((AVERAGE(K36:O36))*'ASSUM 1'!$Q$46/12)</f>
        <v>860.11800000000221</v>
      </c>
      <c r="K41" s="364">
        <f ca="1">K40-((AVERAGE(L36:P36))*'ASSUM 1'!$Q$46/12)</f>
        <v>1160.9220000000023</v>
      </c>
      <c r="L41" s="364">
        <f ca="1">L40-((AVERAGE(M36:Q36))*'ASSUM 1'!$Q$46/12)</f>
        <v>1122.8619999999992</v>
      </c>
      <c r="M41" s="364">
        <f ca="1">M40-((AVERAGE(N36:R36))*'ASSUM 1'!$Q$46/12)</f>
        <v>1271.5399999999972</v>
      </c>
      <c r="N41" s="364">
        <f ca="1">N40-((AVERAGE(O36:S36))*'ASSUM 1'!$Q$46/12)</f>
        <v>2361.6359999999986</v>
      </c>
      <c r="O41" s="364">
        <f ca="1">O40-((AVERAGE(P36:T36))*'ASSUM 1'!$Q$46/12)</f>
        <v>947.38749999999982</v>
      </c>
      <c r="P41" s="364">
        <f ca="1">P40-((AVERAGE(Q36:U36))*'ASSUM 1'!$Q$46/12)</f>
        <v>1149.4158333333326</v>
      </c>
      <c r="Q41" s="364">
        <f ca="1">Q40-((AVERAGE(R36:V36))*'ASSUM 1'!$Q$46/12)</f>
        <v>1678.1166666666641</v>
      </c>
      <c r="R41" s="364">
        <f ca="1">R40-((AVERAGE(S36:W36))*'ASSUM 1'!$Q$46/12)</f>
        <v>3393.2100000000082</v>
      </c>
      <c r="S41" s="364"/>
    </row>
    <row r="42" spans="1:23">
      <c r="A42" s="337"/>
      <c r="C42" s="351">
        <f t="shared" ref="C42:R42" ca="1" si="10">C40-C41</f>
        <v>11607.526</v>
      </c>
      <c r="D42" s="351">
        <f t="shared" ca="1" si="10"/>
        <v>11486.14</v>
      </c>
      <c r="E42" s="351">
        <f t="shared" ca="1" si="10"/>
        <v>12168.701999999999</v>
      </c>
      <c r="F42" s="351">
        <f t="shared" ca="1" si="10"/>
        <v>12786.408000000001</v>
      </c>
      <c r="G42" s="351">
        <f t="shared" ca="1" si="10"/>
        <v>13078.632000000003</v>
      </c>
      <c r="H42" s="351">
        <f t="shared" ca="1" si="10"/>
        <v>13948.121999999998</v>
      </c>
      <c r="I42" s="351">
        <f t="shared" ca="1" si="10"/>
        <v>13945.208000000004</v>
      </c>
      <c r="J42" s="351">
        <f t="shared" ca="1" si="10"/>
        <v>13085.090000000002</v>
      </c>
      <c r="K42" s="351">
        <f t="shared" ca="1" si="10"/>
        <v>11924.168</v>
      </c>
      <c r="L42" s="351">
        <f t="shared" ca="1" si="10"/>
        <v>10801.306</v>
      </c>
      <c r="M42" s="351">
        <f t="shared" ca="1" si="10"/>
        <v>9529.7660000000033</v>
      </c>
      <c r="N42" s="351">
        <f t="shared" ca="1" si="10"/>
        <v>7168.1300000000047</v>
      </c>
      <c r="O42" s="351">
        <f t="shared" ca="1" si="10"/>
        <v>6220.7425000000048</v>
      </c>
      <c r="P42" s="351">
        <f t="shared" ca="1" si="10"/>
        <v>5071.3266666666723</v>
      </c>
      <c r="Q42" s="351">
        <f t="shared" ca="1" si="10"/>
        <v>3393.2100000000082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92.860208</v>
      </c>
      <c r="D44" s="351">
        <f ca="1">D42*'ASSUM 1'!$S$46</f>
        <v>91.889119999999991</v>
      </c>
      <c r="E44" s="351">
        <f ca="1">E42*'ASSUM 1'!$S$46</f>
        <v>97.349615999999997</v>
      </c>
      <c r="F44" s="351">
        <f ca="1">F42*'ASSUM 1'!$S$46</f>
        <v>102.29126400000001</v>
      </c>
      <c r="G44" s="351">
        <f ca="1">G42*'ASSUM 1'!$S$46</f>
        <v>104.62905600000003</v>
      </c>
      <c r="H44" s="351">
        <f ca="1">H42*'ASSUM 1'!$S$46</f>
        <v>111.58497599999998</v>
      </c>
      <c r="I44" s="351">
        <f ca="1">I42*'ASSUM 1'!$S$46</f>
        <v>111.56166400000004</v>
      </c>
      <c r="J44" s="351">
        <f ca="1">J42*'ASSUM 1'!$S$46</f>
        <v>104.68072000000002</v>
      </c>
      <c r="K44" s="351">
        <f ca="1">K42*'ASSUM 1'!$S$46</f>
        <v>95.393343999999999</v>
      </c>
      <c r="L44" s="351">
        <f ca="1">L42*'ASSUM 1'!$S$46</f>
        <v>86.410448000000002</v>
      </c>
      <c r="M44" s="351">
        <f ca="1">M42*'ASSUM 1'!$S$46</f>
        <v>76.238128000000032</v>
      </c>
      <c r="N44" s="351">
        <f ca="1">N42*'ASSUM 1'!$S$46</f>
        <v>57.34504000000004</v>
      </c>
      <c r="O44" s="351">
        <f ca="1">O42*'ASSUM 1'!$S$46</f>
        <v>49.765940000000043</v>
      </c>
      <c r="P44" s="351">
        <f ca="1">P42*'ASSUM 1'!$S$46</f>
        <v>40.570613333333377</v>
      </c>
      <c r="Q44" s="351">
        <f ca="1">Q42*'ASSUM 1'!$S$46</f>
        <v>27.145680000000066</v>
      </c>
      <c r="R44" s="351">
        <f ca="1">R42*'ASSUM 1'!$S$46</f>
        <v>0</v>
      </c>
      <c r="S44" s="351"/>
    </row>
    <row r="45" spans="1:23"/>
    <row r="46" spans="1:23"/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770883.07418599236</v>
      </c>
      <c r="C48" s="778">
        <f ca="1">C47*C30</f>
        <v>3011.2620085390322</v>
      </c>
      <c r="D48" s="778">
        <f t="shared" ref="D48:W48" ca="1" si="11">D47*D30</f>
        <v>9033.786025617097</v>
      </c>
      <c r="E48" s="778">
        <f t="shared" ca="1" si="11"/>
        <v>15056.310042695161</v>
      </c>
      <c r="F48" s="778">
        <f t="shared" ca="1" si="11"/>
        <v>21078.834059773224</v>
      </c>
      <c r="G48" s="778">
        <f t="shared" ca="1" si="11"/>
        <v>27101.358076851291</v>
      </c>
      <c r="H48" s="778">
        <f t="shared" ca="1" si="11"/>
        <v>33123.882093929351</v>
      </c>
      <c r="I48" s="778">
        <f t="shared" ca="1" si="11"/>
        <v>39146.406111007418</v>
      </c>
      <c r="J48" s="778">
        <f t="shared" ca="1" si="11"/>
        <v>45168.930128085485</v>
      </c>
      <c r="K48" s="778">
        <f t="shared" ca="1" si="11"/>
        <v>51191.454145163545</v>
      </c>
      <c r="L48" s="778">
        <f t="shared" ca="1" si="11"/>
        <v>57213.978162241612</v>
      </c>
      <c r="M48" s="778">
        <f t="shared" ca="1" si="11"/>
        <v>63236.502179319679</v>
      </c>
      <c r="N48" s="778">
        <f t="shared" ca="1" si="11"/>
        <v>69259.026196397739</v>
      </c>
      <c r="O48" s="778">
        <f t="shared" ca="1" si="11"/>
        <v>75281.550213475799</v>
      </c>
      <c r="P48" s="778">
        <f t="shared" ca="1" si="11"/>
        <v>81304.074230553873</v>
      </c>
      <c r="Q48" s="778">
        <f t="shared" ca="1" si="11"/>
        <v>87326.598247631933</v>
      </c>
      <c r="R48" s="778">
        <f t="shared" ca="1" si="11"/>
        <v>93349.122264709993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13.210317490955473</v>
      </c>
    </row>
    <row r="56" spans="1:23"/>
    <row r="57" spans="1:23"/>
    <row r="58" spans="1:23"/>
    <row r="59" spans="1:23"/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62"/>
  <sheetViews>
    <sheetView showOutlineSymbols="0" view="pageBreakPreview" topLeftCell="A43" zoomScale="60" zoomScaleNormal="75" workbookViewId="0">
      <selection activeCell="F32" sqref="F32"/>
    </sheetView>
  </sheetViews>
  <sheetFormatPr defaultColWidth="9.81640625" defaultRowHeight="15.6"/>
  <cols>
    <col min="1" max="1" width="28.81640625" style="369" customWidth="1"/>
    <col min="2" max="16384" width="9.81640625" style="369"/>
  </cols>
  <sheetData>
    <row r="1" spans="1:33" ht="22.2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33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33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33">
      <c r="A4" s="368"/>
      <c r="B4" s="367"/>
      <c r="C4" s="376"/>
      <c r="D4" s="376"/>
      <c r="E4" s="376"/>
      <c r="F4" s="376"/>
      <c r="G4" s="376"/>
      <c r="H4" s="376"/>
      <c r="I4" s="376"/>
    </row>
    <row r="5" spans="1:33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33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33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33" ht="16.2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33" ht="16.2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33" ht="16.2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33" ht="16.2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33" ht="16.2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33" ht="16.2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33" ht="16.2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33" ht="16.2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33" ht="16.2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33" ht="16.2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33" ht="16.2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33" ht="16.2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33" ht="16.2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33" ht="16.2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33" ht="16.2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33" ht="16.2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33" ht="16.2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33" ht="16.2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33" ht="16.2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33" ht="16.2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33" ht="16.2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33" ht="16.2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33" ht="16.2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33" ht="16.2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33" ht="16.2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 ht="16.2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 ht="16.2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 ht="16.2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 ht="16.2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 ht="16.2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 ht="16.2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 ht="16.2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 ht="16.2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 ht="16.2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 ht="16.2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 ht="16.2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 ht="16.2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 ht="16.2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 ht="16.2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 ht="16.2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 ht="16.2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 ht="16.2">
      <c r="A49" s="382" t="str">
        <f>'ASSUM 2'!A49</f>
        <v xml:space="preserve">Debt Reserve </v>
      </c>
      <c r="B49" s="367">
        <f ca="1">'ASSUM 2'!E49</f>
        <v>11.643396666666668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 ht="16.2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 ht="16.2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 ht="16.2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 ht="16.2">
      <c r="A53" s="382" t="str">
        <f>'ASSUM 2'!A53</f>
        <v xml:space="preserve">   Total Soft Costs</v>
      </c>
      <c r="B53" s="367">
        <f ca="1">SUM(B33:B52)</f>
        <v>23.082015676357056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 ht="16.2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 ht="16.2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 ht="16.2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 ht="16.2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 ht="16.2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 ht="16.2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 ht="16.2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171.55646545655065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133"/>
  <sheetViews>
    <sheetView showOutlineSymbols="0" view="pageBreakPreview" zoomScale="60" zoomScaleNormal="75" workbookViewId="0">
      <selection activeCell="A107" sqref="A107"/>
    </sheetView>
  </sheetViews>
  <sheetFormatPr defaultColWidth="9.81640625" defaultRowHeight="15.6"/>
  <cols>
    <col min="1" max="1" width="25.81640625" style="406" customWidth="1"/>
    <col min="2" max="2" width="4.81640625" style="406" customWidth="1"/>
    <col min="3" max="8" width="9.81640625" style="406" customWidth="1"/>
    <col min="9" max="9" width="11.6328125" style="406" customWidth="1"/>
    <col min="10" max="16384" width="9.81640625" style="406"/>
  </cols>
  <sheetData>
    <row r="1" spans="1:33" ht="22.2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33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33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33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33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33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33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33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33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33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33" ht="16.2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33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33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33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33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33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33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33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33" ht="16.2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33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33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33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33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33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33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33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33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33" ht="16.2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33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33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33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33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 ht="16.2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11.643396666666668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11643.396666666667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23.082015676357056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 ht="16.2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-76.719557739967556</v>
      </c>
      <c r="J65" s="427">
        <f t="shared" ca="1" si="3"/>
        <v>-39.871751741034011</v>
      </c>
      <c r="K65" s="427">
        <f t="shared" ca="1" si="3"/>
        <v>-16.202219813359019</v>
      </c>
      <c r="L65" s="427">
        <f t="shared" ca="1" si="3"/>
        <v>-1.1373145935067442E-5</v>
      </c>
      <c r="M65" s="427">
        <f t="shared" ca="1" si="3"/>
        <v>-1.1373145935067442E-5</v>
      </c>
      <c r="N65" s="427">
        <f t="shared" ca="1" si="3"/>
        <v>-1.1373145935067442E-5</v>
      </c>
      <c r="O65" s="427">
        <f t="shared" ca="1" si="3"/>
        <v>4724.9999886268542</v>
      </c>
      <c r="P65" s="427">
        <f t="shared" ca="1" si="3"/>
        <v>-1.1373145935067442E-5</v>
      </c>
      <c r="Q65" s="427">
        <f t="shared" ca="1" si="3"/>
        <v>-1.1373145935067442E-5</v>
      </c>
      <c r="R65" s="427">
        <f t="shared" ca="1" si="3"/>
        <v>-1.1373145935067442E-5</v>
      </c>
      <c r="S65" s="427">
        <f t="shared" ca="1" si="3"/>
        <v>-1.1373145935067442E-5</v>
      </c>
      <c r="T65" s="427">
        <f t="shared" ca="1" si="3"/>
        <v>-1.1373145935067442E-5</v>
      </c>
      <c r="U65" s="427">
        <f t="shared" ca="1" si="3"/>
        <v>-1.1373145935067442E-5</v>
      </c>
      <c r="V65" s="427">
        <f t="shared" ca="1" si="3"/>
        <v>-1.1373145935067442E-5</v>
      </c>
      <c r="W65" s="427">
        <f t="shared" ca="1" si="3"/>
        <v>-1.1373145935067442E-5</v>
      </c>
      <c r="X65" s="427">
        <f t="shared" ca="1" si="3"/>
        <v>-1.1373145935067442E-5</v>
      </c>
      <c r="Y65" s="427">
        <f t="shared" ca="1" si="3"/>
        <v>-1.1373145935067442E-5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89999.997270444976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71587.30614240779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86148.674497587184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-43759.75201300453</v>
      </c>
      <c r="J69" s="437">
        <f t="shared" ca="1" si="5"/>
        <v>-39.871751741034011</v>
      </c>
      <c r="K69" s="437">
        <f t="shared" ca="1" si="5"/>
        <v>-16.202219813359019</v>
      </c>
      <c r="L69" s="437">
        <f t="shared" ca="1" si="5"/>
        <v>2644.0699886268544</v>
      </c>
      <c r="M69" s="437">
        <f t="shared" ca="1" si="5"/>
        <v>6532.6000142779967</v>
      </c>
      <c r="N69" s="437">
        <f t="shared" ca="1" si="5"/>
        <v>9684.6757574118237</v>
      </c>
      <c r="O69" s="437">
        <f t="shared" ca="1" si="5"/>
        <v>14409.675757411824</v>
      </c>
      <c r="P69" s="437">
        <f t="shared" ca="1" si="5"/>
        <v>17088.157296795249</v>
      </c>
      <c r="Q69" s="437">
        <f t="shared" ca="1" si="5"/>
        <v>11408.741543400958</v>
      </c>
      <c r="R69" s="437">
        <f t="shared" ca="1" si="5"/>
        <v>11408.741543400958</v>
      </c>
      <c r="S69" s="437">
        <f t="shared" ca="1" si="5"/>
        <v>13104.80619379478</v>
      </c>
      <c r="T69" s="437">
        <f t="shared" ca="1" si="5"/>
        <v>-1.1373145935067442E-5</v>
      </c>
      <c r="U69" s="437">
        <f t="shared" ca="1" si="5"/>
        <v>-1.1373145935067442E-5</v>
      </c>
      <c r="V69" s="437">
        <f t="shared" ca="1" si="5"/>
        <v>-1.1373145935067442E-5</v>
      </c>
      <c r="W69" s="437">
        <f t="shared" ca="1" si="5"/>
        <v>-1.1373145935067442E-5</v>
      </c>
      <c r="X69" s="437">
        <f t="shared" ca="1" si="5"/>
        <v>-1.1373145935067442E-5</v>
      </c>
      <c r="Y69" s="437">
        <f t="shared" ca="1" si="5"/>
        <v>-1.1373145935067442E-5</v>
      </c>
      <c r="Z69" s="403"/>
      <c r="AA69" s="403"/>
    </row>
    <row r="70" spans="1:27" ht="16.2">
      <c r="A70" s="418" t="s">
        <v>337</v>
      </c>
      <c r="B70" s="418"/>
      <c r="C70" s="438">
        <f ca="1">C68+C69</f>
        <v>176148.67176803216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27827.554129403259</v>
      </c>
      <c r="J70" s="440">
        <f t="shared" ca="1" si="6"/>
        <v>8803.6016880030165</v>
      </c>
      <c r="K70" s="440">
        <f t="shared" ca="1" si="6"/>
        <v>5664.4854428286399</v>
      </c>
      <c r="L70" s="440">
        <f t="shared" ca="1" si="6"/>
        <v>6532.6000142779967</v>
      </c>
      <c r="M70" s="440">
        <f t="shared" ca="1" si="6"/>
        <v>6532.6000142779967</v>
      </c>
      <c r="N70" s="440">
        <f t="shared" ca="1" si="6"/>
        <v>9684.6757574118237</v>
      </c>
      <c r="O70" s="440">
        <f t="shared" ca="1" si="6"/>
        <v>14409.675757411824</v>
      </c>
      <c r="P70" s="440">
        <f t="shared" ca="1" si="6"/>
        <v>17088.157296795249</v>
      </c>
      <c r="Q70" s="440">
        <f t="shared" ca="1" si="6"/>
        <v>11408.741543400958</v>
      </c>
      <c r="R70" s="440">
        <f t="shared" ca="1" si="6"/>
        <v>11408.741543400958</v>
      </c>
      <c r="S70" s="440">
        <f t="shared" ca="1" si="6"/>
        <v>13104.80619379478</v>
      </c>
      <c r="T70" s="440">
        <f t="shared" ca="1" si="6"/>
        <v>-1.1373145935067442E-5</v>
      </c>
      <c r="U70" s="440">
        <f t="shared" ca="1" si="6"/>
        <v>-1.1373145935067442E-5</v>
      </c>
      <c r="V70" s="440">
        <f t="shared" ca="1" si="6"/>
        <v>-1.1373145935067442E-5</v>
      </c>
      <c r="W70" s="440">
        <f t="shared" ca="1" si="6"/>
        <v>-1.1373145935067442E-5</v>
      </c>
      <c r="X70" s="440">
        <f t="shared" ca="1" si="6"/>
        <v>-1.1373145935067442E-5</v>
      </c>
      <c r="Y70" s="440">
        <f t="shared" ca="1" si="6"/>
        <v>-1.1373145935067442E-5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171.55646545655065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27904.273687143235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46316.964815180421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27904.273687143235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136503.9526930289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27904.273687143235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2.2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0.06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4.4999999999999998E-2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71587.30614240779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71587.30614240779</v>
      </c>
      <c r="J103" s="427">
        <f ca="1">SUM($D$102:J102)</f>
        <v>80430.779582151838</v>
      </c>
      <c r="K103" s="427">
        <f ca="1">SUM($D$102:K102)</f>
        <v>86111.467244793836</v>
      </c>
      <c r="L103" s="453">
        <f ca="1">SUM($D$102:L102)</f>
        <v>89999.997270444976</v>
      </c>
      <c r="M103" s="427">
        <f ca="1">SUM($D$102:M102)</f>
        <v>89999.997270444976</v>
      </c>
      <c r="N103" s="427">
        <f ca="1">SUM($D$102:N102)</f>
        <v>89999.997270444976</v>
      </c>
      <c r="O103" s="427">
        <f ca="1">SUM($D$102:O102)</f>
        <v>89999.997270444976</v>
      </c>
      <c r="P103" s="427">
        <f ca="1">SUM($D$102:P102)</f>
        <v>89999.997270444976</v>
      </c>
      <c r="Q103" s="427">
        <f ca="1">SUM($D$102:Q102)</f>
        <v>89999.997270444976</v>
      </c>
      <c r="R103" s="427">
        <f ca="1">SUM($D$102:R102)</f>
        <v>89999.997270444976</v>
      </c>
      <c r="S103" s="427">
        <f ca="1">SUM($D$102:S102)</f>
        <v>89999.997270444976</v>
      </c>
      <c r="T103" s="427">
        <f ca="1">SUM($D$102:T102)</f>
        <v>89999.997270444976</v>
      </c>
      <c r="U103" s="427">
        <f ca="1">SUM($D$102:U102)</f>
        <v>89999.997270444976</v>
      </c>
      <c r="V103" s="427">
        <f ca="1">SUM($D$102:V102)</f>
        <v>89999.997270444976</v>
      </c>
      <c r="W103" s="427">
        <f ca="1">SUM($D$102:W102)</f>
        <v>89999.997270444976</v>
      </c>
      <c r="X103" s="427">
        <f ca="1">SUM($D$102:X102)</f>
        <v>89999.997270444976</v>
      </c>
      <c r="Y103" s="427">
        <f ca="1">SUM($D$102:Y102)</f>
        <v>89999.997270444976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18412.69385759221</v>
      </c>
      <c r="J104" s="427">
        <f t="shared" ca="1" si="12"/>
        <v>9569.2204178481625</v>
      </c>
      <c r="K104" s="427">
        <f t="shared" ca="1" si="12"/>
        <v>3888.5327552061644</v>
      </c>
      <c r="L104" s="427">
        <f t="shared" ca="1" si="12"/>
        <v>2.7295550244161859E-3</v>
      </c>
      <c r="M104" s="427">
        <f t="shared" ca="1" si="12"/>
        <v>2.7295550244161859E-3</v>
      </c>
      <c r="N104" s="427">
        <f t="shared" ca="1" si="12"/>
        <v>2.7295550244161859E-3</v>
      </c>
      <c r="O104" s="427">
        <f t="shared" ca="1" si="12"/>
        <v>2.7295550244161859E-3</v>
      </c>
      <c r="P104" s="427">
        <f t="shared" ca="1" si="12"/>
        <v>2.7295550244161859E-3</v>
      </c>
      <c r="Q104" s="427">
        <f t="shared" ca="1" si="12"/>
        <v>2.7295550244161859E-3</v>
      </c>
      <c r="R104" s="427">
        <f t="shared" ca="1" si="12"/>
        <v>2.7295550244161859E-3</v>
      </c>
      <c r="S104" s="427">
        <f t="shared" ca="1" si="12"/>
        <v>2.7295550244161859E-3</v>
      </c>
      <c r="T104" s="427">
        <f t="shared" ca="1" si="12"/>
        <v>2.7295550244161859E-3</v>
      </c>
      <c r="U104" s="427">
        <f t="shared" ca="1" si="12"/>
        <v>2.7295550244161859E-3</v>
      </c>
      <c r="V104" s="427">
        <f t="shared" ca="1" si="12"/>
        <v>2.7295550244161859E-3</v>
      </c>
      <c r="W104" s="427">
        <f t="shared" ca="1" si="12"/>
        <v>2.7295550244161859E-3</v>
      </c>
      <c r="X104" s="427">
        <f t="shared" ca="1" si="12"/>
        <v>2.7295550244161859E-3</v>
      </c>
      <c r="Y104" s="427">
        <f t="shared" ca="1" si="12"/>
        <v>2.7295550244161859E-3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0.105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4725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0.105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4725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76.719557739967556</v>
      </c>
      <c r="J111" s="427">
        <f ca="1">IF(J9&gt;=1,+J104*'ASSUM 1'!S43/12,0)</f>
        <v>39.871751741034011</v>
      </c>
      <c r="K111" s="427">
        <f ca="1">IF(K9&gt;=1,+K104*'ASSUM 1'!S43/12,0)</f>
        <v>16.202219813359019</v>
      </c>
      <c r="L111" s="427">
        <f ca="1">IF(L9&gt;=1,+L104*'ASSUM 1'!S43/12,0)</f>
        <v>1.1373145935067442E-5</v>
      </c>
      <c r="M111" s="427">
        <f ca="1">IF(M9&gt;=1,+M104*'ASSUM 1'!S43/12,0)</f>
        <v>1.1373145935067442E-5</v>
      </c>
      <c r="N111" s="427">
        <f ca="1">IF(N9&gt;=1,+N104*'ASSUM 1'!S43/12,0)</f>
        <v>1.1373145935067442E-5</v>
      </c>
      <c r="O111" s="427">
        <f ca="1">IF(O9&gt;=1,+O104*'ASSUM 1'!S43/12,0)</f>
        <v>1.1373145935067442E-5</v>
      </c>
      <c r="P111" s="427">
        <f ca="1">IF(P9&gt;=1,+P104*'ASSUM 1'!S43/12,0)</f>
        <v>1.1373145935067442E-5</v>
      </c>
      <c r="Q111" s="427">
        <f ca="1">IF(Q9&gt;=1,+Q104*'ASSUM 1'!S43/12,0)</f>
        <v>1.1373145935067442E-5</v>
      </c>
      <c r="R111" s="427">
        <f ca="1">IF(R9&gt;=1,+R104*'ASSUM 1'!S43/12,0)</f>
        <v>1.1373145935067442E-5</v>
      </c>
      <c r="S111" s="427">
        <f ca="1">IF(S9&gt;=1,+S104*'ASSUM 1'!S43/12,0)</f>
        <v>1.1373145935067442E-5</v>
      </c>
      <c r="T111" s="427">
        <f ca="1">IF(T9&gt;=1,+T104*'ASSUM 1'!S43/12,0)</f>
        <v>1.1373145935067442E-5</v>
      </c>
      <c r="U111" s="427">
        <f ca="1">IF(U9&gt;=1,+U104*'ASSUM 1'!S43/12,0)</f>
        <v>1.1373145935067442E-5</v>
      </c>
      <c r="V111" s="427">
        <f ca="1">IF(V9&gt;=1,+V104*'ASSUM 1'!S43/12,0)</f>
        <v>1.1373145935067442E-5</v>
      </c>
      <c r="W111" s="427">
        <f ca="1">IF(W9&gt;=1,+W104*'ASSUM 1'!S43/12,0)</f>
        <v>1.1373145935067442E-5</v>
      </c>
      <c r="X111" s="427">
        <f ca="1">IF(X9&gt;=1,+X104*'ASSUM 1'!S43/12,0)</f>
        <v>1.1373145935067442E-5</v>
      </c>
      <c r="Y111" s="427">
        <f ca="1">IF(Y9&gt;=1,+Y104*'ASSUM 1'!S43/12,0)</f>
        <v>1.1373145935067442E-5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4725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-76.719557739967556</v>
      </c>
      <c r="J113" s="427">
        <f t="shared" ca="1" si="17"/>
        <v>-39.871751741034011</v>
      </c>
      <c r="K113" s="427">
        <f t="shared" ca="1" si="17"/>
        <v>-16.202219813359019</v>
      </c>
      <c r="L113" s="427">
        <f t="shared" ca="1" si="17"/>
        <v>-1.1373145935067442E-5</v>
      </c>
      <c r="M113" s="427">
        <f t="shared" ca="1" si="17"/>
        <v>-1.1373145935067442E-5</v>
      </c>
      <c r="N113" s="427">
        <f t="shared" ca="1" si="17"/>
        <v>-1.1373145935067442E-5</v>
      </c>
      <c r="O113" s="427">
        <f t="shared" ca="1" si="17"/>
        <v>4724.9999886268542</v>
      </c>
      <c r="P113" s="427">
        <f t="shared" ca="1" si="17"/>
        <v>-1.1373145935067442E-5</v>
      </c>
      <c r="Q113" s="427">
        <f t="shared" ca="1" si="17"/>
        <v>-1.1373145935067442E-5</v>
      </c>
      <c r="R113" s="427">
        <f t="shared" ca="1" si="17"/>
        <v>-1.1373145935067442E-5</v>
      </c>
      <c r="S113" s="427">
        <f t="shared" ca="1" si="17"/>
        <v>-1.1373145935067442E-5</v>
      </c>
      <c r="T113" s="427">
        <f t="shared" ca="1" si="17"/>
        <v>-1.1373145935067442E-5</v>
      </c>
      <c r="U113" s="427">
        <f t="shared" ca="1" si="17"/>
        <v>-1.1373145935067442E-5</v>
      </c>
      <c r="V113" s="427">
        <f t="shared" ca="1" si="17"/>
        <v>-1.1373145935067442E-5</v>
      </c>
      <c r="W113" s="427">
        <f t="shared" ca="1" si="17"/>
        <v>-1.1373145935067442E-5</v>
      </c>
      <c r="X113" s="427">
        <f t="shared" ca="1" si="17"/>
        <v>-1.1373145935067442E-5</v>
      </c>
      <c r="Y113" s="427">
        <f t="shared" ca="1" si="17"/>
        <v>-1.1373145935067442E-5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7.399999999999999">
      <c r="A115" s="455" t="s">
        <v>358</v>
      </c>
      <c r="B115" s="456"/>
      <c r="C115" s="417"/>
      <c r="D115" s="457">
        <f ca="1">SUM(D113:Z113)</f>
        <v>4592.2063114815983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7.399999999999999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176148.67176803222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27827.554129403266</v>
      </c>
      <c r="J121" s="427">
        <f t="shared" ca="1" si="18"/>
        <v>8803.6016880030165</v>
      </c>
      <c r="K121" s="427">
        <f t="shared" ca="1" si="18"/>
        <v>5664.4854428286399</v>
      </c>
      <c r="L121" s="427">
        <f t="shared" ca="1" si="18"/>
        <v>6532.6000142779967</v>
      </c>
      <c r="M121" s="427">
        <f t="shared" ca="1" si="18"/>
        <v>6532.6000142779967</v>
      </c>
      <c r="N121" s="427">
        <f t="shared" ca="1" si="18"/>
        <v>9684.6757574118237</v>
      </c>
      <c r="O121" s="427">
        <f t="shared" ca="1" si="18"/>
        <v>14409.675757411824</v>
      </c>
      <c r="P121" s="427">
        <f t="shared" ca="1" si="18"/>
        <v>17088.157296795249</v>
      </c>
      <c r="Q121" s="427">
        <f t="shared" ca="1" si="18"/>
        <v>11408.741543400958</v>
      </c>
      <c r="R121" s="427">
        <f t="shared" ca="1" si="18"/>
        <v>11408.741543400958</v>
      </c>
      <c r="S121" s="427">
        <f t="shared" ca="1" si="18"/>
        <v>13104.80619379478</v>
      </c>
      <c r="T121" s="427">
        <f t="shared" ca="1" si="18"/>
        <v>-1.1373145935067442E-5</v>
      </c>
      <c r="U121" s="427">
        <f t="shared" ca="1" si="18"/>
        <v>-1.1373145935067442E-5</v>
      </c>
      <c r="V121" s="427">
        <f t="shared" ca="1" si="18"/>
        <v>-1.1373145935067442E-5</v>
      </c>
      <c r="W121" s="427">
        <f t="shared" ca="1" si="18"/>
        <v>-1.1373145935067442E-5</v>
      </c>
      <c r="X121" s="427">
        <f t="shared" ca="1" si="18"/>
        <v>-1.1373145935067442E-5</v>
      </c>
      <c r="Y121" s="427">
        <f t="shared" ca="1" si="18"/>
        <v>-1.1373145935067442E-5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71510.586584667821</v>
      </c>
      <c r="J122" s="427">
        <f t="shared" ca="1" si="19"/>
        <v>80314.188272670843</v>
      </c>
      <c r="K122" s="427">
        <f t="shared" ca="1" si="19"/>
        <v>85978.673715499477</v>
      </c>
      <c r="L122" s="427">
        <f t="shared" ca="1" si="19"/>
        <v>92511.273729777473</v>
      </c>
      <c r="M122" s="427">
        <f t="shared" ca="1" si="19"/>
        <v>99043.873744055469</v>
      </c>
      <c r="N122" s="427">
        <f t="shared" ca="1" si="19"/>
        <v>108728.54950146729</v>
      </c>
      <c r="O122" s="427">
        <f t="shared" ca="1" si="19"/>
        <v>123138.22525887912</v>
      </c>
      <c r="P122" s="427">
        <f t="shared" ca="1" si="19"/>
        <v>140226.38255567435</v>
      </c>
      <c r="Q122" s="427">
        <f t="shared" ca="1" si="19"/>
        <v>151635.1240990753</v>
      </c>
      <c r="R122" s="427">
        <f t="shared" ca="1" si="19"/>
        <v>163043.86564247624</v>
      </c>
      <c r="S122" s="427">
        <f t="shared" ca="1" si="19"/>
        <v>176148.67183627104</v>
      </c>
      <c r="T122" s="427">
        <f t="shared" ca="1" si="19"/>
        <v>176148.6718248979</v>
      </c>
      <c r="U122" s="427">
        <f t="shared" ca="1" si="19"/>
        <v>176148.67181352476</v>
      </c>
      <c r="V122" s="427">
        <f t="shared" ca="1" si="19"/>
        <v>176148.67180215163</v>
      </c>
      <c r="W122" s="427">
        <f t="shared" ca="1" si="19"/>
        <v>176148.67179077849</v>
      </c>
      <c r="X122" s="427">
        <f t="shared" ca="1" si="19"/>
        <v>176148.67177940535</v>
      </c>
      <c r="Y122" s="427">
        <f t="shared" ca="1" si="19"/>
        <v>176148.67176803222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41209.653448594356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-43759.75201300453</v>
      </c>
      <c r="J125" s="467">
        <f ca="1">-IF(J101&gt;0,SUM($D$124:I125),0)+IF(YEAR(J$8)=$B$125,J$78+J113,0)</f>
        <v>-39.871751741034011</v>
      </c>
      <c r="K125" s="467">
        <f ca="1">-IF(K101&gt;0,SUM($D$124:J125),0)+IF(YEAR(K$8)=$B$125,K$78+K113,0)</f>
        <v>-16.202219813359019</v>
      </c>
      <c r="L125" s="467">
        <f ca="1">-IF(L101&gt;0,SUM($D$124:K125),0)+IF(YEAR(L$8)=$B$125,L$78+L113,0)</f>
        <v>2644.0699886268544</v>
      </c>
      <c r="M125" s="467">
        <f ca="1">-IF(M101&gt;0,SUM($D$124:L125),0)+IF(YEAR(M$8)=$B$125,M$78+M113,0)</f>
        <v>6532.6000142779967</v>
      </c>
      <c r="N125" s="467">
        <f ca="1">-IF(N101&gt;0,SUM($D$124:M125),0)+IF(YEAR(N$8)=$B$125,N$78+N113,0)</f>
        <v>9684.6757574118237</v>
      </c>
      <c r="O125" s="467">
        <f ca="1">-IF(O101&gt;0,SUM($D$124:N125),0)+IF(YEAR(O$8)=$B$125,O$78+O113,0)</f>
        <v>14409.675757411824</v>
      </c>
      <c r="P125" s="467">
        <f ca="1">-IF(P101&gt;0,SUM($D$124:O125),0)+IF(YEAR(P$8)=$B$125,P$78+P113,0)</f>
        <v>17088.157296795249</v>
      </c>
      <c r="Q125" s="467">
        <f ca="1">-IF(Q101&gt;0,SUM($D$124:P125),0)+IF(YEAR(Q$8)=$B$125,Q$78+Q113,0)</f>
        <v>11408.741543400958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24513.547668956853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11408.741543400958</v>
      </c>
      <c r="S126" s="437">
        <f t="shared" ca="1" si="21"/>
        <v>13104.80619379478</v>
      </c>
      <c r="T126" s="437">
        <f t="shared" ca="1" si="21"/>
        <v>-1.1373145935067442E-5</v>
      </c>
      <c r="U126" s="437">
        <f t="shared" ca="1" si="21"/>
        <v>-1.1373145935067442E-5</v>
      </c>
      <c r="V126" s="437">
        <f t="shared" ca="1" si="21"/>
        <v>-1.1373145935067442E-5</v>
      </c>
      <c r="W126" s="437">
        <f t="shared" ca="1" si="21"/>
        <v>-1.1373145935067442E-5</v>
      </c>
      <c r="X126" s="437">
        <f t="shared" ca="1" si="21"/>
        <v>-1.1373145935067442E-5</v>
      </c>
      <c r="Y126" s="437">
        <f t="shared" ca="1" si="21"/>
        <v>-1.1373145935067442E-5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86148.674497587199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-43759.75201300453</v>
      </c>
      <c r="J127" s="427">
        <f t="shared" ca="1" si="22"/>
        <v>-39.871751741034011</v>
      </c>
      <c r="K127" s="427">
        <f t="shared" ca="1" si="22"/>
        <v>-16.202219813359019</v>
      </c>
      <c r="L127" s="427">
        <f t="shared" ca="1" si="22"/>
        <v>2644.0699886268544</v>
      </c>
      <c r="M127" s="427">
        <f t="shared" ca="1" si="22"/>
        <v>6532.6000142779967</v>
      </c>
      <c r="N127" s="427">
        <f t="shared" ca="1" si="22"/>
        <v>9684.6757574118237</v>
      </c>
      <c r="O127" s="427">
        <f t="shared" ca="1" si="22"/>
        <v>14409.675757411824</v>
      </c>
      <c r="P127" s="427">
        <f t="shared" ca="1" si="22"/>
        <v>17088.157296795249</v>
      </c>
      <c r="Q127" s="427">
        <f t="shared" ca="1" si="22"/>
        <v>11408.741543400958</v>
      </c>
      <c r="R127" s="427">
        <f t="shared" ca="1" si="22"/>
        <v>11408.741543400958</v>
      </c>
      <c r="S127" s="427">
        <f t="shared" ca="1" si="22"/>
        <v>13104.80619379478</v>
      </c>
      <c r="T127" s="427">
        <f t="shared" ca="1" si="22"/>
        <v>-1.1373145935067442E-5</v>
      </c>
      <c r="U127" s="427">
        <f t="shared" ca="1" si="22"/>
        <v>-1.1373145935067442E-5</v>
      </c>
      <c r="V127" s="427">
        <f t="shared" ca="1" si="22"/>
        <v>-1.1373145935067442E-5</v>
      </c>
      <c r="W127" s="427">
        <f t="shared" ca="1" si="22"/>
        <v>-1.1373145935067442E-5</v>
      </c>
      <c r="X127" s="427">
        <f t="shared" ca="1" si="22"/>
        <v>-1.1373145935067442E-5</v>
      </c>
      <c r="Y127" s="427">
        <f t="shared" ca="1" si="22"/>
        <v>-1.1373145935067442E-5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13560.877020476568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13560.877020476568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71"/>
  <sheetViews>
    <sheetView showOutlineSymbols="0" view="pageBreakPreview" topLeftCell="A43" zoomScale="60" zoomScaleNormal="75" workbookViewId="0">
      <selection activeCell="F32" sqref="F32"/>
    </sheetView>
  </sheetViews>
  <sheetFormatPr defaultColWidth="9.81640625" defaultRowHeight="15.6"/>
  <cols>
    <col min="1" max="1" width="25.81640625" style="473" customWidth="1"/>
    <col min="2" max="4" width="9.81640625" style="501" customWidth="1"/>
    <col min="5" max="16384" width="9.81640625" style="473"/>
  </cols>
  <sheetData>
    <row r="1" spans="1:33" ht="22.2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33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33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33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33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33">
      <c r="B6" s="472"/>
      <c r="C6" s="472"/>
      <c r="D6" s="472"/>
      <c r="E6" s="485"/>
      <c r="AA6" s="484"/>
    </row>
    <row r="7" spans="1:33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33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33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33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33" ht="16.2">
      <c r="A11" s="490"/>
      <c r="B11" s="491" t="s">
        <v>366</v>
      </c>
      <c r="C11" s="491" t="s">
        <v>367</v>
      </c>
      <c r="D11" s="488"/>
      <c r="E11" s="491"/>
      <c r="AA11" s="484"/>
    </row>
    <row r="12" spans="1:33" ht="16.2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33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33" ht="16.2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33" ht="16.2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33" ht="16.2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33" ht="16.2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33" ht="16.2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33" ht="16.2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33" ht="16.2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33" ht="16.2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33" ht="16.2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33" ht="16.2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33" ht="16.2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33" ht="16.2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33" ht="16.2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33" ht="16.2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33" ht="16.2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33" ht="16.2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33" ht="16.2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33" ht="16.2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33" ht="16.2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 ht="16.2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 ht="16.2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 ht="16.2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 ht="16.2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 ht="16.2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 ht="16.2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 ht="16.2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 ht="16.2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 ht="16.2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 ht="16.2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 ht="16.2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 ht="16.2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 ht="16.2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 ht="16.2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 ht="16.2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 ht="16.2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 ht="16.2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 ht="16.2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 ht="16.2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 ht="16.2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 ht="16.2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 ht="16.2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 ht="16.2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 ht="16.2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 ht="16.2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 ht="16.2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 ht="16.2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 ht="16.2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 ht="16.2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 ht="16.2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 ht="16.2">
      <c r="A63" s="494" t="str">
        <f ca="1">'TAXDEPR 144A'!A63</f>
        <v>Interest During Construction</v>
      </c>
      <c r="B63" s="488">
        <v>1</v>
      </c>
      <c r="C63" s="496">
        <f ca="1">IF(B63=1,'ASSUM 2'!E62,0)</f>
        <v>4.5922063114815979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93.992526843190589</v>
      </c>
      <c r="G63" s="500">
        <f ca="1">IF(SUM($F63:F63)&lt;$C63*1000,MIN(+$C63*$E63*1000,$C63*1000-SUM($F63:F63)),0)</f>
        <v>161.13004601689815</v>
      </c>
      <c r="H63" s="500">
        <f ca="1">IF(SUM($F63:G63)&lt;$C63*1000,MIN(+$C63*$E63*1000,$C63*1000-SUM($F63:G63)),0)</f>
        <v>161.13004601689815</v>
      </c>
      <c r="I63" s="500">
        <f ca="1">IF(SUM($F63:H63)&lt;$C63*1000,MIN(+$C63*$E63*1000,$C63*1000-SUM($F63:H63)),0)</f>
        <v>161.13004601689815</v>
      </c>
      <c r="J63" s="500">
        <f ca="1">IF(SUM($F63:I63)&lt;$C63*1000,MIN(+$C63*$E63*1000,$C63*1000-SUM($F63:I63)),0)</f>
        <v>161.13004601689815</v>
      </c>
      <c r="K63" s="500">
        <f ca="1">IF(SUM($F63:J63)&lt;$C63*1000,MIN(+$C63*$E63*1000,$C63*1000-SUM($F63:J63)),0)</f>
        <v>161.13004601689815</v>
      </c>
      <c r="L63" s="500">
        <f ca="1">IF(SUM($F63:K63)&lt;$C63*1000,MIN(+$C63*$E63*1000,$C63*1000-SUM($F63:K63)),0)</f>
        <v>161.13004601689815</v>
      </c>
      <c r="M63" s="500">
        <f ca="1">IF(SUM($F63:L63)&lt;$C63*1000,MIN(+$C63*$E63*1000,$C63*1000-SUM($F63:L63)),0)</f>
        <v>161.13004601689815</v>
      </c>
      <c r="N63" s="500">
        <f ca="1">IF(SUM($F63:M63)&lt;$C63*1000,MIN(+$C63*$E63*1000,$C63*1000-SUM($F63:M63)),0)</f>
        <v>161.13004601689815</v>
      </c>
      <c r="O63" s="500">
        <f ca="1">IF(SUM($F63:N63)&lt;$C63*1000,MIN(+$C63*$E63*1000,$C63*1000-SUM($F63:N63)),0)</f>
        <v>161.13004601689815</v>
      </c>
      <c r="P63" s="500">
        <f ca="1">IF(SUM($F63:O63)&lt;$C63*1000,MIN(+$C63*$E63*1000,$C63*1000-SUM($F63:O63)),0)</f>
        <v>161.13004601689815</v>
      </c>
      <c r="Q63" s="500">
        <f ca="1">IF(SUM($F63:P63)&lt;$C63*1000,MIN(+$C63*$E63*1000,$C63*1000-SUM($F63:P63)),0)</f>
        <v>161.13004601689815</v>
      </c>
      <c r="R63" s="500">
        <f ca="1">IF(SUM($F63:Q63)&lt;$C63*1000,MIN(+$C63*$E63*1000,$C63*1000-SUM($F63:Q63)),0)</f>
        <v>161.13004601689815</v>
      </c>
      <c r="S63" s="500">
        <f ca="1">IF(SUM($F63:R63)&lt;$C63*1000,MIN(+$C63*$E63*1000,$C63*1000-SUM($F63:R63)),0)</f>
        <v>161.13004601689815</v>
      </c>
      <c r="T63" s="500">
        <f ca="1">IF(SUM($F63:S63)&lt;$C63*1000,MIN(+$C63*$E63*1000,$C63*1000-SUM($F63:S63)),0)</f>
        <v>161.13004601689815</v>
      </c>
      <c r="U63" s="500">
        <f ca="1">IF(SUM($F63:T63)&lt;$C63*1000,MIN(+$C63*$E63*1000,$C63*1000-SUM($F63:T63)),0)</f>
        <v>161.13004601689815</v>
      </c>
      <c r="V63" s="500">
        <f ca="1">IF(SUM($F63:U63)&lt;$C63*1000,MIN(+$C63*$E63*1000,$C63*1000-SUM($F63:U63)),0)</f>
        <v>161.13004601689815</v>
      </c>
      <c r="W63" s="500">
        <f ca="1">IF(SUM($F63:V63)&lt;$C63*1000,MIN(+$C63*$E63*1000,$C63*1000-SUM($F63:V63)),0)</f>
        <v>161.13004601689815</v>
      </c>
      <c r="X63" s="500">
        <f ca="1">IF(SUM($F63:W63)&lt;$C63*1000,MIN(+$C63*$E63*1000,$C63*1000-SUM($F63:W63)),0)</f>
        <v>161.13004601689815</v>
      </c>
      <c r="Y63" s="500">
        <f ca="1">IF(SUM($F63:X63)&lt;$C63*1000,MIN(+$C63*$E63*1000,$C63*1000-SUM($F63:X63)),0)</f>
        <v>161.13004601689815</v>
      </c>
      <c r="Z63" s="500"/>
      <c r="AA63" s="498">
        <f ca="1">SUM(F63:Y63)-C63*1000</f>
        <v>-1436.7429103173426</v>
      </c>
    </row>
    <row r="64" spans="1:27" ht="16.2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 ht="16.2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 ht="16.2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 ht="16.2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3333.0035026674209</v>
      </c>
      <c r="G67" s="633">
        <f t="shared" ca="1" si="5"/>
        <v>5713.7202902870058</v>
      </c>
      <c r="H67" s="633">
        <f t="shared" ca="1" si="5"/>
        <v>5713.7202902870058</v>
      </c>
      <c r="I67" s="633">
        <f t="shared" ca="1" si="5"/>
        <v>5713.7202902870058</v>
      </c>
      <c r="J67" s="633">
        <f t="shared" ca="1" si="5"/>
        <v>5713.7202902870058</v>
      </c>
      <c r="K67" s="633">
        <f t="shared" ca="1" si="5"/>
        <v>5713.7202902870058</v>
      </c>
      <c r="L67" s="633">
        <f t="shared" ca="1" si="5"/>
        <v>5713.7202902870058</v>
      </c>
      <c r="M67" s="633">
        <f t="shared" ca="1" si="5"/>
        <v>5713.7202902870058</v>
      </c>
      <c r="N67" s="633">
        <f t="shared" ca="1" si="5"/>
        <v>5713.7202902870058</v>
      </c>
      <c r="O67" s="633">
        <f t="shared" ca="1" si="5"/>
        <v>5713.7202902870058</v>
      </c>
      <c r="P67" s="633">
        <f t="shared" ca="1" si="5"/>
        <v>5713.7202902870058</v>
      </c>
      <c r="Q67" s="633">
        <f t="shared" ca="1" si="5"/>
        <v>5713.7202902870058</v>
      </c>
      <c r="R67" s="633">
        <f t="shared" ca="1" si="5"/>
        <v>5713.7202902870058</v>
      </c>
      <c r="S67" s="633">
        <f t="shared" ca="1" si="5"/>
        <v>5713.7202902870058</v>
      </c>
      <c r="T67" s="633">
        <f t="shared" ca="1" si="5"/>
        <v>5713.7202902870058</v>
      </c>
      <c r="U67" s="633">
        <f t="shared" ca="1" si="5"/>
        <v>5713.7202902870058</v>
      </c>
      <c r="V67" s="633">
        <f t="shared" ca="1" si="5"/>
        <v>5713.7202902870058</v>
      </c>
      <c r="W67" s="633">
        <f t="shared" ca="1" si="5"/>
        <v>5713.7202902870058</v>
      </c>
      <c r="X67" s="633">
        <f t="shared" ca="1" si="5"/>
        <v>5713.7202902870058</v>
      </c>
      <c r="Y67" s="633">
        <f t="shared" ca="1" si="5"/>
        <v>5713.7202902870058</v>
      </c>
      <c r="Z67" s="633"/>
      <c r="AA67" s="498"/>
    </row>
    <row r="68" spans="1:27" ht="16.2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 ht="16.2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162841.02827317978</v>
      </c>
      <c r="G69" s="635">
        <f t="shared" ref="G69:Y69" ca="1" si="6">F70</f>
        <v>159508.02477051236</v>
      </c>
      <c r="H69" s="635">
        <f t="shared" ca="1" si="6"/>
        <v>153794.30448022534</v>
      </c>
      <c r="I69" s="635">
        <f t="shared" ca="1" si="6"/>
        <v>148080.58418993832</v>
      </c>
      <c r="J69" s="635">
        <f t="shared" ca="1" si="6"/>
        <v>142366.8638996513</v>
      </c>
      <c r="K69" s="635">
        <f t="shared" ca="1" si="6"/>
        <v>136653.14360936428</v>
      </c>
      <c r="L69" s="635">
        <f t="shared" ca="1" si="6"/>
        <v>130939.42331907728</v>
      </c>
      <c r="M69" s="635">
        <f t="shared" ca="1" si="6"/>
        <v>125225.70302879027</v>
      </c>
      <c r="N69" s="635">
        <f t="shared" ca="1" si="6"/>
        <v>119511.98273850327</v>
      </c>
      <c r="O69" s="635">
        <f t="shared" ca="1" si="6"/>
        <v>113798.26244821626</v>
      </c>
      <c r="P69" s="635">
        <f t="shared" ca="1" si="6"/>
        <v>108084.54215792926</v>
      </c>
      <c r="Q69" s="635">
        <f t="shared" ca="1" si="6"/>
        <v>102370.82186764225</v>
      </c>
      <c r="R69" s="635">
        <f t="shared" ca="1" si="6"/>
        <v>96657.10157735525</v>
      </c>
      <c r="S69" s="635">
        <f t="shared" ca="1" si="6"/>
        <v>90943.381287068245</v>
      </c>
      <c r="T69" s="635">
        <f t="shared" ca="1" si="6"/>
        <v>85229.66099678124</v>
      </c>
      <c r="U69" s="635">
        <f t="shared" ca="1" si="6"/>
        <v>79515.940706494235</v>
      </c>
      <c r="V69" s="635">
        <f t="shared" ca="1" si="6"/>
        <v>73802.22041620723</v>
      </c>
      <c r="W69" s="635">
        <f t="shared" ca="1" si="6"/>
        <v>68088.500125920225</v>
      </c>
      <c r="X69" s="635">
        <f t="shared" ca="1" si="6"/>
        <v>62374.779835633221</v>
      </c>
      <c r="Y69" s="635">
        <f t="shared" ca="1" si="6"/>
        <v>56661.059545346216</v>
      </c>
      <c r="Z69" s="635"/>
      <c r="AA69" s="498"/>
    </row>
    <row r="70" spans="1:27" ht="16.2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159508.02477051236</v>
      </c>
      <c r="G70" s="639">
        <f t="shared" ca="1" si="7"/>
        <v>153794.30448022534</v>
      </c>
      <c r="H70" s="639">
        <f t="shared" ca="1" si="7"/>
        <v>148080.58418993832</v>
      </c>
      <c r="I70" s="639">
        <f t="shared" ca="1" si="7"/>
        <v>142366.8638996513</v>
      </c>
      <c r="J70" s="639">
        <f t="shared" ca="1" si="7"/>
        <v>136653.14360936428</v>
      </c>
      <c r="K70" s="639">
        <f t="shared" ca="1" si="7"/>
        <v>130939.42331907728</v>
      </c>
      <c r="L70" s="639">
        <f t="shared" ca="1" si="7"/>
        <v>125225.70302879027</v>
      </c>
      <c r="M70" s="639">
        <f t="shared" ca="1" si="7"/>
        <v>119511.98273850327</v>
      </c>
      <c r="N70" s="639">
        <f t="shared" ca="1" si="7"/>
        <v>113798.26244821626</v>
      </c>
      <c r="O70" s="639">
        <f t="shared" ca="1" si="7"/>
        <v>108084.54215792926</v>
      </c>
      <c r="P70" s="639">
        <f t="shared" ca="1" si="7"/>
        <v>102370.82186764225</v>
      </c>
      <c r="Q70" s="639">
        <f t="shared" ca="1" si="7"/>
        <v>96657.10157735525</v>
      </c>
      <c r="R70" s="639">
        <f t="shared" ca="1" si="7"/>
        <v>90943.381287068245</v>
      </c>
      <c r="S70" s="639">
        <f t="shared" ca="1" si="7"/>
        <v>85229.66099678124</v>
      </c>
      <c r="T70" s="639">
        <f t="shared" ca="1" si="7"/>
        <v>79515.940706494235</v>
      </c>
      <c r="U70" s="639">
        <f t="shared" ca="1" si="7"/>
        <v>73802.22041620723</v>
      </c>
      <c r="V70" s="639">
        <f t="shared" ca="1" si="7"/>
        <v>68088.500125920225</v>
      </c>
      <c r="W70" s="639">
        <f t="shared" ca="1" si="7"/>
        <v>62374.779835633221</v>
      </c>
      <c r="X70" s="639">
        <f t="shared" ca="1" si="7"/>
        <v>56661.059545346216</v>
      </c>
      <c r="Y70" s="639">
        <f t="shared" ca="1" si="7"/>
        <v>50947.339255059211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74"/>
  <sheetViews>
    <sheetView showOutlineSymbols="0" view="pageBreakPreview" topLeftCell="A54" zoomScale="60" zoomScaleNormal="75" workbookViewId="0">
      <selection activeCell="F32" sqref="F32"/>
    </sheetView>
  </sheetViews>
  <sheetFormatPr defaultColWidth="9.81640625" defaultRowHeight="15.6"/>
  <cols>
    <col min="1" max="1" width="21.81640625" style="503" customWidth="1"/>
    <col min="2" max="16384" width="9.81640625" style="503"/>
  </cols>
  <sheetData>
    <row r="1" spans="1:33" ht="22.8">
      <c r="A1" s="640" t="str">
        <f>'BKDEPR 144A'!A1</f>
        <v>DELMARVA, VA</v>
      </c>
      <c r="B1" s="502"/>
      <c r="T1" s="504"/>
    </row>
    <row r="2" spans="1:33">
      <c r="A2" s="505" t="s">
        <v>369</v>
      </c>
      <c r="B2" s="506"/>
      <c r="T2" s="507"/>
    </row>
    <row r="3" spans="1:33">
      <c r="A3" s="508"/>
      <c r="B3" s="509"/>
      <c r="T3" s="510"/>
    </row>
    <row r="4" spans="1:33">
      <c r="A4" s="511"/>
    </row>
    <row r="5" spans="1:33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33">
      <c r="A6" s="511"/>
    </row>
    <row r="7" spans="1:33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33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33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33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33" ht="16.2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33" ht="16.2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33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33" ht="16.2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33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33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33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33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33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33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33" ht="16.2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33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33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33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33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33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33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33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33" ht="16.2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33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33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33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 ht="16.2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81640625" defaultRowHeight="15.6"/>
  <cols>
    <col min="1" max="1" width="25.81640625" style="543" customWidth="1"/>
    <col min="2" max="2" width="6.81640625" style="543" customWidth="1"/>
    <col min="3" max="22" width="9.81640625" style="543" customWidth="1"/>
    <col min="23" max="23" width="5.08984375" style="546" customWidth="1"/>
    <col min="24" max="16384" width="9.81640625" style="546"/>
  </cols>
  <sheetData>
    <row r="1" spans="1:255" ht="22.2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10057.014703789115</v>
      </c>
      <c r="D9" s="557">
        <f ca="1">'Co IS'!D29</f>
        <v>18567.285051159459</v>
      </c>
      <c r="E9" s="557">
        <f ca="1">'Co IS'!E29</f>
        <v>17733.502630230549</v>
      </c>
      <c r="F9" s="557">
        <f ca="1">'Co IS'!F29</f>
        <v>19298.973277227669</v>
      </c>
      <c r="G9" s="557">
        <f ca="1">'Co IS'!G29</f>
        <v>20179.644378017292</v>
      </c>
      <c r="H9" s="557">
        <f ca="1">'Co IS'!H29</f>
        <v>12108.097777022513</v>
      </c>
      <c r="I9" s="557">
        <f ca="1">'Co IS'!I29</f>
        <v>19244.327504077737</v>
      </c>
      <c r="J9" s="557">
        <f ca="1">'Co IS'!J29</f>
        <v>27562.272475005368</v>
      </c>
      <c r="K9" s="557">
        <f ca="1">'Co IS'!K29</f>
        <v>28936.847921956825</v>
      </c>
      <c r="L9" s="557">
        <f ca="1">'Co IS'!L29</f>
        <v>27736.399774589183</v>
      </c>
      <c r="M9" s="557">
        <f ca="1">'Co IS'!M29</f>
        <v>29337.279318615649</v>
      </c>
      <c r="N9" s="557">
        <f ca="1">'Co IS'!N29</f>
        <v>28465.263415846286</v>
      </c>
      <c r="O9" s="557">
        <f ca="1">'Co IS'!O29</f>
        <v>28180.541784893576</v>
      </c>
      <c r="P9" s="557">
        <f ca="1">'Co IS'!P29</f>
        <v>25940.847978114194</v>
      </c>
      <c r="Q9" s="557">
        <f ca="1">'Co IS'!Q29</f>
        <v>32176.844564357274</v>
      </c>
      <c r="R9" s="557">
        <f ca="1">'Co IS'!R29</f>
        <v>38583.302251351874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228.75746290444113</v>
      </c>
      <c r="D13" s="557">
        <f t="shared" ca="1" si="0"/>
        <v>1917.0432861494046</v>
      </c>
      <c r="E13" s="557">
        <f t="shared" ca="1" si="0"/>
        <v>2523.4575980914069</v>
      </c>
      <c r="F13" s="557">
        <f t="shared" ca="1" si="0"/>
        <v>5377.5253218677681</v>
      </c>
      <c r="G13" s="557">
        <f t="shared" ca="1" si="0"/>
        <v>7425.5137745632892</v>
      </c>
      <c r="H13" s="557">
        <f t="shared" ca="1" si="0"/>
        <v>2663.4392025111465</v>
      </c>
      <c r="I13" s="557">
        <f t="shared" ca="1" si="0"/>
        <v>10299.947794668904</v>
      </c>
      <c r="J13" s="557">
        <f t="shared" ca="1" si="0"/>
        <v>18617.892765596534</v>
      </c>
      <c r="K13" s="557">
        <f t="shared" ca="1" si="0"/>
        <v>19977.308246938825</v>
      </c>
      <c r="L13" s="557">
        <f t="shared" ca="1" si="0"/>
        <v>18792.02006518035</v>
      </c>
      <c r="M13" s="557">
        <f t="shared" ca="1" si="0"/>
        <v>20377.739643597648</v>
      </c>
      <c r="N13" s="557">
        <f t="shared" ca="1" si="0"/>
        <v>19520.883706437453</v>
      </c>
      <c r="O13" s="557">
        <f t="shared" ca="1" si="0"/>
        <v>19221.002109875575</v>
      </c>
      <c r="P13" s="557">
        <f t="shared" ca="1" si="0"/>
        <v>16996.468268705361</v>
      </c>
      <c r="Q13" s="557">
        <f t="shared" ca="1" si="0"/>
        <v>23217.304889339273</v>
      </c>
      <c r="R13" s="557">
        <f t="shared" ca="1" si="0"/>
        <v>34111.112396647455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115.02259716896427</v>
      </c>
      <c r="E14" s="559">
        <f ca="1">IF(E5='ASSUM 1'!$M$39,+CSHFLO!E13*'ASSUM 1'!$N$39,E13*'ASSUM 1'!$N$40)</f>
        <v>151.40745588548441</v>
      </c>
      <c r="F14" s="559">
        <f ca="1">IF(F5='ASSUM 1'!$M$39,+CSHFLO!F13*'ASSUM 1'!$N$39,F13*'ASSUM 1'!$N$40)</f>
        <v>322.65151931206606</v>
      </c>
      <c r="G14" s="559">
        <f ca="1">IF(G5='ASSUM 1'!$M$39,+CSHFLO!G13*'ASSUM 1'!$N$39,G13*'ASSUM 1'!$N$40)</f>
        <v>445.53082647379733</v>
      </c>
      <c r="H14" s="559">
        <f ca="1">IF(H5='ASSUM 1'!$M$39,+CSHFLO!H13*'ASSUM 1'!$N$39,H13*'ASSUM 1'!$N$40)</f>
        <v>159.80635215066877</v>
      </c>
      <c r="I14" s="559">
        <f ca="1">IF(I5='ASSUM 1'!$M$39,+CSHFLO!I13*'ASSUM 1'!$N$39,I13*'ASSUM 1'!$N$40)</f>
        <v>617.99686768013419</v>
      </c>
      <c r="J14" s="559">
        <f ca="1">IF(J5='ASSUM 1'!$M$39,+CSHFLO!J13*'ASSUM 1'!$N$39,J13*'ASSUM 1'!$N$40)</f>
        <v>1117.073565935792</v>
      </c>
      <c r="K14" s="559">
        <f ca="1">IF(K5='ASSUM 1'!$M$39,+CSHFLO!K13*'ASSUM 1'!$N$39,K13*'ASSUM 1'!$N$40)</f>
        <v>1198.6384948163295</v>
      </c>
      <c r="L14" s="559">
        <f ca="1">IF(L5='ASSUM 1'!$M$39,+CSHFLO!L13*'ASSUM 1'!$N$39,L13*'ASSUM 1'!$N$40)</f>
        <v>1127.521203910821</v>
      </c>
      <c r="M14" s="559">
        <f ca="1">IF(M5='ASSUM 1'!$M$39,+CSHFLO!M13*'ASSUM 1'!$N$39,M13*'ASSUM 1'!$N$40)</f>
        <v>1222.6643786158588</v>
      </c>
      <c r="N14" s="559">
        <f ca="1">IF(N5='ASSUM 1'!$M$39,+CSHFLO!N13*'ASSUM 1'!$N$39,N13*'ASSUM 1'!$N$40)</f>
        <v>1171.253022386247</v>
      </c>
      <c r="O14" s="559">
        <f ca="1">IF(O5='ASSUM 1'!$M$39,+CSHFLO!O13*'ASSUM 1'!$N$39,O13*'ASSUM 1'!$N$40)</f>
        <v>1153.2601265925346</v>
      </c>
      <c r="P14" s="559">
        <f ca="1">IF(P5='ASSUM 1'!$M$39,+CSHFLO!P13*'ASSUM 1'!$N$39,P13*'ASSUM 1'!$N$40)</f>
        <v>1019.7880961223216</v>
      </c>
      <c r="Q14" s="559">
        <f ca="1">IF(Q5='ASSUM 1'!$M$39,+CSHFLO!Q13*'ASSUM 1'!$N$39,Q13*'ASSUM 1'!$N$40)</f>
        <v>1393.0382933603564</v>
      </c>
      <c r="R14" s="559">
        <f ca="1">IF(R5='ASSUM 1'!$M$39,+CSHFLO!R13*'ASSUM 1'!$N$39,R13*'ASSUM 1'!$N$40)</f>
        <v>2046.6667437988472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-96.755769747947966</v>
      </c>
      <c r="D15" s="557">
        <f t="shared" ca="1" si="1"/>
        <v>1802.0206889804404</v>
      </c>
      <c r="E15" s="557">
        <f t="shared" ca="1" si="1"/>
        <v>2372.0501422059224</v>
      </c>
      <c r="F15" s="557">
        <f t="shared" ca="1" si="1"/>
        <v>5054.8738025557022</v>
      </c>
      <c r="G15" s="557">
        <f t="shared" ca="1" si="1"/>
        <v>6979.9829480894914</v>
      </c>
      <c r="H15" s="557">
        <f t="shared" ca="1" si="1"/>
        <v>2503.6328503604777</v>
      </c>
      <c r="I15" s="557">
        <f t="shared" ca="1" si="1"/>
        <v>9681.9509269887694</v>
      </c>
      <c r="J15" s="557">
        <f t="shared" ca="1" si="1"/>
        <v>17500.819199660742</v>
      </c>
      <c r="K15" s="557">
        <f t="shared" ca="1" si="1"/>
        <v>18778.669752122496</v>
      </c>
      <c r="L15" s="557">
        <f t="shared" ca="1" si="1"/>
        <v>17664.498861269531</v>
      </c>
      <c r="M15" s="557">
        <f t="shared" ca="1" si="1"/>
        <v>19155.075264981788</v>
      </c>
      <c r="N15" s="557">
        <f t="shared" ca="1" si="1"/>
        <v>18349.630684051204</v>
      </c>
      <c r="O15" s="557">
        <f t="shared" ca="1" si="1"/>
        <v>18067.741983283042</v>
      </c>
      <c r="P15" s="557">
        <f t="shared" ca="1" si="1"/>
        <v>15976.680172583039</v>
      </c>
      <c r="Q15" s="557">
        <f t="shared" ca="1" si="1"/>
        <v>21824.266595978916</v>
      </c>
      <c r="R15" s="557">
        <f t="shared" ca="1" si="1"/>
        <v>32064.445652848608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96.755769747947966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96.755769747947966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-96.755769747947966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96.755769747947966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1705.2649192324925</v>
      </c>
      <c r="E23" s="562">
        <f t="shared" ca="1" si="6"/>
        <v>2372.0501422059224</v>
      </c>
      <c r="F23" s="562">
        <f t="shared" ca="1" si="6"/>
        <v>5054.8738025557022</v>
      </c>
      <c r="G23" s="562">
        <f t="shared" ca="1" si="6"/>
        <v>6979.9829480894914</v>
      </c>
      <c r="H23" s="562">
        <f t="shared" ca="1" si="6"/>
        <v>2503.6328503604777</v>
      </c>
      <c r="I23" s="562">
        <f t="shared" ca="1" si="6"/>
        <v>9681.9509269887694</v>
      </c>
      <c r="J23" s="562">
        <f t="shared" ca="1" si="6"/>
        <v>17500.819199660742</v>
      </c>
      <c r="K23" s="562">
        <f t="shared" ca="1" si="6"/>
        <v>18778.669752122496</v>
      </c>
      <c r="L23" s="562">
        <f t="shared" ca="1" si="6"/>
        <v>17664.498861269531</v>
      </c>
      <c r="M23" s="562">
        <f t="shared" ca="1" si="6"/>
        <v>19155.075264981788</v>
      </c>
      <c r="N23" s="562">
        <f t="shared" ca="1" si="6"/>
        <v>18349.630684051204</v>
      </c>
      <c r="O23" s="562">
        <f t="shared" ca="1" si="6"/>
        <v>18067.741983283042</v>
      </c>
      <c r="P23" s="562">
        <f t="shared" ca="1" si="6"/>
        <v>15976.680172583039</v>
      </c>
      <c r="Q23" s="562">
        <f t="shared" ca="1" si="6"/>
        <v>21824.266595978916</v>
      </c>
      <c r="R23" s="562">
        <f t="shared" ca="1" si="6"/>
        <v>32064.445652848608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1705.2649192324925</v>
      </c>
      <c r="E28" s="565">
        <f t="shared" ca="1" si="7"/>
        <v>2372.0501422059224</v>
      </c>
      <c r="F28" s="565">
        <f t="shared" ca="1" si="7"/>
        <v>5054.8738025557022</v>
      </c>
      <c r="G28" s="565">
        <f t="shared" ca="1" si="7"/>
        <v>6979.9829480894914</v>
      </c>
      <c r="H28" s="565">
        <f t="shared" ca="1" si="7"/>
        <v>2503.6328503604777</v>
      </c>
      <c r="I28" s="565">
        <f t="shared" ca="1" si="7"/>
        <v>9681.9509269887694</v>
      </c>
      <c r="J28" s="565">
        <f t="shared" ca="1" si="7"/>
        <v>17500.819199660742</v>
      </c>
      <c r="K28" s="565">
        <f t="shared" ca="1" si="7"/>
        <v>18778.669752122496</v>
      </c>
      <c r="L28" s="565">
        <f t="shared" ca="1" si="7"/>
        <v>17664.498861269531</v>
      </c>
      <c r="M28" s="565">
        <f t="shared" ca="1" si="7"/>
        <v>19155.075264981788</v>
      </c>
      <c r="N28" s="565">
        <f t="shared" ca="1" si="7"/>
        <v>18349.630684051204</v>
      </c>
      <c r="O28" s="565">
        <f t="shared" ca="1" si="7"/>
        <v>18067.741983283042</v>
      </c>
      <c r="P28" s="565">
        <f t="shared" ca="1" si="7"/>
        <v>15976.680172583039</v>
      </c>
      <c r="Q28" s="565">
        <f t="shared" ca="1" si="7"/>
        <v>21824.266595978916</v>
      </c>
      <c r="R28" s="565">
        <f t="shared" ca="1" si="7"/>
        <v>32064.445652848608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596.84272173137231</v>
      </c>
      <c r="E30" s="562">
        <f t="shared" ca="1" si="8"/>
        <v>830.21754977207274</v>
      </c>
      <c r="F30" s="562">
        <f t="shared" ca="1" si="8"/>
        <v>1769.2058308944956</v>
      </c>
      <c r="G30" s="562">
        <f t="shared" ca="1" si="8"/>
        <v>2442.994031831322</v>
      </c>
      <c r="H30" s="562">
        <f t="shared" ca="1" si="8"/>
        <v>876.27149762616716</v>
      </c>
      <c r="I30" s="562">
        <f t="shared" ca="1" si="8"/>
        <v>3388.6828244460689</v>
      </c>
      <c r="J30" s="562">
        <f t="shared" ca="1" si="8"/>
        <v>6125.2867198812592</v>
      </c>
      <c r="K30" s="562">
        <f t="shared" ca="1" si="8"/>
        <v>6572.5344132428736</v>
      </c>
      <c r="L30" s="562">
        <f t="shared" ca="1" si="8"/>
        <v>6182.5746014443357</v>
      </c>
      <c r="M30" s="562">
        <f t="shared" ca="1" si="8"/>
        <v>6704.2763427436257</v>
      </c>
      <c r="N30" s="562">
        <f t="shared" ca="1" si="8"/>
        <v>6422.370739417921</v>
      </c>
      <c r="O30" s="562">
        <f t="shared" ca="1" si="8"/>
        <v>6323.7096941490645</v>
      </c>
      <c r="P30" s="562">
        <f t="shared" ca="1" si="8"/>
        <v>5591.8380604040631</v>
      </c>
      <c r="Q30" s="562">
        <f t="shared" ca="1" si="8"/>
        <v>7638.4933085926195</v>
      </c>
      <c r="R30" s="562">
        <f t="shared" ca="1" si="8"/>
        <v>11222.555978497012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596.84272173137231</v>
      </c>
      <c r="E33" s="562">
        <f t="shared" ca="1" si="9"/>
        <v>830.21754977207274</v>
      </c>
      <c r="F33" s="562">
        <f t="shared" ca="1" si="9"/>
        <v>1769.2058308944956</v>
      </c>
      <c r="G33" s="562">
        <f t="shared" ca="1" si="9"/>
        <v>2442.994031831322</v>
      </c>
      <c r="H33" s="562">
        <f t="shared" ca="1" si="9"/>
        <v>876.27149762616716</v>
      </c>
      <c r="I33" s="562">
        <f t="shared" ca="1" si="9"/>
        <v>3388.6828244460689</v>
      </c>
      <c r="J33" s="562">
        <f t="shared" ca="1" si="9"/>
        <v>6125.2867198812592</v>
      </c>
      <c r="K33" s="562">
        <f t="shared" ca="1" si="9"/>
        <v>6572.5344132428736</v>
      </c>
      <c r="L33" s="562">
        <f t="shared" ca="1" si="9"/>
        <v>6182.5746014443357</v>
      </c>
      <c r="M33" s="562">
        <f t="shared" ca="1" si="9"/>
        <v>6704.2763427436257</v>
      </c>
      <c r="N33" s="562">
        <f t="shared" ca="1" si="9"/>
        <v>6422.370739417921</v>
      </c>
      <c r="O33" s="562">
        <f t="shared" ca="1" si="9"/>
        <v>6323.7096941490645</v>
      </c>
      <c r="P33" s="562">
        <f t="shared" ca="1" si="9"/>
        <v>5591.8380604040631</v>
      </c>
      <c r="Q33" s="562">
        <f t="shared" ca="1" si="9"/>
        <v>7638.4933085926195</v>
      </c>
      <c r="R33" s="562">
        <f t="shared" ca="1" si="9"/>
        <v>11222.555978497012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65</vt:i4>
      </vt:variant>
    </vt:vector>
  </HeadingPairs>
  <TitlesOfParts>
    <vt:vector size="90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144A FCF</vt:lpstr>
      <vt:lpstr>CSHFLO</vt:lpstr>
      <vt:lpstr>ENA-144A Comparison</vt:lpstr>
      <vt:lpstr>ENA Assumptions</vt:lpstr>
      <vt:lpstr>IS-ENA</vt:lpstr>
      <vt:lpstr>ENE FCF</vt:lpstr>
      <vt:lpstr>Collateral Value</vt:lpstr>
      <vt:lpstr>CSHFLO-ENA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'CSHFLO-ENA'!CASHFLOW</vt:lpstr>
      <vt:lpstr>CASHFLOW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'CSHFLO-ENA'!Print_Area</vt:lpstr>
      <vt:lpstr>'ENA Debt'!Print_Area</vt:lpstr>
      <vt:lpstr>'ENA IDC'!Print_Area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Havlíček Jan</cp:lastModifiedBy>
  <cp:lastPrinted>1999-12-13T16:33:06Z</cp:lastPrinted>
  <dcterms:created xsi:type="dcterms:W3CDTF">1999-12-08T16:02:11Z</dcterms:created>
  <dcterms:modified xsi:type="dcterms:W3CDTF">2023-09-10T11:57:53Z</dcterms:modified>
</cp:coreProperties>
</file>