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Options!$A$1:$L$31</definedName>
    <definedName name="_xlnm.Print_Area" localSheetId="5">Scenarios!$B$34:$J$57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9" i="29"/>
  <c r="D9" i="29"/>
  <c r="E9" i="29"/>
  <c r="F9" i="29"/>
  <c r="G9" i="29"/>
  <c r="H9" i="29"/>
  <c r="I9" i="29"/>
  <c r="J9" i="29"/>
  <c r="K9" i="29"/>
  <c r="L9" i="29"/>
  <c r="C30" i="29"/>
  <c r="D30" i="29"/>
  <c r="E30" i="29"/>
  <c r="F30" i="29"/>
  <c r="G30" i="29"/>
  <c r="H30" i="29"/>
  <c r="I30" i="29"/>
  <c r="J30" i="29"/>
  <c r="K30" i="29"/>
  <c r="L30" i="29"/>
  <c r="C32" i="29"/>
  <c r="D32" i="29"/>
  <c r="E32" i="29"/>
  <c r="F32" i="29"/>
  <c r="G32" i="29"/>
  <c r="H32" i="29"/>
  <c r="I32" i="29"/>
  <c r="J32" i="29"/>
  <c r="K32" i="29"/>
  <c r="L32" i="29"/>
  <c r="C35" i="29"/>
  <c r="D35" i="29"/>
  <c r="E35" i="29"/>
  <c r="F35" i="29"/>
  <c r="G35" i="29"/>
  <c r="H35" i="29"/>
  <c r="I35" i="29"/>
  <c r="J35" i="29"/>
  <c r="K35" i="29"/>
  <c r="L35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<sst xmlns="http://schemas.openxmlformats.org/spreadsheetml/2006/main" count="1004" uniqueCount="500">
  <si>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</si>
  <si>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</si>
  <si>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</si>
  <si>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</si>
  <si>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</si>
  <si>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</si>
  <si>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</si>
  <si>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</si>
  <si>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</si>
  <si>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</si>
  <si>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</si>
  <si>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</si>
  <si>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</si>
  <si>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</si>
  <si>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</si>
  <si>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</si>
  <si>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</si>
  <si>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</si>
  <si>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</si>
  <si>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</si>
  <si>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</si>
  <si>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</si>
  <si>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</si>
  <si>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</si>
  <si>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</si>
  <si>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</si>
  <si>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</si>
  <si>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</si>
  <si>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</si>
  <si>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</si>
  <si>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</si>
  <si>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</si>
  <si>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</si>
  <si>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</si>
  <si>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</si>
  <si>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</si>
  <si>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</si>
  <si>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</si>
  <si>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</si>
  <si>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</si>
  <si>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</si>
  <si>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</si>
  <si>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</si>
  <si>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</si>
  <si>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</si>
  <si>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</si>
  <si>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</si>
  <si>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</si>
  <si>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</si>
  <si>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</si>
  <si>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</si>
  <si>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</si>
  <si>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</si>
  <si>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</si>
  <si>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</si>
  <si>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</si>
  <si>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</si>
  <si>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</si>
  <si>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</si>
  <si>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</si>
  <si>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</si>
  <si>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</si>
  <si>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</si>
  <si>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</si>
  <si>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</si>
  <si>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</si>
  <si>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</si>
  <si>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</si>
  <si>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</si>
  <si>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</si>
  <si>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</si>
  <si>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</si>
  <si>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</si>
  <si>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</si>
  <si>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</si>
  <si>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</si>
  <si>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</si>
  <si>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</si>
  <si>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</si>
  <si>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</si>
  <si>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</si>
  <si>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</si>
  <si>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</si>
  <si>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</si>
  <si>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</si>
  <si>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</si>
  <si>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</si>
  <si>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</si>
  <si>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</si>
  <si>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</si>
  <si>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</si>
  <si>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</si>
  <si>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</si>
  <si>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</si>
  <si>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</si>
  <si>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</si>
  <si>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</si>
  <si>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</si>
  <si>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</si>
  <si>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</si>
  <si>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</si>
  <si>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</si>
  <si>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</si>
  <si>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</si>
  <si>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</si>
  <si>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</si>
  <si>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</si>
  <si>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</si>
  <si>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</si>
  <si>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</si>
  <si>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</si>
  <si>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</si>
  <si>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</si>
  <si>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</si>
  <si>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</si>
  <si>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</si>
  <si>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</si>
  <si>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</si>
  <si>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</si>
  <si>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</si>
  <si>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</si>
  <si>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</si>
  <si>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</si>
  <si>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</si>
  <si>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</si>
  <si>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</si>
  <si>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</si>
  <si>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</si>
  <si>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</si>
  <si>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</si>
  <si>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</si>
  <si>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</si>
  <si>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</si>
  <si>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</si>
  <si>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</si>
  <si>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</si>
  <si>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</si>
  <si>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</si>
  <si>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</si>
  <si>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</si>
  <si>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</si>
  <si>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</si>
  <si>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</si>
  <si>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</si>
  <si>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</si>
  <si>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</si>
  <si>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</si>
  <si>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</si>
  <si>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</si>
  <si>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</si>
  <si>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</si>
  <si>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</si>
  <si>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</si>
  <si>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</si>
  <si>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</si>
  <si>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</si>
  <si>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</si>
  <si>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</si>
  <si>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</si>
  <si>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</si>
  <si>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</si>
  <si>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</si>
  <si>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</si>
  <si>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</si>
  <si>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</si>
  <si>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</si>
  <si>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</si>
  <si>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</si>
  <si>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</si>
  <si>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</si>
  <si>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</si>
  <si>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</si>
  <si>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</si>
  <si>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</si>
  <si>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</si>
  <si>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</si>
  <si>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</si>
  <si>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</si>
  <si>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</si>
  <si>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</si>
  <si>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</si>
  <si>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</si>
  <si>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</si>
  <si>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</si>
  <si>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</si>
  <si>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</si>
  <si>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</si>
  <si>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</si>
  <si>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</si>
  <si>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</si>
  <si>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</si>
  <si>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</si>
  <si>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</si>
  <si>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</si>
  <si>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</si>
  <si>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</si>
  <si>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</si>
  <si>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</si>
  <si>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</si>
  <si>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</si>
  <si>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</si>
  <si>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</si>
  <si>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</si>
  <si>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</si>
  <si>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</si>
  <si>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</si>
  <si>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</si>
  <si>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</si>
  <si>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</si>
  <si>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</si>
  <si>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</si>
  <si>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</si>
  <si>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</si>
  <si>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</si>
  <si>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</si>
  <si>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</si>
  <si>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</si>
  <si>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</si>
  <si>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</si>
  <si>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</si>
  <si>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</si>
  <si>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</si>
  <si>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</si>
  <si>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</si>
  <si>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</si>
  <si>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</si>
  <si>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</si>
  <si>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</si>
  <si>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</si>
  <si>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</si>
  <si>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</si>
  <si>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</si>
  <si>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</si>
  <si>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</si>
  <si>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</si>
  <si>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</si>
  <si>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</si>
  <si>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</si>
  <si>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</si>
  <si>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</si>
  <si>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</si>
  <si>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</si>
  <si>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</si>
  <si>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</si>
  <si>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</si>
  <si>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</si>
  <si>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</si>
  <si>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</si>
  <si>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</si>
  <si>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</si>
  <si>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</si>
  <si>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</si>
  <si>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</si>
  <si>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</si>
  <si>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</si>
  <si>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</si>
  <si>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</si>
  <si>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</si>
  <si>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</si>
  <si>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</si>
  <si>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</si>
  <si>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</si>
  <si>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</si>
  <si>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</si>
  <si>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</si>
  <si>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</si>
  <si>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</si>
  <si>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</si>
  <si>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</si>
  <si>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</si>
  <si>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</si>
  <si>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</si>
  <si>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</si>
  <si>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</si>
  <si>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</si>
  <si>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</si>
  <si>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</si>
  <si>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</si>
  <si>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</si>
  <si>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</si>
  <si>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</si>
  <si>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</si>
  <si>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</si>
  <si>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</si>
  <si>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</si>
  <si>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</si>
  <si>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</si>
  <si>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</si>
  <si>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</si>
  <si>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</si>
  <si>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</si>
  <si>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</si>
  <si>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</si>
  <si>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</si>
  <si>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</si>
  <si>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</si>
  <si>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</si>
  <si>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</si>
  <si>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</si>
  <si>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</si>
  <si>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</si>
  <si>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</si>
  <si>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</si>
  <si>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</si>
  <si>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</si>
  <si>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</si>
  <si>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</si>
  <si>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</si>
  <si>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</si>
  <si>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</si>
  <si>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</si>
  <si>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</si>
  <si>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</si>
  <si>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</si>
  <si>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</si>
  <si>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</si>
  <si>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</si>
  <si>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</si>
  <si>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</si>
  <si>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</si>
  <si>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</si>
  <si>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</si>
  <si>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</si>
  <si>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</si>
  <si>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</si>
  <si>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</si>
  <si>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</si>
  <si>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</si>
  <si>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</si>
  <si>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</si>
  <si>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</si>
  <si>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</si>
  <si>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</si>
  <si>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</si>
  <si>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</si>
  <si>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</si>
  <si>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</si>
  <si>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</si>
  <si>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</si>
  <si>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</si>
  <si>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</si>
  <si>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</si>
  <si>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</si>
  <si>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</si>
  <si>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</si>
  <si>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</si>
  <si>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</si>
  <si>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</si>
  <si>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</si>
  <si>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</si>
  <si>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</si>
  <si>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</si>
  <si>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</si>
  <si>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</si>
  <si>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</si>
  <si>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</si>
  <si>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</si>
  <si>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</si>
  <si>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</si>
  <si>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</si>
  <si>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</si>
  <si>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</si>
  <si>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</si>
  <si>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</si>
  <si>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</si>
  <si>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</si>
  <si>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</si>
  <si>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</si>
  <si>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</si>
  <si>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</si>
  <si>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</si>
  <si>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</si>
  <si>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</si>
  <si>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</si>
  <si>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</si>
  <si>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</si>
  <si>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</si>
  <si>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</si>
  <si>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</si>
  <si>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</si>
  <si>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</si>
  <si>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</si>
  <si>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</si>
  <si>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</si>
  <si>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</si>
  <si>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</si>
  <si>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</si>
  <si>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</si>
  <si>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</si>
  <si>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</si>
  <si>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</si>
  <si>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</si>
  <si>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</si>
  <si>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</si>
  <si>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</si>
  <si>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</si>
  <si>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</si>
  <si>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</si>
  <si>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</si>
  <si>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</si>
  <si>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</si>
  <si>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</si>
  <si>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</si>
  <si>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</si>
  <si>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</si>
  <si>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</si>
  <si>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</si>
  <si>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</si>
  <si>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</si>
  <si>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</si>
  <si>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</si>
  <si>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</si>
  <si>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</si>
  <si>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</si>
  <si>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</si>
  <si>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</si>
  <si>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</si>
  <si>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</si>
  <si>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</si>
  <si>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</si>
  <si>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</si>
  <si>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</si>
  <si>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</si>
  <si>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</si>
  <si>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</si>
  <si>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</si>
  <si>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</si>
  <si>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</si>
  <si>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</si>
  <si>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</si>
  <si>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</si>
  <si>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</si>
  <si>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</si>
  <si>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</si>
  <si>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</si>
  <si>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</si>
  <si>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</si>
  <si>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</si>
  <si>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</si>
  <si>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</si>
  <si>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</si>
  <si>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</si>
  <si>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</si>
  <si>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</si>
  <si>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</si>
  <si>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</si>
  <si>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</si>
  <si>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</si>
  <si>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</si>
  <si>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</si>
  <si>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</si>
  <si>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</si>
  <si>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</si>
  <si>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</si>
  <si>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</si>
  <si>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</si>
  <si>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</si>
  <si>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</si>
  <si>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</si>
  <si>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</si>
  <si>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</si>
  <si>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</si>
  <si>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</si>
  <si>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</si>
  <si>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</si>
  <si>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</si>
  <si>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</si>
  <si>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</si>
  <si>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</si>
  <si>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</si>
  <si>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</si>
  <si>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</si>
  <si>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</si>
  <si>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</si>
  <si>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</si>
  <si>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</si>
  <si>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</si>
  <si>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</si>
  <si>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</si>
  <si>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</si>
  <si>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</si>
  <si>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</si>
  <si>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</si>
  <si>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</si>
  <si>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</si>
  <si>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</si>
  <si>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</si>
  <si>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</si>
  <si>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</si>
  <si>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</si>
  <si>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OLD</t>
    </r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</si>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</sst>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8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0" fontId="3" fillId="12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7-4BE8-AF99-FAB9CEE79DF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7-4BE8-AF99-FAB9CEE79DF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7-4BE8-AF99-FAB9CEE79DF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7-4BE8-AF99-FAB9CEE79DF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7-4BE8-AF99-FAB9CEE79DF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7-4BE8-AF99-FAB9CEE79DF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7-4BE8-AF99-FAB9CEE79DF6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7-4BE8-AF99-FAB9CEE79DF6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97-4BE8-AF99-FAB9CEE79DF6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97-4BE8-AF99-FAB9CEE79DF6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97-4BE8-AF99-FAB9CEE7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080"/>
        <c:axId val="1"/>
      </c:lineChart>
      <c:catAx>
        <c:axId val="19351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13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9-4112-A993-47E7AF0DFE25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9-4112-A993-47E7AF0DFE25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9-4112-A993-47E7AF0DFE25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9-4112-A993-47E7AF0DFE25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9-4112-A993-47E7AF0DFE25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9-4112-A993-47E7AF0DFE25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9-4112-A993-47E7AF0DFE25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79-4112-A993-47E7AF0DFE25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79-4112-A993-47E7AF0DFE25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79-4112-A993-47E7AF0DFE25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79-4112-A993-47E7AF0D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81672"/>
        <c:axId val="1"/>
      </c:lineChart>
      <c:catAx>
        <c:axId val="19198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81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163</v>
      </c>
      <c r="C2" s="5"/>
    </row>
    <row r="3" spans="1:18" s="46" customFormat="1" ht="15.6"/>
    <row r="4" spans="1:18" s="46" customFormat="1" ht="18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6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204</v>
      </c>
    </row>
    <row r="13" spans="1:18" s="46" customFormat="1" ht="15.6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6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6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6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6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6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6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274</v>
      </c>
    </row>
    <row r="28" spans="1:16" s="46" customFormat="1" ht="17.399999999999999">
      <c r="A28" s="280"/>
    </row>
    <row r="29" spans="1:16" s="46" customFormat="1" ht="15.6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6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6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6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6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6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6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6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6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8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11222.970104492571</v>
      </c>
      <c r="C11" s="385">
        <f t="shared" ref="C11:AF11" si="1">C29+C38</f>
        <v>23392.324511300292</v>
      </c>
      <c r="D11" s="385">
        <f t="shared" si="1"/>
        <v>23227.716346878613</v>
      </c>
      <c r="E11" s="385">
        <f t="shared" si="1"/>
        <v>24227.830047114061</v>
      </c>
      <c r="F11" s="385">
        <f t="shared" si="1"/>
        <v>24365.370994368219</v>
      </c>
      <c r="G11" s="385">
        <f t="shared" si="1"/>
        <v>24212.242761652473</v>
      </c>
      <c r="H11" s="385">
        <f t="shared" si="1"/>
        <v>23518.645886152757</v>
      </c>
      <c r="I11" s="385">
        <f t="shared" si="1"/>
        <v>23407.609082794464</v>
      </c>
      <c r="J11" s="385">
        <f t="shared" si="1"/>
        <v>23185.221305566916</v>
      </c>
      <c r="K11" s="385">
        <f t="shared" si="1"/>
        <v>18662.737687060253</v>
      </c>
      <c r="L11" s="385">
        <f t="shared" si="1"/>
        <v>2779.6427393289027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7481.980069661714</v>
      </c>
      <c r="C13" s="306">
        <f t="shared" ref="C13:AF13" si="2">C11/C12</f>
        <v>15594.883007533528</v>
      </c>
      <c r="D13" s="306">
        <f t="shared" si="2"/>
        <v>15485.144231252409</v>
      </c>
      <c r="E13" s="306">
        <f t="shared" si="2"/>
        <v>16151.886698076041</v>
      </c>
      <c r="F13" s="306">
        <f t="shared" si="2"/>
        <v>16243.580662912145</v>
      </c>
      <c r="G13" s="306">
        <f t="shared" si="2"/>
        <v>16141.495174434982</v>
      </c>
      <c r="H13" s="306">
        <f t="shared" si="2"/>
        <v>15679.097257435171</v>
      </c>
      <c r="I13" s="306">
        <f t="shared" si="2"/>
        <v>15605.072721862976</v>
      </c>
      <c r="J13" s="306">
        <f t="shared" si="2"/>
        <v>15456.814203711278</v>
      </c>
      <c r="K13" s="306">
        <f t="shared" si="2"/>
        <v>12441.825124706835</v>
      </c>
      <c r="L13" s="306">
        <f t="shared" si="2"/>
        <v>1853.0951595526019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57758.799233123536</v>
      </c>
      <c r="D24" s="48">
        <f t="shared" ref="D24:AF24" si="3">C45</f>
        <v>46844.567529180655</v>
      </c>
      <c r="E24" s="48">
        <f t="shared" si="3"/>
        <v>35095.863055610913</v>
      </c>
      <c r="F24" s="48">
        <f t="shared" si="3"/>
        <v>21649.407478256937</v>
      </c>
      <c r="G24" s="48">
        <f t="shared" si="3"/>
        <v>6937.7016788176106</v>
      </c>
      <c r="H24" s="48">
        <f t="shared" si="3"/>
        <v>0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5350.2556664227741</v>
      </c>
      <c r="D26" s="48">
        <f t="shared" si="4"/>
        <v>5757.1325000743527</v>
      </c>
      <c r="E26" s="48">
        <f t="shared" si="4"/>
        <v>6582.3370821864919</v>
      </c>
      <c r="F26" s="48">
        <f t="shared" si="4"/>
        <v>7205.4648582679874</v>
      </c>
      <c r="G26" s="48">
        <f t="shared" si="4"/>
        <v>6937.7016788176106</v>
      </c>
      <c r="H26" s="48">
        <f t="shared" si="4"/>
        <v>0</v>
      </c>
      <c r="I26" s="48">
        <f t="shared" si="4"/>
        <v>0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1224.0118138855084</v>
      </c>
      <c r="D27" s="383">
        <f t="shared" si="5"/>
        <v>992.71980777592421</v>
      </c>
      <c r="E27" s="383">
        <f t="shared" si="5"/>
        <v>749.86242922097631</v>
      </c>
      <c r="F27" s="383">
        <f t="shared" si="5"/>
        <v>458.78949820360941</v>
      </c>
      <c r="G27" s="383">
        <f t="shared" si="5"/>
        <v>147.02225338535402</v>
      </c>
      <c r="H27" s="383">
        <f t="shared" si="5"/>
        <v>0</v>
      </c>
      <c r="I27" s="383">
        <f t="shared" si="5"/>
        <v>0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52408.543566700762</v>
      </c>
      <c r="D28" s="161">
        <f t="shared" si="6"/>
        <v>41087.435029106302</v>
      </c>
      <c r="E28" s="161">
        <f t="shared" si="6"/>
        <v>28513.525973424421</v>
      </c>
      <c r="F28" s="161">
        <f t="shared" si="6"/>
        <v>14443.942619988949</v>
      </c>
      <c r="G28" s="161">
        <f t="shared" si="6"/>
        <v>0</v>
      </c>
      <c r="H28" s="161">
        <f t="shared" si="6"/>
        <v>0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12227.170824887857</v>
      </c>
      <c r="D29" s="161">
        <f>(D23-C41)/(D41-C41)*IS!E30+(C41-C32)/(C41-B41)*IS!D30</f>
        <v>11422.449536603961</v>
      </c>
      <c r="E29" s="161">
        <f>(E23-D41)/(E41-D41)*IS!F30+(D41-D32)/(D41-C41)*IS!E30</f>
        <v>12011.780523889043</v>
      </c>
      <c r="F29" s="161">
        <f>(F23-E41)/(F41-E41)*IS!G30+(E41-E32)/(E41-D41)*IS!F30</f>
        <v>12149.303894529141</v>
      </c>
      <c r="G29" s="161">
        <f>(G23-F41)/(G41-F41)*IS!H30+(F41-F32)/(F41-E41)*IS!G30</f>
        <v>12098.453275166901</v>
      </c>
      <c r="H29" s="161">
        <f>(H23-G41)/(H41-G41)*IS!I30+(G41-G32)/(G41-F41)*IS!H30</f>
        <v>11834.129996022217</v>
      </c>
      <c r="I29" s="161">
        <f>(I23-H41)/(I41-H41)*IS!J30+(H41-H32)/(H41-G41)*IS!I30</f>
        <v>11697.42175134171</v>
      </c>
      <c r="J29" s="161">
        <f>(J23-I41)/(J41-I41)*IS!K30+(I41-I32)/(I41-H41)*IS!J30</f>
        <v>11589.351043681716</v>
      </c>
      <c r="K29" s="161">
        <f>(K23-J41)/(K41-J41)*IS!L30+(J41-J32)/(J41-I41)*IS!K30</f>
        <v>10049.391691073124</v>
      </c>
      <c r="L29" s="161">
        <f>(L23-K41)/(L41-K41)*IS!M30+(K41-K32)/(K41-J41)*IS!L30</f>
        <v>3783.8028281524039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1.5681003594552381</v>
      </c>
      <c r="D30" s="403">
        <f t="shared" ref="D30:AF30" si="7">IF(D28&gt;0.1,D29/(D27+D26+C44)," ")</f>
        <v>1.4752784173041107</v>
      </c>
      <c r="E30" s="403">
        <f t="shared" si="7"/>
        <v>1.487353242184376</v>
      </c>
      <c r="F30" s="403">
        <f t="shared" si="7"/>
        <v>1.495889871408564</v>
      </c>
      <c r="G30" s="403" t="str">
        <f t="shared" si="7"/>
        <v xml:space="preserve"> </v>
      </c>
      <c r="H30" s="403" t="str">
        <f t="shared" si="7"/>
        <v xml:space="preserve"> 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52408.543566700762</v>
      </c>
      <c r="D33" s="48">
        <f t="shared" ref="D33:AF33" si="8">D28</f>
        <v>41087.435029106302</v>
      </c>
      <c r="E33" s="48">
        <f t="shared" si="8"/>
        <v>28513.525973424421</v>
      </c>
      <c r="F33" s="48">
        <f t="shared" si="8"/>
        <v>14443.942619988949</v>
      </c>
      <c r="G33" s="48">
        <f t="shared" si="8"/>
        <v>0</v>
      </c>
      <c r="H33" s="48">
        <f t="shared" si="8"/>
        <v>0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5238.8997803523307</v>
      </c>
      <c r="C35" s="48">
        <f>C33-C37</f>
        <v>5563.9760375201076</v>
      </c>
      <c r="D35" s="48">
        <f t="shared" ref="D35:AF35" si="9">D33-D37</f>
        <v>5991.5719734953891</v>
      </c>
      <c r="E35" s="48">
        <f t="shared" si="9"/>
        <v>6864.1184951674841</v>
      </c>
      <c r="F35" s="48">
        <f t="shared" si="9"/>
        <v>7506.2409411713388</v>
      </c>
      <c r="G35" s="48">
        <f t="shared" si="9"/>
        <v>0</v>
      </c>
      <c r="H35" s="48">
        <f t="shared" si="9"/>
        <v>0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2233.4654662466587</v>
      </c>
      <c r="D36" s="383">
        <f t="shared" si="10"/>
        <v>1751.0001421308179</v>
      </c>
      <c r="E36" s="383">
        <f t="shared" si="10"/>
        <v>1211.8248538705379</v>
      </c>
      <c r="F36" s="383">
        <f t="shared" si="10"/>
        <v>615.54939028473461</v>
      </c>
      <c r="G36" s="383">
        <f t="shared" si="10"/>
        <v>0</v>
      </c>
      <c r="H36" s="383">
        <f t="shared" si="10"/>
        <v>0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57758.799233123536</v>
      </c>
      <c r="C37" s="161">
        <f>MAX(C33+C34+C36-0.5*C13,0)</f>
        <v>46844.567529180655</v>
      </c>
      <c r="D37" s="161">
        <f t="shared" ref="D37:AF37" si="11">MAX(D33+D34+D36-0.5*D13,0)</f>
        <v>35095.863055610913</v>
      </c>
      <c r="E37" s="161">
        <f t="shared" si="11"/>
        <v>21649.407478256937</v>
      </c>
      <c r="F37" s="161">
        <f t="shared" si="11"/>
        <v>6937.7016788176106</v>
      </c>
      <c r="G37" s="161">
        <f t="shared" si="11"/>
        <v>0</v>
      </c>
      <c r="H37" s="161">
        <f t="shared" si="11"/>
        <v>0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11222.970104492571</v>
      </c>
      <c r="C38" s="161">
        <f>(C32-C23)/(C41-B41)*IS!D30</f>
        <v>11165.153686412435</v>
      </c>
      <c r="D38" s="161">
        <f>(D32-D23)/(D41-C41)*IS!E30</f>
        <v>11805.266810274652</v>
      </c>
      <c r="E38" s="161">
        <f>(E32-E23)/(E41-D41)*IS!F30</f>
        <v>12216.049523225016</v>
      </c>
      <c r="F38" s="161">
        <f>(F32-F23)/(F41-E41)*IS!G30</f>
        <v>12216.06709983908</v>
      </c>
      <c r="G38" s="161">
        <f>(G32-G23)/(G41-F41)*IS!H30</f>
        <v>12113.789486485572</v>
      </c>
      <c r="H38" s="161">
        <f>(H32-H23)/(H41-G41)*IS!I30</f>
        <v>11684.51589013054</v>
      </c>
      <c r="I38" s="161">
        <f>(I32-I23)/(I41-H41)*IS!J30</f>
        <v>11710.187331452757</v>
      </c>
      <c r="J38" s="161">
        <f>(J32-J23)/(J41-I41)*IS!K30</f>
        <v>11595.8702618852</v>
      </c>
      <c r="K38" s="161">
        <f>(K32-K23)/(K41-J41)*IS!L30</f>
        <v>8613.345995987127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1.4999999999999991</v>
      </c>
      <c r="C39" s="403">
        <f t="shared" si="12"/>
        <v>1.4318996405447613</v>
      </c>
      <c r="D39" s="403">
        <f t="shared" si="12"/>
        <v>1.5247215826958895</v>
      </c>
      <c r="E39" s="403">
        <f t="shared" si="12"/>
        <v>1.512646757815624</v>
      </c>
      <c r="F39" s="403">
        <f t="shared" si="12"/>
        <v>1.5041101285914364</v>
      </c>
      <c r="G39" s="403" t="str">
        <f t="shared" si="12"/>
        <v xml:space="preserve"> </v>
      </c>
      <c r="H39" s="403" t="str">
        <f t="shared" si="12"/>
        <v xml:space="preserve"> 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57758.799233123536</v>
      </c>
      <c r="C42" s="48">
        <f>C37</f>
        <v>46844.567529180655</v>
      </c>
      <c r="D42" s="48">
        <f t="shared" ref="D42:AF42" si="14">D37</f>
        <v>35095.863055610913</v>
      </c>
      <c r="E42" s="48">
        <f t="shared" si="14"/>
        <v>21649.407478256937</v>
      </c>
      <c r="F42" s="48">
        <f t="shared" si="14"/>
        <v>6937.7016788176106</v>
      </c>
      <c r="G42" s="48">
        <f t="shared" si="14"/>
        <v>0</v>
      </c>
      <c r="H42" s="48">
        <f t="shared" si="14"/>
        <v>0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1223.1740234584822</v>
      </c>
      <c r="C44" s="383">
        <f t="shared" ref="C44:AF44" si="15">C42*(C41-C32)/(C41-B41)*$E$64</f>
        <v>992.71980777592421</v>
      </c>
      <c r="D44" s="383">
        <f t="shared" si="15"/>
        <v>743.74383763054902</v>
      </c>
      <c r="E44" s="383">
        <f t="shared" si="15"/>
        <v>457.53597498447385</v>
      </c>
      <c r="F44" s="383">
        <f t="shared" si="15"/>
        <v>147.02225338535402</v>
      </c>
      <c r="G44" s="383">
        <f t="shared" si="15"/>
        <v>0</v>
      </c>
      <c r="H44" s="383">
        <f t="shared" si="15"/>
        <v>0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57758.799233123536</v>
      </c>
      <c r="C45" s="48">
        <f t="shared" ref="C45:AF45" si="16">C42+C43</f>
        <v>46844.567529180655</v>
      </c>
      <c r="D45" s="48">
        <f t="shared" si="16"/>
        <v>35095.863055610913</v>
      </c>
      <c r="E45" s="48">
        <f t="shared" si="16"/>
        <v>21649.407478256937</v>
      </c>
      <c r="F45" s="48">
        <f t="shared" si="16"/>
        <v>6937.7016788176106</v>
      </c>
      <c r="G45" s="48">
        <f t="shared" si="16"/>
        <v>0</v>
      </c>
      <c r="H45" s="48">
        <f t="shared" si="16"/>
        <v>0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5238.8997803523307</v>
      </c>
      <c r="C48" s="161">
        <f t="shared" ref="C48:AF48" si="17">SUM(C35,C26)</f>
        <v>10914.231703942882</v>
      </c>
      <c r="D48" s="161">
        <f t="shared" si="17"/>
        <v>11748.704473569742</v>
      </c>
      <c r="E48" s="161">
        <f t="shared" si="17"/>
        <v>13446.455577353976</v>
      </c>
      <c r="F48" s="161">
        <f t="shared" si="17"/>
        <v>14711.705799439325</v>
      </c>
      <c r="G48" s="161">
        <f t="shared" si="17"/>
        <v>6937.7016788176106</v>
      </c>
      <c r="H48" s="161">
        <f t="shared" si="17"/>
        <v>0</v>
      </c>
      <c r="I48" s="161">
        <f t="shared" si="17"/>
        <v>0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4680.6513035906491</v>
      </c>
      <c r="D49" s="383">
        <f t="shared" si="18"/>
        <v>3736.4397576826659</v>
      </c>
      <c r="E49" s="383">
        <f t="shared" si="18"/>
        <v>2705.4311207220635</v>
      </c>
      <c r="F49" s="383">
        <f t="shared" si="18"/>
        <v>1531.8748634728179</v>
      </c>
      <c r="G49" s="383">
        <f t="shared" si="18"/>
        <v>294.04450677070804</v>
      </c>
      <c r="H49" s="383">
        <f t="shared" si="18"/>
        <v>0</v>
      </c>
      <c r="I49" s="383">
        <f t="shared" si="18"/>
        <v>0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7481.9800696617185</v>
      </c>
      <c r="C50" s="49">
        <f t="shared" si="19"/>
        <v>15594.883007533532</v>
      </c>
      <c r="D50" s="49">
        <f t="shared" si="19"/>
        <v>15485.144231252409</v>
      </c>
      <c r="E50" s="49">
        <f t="shared" si="19"/>
        <v>16151.886698076039</v>
      </c>
      <c r="F50" s="49">
        <f t="shared" si="19"/>
        <v>16243.580662912143</v>
      </c>
      <c r="G50" s="49">
        <f t="shared" si="19"/>
        <v>7231.7461855883184</v>
      </c>
      <c r="H50" s="49">
        <f t="shared" si="19"/>
        <v>0</v>
      </c>
      <c r="I50" s="49">
        <f t="shared" si="19"/>
        <v>0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1.4999999999999991</v>
      </c>
      <c r="C52" s="400">
        <f t="shared" ref="C52:AF52" si="20">IF(C33&gt;0.1,(C38+C29)/C50," ")</f>
        <v>1.4999999999999996</v>
      </c>
      <c r="D52" s="400">
        <f t="shared" si="20"/>
        <v>1.5</v>
      </c>
      <c r="E52" s="400">
        <f t="shared" si="20"/>
        <v>1.5000000000000002</v>
      </c>
      <c r="F52" s="400">
        <f t="shared" si="20"/>
        <v>1.5000000000000002</v>
      </c>
      <c r="G52" s="400" t="str">
        <f t="shared" si="20"/>
        <v xml:space="preserve"> </v>
      </c>
      <c r="H52" s="400" t="str">
        <f t="shared" si="20"/>
        <v xml:space="preserve"> 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5238.8997803523307</v>
      </c>
      <c r="C56" s="161">
        <f t="shared" si="21"/>
        <v>10914.231703942882</v>
      </c>
      <c r="D56" s="161">
        <f t="shared" si="21"/>
        <v>11748.704473569742</v>
      </c>
      <c r="E56" s="161">
        <f t="shared" si="21"/>
        <v>13446.455577353976</v>
      </c>
      <c r="F56" s="161">
        <f t="shared" si="21"/>
        <v>14711.705799439325</v>
      </c>
      <c r="G56" s="161">
        <f t="shared" si="21"/>
        <v>6937.7016788176106</v>
      </c>
      <c r="H56" s="161">
        <f t="shared" si="21"/>
        <v>0</v>
      </c>
      <c r="I56" s="161">
        <f t="shared" si="21"/>
        <v>0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3466.2543127678696</v>
      </c>
      <c r="C57" s="383">
        <f t="shared" si="22"/>
        <v>4450.1970879080918</v>
      </c>
      <c r="D57" s="383">
        <f t="shared" si="22"/>
        <v>3487.463787537291</v>
      </c>
      <c r="E57" s="383">
        <f t="shared" si="22"/>
        <v>2419.2232580759883</v>
      </c>
      <c r="F57" s="383">
        <f t="shared" si="22"/>
        <v>1221.361141873698</v>
      </c>
      <c r="G57" s="383">
        <f t="shared" si="22"/>
        <v>147.02225338535402</v>
      </c>
      <c r="H57" s="383">
        <f t="shared" si="22"/>
        <v>0</v>
      </c>
      <c r="I57" s="383">
        <f t="shared" si="22"/>
        <v>0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8705.1540931201998</v>
      </c>
      <c r="C58" s="49">
        <f t="shared" ref="C58:AF58" si="23">SUM(C56:C57)</f>
        <v>15364.428791850973</v>
      </c>
      <c r="D58" s="49">
        <f t="shared" si="23"/>
        <v>15236.168261107032</v>
      </c>
      <c r="E58" s="49">
        <f t="shared" si="23"/>
        <v>15865.678835429964</v>
      </c>
      <c r="F58" s="49">
        <f t="shared" si="23"/>
        <v>15933.066941313024</v>
      </c>
      <c r="G58" s="49">
        <f t="shared" si="23"/>
        <v>7084.7239322029645</v>
      </c>
      <c r="H58" s="49">
        <f t="shared" si="23"/>
        <v>0</v>
      </c>
      <c r="I58" s="49">
        <f t="shared" si="23"/>
        <v>0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5" t="s">
        <v>326</v>
      </c>
      <c r="C61" s="646"/>
      <c r="D61" s="646"/>
      <c r="E61" s="647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-26.153178879644095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1.500000000000002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-26.153178879644095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 Retail Shorts</v>
      </c>
    </row>
    <row r="4" spans="1:34" ht="17.399999999999999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 Retail Shorts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11875.803657346252</v>
      </c>
      <c r="C10" s="19">
        <f>IS!D38</f>
        <v>13985.080515464775</v>
      </c>
      <c r="D10" s="19">
        <f>IS!E38</f>
        <v>16224.542177637264</v>
      </c>
      <c r="E10" s="19">
        <f>IS!F38</f>
        <v>18178.85778770025</v>
      </c>
      <c r="F10" s="19">
        <f>IS!G38</f>
        <v>19310.000592104221</v>
      </c>
      <c r="G10" s="19">
        <f>IS!H38</f>
        <v>20701.231814614253</v>
      </c>
      <c r="H10" s="19">
        <f>IS!I38</f>
        <v>20252.496965980012</v>
      </c>
      <c r="I10" s="19">
        <f>IS!J38</f>
        <v>20367.689662231718</v>
      </c>
      <c r="J10" s="19">
        <f>IS!K38</f>
        <v>20075.69011182947</v>
      </c>
      <c r="K10" s="19">
        <f>IS!L38</f>
        <v>14126.939526841512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8873.1186566724573</v>
      </c>
      <c r="C13" s="23">
        <f t="shared" ref="C13:W13" si="0">SUM(C10:C12)</f>
        <v>7479.2630140048877</v>
      </c>
      <c r="D13" s="23">
        <f t="shared" si="0"/>
        <v>10669.574926390744</v>
      </c>
      <c r="E13" s="23">
        <f t="shared" si="0"/>
        <v>13474.651286644639</v>
      </c>
      <c r="F13" s="23">
        <f t="shared" si="0"/>
        <v>15376.483241221551</v>
      </c>
      <c r="G13" s="23">
        <f t="shared" si="0"/>
        <v>17468.340963888804</v>
      </c>
      <c r="H13" s="23">
        <f t="shared" si="0"/>
        <v>17349.901465328679</v>
      </c>
      <c r="I13" s="23">
        <f t="shared" si="0"/>
        <v>17455.085211578138</v>
      </c>
      <c r="J13" s="23">
        <f t="shared" si="0"/>
        <v>17173.094611178138</v>
      </c>
      <c r="K13" s="23">
        <f t="shared" si="0"/>
        <v>11214.335076187932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621.11830596707205</v>
      </c>
      <c r="C16" s="19">
        <f t="shared" si="2"/>
        <v>523.54841098034217</v>
      </c>
      <c r="D16" s="19">
        <f t="shared" si="2"/>
        <v>746.87024484735218</v>
      </c>
      <c r="E16" s="19">
        <f t="shared" si="2"/>
        <v>943.22559006512483</v>
      </c>
      <c r="F16" s="19">
        <f t="shared" si="2"/>
        <v>1076.3538268855086</v>
      </c>
      <c r="G16" s="19">
        <f t="shared" si="2"/>
        <v>1222.7838674722163</v>
      </c>
      <c r="H16" s="19">
        <f t="shared" si="2"/>
        <v>1214.4931025730077</v>
      </c>
      <c r="I16" s="19">
        <f t="shared" si="2"/>
        <v>1221.8559648104697</v>
      </c>
      <c r="J16" s="19">
        <f t="shared" si="2"/>
        <v>1202.1166227824697</v>
      </c>
      <c r="K16" s="19">
        <f t="shared" si="2"/>
        <v>785.00345533315533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621.11830596707205</v>
      </c>
      <c r="C24" s="137">
        <f t="shared" ref="C24:AF24" si="11">IF(C13&lt;0,0,C21+C16)</f>
        <v>523.54841098034217</v>
      </c>
      <c r="D24" s="137">
        <f t="shared" si="11"/>
        <v>746.87024484735218</v>
      </c>
      <c r="E24" s="137">
        <f t="shared" si="11"/>
        <v>943.22559006512483</v>
      </c>
      <c r="F24" s="137">
        <f t="shared" si="11"/>
        <v>1076.3538268855086</v>
      </c>
      <c r="G24" s="137">
        <f t="shared" si="11"/>
        <v>1222.7838674722163</v>
      </c>
      <c r="H24" s="137">
        <f t="shared" si="11"/>
        <v>1214.4931025730077</v>
      </c>
      <c r="I24" s="137">
        <f t="shared" si="11"/>
        <v>1221.8559648104697</v>
      </c>
      <c r="J24" s="137">
        <f t="shared" si="11"/>
        <v>1202.1166227824697</v>
      </c>
      <c r="K24" s="137">
        <f t="shared" si="11"/>
        <v>785.00345533315533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8873.1186566724573</v>
      </c>
      <c r="C28" s="19">
        <f t="shared" ref="C28:AF28" si="12">C13</f>
        <v>7479.2630140048877</v>
      </c>
      <c r="D28" s="19">
        <f t="shared" si="12"/>
        <v>10669.574926390744</v>
      </c>
      <c r="E28" s="19">
        <f t="shared" si="12"/>
        <v>13474.651286644639</v>
      </c>
      <c r="F28" s="19">
        <f t="shared" si="12"/>
        <v>15376.483241221551</v>
      </c>
      <c r="G28" s="19">
        <f t="shared" si="12"/>
        <v>17468.340963888804</v>
      </c>
      <c r="H28" s="19">
        <f t="shared" si="12"/>
        <v>17349.901465328679</v>
      </c>
      <c r="I28" s="19">
        <f t="shared" si="12"/>
        <v>17455.085211578138</v>
      </c>
      <c r="J28" s="19">
        <f t="shared" si="12"/>
        <v>17173.094611178138</v>
      </c>
      <c r="K28" s="19">
        <f t="shared" si="12"/>
        <v>11214.335076187932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-621.11830596707205</v>
      </c>
      <c r="C29" s="135">
        <f t="shared" ref="C29:AF29" si="13">-C24</f>
        <v>-523.54841098034217</v>
      </c>
      <c r="D29" s="135">
        <f t="shared" si="13"/>
        <v>-746.87024484735218</v>
      </c>
      <c r="E29" s="135">
        <f t="shared" si="13"/>
        <v>-943.22559006512483</v>
      </c>
      <c r="F29" s="135">
        <f t="shared" si="13"/>
        <v>-1076.3538268855086</v>
      </c>
      <c r="G29" s="135">
        <f t="shared" si="13"/>
        <v>-1222.7838674722163</v>
      </c>
      <c r="H29" s="135">
        <f t="shared" si="13"/>
        <v>-1214.4931025730077</v>
      </c>
      <c r="I29" s="135">
        <f t="shared" si="13"/>
        <v>-1221.8559648104697</v>
      </c>
      <c r="J29" s="135">
        <f t="shared" si="13"/>
        <v>-1202.1166227824697</v>
      </c>
      <c r="K29" s="135">
        <f t="shared" si="13"/>
        <v>-785.00345533315533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8252.0003507053843</v>
      </c>
      <c r="C30" s="44">
        <f t="shared" si="14"/>
        <v>6955.7146030245458</v>
      </c>
      <c r="D30" s="44">
        <f t="shared" si="14"/>
        <v>9922.7046815433914</v>
      </c>
      <c r="E30" s="44">
        <f t="shared" si="14"/>
        <v>12531.425696579514</v>
      </c>
      <c r="F30" s="44">
        <f t="shared" si="14"/>
        <v>14300.129414336043</v>
      </c>
      <c r="G30" s="44">
        <f t="shared" si="14"/>
        <v>16245.557096416587</v>
      </c>
      <c r="H30" s="44">
        <f t="shared" si="14"/>
        <v>16135.408362755672</v>
      </c>
      <c r="I30" s="44">
        <f t="shared" si="14"/>
        <v>16233.229246767669</v>
      </c>
      <c r="J30" s="44">
        <f t="shared" si="14"/>
        <v>15970.977988395669</v>
      </c>
      <c r="K30" s="44">
        <f t="shared" si="14"/>
        <v>10429.331620854777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2888.2001227468845</v>
      </c>
      <c r="C33" s="19">
        <f t="shared" ref="C33:W33" si="15">C30*C32</f>
        <v>2434.5001110585908</v>
      </c>
      <c r="D33" s="19">
        <f t="shared" si="15"/>
        <v>3472.946638540187</v>
      </c>
      <c r="E33" s="19">
        <f t="shared" si="15"/>
        <v>4385.9989938028293</v>
      </c>
      <c r="F33" s="19">
        <f t="shared" si="15"/>
        <v>5005.045295017615</v>
      </c>
      <c r="G33" s="19">
        <f t="shared" si="15"/>
        <v>5685.9449837458051</v>
      </c>
      <c r="H33" s="19">
        <f t="shared" si="15"/>
        <v>5647.392926964485</v>
      </c>
      <c r="I33" s="19">
        <f t="shared" si="15"/>
        <v>5681.6302363686837</v>
      </c>
      <c r="J33" s="19">
        <f t="shared" si="15"/>
        <v>5589.8422959384834</v>
      </c>
      <c r="K33" s="19">
        <f t="shared" si="15"/>
        <v>3650.2660672991715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2888.2001227468845</v>
      </c>
      <c r="C41" s="137">
        <f t="shared" ref="C41:AF41" si="24">IF(C30&lt;0,0,C38+C33)</f>
        <v>2434.5001110585908</v>
      </c>
      <c r="D41" s="137">
        <f t="shared" si="24"/>
        <v>3472.946638540187</v>
      </c>
      <c r="E41" s="137">
        <f t="shared" si="24"/>
        <v>4385.9989938028293</v>
      </c>
      <c r="F41" s="137">
        <f t="shared" si="24"/>
        <v>5005.045295017615</v>
      </c>
      <c r="G41" s="137">
        <f t="shared" si="24"/>
        <v>5685.9449837458051</v>
      </c>
      <c r="H41" s="137">
        <f t="shared" si="24"/>
        <v>5647.392926964485</v>
      </c>
      <c r="I41" s="137">
        <f t="shared" si="24"/>
        <v>5681.6302363686837</v>
      </c>
      <c r="J41" s="137">
        <f t="shared" si="24"/>
        <v>5589.8422959384834</v>
      </c>
      <c r="K41" s="137">
        <f t="shared" si="24"/>
        <v>3650.2660672991715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 Retail Shorts</v>
      </c>
    </row>
    <row r="4" spans="1:25" ht="17.399999999999999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7.399999999999999">
      <c r="A38" s="61" t="s">
        <v>227</v>
      </c>
      <c r="B38" s="282"/>
      <c r="F38"/>
      <c r="G38"/>
      <c r="H38"/>
      <c r="I38"/>
      <c r="J38"/>
      <c r="K38"/>
      <c r="L38"/>
    </row>
    <row r="39" spans="1:12" ht="13.8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8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8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8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8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8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8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8" thickBot="1">
      <c r="A58" s="171" t="s">
        <v>228</v>
      </c>
      <c r="B58" s="42"/>
      <c r="C58" s="42"/>
      <c r="D58" s="285">
        <v>20.833333333333314</v>
      </c>
      <c r="E58" s="66"/>
    </row>
    <row r="59" spans="1:12" ht="13.8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 Retail Shorts</v>
      </c>
    </row>
    <row r="4" spans="1:4" ht="17.399999999999999">
      <c r="A4" s="169" t="s">
        <v>122</v>
      </c>
    </row>
    <row r="6" spans="1:4" ht="13.8" thickBot="1"/>
    <row r="7" spans="1:4" ht="13.8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8" thickBot="1">
      <c r="A9" s="478" t="s">
        <v>121</v>
      </c>
      <c r="B9" s="479">
        <f>'Returns Analysis'!C39</f>
        <v>0.11390141844749452</v>
      </c>
      <c r="C9" s="480">
        <f>Debt!E69</f>
        <v>1.4999999999999976</v>
      </c>
      <c r="D9" s="481">
        <f>Debt!E68</f>
        <v>1.500000000000002</v>
      </c>
    </row>
    <row r="10" spans="1:4">
      <c r="A10" s="63"/>
      <c r="C10" s="482"/>
      <c r="D10" s="482"/>
    </row>
    <row r="11" spans="1:4" ht="13.8" thickBot="1"/>
    <row r="12" spans="1:4">
      <c r="A12" s="483" t="s">
        <v>374</v>
      </c>
      <c r="B12" s="484">
        <f>B9</f>
        <v>0.11390141844749452</v>
      </c>
      <c r="C12" s="485">
        <f>C9</f>
        <v>1.4999999999999976</v>
      </c>
      <c r="D12" s="486">
        <f>D9</f>
        <v>1.500000000000002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37" zoomScale="75" zoomScaleNormal="75" workbookViewId="0">
      <selection activeCell="H54" sqref="H54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6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6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6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C11/$H$68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6">
      <c r="A12" s="99" t="s">
        <v>86</v>
      </c>
      <c r="B12" s="596">
        <v>0.6</v>
      </c>
      <c r="C12" s="193">
        <f>B12*C58</f>
        <v>62997.699013475867</v>
      </c>
      <c r="D12" s="345">
        <f>C12/$H$68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6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6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C14/$H$68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6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6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6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6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6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C19/$H$68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N19/$H$68</f>
        <v>2.3936170212765959</v>
      </c>
      <c r="P19" s="40"/>
    </row>
    <row r="20" spans="1:23" ht="15.6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6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6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6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6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2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150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2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6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6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6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N30/$H$68</f>
        <v>2.1276595744680851</v>
      </c>
      <c r="P30" s="538">
        <v>0.02</v>
      </c>
      <c r="R30" s="3"/>
    </row>
    <row r="31" spans="1:23" ht="15.6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N31/$H$68</f>
        <v>1.3622360774203537</v>
      </c>
      <c r="P31" s="40"/>
      <c r="R31" s="3"/>
    </row>
    <row r="32" spans="1:23" ht="15.6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N32/$H$68</f>
        <v>0</v>
      </c>
      <c r="P32" s="40"/>
      <c r="Q32" s="66"/>
      <c r="R32" s="3"/>
    </row>
    <row r="33" spans="1:18" ht="16.2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N33/$H$68</f>
        <v>0</v>
      </c>
      <c r="P33" s="81"/>
      <c r="R33" s="3"/>
    </row>
    <row r="34" spans="1:18" ht="16.2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6">
      <c r="A35" s="41"/>
      <c r="B35" s="13"/>
      <c r="C35" s="13"/>
      <c r="D35" s="347"/>
      <c r="E35" s="13"/>
      <c r="F35" s="106" t="s">
        <v>17</v>
      </c>
      <c r="G35" s="122">
        <f>Debt!E66</f>
        <v>-26.153178879644095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6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6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C37/$H$68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6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6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6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6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6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6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6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2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2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2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2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6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6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6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6">
      <c r="A53" s="99" t="s">
        <v>169</v>
      </c>
      <c r="B53" s="167">
        <f>C53/$C$58</f>
        <v>0</v>
      </c>
      <c r="C53" s="246">
        <v>0</v>
      </c>
      <c r="D53" s="345">
        <f>C53/$H$68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6">
      <c r="A54" s="99" t="s">
        <v>170</v>
      </c>
      <c r="B54" s="167">
        <f>C54/$C$58</f>
        <v>0</v>
      </c>
      <c r="C54" s="246">
        <v>0</v>
      </c>
      <c r="D54" s="345">
        <f>C54/$H$68</f>
        <v>0</v>
      </c>
      <c r="E54" s="13"/>
      <c r="F54" s="102" t="s">
        <v>466</v>
      </c>
      <c r="G54" s="13"/>
      <c r="H54" s="560">
        <v>46.92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2" thickBot="1">
      <c r="A55" s="105" t="s">
        <v>102</v>
      </c>
      <c r="B55" s="182">
        <f>C55/$C$58</f>
        <v>9.5241573802823127E-3</v>
      </c>
      <c r="C55" s="247">
        <v>1000</v>
      </c>
      <c r="D55" s="345">
        <f>C55/$H$68</f>
        <v>5.3191489361702127</v>
      </c>
      <c r="E55" s="13"/>
      <c r="F55" s="102" t="s">
        <v>475</v>
      </c>
      <c r="G55" s="13"/>
      <c r="H55" s="608">
        <v>0.5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6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C56/$H$68</f>
        <v>5.3191489361702127</v>
      </c>
      <c r="E56" s="13"/>
      <c r="F56" s="609" t="s">
        <v>305</v>
      </c>
      <c r="G56" s="13"/>
      <c r="H56" s="13"/>
      <c r="I56" s="13"/>
      <c r="J56" s="40"/>
    </row>
    <row r="57" spans="1:16" ht="15.6">
      <c r="A57" s="41"/>
      <c r="B57" s="13"/>
      <c r="C57" s="13"/>
      <c r="D57" s="348"/>
      <c r="E57" s="13"/>
      <c r="F57" s="102" t="s">
        <v>304</v>
      </c>
      <c r="G57" s="13"/>
      <c r="H57" s="273">
        <f>H19-H52</f>
        <v>0</v>
      </c>
      <c r="I57" s="111"/>
      <c r="J57" s="40"/>
    </row>
    <row r="58" spans="1:16" ht="16.8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C58/$H$68</f>
        <v>558.49023948116906</v>
      </c>
      <c r="E58" s="13"/>
      <c r="F58" s="102" t="s">
        <v>415</v>
      </c>
      <c r="G58" s="98"/>
      <c r="H58" s="153"/>
      <c r="I58" s="111"/>
      <c r="J58" s="40"/>
    </row>
    <row r="59" spans="1:16" ht="13.8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6">
      <c r="A60" s="95" t="s">
        <v>32</v>
      </c>
      <c r="B60" s="120"/>
      <c r="C60" s="200"/>
      <c r="D60" s="121"/>
      <c r="E60" s="13"/>
      <c r="F60" s="102" t="s">
        <v>423</v>
      </c>
      <c r="G60" s="98"/>
      <c r="H60" s="153">
        <f>P17</f>
        <v>2.23</v>
      </c>
      <c r="I60" s="111"/>
      <c r="J60" s="40"/>
    </row>
    <row r="61" spans="1:16" ht="15.6">
      <c r="A61" s="41"/>
      <c r="B61" s="13"/>
      <c r="C61" s="13"/>
      <c r="D61" s="40"/>
      <c r="E61" s="13"/>
      <c r="F61" s="102"/>
      <c r="G61" s="13"/>
      <c r="H61" s="261"/>
      <c r="I61" s="111"/>
      <c r="J61" s="40"/>
    </row>
    <row r="62" spans="1:16" ht="16.2" thickBot="1">
      <c r="A62" s="340" t="s">
        <v>270</v>
      </c>
      <c r="B62" s="341"/>
      <c r="C62" s="342">
        <f>D58</f>
        <v>558.49023948116906</v>
      </c>
      <c r="D62" s="40"/>
      <c r="E62" s="13"/>
      <c r="F62" s="104" t="s">
        <v>120</v>
      </c>
      <c r="G62" s="42"/>
      <c r="H62" s="275">
        <f>H68*H72</f>
        <v>263200</v>
      </c>
      <c r="I62" s="201"/>
      <c r="J62" s="81"/>
    </row>
    <row r="63" spans="1:16" ht="13.8" thickBot="1">
      <c r="A63" s="518"/>
      <c r="B63" s="178"/>
      <c r="C63" s="178"/>
      <c r="D63" s="40"/>
      <c r="E63" s="13"/>
    </row>
    <row r="64" spans="1:16" ht="15.6">
      <c r="A64" s="102"/>
      <c r="B64" s="98"/>
      <c r="C64" s="97" t="s">
        <v>34</v>
      </c>
      <c r="D64" s="170" t="s">
        <v>33</v>
      </c>
      <c r="E64" s="13"/>
      <c r="F64" s="94" t="s">
        <v>5</v>
      </c>
      <c r="G64" s="198"/>
      <c r="H64" s="200"/>
      <c r="I64" s="38"/>
      <c r="J64" s="39"/>
    </row>
    <row r="65" spans="1:10" ht="15.6">
      <c r="A65" s="105" t="s">
        <v>0</v>
      </c>
      <c r="B65" s="109"/>
      <c r="C65" s="110">
        <f>Debt!E68</f>
        <v>1.500000000000002</v>
      </c>
      <c r="D65" s="350">
        <f>Debt!E69</f>
        <v>1.4999999999999976</v>
      </c>
      <c r="E65" s="13"/>
      <c r="F65" s="180"/>
      <c r="G65" s="151"/>
      <c r="H65" s="111"/>
      <c r="I65" s="13"/>
      <c r="J65" s="40"/>
    </row>
    <row r="66" spans="1:10" ht="15.6">
      <c r="A66" s="41"/>
      <c r="B66" s="98"/>
      <c r="C66" s="13"/>
      <c r="D66" s="40"/>
      <c r="E66" s="13"/>
      <c r="F66" s="102" t="s">
        <v>128</v>
      </c>
      <c r="G66" s="13"/>
      <c r="H66" s="217">
        <f>H12*H13</f>
        <v>188</v>
      </c>
      <c r="I66" s="13"/>
      <c r="J66" s="40"/>
    </row>
    <row r="67" spans="1:10" ht="15.6">
      <c r="A67" s="105" t="s">
        <v>334</v>
      </c>
      <c r="B67" s="13"/>
      <c r="C67" s="13"/>
      <c r="D67" s="40"/>
      <c r="E67" s="13"/>
      <c r="F67" s="105" t="s">
        <v>90</v>
      </c>
      <c r="G67" s="13"/>
      <c r="H67" s="338">
        <v>0</v>
      </c>
      <c r="I67" s="13"/>
      <c r="J67" s="40"/>
    </row>
    <row r="68" spans="1:10" ht="15.6">
      <c r="A68" s="102" t="s">
        <v>375</v>
      </c>
      <c r="B68" s="98"/>
      <c r="C68" s="166">
        <f>'Returns Analysis'!C39</f>
        <v>0.11390141844749452</v>
      </c>
      <c r="D68" s="40"/>
      <c r="E68" s="13"/>
      <c r="F68" s="119" t="s">
        <v>308</v>
      </c>
      <c r="G68" s="43"/>
      <c r="H68" s="356">
        <f>SUM(H66:H67)</f>
        <v>188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0.17409008145332341</v>
      </c>
      <c r="D69" s="103"/>
      <c r="E69" s="13"/>
      <c r="F69" s="41"/>
      <c r="G69" s="13"/>
      <c r="H69" s="13"/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0.15874970555305479</v>
      </c>
      <c r="D70" s="561" t="s">
        <v>472</v>
      </c>
      <c r="E70" s="13"/>
      <c r="F70" s="102" t="s">
        <v>351</v>
      </c>
      <c r="G70" s="13"/>
      <c r="H70" s="248">
        <v>140</v>
      </c>
      <c r="I70" s="13"/>
      <c r="J70" s="40"/>
    </row>
    <row r="71" spans="1:10" ht="15.6">
      <c r="A71" s="102" t="str">
        <f>CONCATENATE("30 Yrs After-Tax Cashflow with $",H25,"/kW Residual Value")</f>
        <v>30 Yrs After-Tax Cashflow with $150/kW Residual Value</v>
      </c>
      <c r="B71" s="13"/>
      <c r="C71" s="564">
        <f>'Returns Analysis'!C60</f>
        <v>0.1432585418224335</v>
      </c>
      <c r="D71" s="187">
        <v>0.12</v>
      </c>
      <c r="E71" s="13"/>
      <c r="F71" s="102" t="s">
        <v>266</v>
      </c>
      <c r="G71" s="13"/>
      <c r="H71" s="248">
        <v>400</v>
      </c>
      <c r="I71" s="13"/>
      <c r="J71" s="40"/>
    </row>
    <row r="72" spans="1:10" ht="16.2" thickBot="1">
      <c r="A72" s="41"/>
      <c r="B72" s="13"/>
      <c r="C72" s="13"/>
      <c r="D72" s="40"/>
      <c r="E72" s="13"/>
      <c r="F72" s="104" t="s">
        <v>172</v>
      </c>
      <c r="G72" s="42"/>
      <c r="H72" s="257">
        <v>1400</v>
      </c>
      <c r="I72" s="42"/>
      <c r="J72" s="81"/>
    </row>
    <row r="73" spans="1:10" ht="15.6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</row>
    <row r="74" spans="1:10" ht="15.6">
      <c r="A74" s="102" t="s">
        <v>98</v>
      </c>
      <c r="B74" s="112">
        <f>IS!C30</f>
        <v>17898.069970563316</v>
      </c>
      <c r="C74" s="112">
        <f>IS!D30</f>
        <v>22269.29560404666</v>
      </c>
      <c r="D74" s="165">
        <f>IS!E30</f>
        <v>23546.023965848348</v>
      </c>
      <c r="E74" s="98"/>
    </row>
    <row r="75" spans="1:10" ht="15.6">
      <c r="A75" s="102" t="s">
        <v>99</v>
      </c>
      <c r="B75" s="112">
        <f>IS!C43</f>
        <v>7178.92331086581</v>
      </c>
      <c r="C75" s="112">
        <f>IS!D43</f>
        <v>8453.9811715984579</v>
      </c>
      <c r="D75" s="165">
        <f>IS!E43</f>
        <v>9807.7357463817261</v>
      </c>
      <c r="E75" s="98"/>
    </row>
    <row r="76" spans="1:10" ht="15.6">
      <c r="A76" s="102" t="s">
        <v>100</v>
      </c>
      <c r="B76" s="112">
        <f>'Returns Analysis'!C13</f>
        <v>15654.989681253928</v>
      </c>
      <c r="C76" s="112">
        <f>'Returns Analysis'!D13</f>
        <v>17588.64430045601</v>
      </c>
      <c r="D76" s="165">
        <f>'Returns Analysis'!E13</f>
        <v>19809.584208165681</v>
      </c>
      <c r="E76" s="13"/>
    </row>
    <row r="77" spans="1:10" ht="16.2" thickBot="1">
      <c r="A77" s="104" t="s">
        <v>364</v>
      </c>
      <c r="B77" s="113">
        <f>'Returns Analysis'!C21</f>
        <v>6906.7714721876409</v>
      </c>
      <c r="C77" s="113">
        <f>'Returns Analysis'!D21</f>
        <v>3716.3640744741951</v>
      </c>
      <c r="D77" s="190">
        <f>'Returns Analysis'!E21</f>
        <v>3841.0628512084004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58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2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Assumptions!$H$60*(1+Assumptions!$N$11)^(D7)</f>
        <v>2.2743799223186225</v>
      </c>
      <c r="E35" s="509">
        <f>Assumptions!$H$60*(1+Assumptions!$N$11)^(E7)</f>
        <v>2.3426113199881811</v>
      </c>
      <c r="F35" s="509">
        <f>Assumptions!$H$60*(1+Assumptions!$N$11)^(F7)</f>
        <v>2.4128896595878269</v>
      </c>
      <c r="G35" s="509">
        <f>Assumptions!$H$60*(1+Assumptions!$N$11)^(G7)</f>
        <v>2.4852763493754617</v>
      </c>
      <c r="H35" s="509">
        <f>Assumptions!$H$60*(1+Assumptions!$N$11)^(H7)</f>
        <v>2.5598346398567253</v>
      </c>
      <c r="I35" s="509">
        <f>Assumptions!$H$60*(1+Assumptions!$N$11)^(I7)</f>
        <v>2.6366296790524273</v>
      </c>
      <c r="J35" s="509">
        <f>Assumptions!$H$60*(1+Assumptions!$N$11)^(J7)</f>
        <v>2.7157285694240003</v>
      </c>
      <c r="K35" s="509">
        <f>Assumptions!$H$60*(1+Assumptions!$N$11)^(K7)</f>
        <v>2.7972004265067199</v>
      </c>
      <c r="L35" s="509">
        <f>Assumptions!$H$60*(1+Assumptions!$N$11)^(L7)</f>
        <v>2.8811164393019215</v>
      </c>
      <c r="M35" s="509">
        <f>Assumptions!$H$60*(1+Assumptions!$N$11)^(M7)</f>
        <v>2.9675499324809795</v>
      </c>
      <c r="N35" s="509">
        <f>Assumptions!$H$60*(1+Assumptions!$N$11)^(N7)</f>
        <v>3.0565764304554088</v>
      </c>
      <c r="O35" s="509">
        <f>Assumptions!$H$60*(1+Assumptions!$N$11)^(O7)</f>
        <v>3.1482737233690714</v>
      </c>
      <c r="P35" s="509">
        <f>Assumptions!$H$60*(1+Assumptions!$N$11)^(P7)</f>
        <v>3.2427219350701435</v>
      </c>
      <c r="Q35" s="509">
        <f>Assumptions!$H$60*(1+Assumptions!$N$11)^(Q7)</f>
        <v>3.3400035931222476</v>
      </c>
      <c r="R35" s="509">
        <f>Assumptions!$H$60*(1+Assumptions!$N$11)^(R7)</f>
        <v>3.4402037009159154</v>
      </c>
      <c r="S35" s="509">
        <f>Assumptions!$H$60*(1+Assumptions!$N$11)^(S7)</f>
        <v>3.543409811943393</v>
      </c>
      <c r="T35" s="509">
        <f>Assumptions!$H$60*(1+Assumptions!$N$11)^(T7)</f>
        <v>3.6497121063016946</v>
      </c>
      <c r="U35" s="509">
        <f>Assumptions!$H$60*(1+Assumptions!$N$11)^(U7)</f>
        <v>3.7592034694907452</v>
      </c>
      <c r="V35" s="509">
        <f>Assumptions!$H$60*(1+Assumptions!$N$11)^(V7)</f>
        <v>3.8719795735754685</v>
      </c>
      <c r="W35" s="509">
        <f>Assumptions!$H$60*(1+Assumptions!$N$11)^(W7)</f>
        <v>3.9881389607827322</v>
      </c>
      <c r="X35" s="509">
        <f>Assumptions!$H$60*(1+Assumptions!$N$11)^(X7)</f>
        <v>4.1077831296062142</v>
      </c>
      <c r="Y35" s="509">
        <f>Assumptions!$H$60*(1+Assumptions!$N$11)^(Y7)</f>
        <v>4.2310166234944013</v>
      </c>
      <c r="Z35" s="509">
        <f>Assumptions!$H$60*(1+Assumptions!$N$11)^(Z7)</f>
        <v>4.3579471221992332</v>
      </c>
      <c r="AA35" s="509">
        <f>Assumptions!$H$60*(1+Assumptions!$N$11)^(AA7)</f>
        <v>4.4886855358652111</v>
      </c>
      <c r="AB35" s="509">
        <f>Assumptions!$H$60*(1+Assumptions!$N$11)^(AB7)</f>
        <v>4.6233461019411672</v>
      </c>
      <c r="AC35" s="509">
        <f>Assumptions!$H$60*(1+Assumptions!$N$11)^(AC7)</f>
        <v>4.7620464849994022</v>
      </c>
      <c r="AD35" s="509">
        <f>Assumptions!$H$60*(1+Assumptions!$N$11)^(AD7)</f>
        <v>4.9049078795493841</v>
      </c>
      <c r="AE35" s="509">
        <f>Assumptions!$H$60*(1+Assumptions!$N$11)^(AE7)</f>
        <v>5.0520551159358655</v>
      </c>
      <c r="AF35" s="509">
        <f>Assumptions!$H$60*(1+Assumptions!$N$11)^(AF7)</f>
        <v>5.2036167694139408</v>
      </c>
      <c r="AG35" s="509">
        <f>Assumptions!$H$60*(1+Assumptions!$N$11)^(AG7)</f>
        <v>5.3597252724963607</v>
      </c>
      <c r="AH35" s="509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46.92</v>
      </c>
      <c r="E41" s="546">
        <f>D41</f>
        <v>46.92</v>
      </c>
      <c r="F41" s="546">
        <f t="shared" ref="F41:AH41" si="7">E41</f>
        <v>46.92</v>
      </c>
      <c r="G41" s="546">
        <f t="shared" si="7"/>
        <v>46.92</v>
      </c>
      <c r="H41" s="546">
        <f t="shared" si="7"/>
        <v>46.92</v>
      </c>
      <c r="I41" s="546">
        <f t="shared" si="7"/>
        <v>46.92</v>
      </c>
      <c r="J41" s="546">
        <f t="shared" si="7"/>
        <v>46.92</v>
      </c>
      <c r="K41" s="546">
        <f t="shared" si="7"/>
        <v>46.92</v>
      </c>
      <c r="L41" s="546">
        <f t="shared" si="7"/>
        <v>46.92</v>
      </c>
      <c r="M41" s="546">
        <f t="shared" si="7"/>
        <v>46.92</v>
      </c>
      <c r="N41" s="546">
        <f t="shared" si="7"/>
        <v>46.92</v>
      </c>
      <c r="O41" s="546">
        <f t="shared" si="7"/>
        <v>46.92</v>
      </c>
      <c r="P41" s="546">
        <f t="shared" si="7"/>
        <v>46.92</v>
      </c>
      <c r="Q41" s="546">
        <f t="shared" si="7"/>
        <v>46.92</v>
      </c>
      <c r="R41" s="546">
        <f t="shared" si="7"/>
        <v>46.92</v>
      </c>
      <c r="S41" s="546">
        <f t="shared" si="7"/>
        <v>46.92</v>
      </c>
      <c r="T41" s="546">
        <f t="shared" si="7"/>
        <v>46.92</v>
      </c>
      <c r="U41" s="546">
        <f t="shared" si="7"/>
        <v>46.92</v>
      </c>
      <c r="V41" s="546">
        <f t="shared" si="7"/>
        <v>46.92</v>
      </c>
      <c r="W41" s="546">
        <f t="shared" si="7"/>
        <v>46.92</v>
      </c>
      <c r="X41" s="546">
        <f t="shared" si="7"/>
        <v>46.92</v>
      </c>
      <c r="Y41" s="546">
        <f t="shared" si="7"/>
        <v>46.92</v>
      </c>
      <c r="Z41" s="546">
        <f t="shared" si="7"/>
        <v>46.92</v>
      </c>
      <c r="AA41" s="546">
        <f t="shared" si="7"/>
        <v>46.92</v>
      </c>
      <c r="AB41" s="546">
        <f t="shared" si="7"/>
        <v>46.92</v>
      </c>
      <c r="AC41" s="546">
        <f t="shared" si="7"/>
        <v>46.92</v>
      </c>
      <c r="AD41" s="546">
        <f t="shared" si="7"/>
        <v>46.92</v>
      </c>
      <c r="AE41" s="546">
        <f t="shared" si="7"/>
        <v>46.92</v>
      </c>
      <c r="AF41" s="546">
        <f t="shared" si="7"/>
        <v>46.92</v>
      </c>
      <c r="AG41" s="546">
        <f t="shared" si="7"/>
        <v>46.92</v>
      </c>
      <c r="AH41" s="546">
        <f t="shared" si="7"/>
        <v>46.92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6"/>
  <sheetViews>
    <sheetView workbookViewId="0">
      <selection activeCell="C6" sqref="C6"/>
    </sheetView>
  </sheetViews>
  <sheetFormatPr defaultColWidth="9.109375" defaultRowHeight="13.2"/>
  <cols>
    <col min="1" max="1" width="34.6640625" style="12" customWidth="1"/>
    <col min="2" max="2" width="6.44140625" style="12" customWidth="1"/>
    <col min="3" max="12" width="9.88671875" style="12" bestFit="1" customWidth="1"/>
    <col min="13" max="16384" width="9.109375" style="12"/>
  </cols>
  <sheetData>
    <row r="2" spans="1:32">
      <c r="A2" s="226" t="s">
        <v>331</v>
      </c>
    </row>
    <row r="3" spans="1:32">
      <c r="A3" s="226" t="s">
        <v>462</v>
      </c>
    </row>
    <row r="4" spans="1:32">
      <c r="A4" s="227"/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489</v>
      </c>
      <c r="C7" s="544">
        <v>3.88</v>
      </c>
      <c r="D7" s="544">
        <v>3.77</v>
      </c>
      <c r="E7" s="544">
        <v>3.72</v>
      </c>
      <c r="F7" s="544">
        <v>3.73</v>
      </c>
      <c r="G7" s="544">
        <v>3.74</v>
      </c>
      <c r="H7" s="544">
        <v>3.79</v>
      </c>
      <c r="I7" s="544">
        <v>3.83</v>
      </c>
      <c r="J7" s="544">
        <v>3.86</v>
      </c>
      <c r="K7" s="544">
        <v>3.96</v>
      </c>
      <c r="L7" s="544">
        <v>3.98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B8" s="227" t="s">
        <v>473</v>
      </c>
    </row>
    <row r="9" spans="1:32">
      <c r="A9" s="12" t="s">
        <v>490</v>
      </c>
      <c r="B9" s="563">
        <v>0</v>
      </c>
      <c r="C9" s="553">
        <f>15544.94*(1+$B$9)</f>
        <v>15544.94</v>
      </c>
      <c r="D9" s="553">
        <f>15996.22*(1+B9)</f>
        <v>15996.22</v>
      </c>
      <c r="E9" s="553">
        <f>16200.055*(1+B9)</f>
        <v>16200.055</v>
      </c>
      <c r="F9" s="553">
        <f>16546.175*(1+B9)</f>
        <v>16546.174999999999</v>
      </c>
      <c r="G9" s="553">
        <f>16734.54*(1+B9)</f>
        <v>16734.54</v>
      </c>
      <c r="H9" s="553">
        <f>16892.733*(1+B9)</f>
        <v>16892.733</v>
      </c>
      <c r="I9" s="553">
        <f>17049.164*(1+B9)</f>
        <v>17049.164000000001</v>
      </c>
      <c r="J9" s="553">
        <f>17195.86*(1+B9)</f>
        <v>17195.86</v>
      </c>
      <c r="K9" s="553">
        <f>17267.466*(1+B9)</f>
        <v>17267.466</v>
      </c>
      <c r="L9" s="553">
        <f>17393.797*(1+B9)</f>
        <v>17393.796999999999</v>
      </c>
    </row>
    <row r="10" spans="1:32">
      <c r="A10" s="12" t="s">
        <v>491</v>
      </c>
      <c r="C10" s="545">
        <v>15206.799000000001</v>
      </c>
      <c r="D10" s="545">
        <v>15739.444</v>
      </c>
      <c r="E10" s="545">
        <v>16041.814</v>
      </c>
      <c r="F10" s="545">
        <v>16456.276000000002</v>
      </c>
      <c r="G10" s="545">
        <v>16683.259999999998</v>
      </c>
      <c r="H10" s="545">
        <v>16872.562999999998</v>
      </c>
      <c r="I10" s="545">
        <v>17029.12</v>
      </c>
      <c r="J10" s="545">
        <v>17170.03</v>
      </c>
      <c r="K10" s="545">
        <v>17245.233</v>
      </c>
      <c r="L10" s="545">
        <v>17360.898000000001</v>
      </c>
    </row>
    <row r="11" spans="1:32">
      <c r="A11" s="11" t="s">
        <v>492</v>
      </c>
    </row>
    <row r="12" spans="1:32">
      <c r="A12" s="12" t="s">
        <v>235</v>
      </c>
      <c r="C12" s="545">
        <v>14580.003000000001</v>
      </c>
      <c r="D12" s="545">
        <v>14997.486999999999</v>
      </c>
      <c r="E12" s="545">
        <v>15203.159</v>
      </c>
      <c r="F12" s="545">
        <v>15546.749</v>
      </c>
      <c r="G12" s="545">
        <v>15741.839</v>
      </c>
      <c r="H12" s="545">
        <v>15910.637000000001</v>
      </c>
      <c r="I12" s="545">
        <v>16076.874</v>
      </c>
      <c r="J12" s="545">
        <v>16234.955</v>
      </c>
      <c r="K12" s="545">
        <v>16321.38</v>
      </c>
      <c r="L12" s="545">
        <v>16456.793000000001</v>
      </c>
    </row>
    <row r="13" spans="1:32">
      <c r="A13" s="12" t="s">
        <v>244</v>
      </c>
      <c r="C13" s="545">
        <v>964.93700000000001</v>
      </c>
      <c r="D13" s="545">
        <v>998.73299999999995</v>
      </c>
      <c r="E13" s="545">
        <v>996.89599999999996</v>
      </c>
      <c r="F13" s="545">
        <v>999.42600000000004</v>
      </c>
      <c r="G13" s="545">
        <v>992.70100000000002</v>
      </c>
      <c r="H13" s="545">
        <v>982.09699999999998</v>
      </c>
      <c r="I13" s="545">
        <v>972.29</v>
      </c>
      <c r="J13" s="545">
        <v>960.90499999999997</v>
      </c>
      <c r="K13" s="545">
        <v>946.08500000000004</v>
      </c>
      <c r="L13" s="545">
        <v>937.00400000000002</v>
      </c>
    </row>
    <row r="14" spans="1:32">
      <c r="A14" s="226" t="s">
        <v>486</v>
      </c>
    </row>
    <row r="15" spans="1:32">
      <c r="A15" s="11" t="s">
        <v>41</v>
      </c>
    </row>
    <row r="16" spans="1:32">
      <c r="A16" s="12" t="s">
        <v>470</v>
      </c>
      <c r="C16" s="544">
        <v>4.08</v>
      </c>
      <c r="D16" s="544">
        <v>3.98</v>
      </c>
      <c r="E16" s="544">
        <v>3.95</v>
      </c>
      <c r="F16" s="544">
        <v>3.99</v>
      </c>
      <c r="G16" s="544">
        <v>4.0199999999999996</v>
      </c>
      <c r="H16" s="544">
        <v>4.0599999999999996</v>
      </c>
      <c r="I16" s="544">
        <v>4.12</v>
      </c>
      <c r="J16" s="544">
        <v>4.16</v>
      </c>
      <c r="K16" s="544">
        <v>4.28</v>
      </c>
      <c r="L16" s="544">
        <v>4.3</v>
      </c>
    </row>
    <row r="18" spans="1:12">
      <c r="A18" s="12" t="s">
        <v>464</v>
      </c>
      <c r="C18" s="553">
        <v>16212.968999999999</v>
      </c>
      <c r="D18" s="553">
        <v>16706.766</v>
      </c>
      <c r="E18" s="553">
        <v>17054.900000000001</v>
      </c>
      <c r="F18" s="553">
        <v>17542.91</v>
      </c>
      <c r="G18" s="553">
        <v>17820.478999999999</v>
      </c>
      <c r="H18" s="553">
        <v>17994.330999999998</v>
      </c>
      <c r="I18" s="553">
        <v>18236.170999999998</v>
      </c>
      <c r="J18" s="553">
        <v>18473.848000000002</v>
      </c>
      <c r="K18" s="553">
        <v>18632.525000000001</v>
      </c>
      <c r="L18" s="553">
        <v>18794.405999999999</v>
      </c>
    </row>
    <row r="20" spans="1:12">
      <c r="A20" s="226" t="s">
        <v>487</v>
      </c>
    </row>
    <row r="21" spans="1:12">
      <c r="A21" s="11" t="s">
        <v>41</v>
      </c>
    </row>
    <row r="22" spans="1:12">
      <c r="A22" s="12" t="s">
        <v>470</v>
      </c>
      <c r="C22" s="544">
        <v>4.26</v>
      </c>
      <c r="D22" s="544">
        <v>4.18</v>
      </c>
      <c r="E22" s="544">
        <v>4.17</v>
      </c>
      <c r="F22" s="544">
        <v>4.2300000000000004</v>
      </c>
      <c r="G22" s="544">
        <v>4.28</v>
      </c>
      <c r="H22" s="544">
        <v>4.3099999999999996</v>
      </c>
      <c r="I22" s="544">
        <v>4.3899999999999997</v>
      </c>
      <c r="J22" s="544">
        <v>4.45</v>
      </c>
      <c r="K22" s="544">
        <v>4.58</v>
      </c>
      <c r="L22" s="544">
        <v>4.6100000000000003</v>
      </c>
    </row>
    <row r="24" spans="1:12">
      <c r="A24" s="12" t="s">
        <v>464</v>
      </c>
      <c r="C24" s="553">
        <v>17052.151999999998</v>
      </c>
      <c r="D24" s="553">
        <v>17515.977999999999</v>
      </c>
      <c r="E24" s="553">
        <v>17901.733</v>
      </c>
      <c r="F24" s="553">
        <v>18445.41</v>
      </c>
      <c r="G24" s="553">
        <v>18763.184000000001</v>
      </c>
      <c r="H24" s="553">
        <v>18931.931</v>
      </c>
      <c r="I24" s="553">
        <v>19238.37</v>
      </c>
      <c r="J24" s="553">
        <v>19549.835999999999</v>
      </c>
      <c r="K24" s="553">
        <v>19771.198</v>
      </c>
      <c r="L24" s="553">
        <v>19970.675999999999</v>
      </c>
    </row>
    <row r="27" spans="1:12">
      <c r="A27" s="226" t="s">
        <v>483</v>
      </c>
    </row>
    <row r="29" spans="1:12">
      <c r="A29" s="12" t="s">
        <v>460</v>
      </c>
      <c r="B29" s="227" t="s">
        <v>473</v>
      </c>
      <c r="C29" s="18">
        <v>444454.18</v>
      </c>
      <c r="D29" s="18">
        <v>780058.98</v>
      </c>
      <c r="E29" s="18">
        <v>853098.52</v>
      </c>
      <c r="F29" s="18">
        <v>895576.95</v>
      </c>
      <c r="G29" s="18">
        <v>890978.86</v>
      </c>
      <c r="H29" s="18">
        <v>884420.04</v>
      </c>
      <c r="I29" s="18">
        <v>829190.78</v>
      </c>
      <c r="J29" s="18">
        <v>839458.88</v>
      </c>
      <c r="K29" s="18">
        <v>829528.9</v>
      </c>
      <c r="L29" s="18">
        <v>563847.9</v>
      </c>
    </row>
    <row r="30" spans="1:12">
      <c r="A30" s="12" t="s">
        <v>471</v>
      </c>
      <c r="B30" s="563">
        <v>-0.1</v>
      </c>
      <c r="C30" s="586">
        <f>15094.311*(1+B30)</f>
        <v>13584.8799</v>
      </c>
      <c r="D30" s="586">
        <f>24529.596*(1+B30)</f>
        <v>22076.636400000003</v>
      </c>
      <c r="E30" s="586">
        <f>26860.987*(1+B30)</f>
        <v>24174.888300000002</v>
      </c>
      <c r="F30" s="586">
        <f>28207.44*(1+B30)</f>
        <v>25386.696</v>
      </c>
      <c r="G30" s="586">
        <f>28131.985*(1+B30)</f>
        <v>25318.786500000002</v>
      </c>
      <c r="H30" s="586">
        <f>28053.979*(1+B30)</f>
        <v>25248.581099999999</v>
      </c>
      <c r="I30" s="586">
        <f>26286.585*(1+B30)</f>
        <v>23657.926500000001</v>
      </c>
      <c r="J30" s="586">
        <f>26802.971*(1+B30)</f>
        <v>24122.673900000002</v>
      </c>
      <c r="K30" s="586">
        <f>26892.872*(1+B30)</f>
        <v>24203.584800000001</v>
      </c>
      <c r="L30" s="586">
        <f>19682.798*(1+B30)</f>
        <v>17714.518199999999</v>
      </c>
    </row>
    <row r="31" spans="1:12">
      <c r="A31" s="226" t="s">
        <v>485</v>
      </c>
    </row>
    <row r="32" spans="1:12">
      <c r="A32" s="12" t="s">
        <v>460</v>
      </c>
      <c r="C32" s="66">
        <f>C29</f>
        <v>444454.18</v>
      </c>
      <c r="D32" s="66">
        <f t="shared" ref="D32:L32" si="0">D29</f>
        <v>780058.98</v>
      </c>
      <c r="E32" s="66">
        <f t="shared" si="0"/>
        <v>853098.52</v>
      </c>
      <c r="F32" s="66">
        <f t="shared" si="0"/>
        <v>895576.95</v>
      </c>
      <c r="G32" s="66">
        <f t="shared" si="0"/>
        <v>890978.86</v>
      </c>
      <c r="H32" s="66">
        <f t="shared" si="0"/>
        <v>884420.04</v>
      </c>
      <c r="I32" s="66">
        <f t="shared" si="0"/>
        <v>829190.78</v>
      </c>
      <c r="J32" s="66">
        <f t="shared" si="0"/>
        <v>839458.88</v>
      </c>
      <c r="K32" s="66">
        <f t="shared" si="0"/>
        <v>829528.9</v>
      </c>
      <c r="L32" s="66">
        <f t="shared" si="0"/>
        <v>563847.9</v>
      </c>
    </row>
    <row r="33" spans="1:12">
      <c r="A33" s="12" t="s">
        <v>471</v>
      </c>
      <c r="C33" s="553">
        <v>16603.742999999999</v>
      </c>
      <c r="D33" s="553">
        <v>26982.556</v>
      </c>
      <c r="E33" s="553">
        <v>29547.084999999999</v>
      </c>
      <c r="F33" s="553">
        <v>31028.184000000001</v>
      </c>
      <c r="G33" s="553">
        <v>30945.183000000001</v>
      </c>
      <c r="H33" s="553">
        <v>30859.377</v>
      </c>
      <c r="I33" s="553">
        <v>28915.242999999999</v>
      </c>
      <c r="J33" s="553">
        <v>29483.268</v>
      </c>
      <c r="K33" s="553">
        <v>29582.159</v>
      </c>
      <c r="L33" s="553">
        <v>21651.078000000001</v>
      </c>
    </row>
    <row r="34" spans="1:12">
      <c r="A34" s="226" t="s">
        <v>484</v>
      </c>
    </row>
    <row r="35" spans="1:12">
      <c r="A35" s="12" t="s">
        <v>460</v>
      </c>
      <c r="C35" s="66">
        <f>C29</f>
        <v>444454.18</v>
      </c>
      <c r="D35" s="66">
        <f t="shared" ref="D35:L35" si="1">D29</f>
        <v>780058.98</v>
      </c>
      <c r="E35" s="66">
        <f t="shared" si="1"/>
        <v>853098.52</v>
      </c>
      <c r="F35" s="66">
        <f t="shared" si="1"/>
        <v>895576.95</v>
      </c>
      <c r="G35" s="66">
        <f t="shared" si="1"/>
        <v>890978.86</v>
      </c>
      <c r="H35" s="66">
        <f t="shared" si="1"/>
        <v>884420.04</v>
      </c>
      <c r="I35" s="66">
        <f t="shared" si="1"/>
        <v>829190.78</v>
      </c>
      <c r="J35" s="66">
        <f t="shared" si="1"/>
        <v>839458.88</v>
      </c>
      <c r="K35" s="66">
        <f t="shared" si="1"/>
        <v>829528.9</v>
      </c>
      <c r="L35" s="66">
        <f t="shared" si="1"/>
        <v>563847.9</v>
      </c>
    </row>
    <row r="36" spans="1:12">
      <c r="A36" s="12" t="s">
        <v>471</v>
      </c>
      <c r="C36" s="553">
        <v>13584.88</v>
      </c>
      <c r="D36" s="553">
        <v>22076.635999999999</v>
      </c>
      <c r="E36" s="553">
        <v>24174.887999999999</v>
      </c>
      <c r="F36" s="553">
        <v>25386.696</v>
      </c>
      <c r="G36" s="553">
        <v>25318.786</v>
      </c>
      <c r="H36" s="553">
        <v>25248.580999999998</v>
      </c>
      <c r="I36" s="553">
        <v>23657.925999999999</v>
      </c>
      <c r="J36" s="553">
        <v>24122.673999999999</v>
      </c>
      <c r="K36" s="553">
        <v>24203.583999999999</v>
      </c>
      <c r="L36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9"/>
  <sheetViews>
    <sheetView tabSelected="1" workbookViewId="0">
      <selection activeCell="L37" sqref="L37"/>
    </sheetView>
  </sheetViews>
  <sheetFormatPr defaultColWidth="9.109375" defaultRowHeight="13.2"/>
  <cols>
    <col min="1" max="1" width="1.6640625" style="12" customWidth="1"/>
    <col min="2" max="2" width="18" style="12" customWidth="1"/>
    <col min="3" max="3" width="1.44140625" style="12" customWidth="1"/>
    <col min="4" max="4" width="10.5546875" style="12" bestFit="1" customWidth="1"/>
    <col min="5" max="5" width="1.88671875" style="12" customWidth="1"/>
    <col min="6" max="6" width="9.44140625" style="12" bestFit="1" customWidth="1"/>
    <col min="7" max="7" width="1.88671875" style="12" customWidth="1"/>
    <col min="8" max="8" width="9.5546875" style="12" bestFit="1" customWidth="1"/>
    <col min="9" max="9" width="1.44140625" style="12" customWidth="1"/>
    <col min="10" max="10" width="16.5546875" style="12" bestFit="1" customWidth="1"/>
    <col min="11" max="11" width="1.88671875" style="12" customWidth="1"/>
    <col min="12" max="12" width="8.6640625" style="12" customWidth="1"/>
    <col min="13" max="28" width="8.6640625" style="612" customWidth="1"/>
    <col min="29" max="36" width="9.109375" style="612"/>
    <col min="37" max="41" width="9.109375" style="610"/>
    <col min="42" max="16384" width="9.10937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8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8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8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8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8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8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8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6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4" t="s">
        <v>495</v>
      </c>
      <c r="O32" s="644"/>
      <c r="P32" s="644"/>
      <c r="Q32" s="644"/>
    </row>
    <row r="33" spans="2:17" ht="13.8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2" t="s">
        <v>1</v>
      </c>
      <c r="P34" s="642"/>
      <c r="Q34" s="642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3" t="s">
        <v>493</v>
      </c>
      <c r="N35" s="634"/>
      <c r="O35" s="638">
        <v>0.1</v>
      </c>
      <c r="P35" s="638">
        <v>0.12</v>
      </c>
      <c r="Q35" s="638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3"/>
      <c r="N36" s="639">
        <v>250</v>
      </c>
      <c r="O36" s="636">
        <v>42.86</v>
      </c>
      <c r="P36" s="636">
        <v>45.67</v>
      </c>
      <c r="Q36" s="636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3"/>
      <c r="N37" s="640">
        <v>200</v>
      </c>
      <c r="O37" s="636">
        <v>44.36</v>
      </c>
      <c r="P37" s="636">
        <v>47.02</v>
      </c>
      <c r="Q37" s="636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40">
        <v>150</v>
      </c>
      <c r="O38" s="636">
        <v>45.79</v>
      </c>
      <c r="P38" s="636">
        <v>48.39</v>
      </c>
      <c r="Q38" s="636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494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2" t="s">
        <v>477</v>
      </c>
      <c r="P41" s="642"/>
      <c r="Q41" s="642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3" t="s">
        <v>493</v>
      </c>
      <c r="N42" s="634"/>
      <c r="O42" s="637" t="s">
        <v>496</v>
      </c>
      <c r="P42" s="638">
        <v>0</v>
      </c>
      <c r="Q42" s="637" t="s">
        <v>497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3"/>
      <c r="N43" s="639">
        <v>250</v>
      </c>
      <c r="O43" s="641"/>
      <c r="P43" s="641"/>
      <c r="Q43" s="641"/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3"/>
      <c r="N44" s="640">
        <v>200</v>
      </c>
      <c r="O44" s="635"/>
      <c r="P44" s="635"/>
      <c r="Q44" s="635"/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40">
        <v>150</v>
      </c>
      <c r="O45" s="635"/>
      <c r="P45" s="635"/>
      <c r="Q45" s="635"/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498</v>
      </c>
    </row>
    <row r="47" spans="2:17" ht="13.8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/>
    </row>
    <row r="48" spans="2:17" ht="13.8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2" t="s">
        <v>475</v>
      </c>
      <c r="P48" s="642"/>
      <c r="Q48" s="642"/>
    </row>
    <row r="49" spans="2:17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3" t="s">
        <v>493</v>
      </c>
      <c r="N49" s="634"/>
      <c r="O49" s="638">
        <v>0.7</v>
      </c>
      <c r="P49" s="638">
        <v>0.6</v>
      </c>
      <c r="Q49" s="638">
        <v>0.5</v>
      </c>
    </row>
    <row r="50" spans="2:17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3"/>
      <c r="N50" s="639">
        <v>250</v>
      </c>
      <c r="O50" s="636">
        <v>45.67</v>
      </c>
      <c r="P50" s="641">
        <v>44.9</v>
      </c>
      <c r="Q50" s="641">
        <v>44.19</v>
      </c>
    </row>
    <row r="51" spans="2:17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3"/>
      <c r="N51" s="640">
        <v>200</v>
      </c>
      <c r="O51" s="636">
        <v>47.02</v>
      </c>
      <c r="P51" s="636">
        <v>46.27</v>
      </c>
      <c r="Q51" s="636">
        <v>45.57</v>
      </c>
    </row>
    <row r="52" spans="2:17" ht="13.8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40">
        <v>150</v>
      </c>
      <c r="O52" s="636">
        <v>48.39</v>
      </c>
      <c r="P52" s="636">
        <v>47.63</v>
      </c>
      <c r="Q52" s="636">
        <v>46.92</v>
      </c>
    </row>
    <row r="53" spans="2:17" ht="13.8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499</v>
      </c>
    </row>
    <row r="54" spans="2:17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17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M55" s="623"/>
      <c r="N55" s="616"/>
    </row>
    <row r="56" spans="2:17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M56" s="627"/>
      <c r="N56" s="623"/>
    </row>
    <row r="57" spans="2:17" ht="13.8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M57" s="629"/>
      <c r="N57" s="627"/>
    </row>
    <row r="58" spans="2:17">
      <c r="M58" s="629"/>
      <c r="N58" s="629"/>
    </row>
    <row r="59" spans="2:17">
      <c r="N59" s="629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F38" sqref="F38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43" ht="17.399999999999999">
      <c r="A2" s="87" t="str">
        <f>Assumptions!A3</f>
        <v>PROJECT NAME:  Retail Shorts</v>
      </c>
    </row>
    <row r="4" spans="1:43" ht="17.399999999999999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IF(Assumptions!$H$55=70%,Options!C7*12*Assumptions!$H$66,IF(Assumptions!$H$55=60%,Options!C16*12*Assumptions!$H$66,IF(Assumptions!$H$55=50%,Options!C22*12*Assumptions!$H$66,0)))</f>
        <v>9610.56</v>
      </c>
      <c r="D10" s="74">
        <f>IF(Assumptions!$H$55=70%,Options!D7*12*Assumptions!$H$66,IF(Assumptions!$H$55=60%,Options!D16*12*Assumptions!$H$66,IF(Assumptions!$H$55=50%,Options!D22*12*Assumptions!$H$66,0)))</f>
        <v>9430.08</v>
      </c>
      <c r="E10" s="74">
        <f>IF(Assumptions!$H$55=70%,Options!E7*12*Assumptions!$H$66,IF(Assumptions!$H$55=60%,Options!E16*12*Assumptions!$H$66,IF(Assumptions!$H$55=50%,Options!E22*12*Assumptions!$H$66,0)))</f>
        <v>9407.52</v>
      </c>
      <c r="F10" s="74">
        <f>IF(Assumptions!$H$55=70%,Options!F7*12*Assumptions!$H$66,IF(Assumptions!$H$55=60%,Options!F16*12*Assumptions!$H$66,IF(Assumptions!$H$55=50%,Options!F22*12*Assumptions!$H$66,0)))</f>
        <v>9542.880000000001</v>
      </c>
      <c r="G10" s="74">
        <f>IF(Assumptions!$H$55=70%,Options!G7*12*Assumptions!$H$66,IF(Assumptions!$H$55=60%,Options!G16*12*Assumptions!$H$66,IF(Assumptions!$H$55=50%,Options!G22*12*Assumptions!$H$66,0)))</f>
        <v>9655.68</v>
      </c>
      <c r="H10" s="74">
        <f>IF(Assumptions!$H$55=70%,Options!H7*12*Assumptions!$H$66,IF(Assumptions!$H$55=60%,Options!H16*12*Assumptions!$H$66,IF(Assumptions!$H$55=50%,Options!H22*12*Assumptions!$H$66,0)))</f>
        <v>9723.36</v>
      </c>
      <c r="I10" s="74">
        <f>IF(Assumptions!$H$55=70%,Options!I7*12*Assumptions!$H$66,IF(Assumptions!$H$55=60%,Options!I16*12*Assumptions!$H$66,IF(Assumptions!$H$55=50%,Options!I22*12*Assumptions!$H$66,0)))</f>
        <v>9903.8399999999983</v>
      </c>
      <c r="J10" s="74">
        <f>IF(Assumptions!$H$55=70%,Options!J7*12*Assumptions!$H$66,IF(Assumptions!$H$55=60%,Options!J16*12*Assumptions!$H$66,IF(Assumptions!$H$55=50%,Options!J22*12*Assumptions!$H$66,0)))</f>
        <v>10039.200000000001</v>
      </c>
      <c r="K10" s="74">
        <f>IF(Assumptions!$H$55=70%,Options!K7*12*Assumptions!$H$66,IF(Assumptions!$H$55=60%,Options!K16*12*Assumptions!$H$66,IF(Assumptions!$H$55=50%,Options!K22*12*Assumptions!$H$66,0)))</f>
        <v>10332.48</v>
      </c>
      <c r="L10" s="74">
        <f>IF(Assumptions!$H$55=70%,Options!L7*12*Assumptions!$H$66,IF(Assumptions!$H$55=60%,Options!L16*12*Assumptions!$H$66,IF(Assumptions!$H$55=50%,Options!L22*12*Assumptions!$H$66,0)))</f>
        <v>10400.160000000002</v>
      </c>
      <c r="M10" s="74">
        <f>Options!M6*12*Assumptions!$H$66</f>
        <v>0</v>
      </c>
      <c r="N10" s="74">
        <f>Options!N6*12*Assumptions!$H$66</f>
        <v>0</v>
      </c>
      <c r="O10" s="74">
        <f>Options!O6*12*Assumptions!$H$66</f>
        <v>0</v>
      </c>
      <c r="P10" s="74">
        <f>Options!P6*12*Assumptions!$H$66</f>
        <v>0</v>
      </c>
      <c r="Q10" s="74">
        <f>Options!Q6*12*Assumptions!$H$66</f>
        <v>0</v>
      </c>
      <c r="R10" s="74">
        <f>Options!R6*12*Assumptions!$H$66</f>
        <v>0</v>
      </c>
      <c r="S10" s="74">
        <f>Options!S6*12*Assumptions!$H$66</f>
        <v>0</v>
      </c>
      <c r="T10" s="74">
        <f>Options!T6*12*Assumptions!$H$66</f>
        <v>0</v>
      </c>
      <c r="U10" s="74">
        <f>Options!U6*12*Assumptions!$H$66</f>
        <v>0</v>
      </c>
      <c r="V10" s="74">
        <f>Options!V6*12*Assumptions!$H$66</f>
        <v>0</v>
      </c>
      <c r="W10" s="74">
        <f>Options!W6*12*Assumptions!$H$66</f>
        <v>0</v>
      </c>
      <c r="X10" s="74">
        <f>Options!X6*12*Assumptions!$H$66</f>
        <v>0</v>
      </c>
      <c r="Y10" s="74">
        <f>Options!Y6*12*Assumptions!$H$66</f>
        <v>0</v>
      </c>
      <c r="Z10" s="74">
        <f>Options!Z6*12*Assumptions!$H$66</f>
        <v>0</v>
      </c>
      <c r="AA10" s="74">
        <f>Options!AA6*12*Assumptions!$H$66</f>
        <v>0</v>
      </c>
      <c r="AB10" s="74">
        <f>Options!AB6*12*Assumptions!$H$66</f>
        <v>0</v>
      </c>
      <c r="AC10" s="74">
        <f>Options!AC6*12*Assumptions!$H$66</f>
        <v>0</v>
      </c>
      <c r="AD10" s="74">
        <f>Options!AD6*12*Assumptions!$H$66</f>
        <v>0</v>
      </c>
      <c r="AE10" s="74">
        <f>Options!AE6*12*Assumptions!$H$66</f>
        <v>0</v>
      </c>
      <c r="AF10" s="74">
        <f>Options!AF6*12*Assumptions!$H$66</f>
        <v>0</v>
      </c>
      <c r="AG10" s="74">
        <f>Options!AG6*12*Assumptions!$H$66</f>
        <v>0</v>
      </c>
    </row>
    <row r="11" spans="1:43">
      <c r="A11" s="3" t="s">
        <v>468</v>
      </c>
      <c r="C11" s="74">
        <f>IF(Assumptions!$B$16="Yes",Options!C29/1000*'Price_Technical Assumption'!D41,0)</f>
        <v>20853.7901256</v>
      </c>
      <c r="D11" s="74">
        <f>IF(Assumptions!$B$16="Yes",Options!D29/1000*'Price_Technical Assumption'!E41,0)</f>
        <v>36600.367341600002</v>
      </c>
      <c r="E11" s="74">
        <f>IF(Assumptions!$B$16="Yes",Options!E29/1000*'Price_Technical Assumption'!F41,0)</f>
        <v>40027.382558400001</v>
      </c>
      <c r="F11" s="74">
        <f>IF(Assumptions!$B$16="Yes",Options!F29/1000*'Price_Technical Assumption'!G41,0)</f>
        <v>42020.470493999994</v>
      </c>
      <c r="G11" s="74">
        <f>IF(Assumptions!$B$16="Yes",Options!G29/1000*'Price_Technical Assumption'!H41,0)</f>
        <v>41804.728111199998</v>
      </c>
      <c r="H11" s="74">
        <f>IF(Assumptions!$B$16="Yes",Options!H29/1000*'Price_Technical Assumption'!I41,0)</f>
        <v>41496.988276800002</v>
      </c>
      <c r="I11" s="74">
        <f>IF(Assumptions!$B$16="Yes",Options!I29/1000*'Price_Technical Assumption'!J41,0)</f>
        <v>38905.631397600002</v>
      </c>
      <c r="J11" s="74">
        <f>IF(Assumptions!$B$16="Yes",Options!J29/1000*'Price_Technical Assumption'!K41,0)</f>
        <v>39387.410649600002</v>
      </c>
      <c r="K11" s="74">
        <f>IF(Assumptions!$B$16="Yes",Options!K29/1000*'Price_Technical Assumption'!L41,0)</f>
        <v>38921.495988000002</v>
      </c>
      <c r="L11" s="74">
        <f>IF(Assumptions!$B$16="Yes",Options!L29/1000*'Price_Technical Assumption'!M41,0)</f>
        <v>26455.743468000001</v>
      </c>
      <c r="M11" s="74">
        <f>Options!M29/1000*'Price_Technical Assumption'!N41</f>
        <v>0</v>
      </c>
      <c r="N11" s="74">
        <f>Options!N29/1000*'Price_Technical Assumption'!O41</f>
        <v>0</v>
      </c>
      <c r="O11" s="74">
        <f>Options!O29/1000*'Price_Technical Assumption'!P41</f>
        <v>0</v>
      </c>
      <c r="P11" s="74">
        <f>Options!P29/1000*'Price_Technical Assumption'!Q41</f>
        <v>0</v>
      </c>
      <c r="Q11" s="74">
        <f>Options!Q29/1000*'Price_Technical Assumption'!R41</f>
        <v>0</v>
      </c>
      <c r="R11" s="74">
        <f>Options!R29/1000*'Price_Technical Assumption'!S41</f>
        <v>0</v>
      </c>
      <c r="S11" s="74">
        <f>Options!S29/1000*'Price_Technical Assumption'!T41</f>
        <v>0</v>
      </c>
      <c r="T11" s="74">
        <f>Options!T29/1000*'Price_Technical Assumption'!U41</f>
        <v>0</v>
      </c>
      <c r="U11" s="74">
        <f>Options!U29/1000*'Price_Technical Assumption'!V41</f>
        <v>0</v>
      </c>
      <c r="V11" s="74">
        <f>Options!V29/1000*'Price_Technical Assumption'!W41</f>
        <v>0</v>
      </c>
      <c r="W11" s="74">
        <f>Options!W29/1000*'Price_Technical Assumption'!X41</f>
        <v>0</v>
      </c>
      <c r="X11" s="74">
        <f>Options!X29/1000*'Price_Technical Assumption'!Y41</f>
        <v>0</v>
      </c>
      <c r="Y11" s="74">
        <f>Options!Y29/1000*'Price_Technical Assumption'!Z41</f>
        <v>0</v>
      </c>
      <c r="Z11" s="74">
        <f>Options!Z29/1000*'Price_Technical Assumption'!AA41</f>
        <v>0</v>
      </c>
      <c r="AA11" s="74">
        <f>Options!AA29/1000*'Price_Technical Assumption'!AB41</f>
        <v>0</v>
      </c>
      <c r="AB11" s="74">
        <f>Options!AB29/1000*'Price_Technical Assumption'!AC41</f>
        <v>0</v>
      </c>
      <c r="AC11" s="74">
        <f>Options!AC29/1000*'Price_Technical Assumption'!AD41</f>
        <v>0</v>
      </c>
      <c r="AD11" s="74">
        <f>Options!AD29/1000*'Price_Technical Assumption'!AE41</f>
        <v>0</v>
      </c>
      <c r="AE11" s="74">
        <f>Options!AE29/1000*'Price_Technical Assumption'!AF41</f>
        <v>0</v>
      </c>
      <c r="AF11" s="74">
        <f>Options!AF29/1000*'Price_Technical Assumption'!AG41</f>
        <v>0</v>
      </c>
      <c r="AG11" s="74">
        <f>Options!AG29/1000*'Price_Technical Assumption'!AH41</f>
        <v>0</v>
      </c>
    </row>
    <row r="12" spans="1:43">
      <c r="A12" s="206" t="s">
        <v>459</v>
      </c>
      <c r="C12" s="364">
        <f>2*6*Assumptions!H68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32720.350125600002</v>
      </c>
      <c r="D13" s="124">
        <f t="shared" si="0"/>
        <v>46030.447341600004</v>
      </c>
      <c r="E13" s="124">
        <f t="shared" si="0"/>
        <v>49434.902558400005</v>
      </c>
      <c r="F13" s="124">
        <f t="shared" si="0"/>
        <v>51563.350493999998</v>
      </c>
      <c r="G13" s="124">
        <f t="shared" si="0"/>
        <v>51460.408111199999</v>
      </c>
      <c r="H13" s="124">
        <f t="shared" si="0"/>
        <v>51220.348276800003</v>
      </c>
      <c r="I13" s="124">
        <f t="shared" si="0"/>
        <v>48809.471397599998</v>
      </c>
      <c r="J13" s="124">
        <f t="shared" si="0"/>
        <v>49426.610649599999</v>
      </c>
      <c r="K13" s="124">
        <f t="shared" si="0"/>
        <v>49253.975988000006</v>
      </c>
      <c r="L13" s="124">
        <f t="shared" si="0"/>
        <v>36855.903468000004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IF(Assumptions!$B$16="Yes",Options!C30,0)</f>
        <v>13584.8799</v>
      </c>
      <c r="D16" s="36">
        <f>IF(Assumptions!$B$16="Yes",Options!D30,0)</f>
        <v>22076.636400000003</v>
      </c>
      <c r="E16" s="36">
        <f>IF(Assumptions!$B$16="Yes",Options!E30,0)</f>
        <v>24174.888300000002</v>
      </c>
      <c r="F16" s="36">
        <f>IF(Assumptions!$B$16="Yes",Options!F30,0)</f>
        <v>25386.696</v>
      </c>
      <c r="G16" s="36">
        <f>IF(Assumptions!$B$16="Yes",Options!G30,0)</f>
        <v>25318.786500000002</v>
      </c>
      <c r="H16" s="36">
        <f>IF(Assumptions!$B$16="Yes",Options!H30,0)</f>
        <v>25248.581099999999</v>
      </c>
      <c r="I16" s="36">
        <f>IF(Assumptions!$B$16="Yes",Options!I30,0)</f>
        <v>23657.926500000001</v>
      </c>
      <c r="J16" s="36">
        <f>IF(Assumptions!$B$16="Yes",Options!J30,0)</f>
        <v>24122.673900000002</v>
      </c>
      <c r="K16" s="36">
        <f>IF(Assumptions!$B$16="Yes",Options!K30,0)</f>
        <v>24203.584800000001</v>
      </c>
      <c r="L16" s="36">
        <f>IF(Assumptions!$B$16="Yes",Options!L30,0)</f>
        <v>17714.518199999999</v>
      </c>
      <c r="M16" s="36">
        <f>IF(Assumptions!$B$16="Yes",Options!M30,0)</f>
        <v>0</v>
      </c>
      <c r="N16" s="36">
        <f>IF(Assumptions!$B$16="Yes",Options!N30,0)</f>
        <v>0</v>
      </c>
      <c r="O16" s="36">
        <f>IF(Assumptions!$B$16="Yes",Options!O30,0)</f>
        <v>0</v>
      </c>
      <c r="P16" s="36">
        <f>IF(Assumptions!$B$16="Yes",Options!P30,0)</f>
        <v>0</v>
      </c>
      <c r="Q16" s="36">
        <f>IF(Assumptions!$B$16="Yes",Options!Q30,0)</f>
        <v>0</v>
      </c>
      <c r="R16" s="36">
        <f>IF(Assumptions!$B$16="Yes",Options!R30,0)</f>
        <v>0</v>
      </c>
      <c r="S16" s="36">
        <f>IF(Assumptions!$B$16="Yes",Options!S30,0)</f>
        <v>0</v>
      </c>
      <c r="T16" s="36">
        <f>IF(Assumptions!$B$16="Yes",Options!T30,0)</f>
        <v>0</v>
      </c>
      <c r="U16" s="36">
        <f>IF(Assumptions!$B$16="Yes",Options!U30,0)</f>
        <v>0</v>
      </c>
      <c r="V16" s="36">
        <f>IF(Assumptions!$B$16="Yes",Options!V30,0)</f>
        <v>0</v>
      </c>
      <c r="W16" s="36">
        <f>IF(Assumptions!$B$16="Yes",Options!W30,0)</f>
        <v>0</v>
      </c>
      <c r="X16" s="36">
        <f>IF(Assumptions!$B$16="Yes",Options!X30,0)</f>
        <v>0</v>
      </c>
      <c r="Y16" s="36">
        <f>IF(Assumptions!$B$16="Yes",Options!Y30,0)</f>
        <v>0</v>
      </c>
      <c r="Z16" s="36">
        <f>IF(Assumptions!$B$16="Yes",Options!Z30,0)</f>
        <v>0</v>
      </c>
      <c r="AA16" s="36">
        <f>IF(Assumptions!$B$16="Yes",Options!AA30,0)</f>
        <v>0</v>
      </c>
      <c r="AB16" s="36">
        <f>IF(Assumptions!$B$16="Yes",Options!AB30,0)</f>
        <v>0</v>
      </c>
      <c r="AC16" s="36">
        <f>IF(Assumptions!$B$16="Yes",Options!AC30,0)</f>
        <v>0</v>
      </c>
      <c r="AD16" s="36">
        <f>IF(Assumptions!$B$16="Yes",Options!AD30,0)</f>
        <v>0</v>
      </c>
      <c r="AE16" s="36">
        <f>IF(Assumptions!$B$16="Yes",Options!AE30,0)</f>
        <v>0</v>
      </c>
      <c r="AF16" s="36">
        <f>IF(Assumptions!$B$16="Yes",Options!AF30,0)</f>
        <v>0</v>
      </c>
      <c r="AG16" s="36">
        <f>IF(Assumptions!$B$16="Yes",Options!AG30,0)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Assumptions!$O$23*Assumptions!$H$68*Assumptions!H18/12</f>
        <v>0</v>
      </c>
      <c r="D25" s="74">
        <f>Assumptions!$O$23*Assumptions!$H$68*(1+Assumptions!$N$11)</f>
        <v>0</v>
      </c>
      <c r="E25" s="74">
        <f>Assumptions!$O$23*Assumptions!$H$68*(1+Assumptions!$N$11)</f>
        <v>0</v>
      </c>
      <c r="F25" s="74">
        <f>Assumptions!$O$23*Assumptions!$H$68*(1+Assumptions!$N$11)</f>
        <v>0</v>
      </c>
      <c r="G25" s="74">
        <f>Assumptions!$O$23*Assumptions!$H$68*(1+Assumptions!$N$11)</f>
        <v>0</v>
      </c>
      <c r="H25" s="74">
        <f>Assumptions!$O$23*Assumptions!$H$68*(1+Assumptions!$N$11)</f>
        <v>0</v>
      </c>
      <c r="I25" s="74">
        <f>Assumptions!$O$23*Assumptions!$H$68*(1+Assumptions!$N$11)</f>
        <v>0</v>
      </c>
      <c r="J25" s="74">
        <f>Assumptions!$O$23*Assumptions!$H$68*(1+Assumptions!$N$11)</f>
        <v>0</v>
      </c>
      <c r="K25" s="74">
        <f>Assumptions!$O$23*Assumptions!$H$68*(1+Assumptions!$N$11)</f>
        <v>0</v>
      </c>
      <c r="L25" s="74">
        <f>Assumptions!$O$23*Assumptions!$H$68*(1+Assumptions!$N$11)</f>
        <v>0</v>
      </c>
      <c r="M25" s="74">
        <f>Assumptions!$O$23*Assumptions!$H$68*(1+Assumptions!$N$11)</f>
        <v>0</v>
      </c>
      <c r="N25" s="74">
        <f>Assumptions!$O$23*Assumptions!$H$68*(1+Assumptions!$N$11)</f>
        <v>0</v>
      </c>
      <c r="O25" s="74">
        <f>Assumptions!$O$23*Assumptions!$H$68*(1+Assumptions!$N$11)</f>
        <v>0</v>
      </c>
      <c r="P25" s="74">
        <f>Assumptions!$O$23*Assumptions!$H$68*(1+Assumptions!$N$11)</f>
        <v>0</v>
      </c>
      <c r="Q25" s="74">
        <f>Assumptions!$O$23*Assumptions!$H$68*(1+Assumptions!$N$11)</f>
        <v>0</v>
      </c>
      <c r="R25" s="74">
        <f>Assumptions!$O$23*Assumptions!$H$68*(1+Assumptions!$N$11)</f>
        <v>0</v>
      </c>
      <c r="S25" s="74">
        <f>Assumptions!$O$23*Assumptions!$H$68*(1+Assumptions!$N$11)</f>
        <v>0</v>
      </c>
      <c r="T25" s="74">
        <f>Assumptions!$O$23*Assumptions!$H$68*(1+Assumptions!$N$11)</f>
        <v>0</v>
      </c>
      <c r="U25" s="74">
        <f>Assumptions!$O$23*Assumptions!$H$68*(1+Assumptions!$N$11)</f>
        <v>0</v>
      </c>
      <c r="V25" s="74">
        <f>Assumptions!$O$23*Assumptions!$H$68*(1+Assumptions!$N$11)</f>
        <v>0</v>
      </c>
      <c r="W25" s="74">
        <f>Assumptions!$O$23*Assumptions!$H$68*(1+Assumptions!$N$11)</f>
        <v>0</v>
      </c>
      <c r="X25" s="74">
        <f>Assumptions!$O$23*Assumptions!$H$68*(1+Assumptions!$N$11)</f>
        <v>0</v>
      </c>
      <c r="Y25" s="74">
        <f>Assumptions!$O$23*Assumptions!$H$68*(1+Assumptions!$N$11)</f>
        <v>0</v>
      </c>
      <c r="Z25" s="74">
        <f>Assumptions!$O$23*Assumptions!$H$68*(1+Assumptions!$N$11)</f>
        <v>0</v>
      </c>
      <c r="AA25" s="74">
        <f>Assumptions!$O$23*Assumptions!$H$68*(1+Assumptions!$N$11)</f>
        <v>0</v>
      </c>
      <c r="AB25" s="74">
        <f>Assumptions!$O$23*Assumptions!$H$68*(1+Assumptions!$N$11)</f>
        <v>0</v>
      </c>
      <c r="AC25" s="74">
        <f>Assumptions!$O$23*Assumptions!$H$68*(1+Assumptions!$N$11)</f>
        <v>0</v>
      </c>
      <c r="AD25" s="74">
        <f>Assumptions!$O$23*Assumptions!$H$68*(1+Assumptions!$N$11)</f>
        <v>0</v>
      </c>
      <c r="AE25" s="74">
        <f>Assumptions!$O$23*Assumptions!$H$68*(1+Assumptions!$N$11)</f>
        <v>0</v>
      </c>
      <c r="AF25" s="74">
        <f>Assumptions!$O$23*Assumptions!$H$68*(1+Assumptions!$N$11)</f>
        <v>0</v>
      </c>
      <c r="AG25" s="74">
        <f>Assumptions!$O$23*Assumptions!$H$68*(1+Assumptions!$N$11)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14822.280155036686</v>
      </c>
      <c r="D28" s="124">
        <f t="shared" ref="D28:AG28" si="1">SUM(D16:D27)</f>
        <v>23761.151737553344</v>
      </c>
      <c r="E28" s="124">
        <f t="shared" si="1"/>
        <v>25888.878592551657</v>
      </c>
      <c r="F28" s="124">
        <f t="shared" si="1"/>
        <v>27131.251447549967</v>
      </c>
      <c r="G28" s="124">
        <f t="shared" si="1"/>
        <v>27095.028376548285</v>
      </c>
      <c r="H28" s="124">
        <f t="shared" si="1"/>
        <v>27058.964874793266</v>
      </c>
      <c r="I28" s="124">
        <f t="shared" si="1"/>
        <v>25504.289430946192</v>
      </c>
      <c r="J28" s="124">
        <f t="shared" si="1"/>
        <v>26006.235986694486</v>
      </c>
      <c r="K28" s="124">
        <f t="shared" si="1"/>
        <v>26125.600875496741</v>
      </c>
      <c r="L28" s="124">
        <f t="shared" si="1"/>
        <v>19676.278940484699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17898.069970563316</v>
      </c>
      <c r="D30" s="124">
        <f t="shared" si="2"/>
        <v>22269.29560404666</v>
      </c>
      <c r="E30" s="124">
        <f t="shared" si="2"/>
        <v>23546.023965848348</v>
      </c>
      <c r="F30" s="124">
        <f t="shared" si="2"/>
        <v>24432.099046450032</v>
      </c>
      <c r="G30" s="124">
        <f t="shared" si="2"/>
        <v>24365.379734651713</v>
      </c>
      <c r="H30" s="124">
        <f t="shared" si="2"/>
        <v>24161.383402006737</v>
      </c>
      <c r="I30" s="124">
        <f t="shared" si="2"/>
        <v>23305.181966653807</v>
      </c>
      <c r="J30" s="124">
        <f t="shared" si="2"/>
        <v>23420.374662905513</v>
      </c>
      <c r="K30" s="124">
        <f t="shared" si="2"/>
        <v>23128.375112503265</v>
      </c>
      <c r="L30" s="124">
        <f t="shared" si="2"/>
        <v>17179.624527515305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15342.057970114121</v>
      </c>
      <c r="D34" s="124">
        <f t="shared" ref="D34:X34" si="3">D30-D32</f>
        <v>18435.277603372866</v>
      </c>
      <c r="E34" s="124">
        <f t="shared" si="3"/>
        <v>19712.005965174554</v>
      </c>
      <c r="F34" s="124">
        <f t="shared" si="3"/>
        <v>20598.081045776238</v>
      </c>
      <c r="G34" s="124">
        <f t="shared" si="3"/>
        <v>20531.361733977919</v>
      </c>
      <c r="H34" s="124">
        <f t="shared" si="3"/>
        <v>20848.254067999609</v>
      </c>
      <c r="I34" s="124">
        <f t="shared" si="3"/>
        <v>20252.496965980012</v>
      </c>
      <c r="J34" s="124">
        <f t="shared" si="3"/>
        <v>20367.689662231718</v>
      </c>
      <c r="K34" s="124">
        <f t="shared" si="3"/>
        <v>20075.69011182947</v>
      </c>
      <c r="L34" s="124">
        <f t="shared" si="3"/>
        <v>14126.939526841512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3466.2543127678696</v>
      </c>
      <c r="D36" s="65">
        <f>Debt!C57</f>
        <v>4450.1970879080918</v>
      </c>
      <c r="E36" s="65">
        <f>Debt!D57</f>
        <v>3487.463787537291</v>
      </c>
      <c r="F36" s="65">
        <f>Debt!E57</f>
        <v>2419.2232580759883</v>
      </c>
      <c r="G36" s="65">
        <f>Debt!F57</f>
        <v>1221.361141873698</v>
      </c>
      <c r="H36" s="65">
        <f>Debt!G57</f>
        <v>147.02225338535402</v>
      </c>
      <c r="I36" s="65">
        <f>Debt!H57</f>
        <v>0</v>
      </c>
      <c r="J36" s="65">
        <f>Debt!I57</f>
        <v>0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11875.803657346252</v>
      </c>
      <c r="D38" s="124">
        <f t="shared" ref="D38:X38" si="5">D34-D36</f>
        <v>13985.080515464775</v>
      </c>
      <c r="E38" s="124">
        <f t="shared" si="5"/>
        <v>16224.542177637264</v>
      </c>
      <c r="F38" s="124">
        <f t="shared" si="5"/>
        <v>18178.85778770025</v>
      </c>
      <c r="G38" s="124">
        <f t="shared" si="5"/>
        <v>19310.000592104221</v>
      </c>
      <c r="H38" s="124">
        <f t="shared" si="5"/>
        <v>20701.231814614253</v>
      </c>
      <c r="I38" s="124">
        <f t="shared" si="5"/>
        <v>20252.496965980012</v>
      </c>
      <c r="J38" s="124">
        <f t="shared" si="5"/>
        <v>20367.689662231718</v>
      </c>
      <c r="K38" s="124">
        <f t="shared" si="5"/>
        <v>20075.69011182947</v>
      </c>
      <c r="L38" s="124">
        <f t="shared" si="5"/>
        <v>14126.939526841512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-831.30625601423776</v>
      </c>
      <c r="D40" s="74">
        <f t="shared" ref="D40:AG40" si="7">-D38*$B$40</f>
        <v>-978.9556360825344</v>
      </c>
      <c r="E40" s="74">
        <f t="shared" si="7"/>
        <v>-1135.7179524346086</v>
      </c>
      <c r="F40" s="74">
        <f t="shared" si="7"/>
        <v>-1272.5200451390176</v>
      </c>
      <c r="G40" s="74">
        <f t="shared" si="7"/>
        <v>-1351.7000414472957</v>
      </c>
      <c r="H40" s="74">
        <f t="shared" si="7"/>
        <v>-1449.0862270229979</v>
      </c>
      <c r="I40" s="74">
        <f t="shared" si="7"/>
        <v>-1417.6747876186009</v>
      </c>
      <c r="J40" s="74">
        <f t="shared" si="7"/>
        <v>-1425.7382763562205</v>
      </c>
      <c r="K40" s="74">
        <f t="shared" si="7"/>
        <v>-1405.2983078280631</v>
      </c>
      <c r="L40" s="74">
        <f t="shared" si="7"/>
        <v>-988.88576687890588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-3865.5740904662052</v>
      </c>
      <c r="D41" s="74">
        <f t="shared" si="8"/>
        <v>-4552.1437077837845</v>
      </c>
      <c r="E41" s="74">
        <f t="shared" si="8"/>
        <v>-5281.0884788209296</v>
      </c>
      <c r="F41" s="74">
        <f t="shared" si="8"/>
        <v>-5917.2182098964304</v>
      </c>
      <c r="G41" s="74">
        <f t="shared" si="8"/>
        <v>-6285.4051927299233</v>
      </c>
      <c r="H41" s="74">
        <f t="shared" si="8"/>
        <v>-6738.2509556569385</v>
      </c>
      <c r="I41" s="74">
        <f t="shared" si="8"/>
        <v>-6592.1877624264935</v>
      </c>
      <c r="J41" s="74">
        <f t="shared" si="8"/>
        <v>-6629.6829850564236</v>
      </c>
      <c r="K41" s="74">
        <f t="shared" si="8"/>
        <v>-6534.6371314004919</v>
      </c>
      <c r="L41" s="74">
        <f t="shared" si="8"/>
        <v>-4598.3188159869114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6">
      <c r="A43" s="54" t="s">
        <v>53</v>
      </c>
      <c r="B43" s="46"/>
      <c r="C43" s="366">
        <f t="shared" ref="C43:AG43" si="9">C38+C40+C41</f>
        <v>7178.92331086581</v>
      </c>
      <c r="D43" s="366">
        <f t="shared" si="9"/>
        <v>8453.9811715984579</v>
      </c>
      <c r="E43" s="366">
        <f t="shared" si="9"/>
        <v>9807.7357463817261</v>
      </c>
      <c r="F43" s="366">
        <f t="shared" si="9"/>
        <v>10989.119532664801</v>
      </c>
      <c r="G43" s="366">
        <f t="shared" si="9"/>
        <v>11672.895357927002</v>
      </c>
      <c r="H43" s="366">
        <f t="shared" si="9"/>
        <v>12513.894631934316</v>
      </c>
      <c r="I43" s="366">
        <f t="shared" si="9"/>
        <v>12242.634415934917</v>
      </c>
      <c r="J43" s="366">
        <f t="shared" si="9"/>
        <v>12312.268400819074</v>
      </c>
      <c r="K43" s="366">
        <f t="shared" si="9"/>
        <v>12135.754672600915</v>
      </c>
      <c r="L43" s="366">
        <f t="shared" si="9"/>
        <v>8539.7349439756945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 Retail Shorts</v>
      </c>
    </row>
    <row r="4" spans="1:60" ht="17.399999999999999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8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8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17898.069970563316</v>
      </c>
      <c r="D11" s="18">
        <f>IS!D30</f>
        <v>22269.29560404666</v>
      </c>
      <c r="E11" s="18">
        <f>IS!E30</f>
        <v>23546.023965848348</v>
      </c>
      <c r="F11" s="18">
        <f>IS!F30</f>
        <v>24432.099046450032</v>
      </c>
      <c r="G11" s="18">
        <f>IS!G30</f>
        <v>24365.379734651713</v>
      </c>
      <c r="H11" s="18">
        <f>IS!H30</f>
        <v>24161.383402006737</v>
      </c>
      <c r="I11" s="18">
        <f>IS!I30</f>
        <v>23305.181966653807</v>
      </c>
      <c r="J11" s="18">
        <f>IS!J30</f>
        <v>23420.374662905513</v>
      </c>
      <c r="K11" s="18">
        <f>IS!K30</f>
        <v>23128.375112503265</v>
      </c>
      <c r="L11" s="18">
        <f>IS!L30</f>
        <v>17179.624527515305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-4680.6513035906501</v>
      </c>
      <c r="E12" s="442">
        <f>-(Debt!C44+Debt!D27+Debt!D36)</f>
        <v>-3736.4397576826664</v>
      </c>
      <c r="F12" s="442">
        <f>-(Debt!D44+Debt!E27+Debt!E36)</f>
        <v>-2705.4311207220635</v>
      </c>
      <c r="G12" s="442">
        <f>-(Debt!E44+Debt!F27+Debt!F36)</f>
        <v>-1531.8748634728179</v>
      </c>
      <c r="H12" s="442">
        <f>-(Debt!F44+Debt!G27+Debt!G36)</f>
        <v>-294.04450677070804</v>
      </c>
      <c r="I12" s="442">
        <f>-(Debt!G44+Debt!H27+Debt!H36)</f>
        <v>0</v>
      </c>
      <c r="J12" s="442">
        <f>-(Debt!H44+Debt!I27+Debt!I36)</f>
        <v>0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15654.989681253928</v>
      </c>
      <c r="D13" s="64">
        <f t="shared" si="0"/>
        <v>17588.64430045601</v>
      </c>
      <c r="E13" s="64">
        <f t="shared" si="0"/>
        <v>19809.584208165681</v>
      </c>
      <c r="F13" s="64">
        <f t="shared" si="0"/>
        <v>21726.667925727968</v>
      </c>
      <c r="G13" s="64">
        <f t="shared" si="0"/>
        <v>22833.504871178895</v>
      </c>
      <c r="H13" s="64">
        <f t="shared" si="0"/>
        <v>23867.338895236029</v>
      </c>
      <c r="I13" s="64">
        <f t="shared" si="0"/>
        <v>23305.181966653807</v>
      </c>
      <c r="J13" s="64">
        <f t="shared" si="0"/>
        <v>23420.374662905513</v>
      </c>
      <c r="K13" s="64">
        <f t="shared" si="0"/>
        <v>23128.375112503265</v>
      </c>
      <c r="L13" s="64">
        <f t="shared" si="0"/>
        <v>17179.624527515305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-3509.3184287139566</v>
      </c>
      <c r="D15" s="18">
        <f>-Taxes!C24-Taxes!C41</f>
        <v>-2958.0485220389328</v>
      </c>
      <c r="E15" s="18">
        <f>-Taxes!D24-Taxes!D41</f>
        <v>-4219.8168833875388</v>
      </c>
      <c r="F15" s="18">
        <f>-Taxes!E24-Taxes!E41</f>
        <v>-5329.2245838679537</v>
      </c>
      <c r="G15" s="18">
        <f>-Taxes!F24-Taxes!F41</f>
        <v>-6081.3991219031232</v>
      </c>
      <c r="H15" s="18">
        <f>-Taxes!G24-Taxes!G41</f>
        <v>-6908.7288512180212</v>
      </c>
      <c r="I15" s="18">
        <f>-Taxes!H24-Taxes!H41</f>
        <v>-6861.8860295374925</v>
      </c>
      <c r="J15" s="18">
        <f>-Taxes!I24-Taxes!I41</f>
        <v>-6903.4862011791538</v>
      </c>
      <c r="K15" s="18">
        <f>-Taxes!J24-Taxes!J41</f>
        <v>-6791.9589187209531</v>
      </c>
      <c r="L15" s="18">
        <f>-Taxes!K24-Taxes!K41</f>
        <v>-4435.2695226323267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-5238.8997803523307</v>
      </c>
      <c r="D16" s="23">
        <f>-Debt!C48</f>
        <v>-10914.231703942882</v>
      </c>
      <c r="E16" s="23">
        <f>-Debt!D48</f>
        <v>-11748.704473569742</v>
      </c>
      <c r="F16" s="23">
        <f>-Debt!E48</f>
        <v>-13446.455577353976</v>
      </c>
      <c r="G16" s="23">
        <f>-Debt!F48</f>
        <v>-14711.705799439325</v>
      </c>
      <c r="H16" s="23">
        <f>-Debt!G48</f>
        <v>-6937.7016788176106</v>
      </c>
      <c r="I16" s="23">
        <f>-Debt!H48</f>
        <v>0</v>
      </c>
      <c r="J16" s="23">
        <f>-Debt!I48</f>
        <v>0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6906.7714721876409</v>
      </c>
      <c r="D18" s="64">
        <f t="shared" si="1"/>
        <v>3716.3640744741951</v>
      </c>
      <c r="E18" s="64">
        <f t="shared" si="1"/>
        <v>3841.0628512084004</v>
      </c>
      <c r="F18" s="64">
        <f t="shared" si="1"/>
        <v>2950.9877645060387</v>
      </c>
      <c r="G18" s="64">
        <f t="shared" si="1"/>
        <v>2040.3999498364465</v>
      </c>
      <c r="H18" s="64">
        <f t="shared" si="1"/>
        <v>10020.908365200397</v>
      </c>
      <c r="I18" s="64">
        <f t="shared" si="1"/>
        <v>16443.295937116316</v>
      </c>
      <c r="J18" s="64">
        <f t="shared" si="1"/>
        <v>16516.888461726361</v>
      </c>
      <c r="K18" s="64">
        <f t="shared" si="1"/>
        <v>16336.416193782312</v>
      </c>
      <c r="L18" s="64">
        <f t="shared" si="1"/>
        <v>12744.355004882978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6906.7714721876409</v>
      </c>
      <c r="D21" s="64">
        <f t="shared" si="2"/>
        <v>3716.3640744741951</v>
      </c>
      <c r="E21" s="64">
        <f t="shared" si="2"/>
        <v>3841.0628512084004</v>
      </c>
      <c r="F21" s="64">
        <f t="shared" si="2"/>
        <v>2950.9877645060387</v>
      </c>
      <c r="G21" s="64">
        <f t="shared" si="2"/>
        <v>2040.3999498364465</v>
      </c>
      <c r="H21" s="64">
        <f t="shared" si="2"/>
        <v>10020.908365200397</v>
      </c>
      <c r="I21" s="64">
        <f t="shared" si="2"/>
        <v>16443.295937116316</v>
      </c>
      <c r="J21" s="64">
        <f t="shared" si="2"/>
        <v>16516.888461726361</v>
      </c>
      <c r="K21" s="64">
        <f t="shared" si="2"/>
        <v>16336.416193782312</v>
      </c>
      <c r="L21" s="64">
        <f t="shared" si="2"/>
        <v>12744.355004882978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-40971.479778054025</v>
      </c>
      <c r="E25" s="18">
        <f t="shared" si="3"/>
        <v>-40971.479778054025</v>
      </c>
      <c r="F25" s="18">
        <f t="shared" si="3"/>
        <v>-40971.479778054025</v>
      </c>
      <c r="G25" s="18">
        <f t="shared" si="3"/>
        <v>-40971.479778054025</v>
      </c>
      <c r="H25" s="18">
        <f t="shared" si="3"/>
        <v>-40971.479778054025</v>
      </c>
      <c r="I25" s="18">
        <f t="shared" si="3"/>
        <v>-36686.578581781192</v>
      </c>
      <c r="J25" s="18">
        <f t="shared" si="3"/>
        <v>-25379.403646114242</v>
      </c>
      <c r="K25" s="18">
        <f t="shared" si="3"/>
        <v>-12415.631694843876</v>
      </c>
      <c r="L25" s="18">
        <f t="shared" si="3"/>
        <v>2182.5960616602933</v>
      </c>
      <c r="M25" s="18">
        <f t="shared" si="3"/>
        <v>15232.514515175713</v>
      </c>
      <c r="N25" s="18">
        <f t="shared" si="3"/>
        <v>15362.233583253439</v>
      </c>
      <c r="O25" s="18">
        <f t="shared" si="3"/>
        <v>16825.064617942906</v>
      </c>
      <c r="P25" s="18">
        <f t="shared" si="3"/>
        <v>18475.986825088945</v>
      </c>
      <c r="Q25" s="18">
        <f t="shared" si="3"/>
        <v>20343.631136597967</v>
      </c>
      <c r="R25" s="18">
        <f t="shared" si="3"/>
        <v>22456.907595741603</v>
      </c>
      <c r="S25" s="18">
        <f t="shared" si="3"/>
        <v>24850.700539970614</v>
      </c>
      <c r="T25" s="18">
        <f t="shared" si="3"/>
        <v>27560.713463334443</v>
      </c>
      <c r="U25" s="18">
        <f t="shared" si="3"/>
        <v>30633.707889657398</v>
      </c>
      <c r="V25" s="18">
        <f t="shared" si="3"/>
        <v>34118.926432570814</v>
      </c>
      <c r="W25" s="18">
        <f t="shared" ref="W25:AG25" si="4">+V29</f>
        <v>38074.609554074588</v>
      </c>
      <c r="X25" s="18">
        <f t="shared" si="4"/>
        <v>42562.662948166653</v>
      </c>
      <c r="Y25" s="18">
        <f t="shared" si="4"/>
        <v>47660.32199467504</v>
      </c>
      <c r="Z25" s="18">
        <f t="shared" si="4"/>
        <v>53451.20113141177</v>
      </c>
      <c r="AA25" s="18">
        <f t="shared" si="4"/>
        <v>60032.919005949203</v>
      </c>
      <c r="AB25" s="18">
        <f t="shared" si="4"/>
        <v>67511.879640523402</v>
      </c>
      <c r="AC25" s="18">
        <f t="shared" si="4"/>
        <v>76016.658386439551</v>
      </c>
      <c r="AD25" s="18">
        <f t="shared" si="4"/>
        <v>85688.948807799679</v>
      </c>
      <c r="AE25" s="18">
        <f t="shared" si="4"/>
        <v>96692.81504757081</v>
      </c>
      <c r="AF25" s="18">
        <f t="shared" si="4"/>
        <v>109209.91686891032</v>
      </c>
      <c r="AG25" s="18">
        <f t="shared" si="4"/>
        <v>123455.3536207678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5736.0071689275637</v>
      </c>
      <c r="E26" s="18">
        <f t="shared" si="5"/>
        <v>5736.0071689275637</v>
      </c>
      <c r="F26" s="18">
        <f t="shared" si="5"/>
        <v>5736.0071689275637</v>
      </c>
      <c r="G26" s="18">
        <f t="shared" si="5"/>
        <v>5736.0071689275637</v>
      </c>
      <c r="H26" s="18">
        <f t="shared" si="5"/>
        <v>5736.0071689275637</v>
      </c>
      <c r="I26" s="18">
        <f t="shared" si="5"/>
        <v>5136.1210014493672</v>
      </c>
      <c r="J26" s="18">
        <f t="shared" si="5"/>
        <v>3553.1165104559941</v>
      </c>
      <c r="K26" s="18">
        <f t="shared" si="5"/>
        <v>1738.1884372781428</v>
      </c>
      <c r="L26" s="18">
        <f t="shared" si="5"/>
        <v>-305.56344863244112</v>
      </c>
      <c r="M26" s="18">
        <f t="shared" si="5"/>
        <v>-2132.5520321245999</v>
      </c>
      <c r="N26" s="18">
        <f t="shared" si="5"/>
        <v>-2150.7127016554819</v>
      </c>
      <c r="O26" s="18">
        <f t="shared" si="5"/>
        <v>-2355.509046512007</v>
      </c>
      <c r="P26" s="18">
        <f t="shared" si="5"/>
        <v>-2586.6381555124526</v>
      </c>
      <c r="Q26" s="18">
        <f t="shared" si="5"/>
        <v>-2848.1083591237157</v>
      </c>
      <c r="R26" s="18">
        <f t="shared" si="5"/>
        <v>-3143.9670634038248</v>
      </c>
      <c r="S26" s="18">
        <f t="shared" si="5"/>
        <v>-3479.0980755958863</v>
      </c>
      <c r="T26" s="18">
        <f t="shared" si="5"/>
        <v>-3858.4998848668224</v>
      </c>
      <c r="U26" s="18">
        <f t="shared" si="5"/>
        <v>-4288.7191045520358</v>
      </c>
      <c r="V26" s="18">
        <f t="shared" si="5"/>
        <v>-4776.649700559914</v>
      </c>
      <c r="W26" s="18">
        <f t="shared" ref="W26:AG26" si="6">+-W25*$B$24</f>
        <v>-5330.4453375704425</v>
      </c>
      <c r="X26" s="18">
        <f t="shared" si="6"/>
        <v>-5958.772812743332</v>
      </c>
      <c r="Y26" s="18">
        <f t="shared" si="6"/>
        <v>-6672.4450792545058</v>
      </c>
      <c r="Z26" s="18">
        <f t="shared" si="6"/>
        <v>-7483.1681583976488</v>
      </c>
      <c r="AA26" s="18">
        <f t="shared" si="6"/>
        <v>-8404.6086608328897</v>
      </c>
      <c r="AB26" s="18">
        <f t="shared" si="6"/>
        <v>-9451.6631496732771</v>
      </c>
      <c r="AC26" s="18">
        <f t="shared" si="6"/>
        <v>-10642.332174101539</v>
      </c>
      <c r="AD26" s="18">
        <f t="shared" si="6"/>
        <v>-11996.452833091957</v>
      </c>
      <c r="AE26" s="18">
        <f t="shared" si="6"/>
        <v>-13536.994106659915</v>
      </c>
      <c r="AF26" s="18">
        <f t="shared" si="6"/>
        <v>-15289.388361647447</v>
      </c>
      <c r="AG26" s="18">
        <f t="shared" si="6"/>
        <v>-17283.749506907494</v>
      </c>
    </row>
    <row r="27" spans="1:33">
      <c r="A27" s="45" t="s">
        <v>357</v>
      </c>
      <c r="B27" s="18">
        <f>B21</f>
        <v>0</v>
      </c>
      <c r="C27" s="18">
        <f t="shared" ref="C27:AG27" si="7">C21</f>
        <v>6906.7714721876409</v>
      </c>
      <c r="D27" s="18">
        <f t="shared" si="7"/>
        <v>3716.3640744741951</v>
      </c>
      <c r="E27" s="18">
        <f t="shared" si="7"/>
        <v>3841.0628512084004</v>
      </c>
      <c r="F27" s="18">
        <f t="shared" si="7"/>
        <v>2950.9877645060387</v>
      </c>
      <c r="G27" s="18">
        <f t="shared" si="7"/>
        <v>2040.3999498364465</v>
      </c>
      <c r="H27" s="18">
        <f t="shared" si="7"/>
        <v>10020.908365200397</v>
      </c>
      <c r="I27" s="18">
        <f t="shared" si="7"/>
        <v>16443.295937116316</v>
      </c>
      <c r="J27" s="18">
        <f t="shared" si="7"/>
        <v>16516.888461726361</v>
      </c>
      <c r="K27" s="18">
        <f t="shared" si="7"/>
        <v>16336.416193782312</v>
      </c>
      <c r="L27" s="18">
        <f t="shared" si="7"/>
        <v>12744.355004882978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1026.9862309298924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4284.9011962728337</v>
      </c>
      <c r="I28" s="309">
        <f t="shared" si="8"/>
        <v>11307.17493566695</v>
      </c>
      <c r="J28" s="309">
        <f t="shared" si="8"/>
        <v>12963.771951270366</v>
      </c>
      <c r="K28" s="309">
        <f t="shared" si="8"/>
        <v>14598.22775650417</v>
      </c>
      <c r="L28" s="309">
        <f t="shared" si="8"/>
        <v>13049.91845351542</v>
      </c>
      <c r="M28" s="309">
        <f t="shared" si="8"/>
        <v>129.71906807772643</v>
      </c>
      <c r="N28" s="309">
        <f t="shared" si="8"/>
        <v>1462.8310346894675</v>
      </c>
      <c r="O28" s="309">
        <f t="shared" si="8"/>
        <v>1650.9222071460397</v>
      </c>
      <c r="P28" s="309">
        <f t="shared" si="8"/>
        <v>1867.6443115090219</v>
      </c>
      <c r="Q28" s="309">
        <f t="shared" si="8"/>
        <v>2113.2764591436367</v>
      </c>
      <c r="R28" s="309">
        <f t="shared" si="8"/>
        <v>2393.7929442290101</v>
      </c>
      <c r="S28" s="309">
        <f t="shared" si="8"/>
        <v>2710.0129233638299</v>
      </c>
      <c r="T28" s="309">
        <f t="shared" si="8"/>
        <v>3072.9944263229559</v>
      </c>
      <c r="U28" s="309">
        <f t="shared" si="8"/>
        <v>3485.2185429134129</v>
      </c>
      <c r="V28" s="309">
        <f t="shared" si="8"/>
        <v>3955.6831215037741</v>
      </c>
      <c r="W28" s="309">
        <f t="shared" ref="W28:AG28" si="9">+IF(W27&gt;W26,W27-W26,0)</f>
        <v>4488.0533940920659</v>
      </c>
      <c r="X28" s="309">
        <f t="shared" si="9"/>
        <v>5097.6590465083837</v>
      </c>
      <c r="Y28" s="309">
        <f t="shared" si="9"/>
        <v>5790.879136736733</v>
      </c>
      <c r="Z28" s="309">
        <f t="shared" si="9"/>
        <v>6581.7178745374331</v>
      </c>
      <c r="AA28" s="309">
        <f t="shared" si="9"/>
        <v>7478.9606345742013</v>
      </c>
      <c r="AB28" s="309">
        <f t="shared" si="9"/>
        <v>8504.7787459161409</v>
      </c>
      <c r="AC28" s="309">
        <f t="shared" si="9"/>
        <v>9672.2904213601323</v>
      </c>
      <c r="AD28" s="309">
        <f t="shared" si="9"/>
        <v>11003.86623977113</v>
      </c>
      <c r="AE28" s="309">
        <f t="shared" si="9"/>
        <v>12517.101821339515</v>
      </c>
      <c r="AF28" s="309">
        <f t="shared" si="9"/>
        <v>14245.43675185748</v>
      </c>
      <c r="AG28" s="309">
        <f t="shared" si="9"/>
        <v>16739.13136524822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-40971.479778054025</v>
      </c>
      <c r="D29" s="18">
        <f t="shared" si="10"/>
        <v>-40971.479778054025</v>
      </c>
      <c r="E29" s="18">
        <f t="shared" si="10"/>
        <v>-40971.479778054025</v>
      </c>
      <c r="F29" s="18">
        <f t="shared" si="10"/>
        <v>-40971.479778054025</v>
      </c>
      <c r="G29" s="18">
        <f t="shared" si="10"/>
        <v>-40971.479778054025</v>
      </c>
      <c r="H29" s="18">
        <f t="shared" si="10"/>
        <v>-36686.578581781192</v>
      </c>
      <c r="I29" s="18">
        <f t="shared" si="10"/>
        <v>-25379.403646114242</v>
      </c>
      <c r="J29" s="18">
        <f t="shared" si="10"/>
        <v>-12415.631694843876</v>
      </c>
      <c r="K29" s="18">
        <f t="shared" si="10"/>
        <v>2182.5960616602933</v>
      </c>
      <c r="L29" s="18">
        <f t="shared" si="10"/>
        <v>15232.514515175713</v>
      </c>
      <c r="M29" s="18">
        <f t="shared" si="10"/>
        <v>15362.233583253439</v>
      </c>
      <c r="N29" s="18">
        <f t="shared" si="10"/>
        <v>16825.064617942906</v>
      </c>
      <c r="O29" s="18">
        <f t="shared" si="10"/>
        <v>18475.986825088945</v>
      </c>
      <c r="P29" s="18">
        <f t="shared" si="10"/>
        <v>20343.631136597967</v>
      </c>
      <c r="Q29" s="18">
        <f t="shared" si="10"/>
        <v>22456.907595741603</v>
      </c>
      <c r="R29" s="18">
        <f t="shared" si="10"/>
        <v>24850.700539970614</v>
      </c>
      <c r="S29" s="18">
        <f t="shared" si="10"/>
        <v>27560.713463334443</v>
      </c>
      <c r="T29" s="18">
        <f t="shared" si="10"/>
        <v>30633.707889657398</v>
      </c>
      <c r="U29" s="18">
        <f t="shared" si="10"/>
        <v>34118.926432570814</v>
      </c>
      <c r="V29" s="18">
        <f t="shared" si="10"/>
        <v>38074.609554074588</v>
      </c>
      <c r="W29" s="18">
        <f t="shared" ref="W29:AG29" si="11">+W25+W28</f>
        <v>42562.662948166653</v>
      </c>
      <c r="X29" s="18">
        <f t="shared" si="11"/>
        <v>47660.32199467504</v>
      </c>
      <c r="Y29" s="18">
        <f t="shared" si="11"/>
        <v>53451.20113141177</v>
      </c>
      <c r="Z29" s="18">
        <f t="shared" si="11"/>
        <v>60032.919005949203</v>
      </c>
      <c r="AA29" s="18">
        <f t="shared" si="11"/>
        <v>67511.879640523402</v>
      </c>
      <c r="AB29" s="18">
        <f t="shared" si="11"/>
        <v>76016.658386439551</v>
      </c>
      <c r="AC29" s="18">
        <f t="shared" si="11"/>
        <v>85688.948807799679</v>
      </c>
      <c r="AD29" s="18">
        <f t="shared" si="11"/>
        <v>96692.81504757081</v>
      </c>
      <c r="AE29" s="18">
        <f t="shared" si="11"/>
        <v>109209.91686891032</v>
      </c>
      <c r="AF29" s="18">
        <f t="shared" si="11"/>
        <v>123455.3536207678</v>
      </c>
      <c r="AG29" s="18">
        <f t="shared" si="11"/>
        <v>140194.484986016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6906.7714721876409</v>
      </c>
      <c r="D37" s="309">
        <f>D21*Assumptions!$G$48</f>
        <v>3716.3640744741951</v>
      </c>
      <c r="E37" s="309">
        <f>E21*Assumptions!$G$48</f>
        <v>3841.0628512084004</v>
      </c>
      <c r="F37" s="309">
        <f>F21*Assumptions!$G$48</f>
        <v>2950.9877645060387</v>
      </c>
      <c r="G37" s="309">
        <f>G21*Assumptions!$G$48</f>
        <v>2040.3999498364465</v>
      </c>
      <c r="H37" s="309">
        <f>H21*Assumptions!$G$48</f>
        <v>10020.908365200397</v>
      </c>
      <c r="I37" s="309">
        <f>I21*Assumptions!$G$48</f>
        <v>16443.295937116316</v>
      </c>
      <c r="J37" s="309">
        <f>J21*Assumptions!$G$48</f>
        <v>16516.888461726361</v>
      </c>
      <c r="K37" s="309">
        <f>K21*Assumptions!$G$48</f>
        <v>16336.416193782312</v>
      </c>
      <c r="L37" s="309">
        <f>L21*Assumptions!$G$48</f>
        <v>12744.355004882978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6906.7714721876409</v>
      </c>
      <c r="D38" s="18">
        <f t="shared" si="12"/>
        <v>3716.3640744741951</v>
      </c>
      <c r="E38" s="18">
        <f t="shared" si="12"/>
        <v>3841.0628512084004</v>
      </c>
      <c r="F38" s="18">
        <f t="shared" si="12"/>
        <v>2950.9877645060387</v>
      </c>
      <c r="G38" s="18">
        <f t="shared" si="12"/>
        <v>2040.3999498364465</v>
      </c>
      <c r="H38" s="18">
        <f t="shared" si="12"/>
        <v>10020.908365200397</v>
      </c>
      <c r="I38" s="18">
        <f t="shared" si="12"/>
        <v>16443.295937116316</v>
      </c>
      <c r="J38" s="18">
        <f t="shared" si="12"/>
        <v>16516.888461726361</v>
      </c>
      <c r="K38" s="18">
        <f t="shared" si="12"/>
        <v>16336.416193782312</v>
      </c>
      <c r="L38" s="18">
        <f t="shared" si="12"/>
        <v>12744.355004882978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0.11390141844749452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6906.7714721876409</v>
      </c>
      <c r="D43" s="18">
        <f>D21*Assumptions!$G$48</f>
        <v>3716.3640744741951</v>
      </c>
      <c r="E43" s="18">
        <f>E21*Assumptions!$G$48</f>
        <v>3841.0628512084004</v>
      </c>
      <c r="F43" s="18">
        <f>F21*Assumptions!$G$48</f>
        <v>2950.9877645060387</v>
      </c>
      <c r="G43" s="18">
        <f>G21*Assumptions!$G$48</f>
        <v>2040.3999498364465</v>
      </c>
      <c r="H43" s="18">
        <f>H21*Assumptions!$G$48</f>
        <v>10020.908365200397</v>
      </c>
      <c r="I43" s="18">
        <f>I21*Assumptions!$G$48</f>
        <v>16443.295937116316</v>
      </c>
      <c r="J43" s="18">
        <f>J21*Assumptions!$G$48</f>
        <v>16516.888461726361</v>
      </c>
      <c r="K43" s="18">
        <f>K21*Assumptions!$G$48</f>
        <v>16336.416193782312</v>
      </c>
      <c r="L43" s="18">
        <f>L21*Assumptions!$G$48</f>
        <v>12744.355004882978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68718.49811006122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6906.7714721876409</v>
      </c>
      <c r="D45" s="18">
        <f t="shared" si="13"/>
        <v>3716.3640744741951</v>
      </c>
      <c r="E45" s="18">
        <f t="shared" si="13"/>
        <v>3841.0628512084004</v>
      </c>
      <c r="F45" s="18">
        <f t="shared" si="13"/>
        <v>2950.9877645060387</v>
      </c>
      <c r="G45" s="18">
        <f t="shared" si="13"/>
        <v>2040.3999498364465</v>
      </c>
      <c r="H45" s="18">
        <f t="shared" si="13"/>
        <v>10020.908365200397</v>
      </c>
      <c r="I45" s="18">
        <f t="shared" si="13"/>
        <v>16443.295937116316</v>
      </c>
      <c r="J45" s="18">
        <f t="shared" si="13"/>
        <v>16516.888461726361</v>
      </c>
      <c r="K45" s="18">
        <f t="shared" si="13"/>
        <v>16336.416193782312</v>
      </c>
      <c r="L45" s="18">
        <f t="shared" si="13"/>
        <v>81462.853114944199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0.17409008145332341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6906.7714721876409</v>
      </c>
      <c r="D50" s="18">
        <f>+D21*Assumptions!$G$48</f>
        <v>3716.3640744741951</v>
      </c>
      <c r="E50" s="18">
        <f>+E21*Assumptions!$G$48</f>
        <v>3841.0628512084004</v>
      </c>
      <c r="F50" s="18">
        <f>+F21*Assumptions!$G$48</f>
        <v>2950.9877645060387</v>
      </c>
      <c r="G50" s="18">
        <f>+G21*Assumptions!$G$48</f>
        <v>2040.3999498364465</v>
      </c>
      <c r="H50" s="18">
        <f>+H21*Assumptions!$G$48</f>
        <v>10020.908365200397</v>
      </c>
      <c r="I50" s="18">
        <f>+I21*Assumptions!$G$48</f>
        <v>16443.295937116316</v>
      </c>
      <c r="J50" s="18">
        <f>+J21*Assumptions!$G$48</f>
        <v>16516.888461726361</v>
      </c>
      <c r="K50" s="18">
        <f>+K21*Assumptions!$G$48</f>
        <v>16336.416193782312</v>
      </c>
      <c r="L50" s="18">
        <f>+L21*Assumptions!$G$48</f>
        <v>12744.355004882978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6906.7714721876409</v>
      </c>
      <c r="D52" s="18">
        <f t="shared" si="14"/>
        <v>3716.3640744741951</v>
      </c>
      <c r="E52" s="18">
        <f t="shared" si="14"/>
        <v>3841.0628512084004</v>
      </c>
      <c r="F52" s="18">
        <f t="shared" si="14"/>
        <v>2950.9877645060387</v>
      </c>
      <c r="G52" s="18">
        <f t="shared" si="14"/>
        <v>2040.3999498364465</v>
      </c>
      <c r="H52" s="18">
        <f t="shared" si="14"/>
        <v>10020.908365200397</v>
      </c>
      <c r="I52" s="18">
        <f t="shared" si="14"/>
        <v>16443.295937116316</v>
      </c>
      <c r="J52" s="18">
        <f t="shared" si="14"/>
        <v>16516.888461726361</v>
      </c>
      <c r="K52" s="18">
        <f t="shared" si="14"/>
        <v>16336.416193782312</v>
      </c>
      <c r="L52" s="18">
        <f t="shared" si="14"/>
        <v>59730.138852433731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0.15874970555305479</v>
      </c>
    </row>
    <row r="54" spans="1:33">
      <c r="A54" s="56"/>
      <c r="B54" s="446"/>
    </row>
    <row r="55" spans="1:33">
      <c r="A55" s="43" t="str">
        <f>CONCATENATE("With $",Assumptions!H25,"/kW")</f>
        <v>With $150/kW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6906.7714721876409</v>
      </c>
      <c r="D57" s="18">
        <f>D21*Assumptions!$G$48</f>
        <v>3716.3640744741951</v>
      </c>
      <c r="E57" s="18">
        <f>E21*Assumptions!$G$48</f>
        <v>3841.0628512084004</v>
      </c>
      <c r="F57" s="18">
        <f>F21*Assumptions!$G$48</f>
        <v>2950.9877645060387</v>
      </c>
      <c r="G57" s="18">
        <f>G21*Assumptions!$G$48</f>
        <v>2040.3999498364465</v>
      </c>
      <c r="H57" s="18">
        <f>H21*Assumptions!$G$48</f>
        <v>10020.908365200397</v>
      </c>
      <c r="I57" s="18">
        <f>I21*Assumptions!$G$48</f>
        <v>16443.295937116316</v>
      </c>
      <c r="J57" s="18">
        <f>J21*Assumptions!$G$48</f>
        <v>16516.888461726361</v>
      </c>
      <c r="K57" s="18">
        <f>K21*Assumptions!$G$48</f>
        <v>16336.416193782312</v>
      </c>
      <c r="L57" s="18">
        <f>L21*Assumptions!$G$48</f>
        <v>12744.355004882978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28200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28200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6906.7714721876409</v>
      </c>
      <c r="D59" s="18">
        <f t="shared" si="15"/>
        <v>3716.3640744741951</v>
      </c>
      <c r="E59" s="18">
        <f t="shared" si="15"/>
        <v>3841.0628512084004</v>
      </c>
      <c r="F59" s="18">
        <f t="shared" si="15"/>
        <v>2950.9877645060387</v>
      </c>
      <c r="G59" s="18">
        <f t="shared" si="15"/>
        <v>2040.3999498364465</v>
      </c>
      <c r="H59" s="18">
        <f t="shared" si="15"/>
        <v>10020.908365200397</v>
      </c>
      <c r="I59" s="18">
        <f t="shared" si="15"/>
        <v>16443.295937116316</v>
      </c>
      <c r="J59" s="18">
        <f t="shared" si="15"/>
        <v>16516.888461726361</v>
      </c>
      <c r="K59" s="18">
        <f t="shared" si="15"/>
        <v>16336.416193782312</v>
      </c>
      <c r="L59" s="18">
        <f t="shared" si="15"/>
        <v>40944.355004882978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27655.381858340726</v>
      </c>
    </row>
    <row r="60" spans="1:33">
      <c r="A60" s="13"/>
      <c r="B60" s="444" t="s">
        <v>1</v>
      </c>
      <c r="C60" s="450">
        <f>XIRR(B59:L59,B8:L8)</f>
        <v>0.1432585418224335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2000-03-08T00:25:21Z</cp:lastPrinted>
  <dcterms:created xsi:type="dcterms:W3CDTF">1999-04-02T01:38:38Z</dcterms:created>
  <dcterms:modified xsi:type="dcterms:W3CDTF">2023-09-10T11:58:08Z</dcterms:modified>
</cp:coreProperties>
</file>