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23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Options!$A$1:$L$31</definedName>
    <definedName name="_xlnm.Print_Area" localSheetId="5">Scenarios!$M$32:$R$54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H58" i="2"/>
  <c r="H61" i="2"/>
  <c r="C62" i="2"/>
  <c r="H63" i="2"/>
  <c r="C65" i="2"/>
  <c r="D65" i="2"/>
  <c r="H67" i="2"/>
  <c r="C68" i="2"/>
  <c r="A69" i="2"/>
  <c r="C69" i="2"/>
  <c r="H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9" i="29"/>
  <c r="D9" i="29"/>
  <c r="E9" i="29"/>
  <c r="F9" i="29"/>
  <c r="G9" i="29"/>
  <c r="H9" i="29"/>
  <c r="I9" i="29"/>
  <c r="J9" i="29"/>
  <c r="K9" i="29"/>
  <c r="L9" i="29"/>
  <c r="B30" i="29"/>
  <c r="C30" i="29"/>
  <c r="D30" i="29"/>
  <c r="E30" i="29"/>
  <c r="F30" i="29"/>
  <c r="G30" i="29"/>
  <c r="H30" i="29"/>
  <c r="I30" i="29"/>
  <c r="J30" i="29"/>
  <c r="K30" i="29"/>
  <c r="L30" i="29"/>
  <c r="C32" i="29"/>
  <c r="D32" i="29"/>
  <c r="E32" i="29"/>
  <c r="F32" i="29"/>
  <c r="G32" i="29"/>
  <c r="H32" i="29"/>
  <c r="I32" i="29"/>
  <c r="J32" i="29"/>
  <c r="K32" i="29"/>
  <c r="L32" i="29"/>
  <c r="C35" i="29"/>
  <c r="D35" i="29"/>
  <c r="E35" i="29"/>
  <c r="F35" i="29"/>
  <c r="G35" i="29"/>
  <c r="H35" i="29"/>
  <c r="I35" i="29"/>
  <c r="J35" i="29"/>
  <c r="K35" i="29"/>
  <c r="L35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<sst xmlns="http://schemas.openxmlformats.org/spreadsheetml/2006/main" count="1006" uniqueCount="501">
  <si>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</si>
  <si>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</si>
  <si>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</si>
  <si>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</si>
  <si>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</si>
  <si>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</si>
  <si>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</si>
  <si>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</si>
  <si>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</si>
  <si>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</si>
  <si>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</si>
  <si>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</si>
  <si>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</si>
  <si>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</si>
  <si>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</si>
  <si>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</si>
  <si>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</si>
  <si>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</si>
  <si>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</si>
  <si>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</si>
  <si>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</si>
  <si>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</si>
  <si>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</si>
  <si>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</si>
  <si>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</si>
  <si>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</si>
  <si>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</si>
  <si>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</si>
  <si>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</si>
  <si>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</si>
  <si>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</si>
  <si>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</si>
  <si>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</si>
  <si>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</si>
  <si>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</si>
  <si>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</si>
  <si>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</si>
  <si>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</si>
  <si>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</si>
  <si>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</si>
  <si>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</si>
  <si>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</si>
  <si>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</si>
  <si>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</si>
  <si>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</si>
  <si>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</si>
  <si>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</si>
  <si>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</si>
  <si>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</si>
  <si>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</si>
  <si>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</si>
  <si>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</si>
  <si>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</si>
  <si>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</si>
  <si>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</si>
  <si>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</si>
  <si>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</si>
  <si>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</si>
  <si>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</si>
  <si>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</si>
  <si>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</si>
  <si>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</si>
  <si>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</si>
  <si>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</si>
  <si>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</si>
  <si>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</si>
  <si>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</si>
  <si>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</si>
  <si>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</si>
  <si>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</si>
  <si>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</si>
  <si>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</si>
  <si>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</si>
  <si>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</si>
  <si>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</si>
  <si>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</si>
  <si>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</si>
  <si>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</si>
  <si>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</si>
  <si>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</si>
  <si>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</si>
  <si>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</si>
  <si>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</si>
  <si>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</si>
  <si>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</si>
  <si>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</si>
  <si>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</si>
  <si>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</si>
  <si>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</si>
  <si>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</si>
  <si>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</si>
  <si>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</si>
  <si>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</si>
  <si>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</si>
  <si>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</si>
  <si>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</si>
  <si>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</si>
  <si>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</si>
  <si>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</si>
  <si>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</si>
  <si>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</si>
  <si>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</si>
  <si>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</si>
  <si>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</si>
  <si>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</si>
  <si>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</si>
  <si>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</si>
  <si>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</si>
  <si>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</si>
  <si>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</si>
  <si>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</si>
  <si>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</si>
  <si>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</si>
  <si>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</si>
  <si>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</si>
  <si>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</si>
  <si>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</si>
  <si>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</si>
  <si>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</si>
  <si>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</si>
  <si>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</si>
  <si>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</si>
  <si>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</si>
  <si>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</si>
  <si>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</si>
  <si>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</si>
  <si>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</si>
  <si>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</si>
  <si>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</si>
  <si>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</si>
  <si>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</si>
  <si>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</si>
  <si>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</si>
  <si>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</si>
  <si>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</si>
  <si>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</si>
  <si>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</si>
  <si>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</si>
  <si>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</si>
  <si>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</si>
  <si>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</si>
  <si>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</si>
  <si>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</si>
  <si>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</si>
  <si>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</si>
  <si>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</si>
  <si>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</si>
  <si>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</si>
  <si>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</si>
  <si>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</si>
  <si>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</si>
  <si>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</si>
  <si>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</si>
  <si>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</si>
  <si>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</si>
  <si>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</si>
  <si>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</si>
  <si>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</si>
  <si>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</si>
  <si>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</si>
  <si>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</si>
  <si>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</si>
  <si>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</si>
  <si>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</si>
  <si>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</si>
  <si>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</si>
  <si>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</si>
  <si>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</si>
  <si>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</si>
  <si>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</si>
  <si>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</si>
  <si>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</si>
  <si>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</si>
  <si>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</si>
  <si>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</si>
  <si>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</si>
  <si>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</si>
  <si>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</si>
  <si>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</si>
  <si>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</si>
  <si>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</si>
  <si>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</si>
  <si>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</si>
  <si>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</si>
  <si>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</si>
  <si>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</si>
  <si>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</si>
  <si>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</si>
  <si>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</si>
  <si>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</si>
  <si>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</si>
  <si>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</si>
  <si>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</si>
  <si>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</si>
  <si>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</si>
  <si>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</si>
  <si>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</si>
  <si>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</si>
  <si>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</si>
  <si>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</si>
  <si>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</si>
  <si>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</si>
  <si>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</si>
  <si>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</si>
  <si>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</si>
  <si>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</si>
  <si>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</si>
  <si>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</si>
  <si>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</si>
  <si>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</si>
  <si>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</si>
  <si>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</si>
  <si>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</si>
  <si>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</si>
  <si>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</si>
  <si>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</si>
  <si>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</si>
  <si>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</si>
  <si>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</si>
  <si>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</si>
  <si>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</si>
  <si>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</si>
  <si>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</si>
  <si>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</si>
  <si>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</si>
  <si>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</si>
  <si>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</si>
  <si>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</si>
  <si>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</si>
  <si>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</si>
  <si>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</si>
  <si>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</si>
  <si>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</si>
  <si>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</si>
  <si>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</si>
  <si>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</si>
  <si>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</si>
  <si>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</si>
  <si>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</si>
  <si>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</si>
  <si>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</si>
  <si>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</si>
  <si>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</si>
  <si>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</si>
  <si>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</si>
  <si>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</si>
  <si>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</si>
  <si>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</si>
  <si>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</si>
  <si>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</si>
  <si>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</si>
  <si>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</si>
  <si>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</si>
  <si>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</si>
  <si>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</si>
  <si>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</si>
  <si>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</si>
  <si>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</si>
  <si>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</si>
  <si>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</si>
  <si>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</si>
  <si>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</si>
  <si>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</si>
  <si>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</si>
  <si>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</si>
  <si>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</si>
  <si>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</si>
  <si>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</si>
  <si>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</si>
  <si>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</si>
  <si>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</si>
  <si>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</si>
  <si>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</si>
  <si>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</si>
  <si>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</si>
  <si>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</si>
  <si>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</si>
  <si>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</si>
  <si>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</si>
  <si>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</si>
  <si>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</si>
  <si>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</si>
  <si>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</si>
  <si>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</si>
  <si>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</si>
  <si>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</si>
  <si>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</si>
  <si>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</si>
  <si>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</si>
  <si>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</si>
  <si>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</si>
  <si>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</si>
  <si>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</si>
  <si>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</si>
  <si>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</si>
  <si>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</si>
  <si>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</si>
  <si>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</si>
  <si>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</si>
  <si>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</si>
  <si>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</si>
  <si>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</si>
  <si>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</si>
  <si>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</si>
  <si>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</si>
  <si>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</si>
  <si>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</si>
  <si>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</si>
  <si>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</si>
  <si>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</si>
  <si>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</si>
  <si>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</si>
  <si>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</si>
  <si>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</si>
  <si>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</si>
  <si>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</si>
  <si>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</si>
  <si>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</si>
  <si>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</si>
  <si>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</si>
  <si>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</si>
  <si>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</si>
  <si>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</si>
  <si>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</si>
  <si>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</si>
  <si>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</si>
  <si>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</si>
  <si>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</si>
  <si>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</si>
  <si>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</si>
  <si>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</si>
  <si>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</si>
  <si>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</si>
  <si>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</si>
  <si>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</si>
  <si>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</si>
  <si>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</si>
  <si>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</si>
  <si>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</si>
  <si>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</si>
  <si>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</si>
  <si>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</si>
  <si>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</si>
  <si>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</si>
  <si>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</si>
  <si>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</si>
  <si>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</si>
  <si>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</si>
  <si>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</si>
  <si>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</si>
  <si>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</si>
  <si>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</si>
  <si>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</si>
  <si>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</si>
  <si>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</si>
  <si>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</si>
  <si>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</si>
  <si>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</si>
  <si>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</si>
  <si>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</si>
  <si>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</si>
  <si>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</si>
  <si>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</si>
  <si>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</si>
  <si>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</si>
  <si>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</si>
  <si>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</si>
  <si>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</si>
  <si>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</si>
  <si>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</si>
  <si>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</si>
  <si>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</si>
  <si>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</si>
  <si>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</si>
  <si>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</si>
  <si>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</si>
  <si>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</si>
  <si>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</si>
  <si>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</si>
  <si>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</si>
  <si>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</si>
  <si>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</si>
  <si>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</si>
  <si>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</si>
  <si>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</si>
  <si>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</si>
  <si>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</si>
  <si>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</si>
  <si>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</si>
  <si>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</si>
  <si>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</si>
  <si>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</si>
  <si>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</si>
  <si>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</si>
  <si>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</si>
  <si>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</si>
  <si>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</si>
  <si>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</si>
  <si>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</si>
  <si>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</si>
  <si>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</si>
  <si>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</si>
  <si>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</si>
  <si>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</si>
  <si>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</si>
  <si>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</si>
  <si>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</si>
  <si>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</si>
  <si>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</si>
  <si>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</si>
  <si>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</si>
  <si>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</si>
  <si>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</si>
  <si>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</si>
  <si>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</si>
  <si>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</si>
  <si>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</si>
  <si>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</si>
  <si>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</si>
  <si>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</si>
  <si>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</si>
  <si>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</si>
  <si>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</si>
  <si>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</si>
  <si>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</si>
  <si>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</si>
  <si>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</si>
  <si>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</si>
  <si>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</si>
  <si>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</si>
  <si>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</si>
  <si>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</si>
  <si>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</si>
  <si>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</si>
  <si>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</si>
  <si>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</si>
  <si>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</si>
  <si>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</si>
  <si>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</si>
  <si>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</si>
  <si>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</si>
  <si>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</si>
  <si>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</si>
  <si>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</si>
  <si>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</si>
  <si>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</si>
  <si>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</si>
  <si>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</si>
  <si>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</si>
  <si>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</si>
  <si>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</si>
  <si>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</si>
  <si>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</si>
  <si>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</si>
  <si>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</si>
  <si>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</si>
  <si>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</si>
  <si>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</si>
  <si>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</si>
  <si>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</si>
  <si>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</si>
  <si>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</si>
  <si>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</si>
  <si>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</si>
  <si>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</si>
  <si>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</si>
  <si>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</si>
  <si>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</si>
  <si>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</si>
  <si>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</si>
  <si>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</si>
  <si>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</si>
  <si>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</si>
  <si>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</si>
  <si>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</si>
  <si>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</si>
  <si>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</si>
  <si>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</si>
  <si>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</si>
  <si>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</si>
  <si>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</si>
  <si>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</si>
  <si>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</si>
  <si>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</si>
  <si>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</si>
  <si>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</si>
  <si>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</si>
  <si>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</si>
  <si>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</si>
  <si>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</si>
  <si>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OLD</t>
    </r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</si>
  <si>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</si>
  <si>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</si>
  <si>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</si>
  <si>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</si>
  <si>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</si>
  <si>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</si>
  <si>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</si>
  <si>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</si>
  <si>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</si>
  <si>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* Curve shift of serving EES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</si>
</sst>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7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407473309608540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481675392670156"/>
          <c:w val="0.89323843416370108"/>
          <c:h val="0.6845549738219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E-408D-BF2B-D3C276180D8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E-408D-BF2B-D3C276180D8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E-408D-BF2B-D3C276180D8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E-408D-BF2B-D3C276180D87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E-408D-BF2B-D3C276180D87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1E-408D-BF2B-D3C276180D87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1E-408D-BF2B-D3C276180D87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1E-408D-BF2B-D3C276180D87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1E-408D-BF2B-D3C276180D87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1E-408D-BF2B-D3C276180D87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1E-408D-BF2B-D3C27618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38032"/>
        <c:axId val="1"/>
      </c:lineChart>
      <c:catAx>
        <c:axId val="15643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88089005235602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287958115183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3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676156583629892E-2"/>
          <c:y val="0.95680628272251322"/>
          <c:w val="0.9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6361256544502623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D-40E7-A32F-173F3745F0EC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D-40E7-A32F-173F3745F0EC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D-40E7-A32F-173F3745F0EC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D-40E7-A32F-173F3745F0EC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D-40E7-A32F-173F3745F0EC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D-40E7-A32F-173F3745F0EC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D-40E7-A32F-173F3745F0EC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7D-40E7-A32F-173F3745F0EC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7D-40E7-A32F-173F3745F0EC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7D-40E7-A32F-173F3745F0EC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7D-40E7-A32F-173F3745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99280"/>
        <c:axId val="1"/>
      </c:lineChart>
      <c:catAx>
        <c:axId val="18629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68327402135228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99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5942408376963362"/>
          <c:w val="0.8069395017793593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205740</xdr:rowOff>
        </xdr:from>
        <xdr:to>
          <xdr:col>7</xdr:col>
          <xdr:colOff>1226820</xdr:colOff>
          <xdr:row>58</xdr:row>
          <xdr:rowOff>198120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7620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163</v>
      </c>
      <c r="C2" s="5"/>
    </row>
    <row r="3" spans="1:18" s="46" customFormat="1" ht="15.6"/>
    <row r="4" spans="1:18" s="46" customFormat="1" ht="18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6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204</v>
      </c>
    </row>
    <row r="13" spans="1:18" s="46" customFormat="1" ht="15.6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6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6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6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6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6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6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274</v>
      </c>
    </row>
    <row r="28" spans="1:16" s="46" customFormat="1" ht="17.399999999999999">
      <c r="A28" s="280"/>
    </row>
    <row r="29" spans="1:16" s="46" customFormat="1" ht="15.6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6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6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6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6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6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6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6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6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8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8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9390.5575625868332</v>
      </c>
      <c r="C11" s="385">
        <f t="shared" ref="C11:AF11" si="1">C29+C38</f>
        <v>19034.731732178632</v>
      </c>
      <c r="D11" s="385">
        <f t="shared" si="1"/>
        <v>18563.430101741622</v>
      </c>
      <c r="E11" s="385">
        <f t="shared" si="1"/>
        <v>19231.092431413683</v>
      </c>
      <c r="F11" s="385">
        <f t="shared" si="1"/>
        <v>19242.84534886996</v>
      </c>
      <c r="G11" s="385">
        <f t="shared" si="1"/>
        <v>19112.961892816857</v>
      </c>
      <c r="H11" s="385">
        <f t="shared" si="1"/>
        <v>18551.361448892487</v>
      </c>
      <c r="I11" s="385">
        <f t="shared" si="1"/>
        <v>18376.449032851735</v>
      </c>
      <c r="J11" s="385">
        <f t="shared" si="1"/>
        <v>18079.770639687733</v>
      </c>
      <c r="K11" s="385">
        <f t="shared" si="1"/>
        <v>14311.436704799973</v>
      </c>
      <c r="L11" s="385">
        <f t="shared" si="1"/>
        <v>1758.854683369997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1249.899870527775</v>
      </c>
      <c r="D27" s="383">
        <f t="shared" si="5"/>
        <v>1083.7299588793508</v>
      </c>
      <c r="E27" s="383">
        <f t="shared" si="5"/>
        <v>917.44069226595741</v>
      </c>
      <c r="F27" s="383">
        <f t="shared" si="5"/>
        <v>711.5318471855112</v>
      </c>
      <c r="G27" s="383">
        <f t="shared" si="5"/>
        <v>495.60133268151122</v>
      </c>
      <c r="H27" s="383">
        <f t="shared" si="5"/>
        <v>262.84373157255038</v>
      </c>
      <c r="I27" s="383">
        <f t="shared" si="5"/>
        <v>18.132546653009335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1.584267830130929</v>
      </c>
      <c r="D30" s="403">
        <f t="shared" ref="D30:AF30" si="7">IF(D28&gt;0.1,D29/(D27+D26+C44)," ")</f>
        <v>1.4784762660222099</v>
      </c>
      <c r="E30" s="403">
        <f t="shared" si="7"/>
        <v>1.4896424427257624</v>
      </c>
      <c r="F30" s="403">
        <f t="shared" si="7"/>
        <v>1.4976590955642197</v>
      </c>
      <c r="G30" s="403">
        <f t="shared" si="7"/>
        <v>1.4986936682980039</v>
      </c>
      <c r="H30" s="403">
        <f t="shared" si="7"/>
        <v>1.5100536612482236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413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2349.6335167563611</v>
      </c>
      <c r="D36" s="383">
        <f t="shared" si="10"/>
        <v>2008.0360352906223</v>
      </c>
      <c r="E36" s="383">
        <f t="shared" si="10"/>
        <v>1630.1330322557246</v>
      </c>
      <c r="F36" s="383">
        <f t="shared" si="10"/>
        <v>1218.0919380657488</v>
      </c>
      <c r="G36" s="383">
        <f t="shared" si="10"/>
        <v>767.38157370462091</v>
      </c>
      <c r="H36" s="383">
        <f t="shared" si="10"/>
        <v>287.44779929759216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1.5000000000000002</v>
      </c>
      <c r="C39" s="403">
        <f t="shared" si="12"/>
        <v>1.4157321698690715</v>
      </c>
      <c r="D39" s="403">
        <f t="shared" si="12"/>
        <v>1.5215237339777905</v>
      </c>
      <c r="E39" s="403">
        <f t="shared" si="12"/>
        <v>1.5103575572742378</v>
      </c>
      <c r="F39" s="403">
        <f t="shared" si="12"/>
        <v>1.5023409044357812</v>
      </c>
      <c r="G39" s="403">
        <f t="shared" si="12"/>
        <v>1.5013063317019972</v>
      </c>
      <c r="H39" s="403">
        <f t="shared" si="12"/>
        <v>1.489946338751776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1249.0443606916849</v>
      </c>
      <c r="C44" s="383">
        <f t="shared" ref="C44:AF44" si="15">C42*(C41-C32)/(C41-B41)*$E$64</f>
        <v>1083.7299588793508</v>
      </c>
      <c r="D44" s="383">
        <f t="shared" si="15"/>
        <v>909.95472592644364</v>
      </c>
      <c r="E44" s="383">
        <f t="shared" si="15"/>
        <v>709.58777110030496</v>
      </c>
      <c r="F44" s="383">
        <f t="shared" si="15"/>
        <v>495.60133268151122</v>
      </c>
      <c r="G44" s="383">
        <f t="shared" si="15"/>
        <v>262.84373157255038</v>
      </c>
      <c r="H44" s="383">
        <f t="shared" si="15"/>
        <v>17.984591984071738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4848.5777479758208</v>
      </c>
      <c r="D49" s="383">
        <f t="shared" si="18"/>
        <v>4175.4959530493234</v>
      </c>
      <c r="E49" s="383">
        <f t="shared" si="18"/>
        <v>3457.5284504481256</v>
      </c>
      <c r="F49" s="383">
        <f t="shared" si="18"/>
        <v>2639.2115563515649</v>
      </c>
      <c r="G49" s="383">
        <f t="shared" si="18"/>
        <v>1758.5842390676432</v>
      </c>
      <c r="H49" s="383">
        <f t="shared" si="18"/>
        <v>813.13526244269292</v>
      </c>
      <c r="I49" s="383">
        <f t="shared" si="18"/>
        <v>36.117138637081069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1.5000000000000002</v>
      </c>
      <c r="C52" s="400">
        <f t="shared" ref="C52:AF52" si="20">IF(C33&gt;0.1,(C38+C29)/C50," ")</f>
        <v>1.5000000000000002</v>
      </c>
      <c r="D52" s="400">
        <f t="shared" si="20"/>
        <v>1.5</v>
      </c>
      <c r="E52" s="400">
        <f t="shared" si="20"/>
        <v>1.5</v>
      </c>
      <c r="F52" s="400">
        <f t="shared" si="20"/>
        <v>1.5000000000000002</v>
      </c>
      <c r="G52" s="400">
        <f t="shared" si="20"/>
        <v>1.5000000000000004</v>
      </c>
      <c r="H52" s="400">
        <f t="shared" si="20"/>
        <v>1.4999999999999998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3492.124650001072</v>
      </c>
      <c r="C57" s="383">
        <f t="shared" si="22"/>
        <v>4683.2633461634869</v>
      </c>
      <c r="D57" s="383">
        <f t="shared" si="22"/>
        <v>4001.7207200964167</v>
      </c>
      <c r="E57" s="383">
        <f t="shared" si="22"/>
        <v>3257.1614956219869</v>
      </c>
      <c r="F57" s="383">
        <f t="shared" si="22"/>
        <v>2425.2251179327714</v>
      </c>
      <c r="G57" s="383">
        <f t="shared" si="22"/>
        <v>1525.8266379586823</v>
      </c>
      <c r="H57" s="383">
        <f t="shared" si="22"/>
        <v>568.27612285421424</v>
      </c>
      <c r="I57" s="383">
        <f t="shared" si="22"/>
        <v>18.132546653009335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4" t="s">
        <v>326</v>
      </c>
      <c r="C61" s="645"/>
      <c r="D61" s="645"/>
      <c r="E61" s="646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1.5000000000000016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7" t="str">
        <f>Assumptions!A3</f>
        <v>PROJECT NAME:  Retail Shorts</v>
      </c>
    </row>
    <row r="4" spans="1:34" ht="17.399999999999999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8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7" t="str">
        <f>Assumptions!A3</f>
        <v>PROJECT NAME:  Retail Shorts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8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7" t="str">
        <f>Assumptions!A3</f>
        <v>PROJECT NAME:  Retail Shorts</v>
      </c>
    </row>
    <row r="4" spans="1:25" ht="17.399999999999999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7.399999999999999">
      <c r="A38" s="61" t="s">
        <v>227</v>
      </c>
      <c r="B38" s="282"/>
      <c r="F38"/>
      <c r="G38"/>
      <c r="H38"/>
      <c r="I38"/>
      <c r="J38"/>
      <c r="K38"/>
      <c r="L38"/>
    </row>
    <row r="39" spans="1:12" ht="13.8" thickBot="1">
      <c r="F39" s="401" t="s">
        <v>427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8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8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8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8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8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8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8" thickBot="1">
      <c r="A58" s="171" t="s">
        <v>228</v>
      </c>
      <c r="B58" s="42"/>
      <c r="C58" s="42"/>
      <c r="D58" s="285">
        <v>20.833333333333314</v>
      </c>
      <c r="E58" s="66"/>
    </row>
    <row r="59" spans="1:12" ht="13.8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3.2"/>
  <cols>
    <col min="1" max="1" width="1.6640625" customWidth="1"/>
  </cols>
  <sheetData>
    <row r="1" spans="2:146" ht="15.6">
      <c r="B1" s="525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6" t="s">
        <v>23</v>
      </c>
      <c r="C3" s="527" t="s">
        <v>443</v>
      </c>
      <c r="D3" s="527" t="s">
        <v>444</v>
      </c>
      <c r="E3" s="527" t="s">
        <v>445</v>
      </c>
      <c r="F3" s="527" t="s">
        <v>446</v>
      </c>
      <c r="G3" s="527" t="s">
        <v>447</v>
      </c>
      <c r="H3" s="527" t="s">
        <v>448</v>
      </c>
      <c r="I3" s="527" t="s">
        <v>449</v>
      </c>
      <c r="J3" s="527" t="s">
        <v>450</v>
      </c>
      <c r="K3" s="527" t="s">
        <v>451</v>
      </c>
      <c r="L3" s="527" t="s">
        <v>452</v>
      </c>
      <c r="M3" s="527" t="s">
        <v>453</v>
      </c>
      <c r="N3" s="527" t="s">
        <v>454</v>
      </c>
      <c r="O3" s="527" t="s">
        <v>443</v>
      </c>
      <c r="P3" s="527" t="s">
        <v>444</v>
      </c>
      <c r="Q3" s="527" t="s">
        <v>445</v>
      </c>
      <c r="R3" s="527" t="s">
        <v>446</v>
      </c>
      <c r="S3" s="527" t="s">
        <v>447</v>
      </c>
      <c r="T3" s="527" t="s">
        <v>448</v>
      </c>
      <c r="U3" s="527" t="s">
        <v>449</v>
      </c>
      <c r="V3" s="527" t="s">
        <v>450</v>
      </c>
      <c r="W3" s="527" t="s">
        <v>451</v>
      </c>
      <c r="X3" s="527" t="s">
        <v>452</v>
      </c>
      <c r="Y3" s="527" t="s">
        <v>453</v>
      </c>
      <c r="Z3" s="527" t="s">
        <v>454</v>
      </c>
      <c r="AA3" s="527" t="s">
        <v>443</v>
      </c>
      <c r="AB3" s="527" t="s">
        <v>444</v>
      </c>
      <c r="AC3" s="527" t="s">
        <v>445</v>
      </c>
      <c r="AD3" s="527" t="s">
        <v>446</v>
      </c>
      <c r="AE3" s="527" t="s">
        <v>447</v>
      </c>
      <c r="AF3" s="527" t="s">
        <v>448</v>
      </c>
      <c r="AG3" s="527" t="s">
        <v>449</v>
      </c>
      <c r="AH3" s="527" t="s">
        <v>450</v>
      </c>
      <c r="AI3" s="527" t="s">
        <v>451</v>
      </c>
      <c r="AJ3" s="527" t="s">
        <v>452</v>
      </c>
      <c r="AK3" s="527" t="s">
        <v>453</v>
      </c>
      <c r="AL3" s="527" t="s">
        <v>454</v>
      </c>
      <c r="AM3" s="527" t="s">
        <v>443</v>
      </c>
      <c r="AN3" s="527" t="s">
        <v>444</v>
      </c>
      <c r="AO3" s="527" t="s">
        <v>445</v>
      </c>
      <c r="AP3" s="527" t="s">
        <v>446</v>
      </c>
      <c r="AQ3" s="527" t="s">
        <v>447</v>
      </c>
      <c r="AR3" s="527" t="s">
        <v>448</v>
      </c>
      <c r="AS3" s="527" t="s">
        <v>449</v>
      </c>
      <c r="AT3" s="527" t="s">
        <v>450</v>
      </c>
      <c r="AU3" s="527" t="s">
        <v>451</v>
      </c>
      <c r="AV3" s="527" t="s">
        <v>452</v>
      </c>
      <c r="AW3" s="527" t="s">
        <v>453</v>
      </c>
      <c r="AX3" s="527" t="s">
        <v>454</v>
      </c>
      <c r="AY3" s="527" t="s">
        <v>443</v>
      </c>
      <c r="AZ3" s="527" t="s">
        <v>444</v>
      </c>
      <c r="BA3" s="527" t="s">
        <v>445</v>
      </c>
      <c r="BB3" s="527" t="s">
        <v>446</v>
      </c>
      <c r="BC3" s="527" t="s">
        <v>447</v>
      </c>
      <c r="BD3" s="527" t="s">
        <v>448</v>
      </c>
      <c r="BE3" s="527" t="s">
        <v>449</v>
      </c>
      <c r="BF3" s="527" t="s">
        <v>450</v>
      </c>
      <c r="BG3" s="527" t="s">
        <v>451</v>
      </c>
      <c r="BH3" s="527" t="s">
        <v>452</v>
      </c>
      <c r="BI3" s="527" t="s">
        <v>453</v>
      </c>
      <c r="BJ3" s="527" t="s">
        <v>454</v>
      </c>
      <c r="BK3" s="527" t="s">
        <v>443</v>
      </c>
      <c r="BL3" s="527" t="s">
        <v>444</v>
      </c>
      <c r="BM3" s="527" t="s">
        <v>445</v>
      </c>
      <c r="BN3" s="527" t="s">
        <v>446</v>
      </c>
      <c r="BO3" s="527" t="s">
        <v>447</v>
      </c>
      <c r="BP3" s="527" t="s">
        <v>448</v>
      </c>
      <c r="BQ3" s="527" t="s">
        <v>449</v>
      </c>
      <c r="BR3" s="527" t="s">
        <v>450</v>
      </c>
      <c r="BS3" s="527" t="s">
        <v>451</v>
      </c>
      <c r="BT3" s="527" t="s">
        <v>452</v>
      </c>
      <c r="BU3" s="527" t="s">
        <v>453</v>
      </c>
      <c r="BV3" s="527" t="s">
        <v>454</v>
      </c>
      <c r="BW3" s="527" t="s">
        <v>443</v>
      </c>
      <c r="BX3" s="527" t="s">
        <v>444</v>
      </c>
      <c r="BY3" s="527" t="s">
        <v>445</v>
      </c>
      <c r="BZ3" s="527" t="s">
        <v>446</v>
      </c>
      <c r="CA3" s="527" t="s">
        <v>447</v>
      </c>
      <c r="CB3" s="527" t="s">
        <v>448</v>
      </c>
      <c r="CC3" s="527" t="s">
        <v>449</v>
      </c>
      <c r="CD3" s="527" t="s">
        <v>450</v>
      </c>
      <c r="CE3" s="527" t="s">
        <v>451</v>
      </c>
      <c r="CF3" s="527" t="s">
        <v>452</v>
      </c>
      <c r="CG3" s="527" t="s">
        <v>453</v>
      </c>
      <c r="CH3" s="527" t="s">
        <v>454</v>
      </c>
      <c r="CI3" s="527" t="s">
        <v>443</v>
      </c>
      <c r="CJ3" s="527" t="s">
        <v>444</v>
      </c>
      <c r="CK3" s="527" t="s">
        <v>445</v>
      </c>
      <c r="CL3" s="527" t="s">
        <v>446</v>
      </c>
      <c r="CM3" s="527" t="s">
        <v>447</v>
      </c>
      <c r="CN3" s="527" t="s">
        <v>448</v>
      </c>
      <c r="CO3" s="527" t="s">
        <v>449</v>
      </c>
      <c r="CP3" s="527" t="s">
        <v>450</v>
      </c>
      <c r="CQ3" s="527" t="s">
        <v>451</v>
      </c>
      <c r="CR3" s="527" t="s">
        <v>452</v>
      </c>
      <c r="CS3" s="527" t="s">
        <v>453</v>
      </c>
      <c r="CT3" s="527" t="s">
        <v>454</v>
      </c>
      <c r="CU3" s="527" t="s">
        <v>443</v>
      </c>
      <c r="CV3" s="527" t="s">
        <v>444</v>
      </c>
      <c r="CW3" s="527" t="s">
        <v>445</v>
      </c>
      <c r="CX3" s="527" t="s">
        <v>446</v>
      </c>
      <c r="CY3" s="527" t="s">
        <v>447</v>
      </c>
      <c r="CZ3" s="527" t="s">
        <v>448</v>
      </c>
      <c r="DA3" s="527" t="s">
        <v>449</v>
      </c>
      <c r="DB3" s="527" t="s">
        <v>450</v>
      </c>
      <c r="DC3" s="527" t="s">
        <v>451</v>
      </c>
      <c r="DD3" s="527" t="s">
        <v>452</v>
      </c>
      <c r="DE3" s="527" t="s">
        <v>453</v>
      </c>
      <c r="DF3" s="527" t="s">
        <v>454</v>
      </c>
      <c r="DG3" s="527" t="s">
        <v>443</v>
      </c>
      <c r="DH3" s="527" t="s">
        <v>444</v>
      </c>
      <c r="DI3" s="527" t="s">
        <v>445</v>
      </c>
      <c r="DJ3" s="527" t="s">
        <v>446</v>
      </c>
      <c r="DK3" s="527" t="s">
        <v>447</v>
      </c>
      <c r="DL3" s="527" t="s">
        <v>448</v>
      </c>
      <c r="DM3" s="527" t="s">
        <v>449</v>
      </c>
      <c r="DN3" s="527" t="s">
        <v>450</v>
      </c>
      <c r="DO3" s="527" t="s">
        <v>451</v>
      </c>
      <c r="DP3" s="527" t="s">
        <v>452</v>
      </c>
      <c r="DQ3" s="527" t="s">
        <v>453</v>
      </c>
      <c r="DR3" s="527" t="s">
        <v>454</v>
      </c>
      <c r="DS3" s="527" t="s">
        <v>443</v>
      </c>
      <c r="DT3" s="527" t="s">
        <v>444</v>
      </c>
      <c r="DU3" s="527" t="s">
        <v>445</v>
      </c>
      <c r="DV3" s="527" t="s">
        <v>446</v>
      </c>
      <c r="DW3" s="527" t="s">
        <v>447</v>
      </c>
      <c r="DX3" s="527" t="s">
        <v>448</v>
      </c>
      <c r="DY3" s="527" t="s">
        <v>449</v>
      </c>
      <c r="DZ3" s="527" t="s">
        <v>450</v>
      </c>
      <c r="EA3" s="527" t="s">
        <v>451</v>
      </c>
      <c r="EB3" s="527" t="s">
        <v>452</v>
      </c>
      <c r="EC3" s="527" t="s">
        <v>453</v>
      </c>
      <c r="ED3" s="527" t="s">
        <v>454</v>
      </c>
      <c r="EE3" s="527" t="s">
        <v>443</v>
      </c>
      <c r="EF3" s="527" t="s">
        <v>444</v>
      </c>
      <c r="EG3" s="527" t="s">
        <v>445</v>
      </c>
      <c r="EH3" s="527" t="s">
        <v>446</v>
      </c>
      <c r="EI3" s="527" t="s">
        <v>447</v>
      </c>
      <c r="EJ3" s="527" t="s">
        <v>448</v>
      </c>
      <c r="EK3" s="527" t="s">
        <v>449</v>
      </c>
      <c r="EL3" s="527" t="s">
        <v>450</v>
      </c>
      <c r="EM3" s="527" t="s">
        <v>451</v>
      </c>
      <c r="EN3" s="527" t="s">
        <v>452</v>
      </c>
      <c r="EO3" s="527" t="s">
        <v>453</v>
      </c>
      <c r="EP3" s="527" t="s">
        <v>454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6" t="s">
        <v>23</v>
      </c>
      <c r="C17" s="527" t="s">
        <v>443</v>
      </c>
      <c r="D17" s="527" t="s">
        <v>444</v>
      </c>
      <c r="E17" s="527" t="s">
        <v>445</v>
      </c>
      <c r="F17" s="527" t="s">
        <v>446</v>
      </c>
      <c r="G17" s="527" t="s">
        <v>447</v>
      </c>
      <c r="H17" s="527" t="s">
        <v>448</v>
      </c>
      <c r="I17" s="527" t="s">
        <v>449</v>
      </c>
      <c r="J17" s="527" t="s">
        <v>450</v>
      </c>
      <c r="K17" s="527" t="s">
        <v>451</v>
      </c>
      <c r="L17" s="527" t="s">
        <v>452</v>
      </c>
      <c r="M17" s="527" t="s">
        <v>453</v>
      </c>
      <c r="N17" s="527" t="s">
        <v>454</v>
      </c>
      <c r="O17" s="527" t="s">
        <v>443</v>
      </c>
      <c r="P17" s="527" t="s">
        <v>444</v>
      </c>
      <c r="Q17" s="527" t="s">
        <v>445</v>
      </c>
      <c r="R17" s="527" t="s">
        <v>446</v>
      </c>
      <c r="S17" s="527" t="s">
        <v>447</v>
      </c>
      <c r="T17" s="527" t="s">
        <v>448</v>
      </c>
      <c r="U17" s="527" t="s">
        <v>449</v>
      </c>
      <c r="V17" s="527" t="s">
        <v>450</v>
      </c>
      <c r="W17" s="527" t="s">
        <v>451</v>
      </c>
      <c r="X17" s="527" t="s">
        <v>452</v>
      </c>
      <c r="Y17" s="527" t="s">
        <v>453</v>
      </c>
      <c r="Z17" s="527" t="s">
        <v>454</v>
      </c>
      <c r="AA17" s="527" t="s">
        <v>443</v>
      </c>
      <c r="AB17" s="527" t="s">
        <v>444</v>
      </c>
      <c r="AC17" s="527" t="s">
        <v>445</v>
      </c>
      <c r="AD17" s="527" t="s">
        <v>446</v>
      </c>
      <c r="AE17" s="527" t="s">
        <v>447</v>
      </c>
      <c r="AF17" s="527" t="s">
        <v>448</v>
      </c>
      <c r="AG17" s="527" t="s">
        <v>449</v>
      </c>
      <c r="AH17" s="527" t="s">
        <v>450</v>
      </c>
      <c r="AI17" s="527" t="s">
        <v>451</v>
      </c>
      <c r="AJ17" s="527" t="s">
        <v>452</v>
      </c>
      <c r="AK17" s="527" t="s">
        <v>453</v>
      </c>
      <c r="AL17" s="527" t="s">
        <v>454</v>
      </c>
      <c r="AM17" s="527" t="s">
        <v>443</v>
      </c>
      <c r="AN17" s="527" t="s">
        <v>444</v>
      </c>
      <c r="AO17" s="527" t="s">
        <v>445</v>
      </c>
      <c r="AP17" s="527" t="s">
        <v>446</v>
      </c>
      <c r="AQ17" s="527" t="s">
        <v>447</v>
      </c>
      <c r="AR17" s="527" t="s">
        <v>448</v>
      </c>
      <c r="AS17" s="527" t="s">
        <v>449</v>
      </c>
      <c r="AT17" s="527" t="s">
        <v>450</v>
      </c>
      <c r="AU17" s="527" t="s">
        <v>451</v>
      </c>
      <c r="AV17" s="527" t="s">
        <v>452</v>
      </c>
      <c r="AW17" s="527" t="s">
        <v>453</v>
      </c>
      <c r="AX17" s="527" t="s">
        <v>454</v>
      </c>
      <c r="AY17" s="527" t="s">
        <v>443</v>
      </c>
      <c r="AZ17" s="527" t="s">
        <v>444</v>
      </c>
      <c r="BA17" s="527" t="s">
        <v>445</v>
      </c>
      <c r="BB17" s="527" t="s">
        <v>446</v>
      </c>
      <c r="BC17" s="527" t="s">
        <v>447</v>
      </c>
      <c r="BD17" s="527" t="s">
        <v>448</v>
      </c>
      <c r="BE17" s="527" t="s">
        <v>449</v>
      </c>
      <c r="BF17" s="527" t="s">
        <v>450</v>
      </c>
      <c r="BG17" s="527" t="s">
        <v>451</v>
      </c>
      <c r="BH17" s="527" t="s">
        <v>452</v>
      </c>
      <c r="BI17" s="527" t="s">
        <v>453</v>
      </c>
      <c r="BJ17" s="527" t="s">
        <v>454</v>
      </c>
      <c r="BK17" s="527" t="s">
        <v>443</v>
      </c>
      <c r="BL17" s="527" t="s">
        <v>444</v>
      </c>
      <c r="BM17" s="527" t="s">
        <v>445</v>
      </c>
      <c r="BN17" s="527" t="s">
        <v>446</v>
      </c>
      <c r="BO17" s="527" t="s">
        <v>447</v>
      </c>
      <c r="BP17" s="527" t="s">
        <v>448</v>
      </c>
      <c r="BQ17" s="527" t="s">
        <v>449</v>
      </c>
      <c r="BR17" s="527" t="s">
        <v>450</v>
      </c>
      <c r="BS17" s="527" t="s">
        <v>451</v>
      </c>
      <c r="BT17" s="527" t="s">
        <v>452</v>
      </c>
      <c r="BU17" s="527" t="s">
        <v>453</v>
      </c>
      <c r="BV17" s="527" t="s">
        <v>454</v>
      </c>
      <c r="BW17" s="527" t="s">
        <v>443</v>
      </c>
      <c r="BX17" s="527" t="s">
        <v>444</v>
      </c>
      <c r="BY17" s="527" t="s">
        <v>445</v>
      </c>
      <c r="BZ17" s="527" t="s">
        <v>446</v>
      </c>
      <c r="CA17" s="527" t="s">
        <v>447</v>
      </c>
      <c r="CB17" s="527" t="s">
        <v>448</v>
      </c>
      <c r="CC17" s="527" t="s">
        <v>449</v>
      </c>
      <c r="CD17" s="527" t="s">
        <v>450</v>
      </c>
      <c r="CE17" s="527" t="s">
        <v>451</v>
      </c>
      <c r="CF17" s="527" t="s">
        <v>452</v>
      </c>
      <c r="CG17" s="527" t="s">
        <v>453</v>
      </c>
      <c r="CH17" s="527" t="s">
        <v>454</v>
      </c>
      <c r="CI17" s="527" t="s">
        <v>443</v>
      </c>
      <c r="CJ17" s="527" t="s">
        <v>444</v>
      </c>
      <c r="CK17" s="527" t="s">
        <v>445</v>
      </c>
      <c r="CL17" s="527" t="s">
        <v>446</v>
      </c>
      <c r="CM17" s="527" t="s">
        <v>447</v>
      </c>
      <c r="CN17" s="527" t="s">
        <v>448</v>
      </c>
      <c r="CO17" s="527" t="s">
        <v>449</v>
      </c>
      <c r="CP17" s="527" t="s">
        <v>450</v>
      </c>
      <c r="CQ17" s="527" t="s">
        <v>451</v>
      </c>
      <c r="CR17" s="527" t="s">
        <v>452</v>
      </c>
      <c r="CS17" s="527" t="s">
        <v>453</v>
      </c>
      <c r="CT17" s="527" t="s">
        <v>454</v>
      </c>
      <c r="CU17" s="527" t="s">
        <v>443</v>
      </c>
      <c r="CV17" s="527" t="s">
        <v>444</v>
      </c>
      <c r="CW17" s="527" t="s">
        <v>445</v>
      </c>
      <c r="CX17" s="527" t="s">
        <v>446</v>
      </c>
      <c r="CY17" s="527" t="s">
        <v>447</v>
      </c>
      <c r="CZ17" s="527" t="s">
        <v>448</v>
      </c>
      <c r="DA17" s="527" t="s">
        <v>449</v>
      </c>
      <c r="DB17" s="527" t="s">
        <v>450</v>
      </c>
      <c r="DC17" s="527" t="s">
        <v>451</v>
      </c>
      <c r="DD17" s="527" t="s">
        <v>452</v>
      </c>
      <c r="DE17" s="527" t="s">
        <v>453</v>
      </c>
      <c r="DF17" s="527" t="s">
        <v>454</v>
      </c>
      <c r="DG17" s="527" t="s">
        <v>443</v>
      </c>
      <c r="DH17" s="527" t="s">
        <v>444</v>
      </c>
      <c r="DI17" s="527" t="s">
        <v>445</v>
      </c>
      <c r="DJ17" s="527" t="s">
        <v>446</v>
      </c>
      <c r="DK17" s="527" t="s">
        <v>447</v>
      </c>
      <c r="DL17" s="527" t="s">
        <v>448</v>
      </c>
      <c r="DM17" s="527" t="s">
        <v>449</v>
      </c>
      <c r="DN17" s="527" t="s">
        <v>450</v>
      </c>
      <c r="DO17" s="527" t="s">
        <v>451</v>
      </c>
      <c r="DP17" s="527" t="s">
        <v>452</v>
      </c>
      <c r="DQ17" s="527" t="s">
        <v>453</v>
      </c>
      <c r="DR17" s="527" t="s">
        <v>454</v>
      </c>
      <c r="DS17" s="527" t="s">
        <v>443</v>
      </c>
      <c r="DT17" s="527" t="s">
        <v>444</v>
      </c>
      <c r="DU17" s="527" t="s">
        <v>445</v>
      </c>
      <c r="DV17" s="527" t="s">
        <v>446</v>
      </c>
      <c r="DW17" s="527" t="s">
        <v>447</v>
      </c>
      <c r="DX17" s="527" t="s">
        <v>448</v>
      </c>
      <c r="DY17" s="527" t="s">
        <v>449</v>
      </c>
      <c r="DZ17" s="527" t="s">
        <v>450</v>
      </c>
      <c r="EA17" s="527" t="s">
        <v>451</v>
      </c>
      <c r="EB17" s="527" t="s">
        <v>452</v>
      </c>
      <c r="EC17" s="527" t="s">
        <v>453</v>
      </c>
      <c r="ED17" s="527" t="s">
        <v>454</v>
      </c>
      <c r="EE17" s="527" t="s">
        <v>443</v>
      </c>
      <c r="EF17" s="527" t="s">
        <v>444</v>
      </c>
      <c r="EG17" s="527" t="s">
        <v>445</v>
      </c>
      <c r="EH17" s="527" t="s">
        <v>446</v>
      </c>
      <c r="EI17" s="527" t="s">
        <v>447</v>
      </c>
      <c r="EJ17" s="527" t="s">
        <v>448</v>
      </c>
      <c r="EK17" s="527" t="s">
        <v>449</v>
      </c>
      <c r="EL17" s="527" t="s">
        <v>450</v>
      </c>
      <c r="EM17" s="527" t="s">
        <v>451</v>
      </c>
      <c r="EN17" s="527" t="s">
        <v>452</v>
      </c>
      <c r="EO17" s="527" t="s">
        <v>453</v>
      </c>
      <c r="EP17" s="527" t="s">
        <v>454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455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431</v>
      </c>
      <c r="D32" s="528" t="s">
        <v>432</v>
      </c>
      <c r="E32" s="535" t="s">
        <v>433</v>
      </c>
      <c r="F32" s="528" t="s">
        <v>434</v>
      </c>
      <c r="G32" s="535" t="s">
        <v>435</v>
      </c>
      <c r="H32" s="528" t="s">
        <v>436</v>
      </c>
      <c r="I32" s="535" t="s">
        <v>437</v>
      </c>
      <c r="J32" s="528" t="s">
        <v>438</v>
      </c>
      <c r="K32" s="535" t="s">
        <v>439</v>
      </c>
      <c r="L32" s="528" t="s">
        <v>440</v>
      </c>
      <c r="M32" s="535" t="s">
        <v>441</v>
      </c>
      <c r="N32" s="528" t="s">
        <v>442</v>
      </c>
      <c r="O32" s="536" t="s">
        <v>456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7" t="str">
        <f>Assumptions!A3</f>
        <v>PROJECT NAME:  Retail Shorts</v>
      </c>
    </row>
    <row r="4" spans="1:4" ht="17.399999999999999">
      <c r="A4" s="169" t="s">
        <v>122</v>
      </c>
    </row>
    <row r="6" spans="1:4" ht="13.8" thickBot="1"/>
    <row r="7" spans="1:4" ht="13.8" thickBot="1">
      <c r="A7" s="517"/>
      <c r="B7" s="473" t="s">
        <v>409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416</v>
      </c>
    </row>
    <row r="9" spans="1:4" ht="13.8" thickBot="1">
      <c r="A9" s="478" t="s">
        <v>121</v>
      </c>
      <c r="B9" s="479">
        <f>'Returns Analysis'!C39</f>
        <v>5.2786001563072213E-2</v>
      </c>
      <c r="C9" s="480">
        <f>Debt!E69</f>
        <v>1.4999999999999976</v>
      </c>
      <c r="D9" s="481">
        <f>Debt!E68</f>
        <v>1.5000000000000016</v>
      </c>
    </row>
    <row r="10" spans="1:4">
      <c r="A10" s="63"/>
      <c r="C10" s="482"/>
      <c r="D10" s="482"/>
    </row>
    <row r="11" spans="1:4" ht="13.8" thickBot="1"/>
    <row r="12" spans="1:4">
      <c r="A12" s="483" t="s">
        <v>374</v>
      </c>
      <c r="B12" s="484">
        <f>B9</f>
        <v>5.2786001563072213E-2</v>
      </c>
      <c r="C12" s="485">
        <f>C9</f>
        <v>1.4999999999999976</v>
      </c>
      <c r="D12" s="486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46" zoomScale="75" zoomScaleNormal="75" workbookViewId="0">
      <selection activeCell="H25" sqref="H25"/>
    </sheetView>
  </sheetViews>
  <sheetFormatPr defaultColWidth="9.109375" defaultRowHeight="13.2"/>
  <cols>
    <col min="1" max="1" width="53.8867187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6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6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6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C11/$H$69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6">
      <c r="A12" s="99" t="s">
        <v>86</v>
      </c>
      <c r="B12" s="596">
        <v>0.6</v>
      </c>
      <c r="C12" s="193">
        <f>B12*C58</f>
        <v>62997.699013475867</v>
      </c>
      <c r="D12" s="345">
        <f>C12/$H$69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6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6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C14/$H$69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6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6">
      <c r="A16" s="119" t="s">
        <v>463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6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6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457</v>
      </c>
      <c r="U18" s="332" t="s">
        <v>265</v>
      </c>
      <c r="V18" s="58">
        <v>12</v>
      </c>
      <c r="W18" s="293">
        <v>22</v>
      </c>
    </row>
    <row r="19" spans="1:23" ht="15.6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C19/$H$69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N19/$H$69</f>
        <v>2.3936170212765959</v>
      </c>
      <c r="P19" s="40"/>
    </row>
    <row r="20" spans="1:23" ht="15.6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6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6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6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6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2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2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6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6.2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6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6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N30/$H$69</f>
        <v>2.1276595744680851</v>
      </c>
      <c r="P30" s="538">
        <v>0.02</v>
      </c>
      <c r="R30" s="3"/>
    </row>
    <row r="31" spans="1:23" ht="15.6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N31/$H$69</f>
        <v>1.3622360774203537</v>
      </c>
      <c r="P31" s="40"/>
      <c r="R31" s="3"/>
    </row>
    <row r="32" spans="1:23" ht="15.6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N32/$H$69</f>
        <v>0</v>
      </c>
      <c r="P32" s="40"/>
      <c r="Q32" s="66"/>
      <c r="R32" s="3"/>
    </row>
    <row r="33" spans="1:18" ht="16.2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N33/$H$69</f>
        <v>0</v>
      </c>
      <c r="P33" s="81"/>
      <c r="R33" s="3"/>
    </row>
    <row r="34" spans="1:18" ht="16.2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6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6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6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C37/$H$69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6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6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6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6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6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6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6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2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2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2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2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6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6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6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6">
      <c r="A53" s="99" t="s">
        <v>169</v>
      </c>
      <c r="B53" s="167">
        <f>C53/$C$58</f>
        <v>0</v>
      </c>
      <c r="C53" s="246">
        <v>0</v>
      </c>
      <c r="D53" s="345">
        <f>C53/$H$69</f>
        <v>0</v>
      </c>
      <c r="E53" s="13"/>
      <c r="F53" s="102" t="s">
        <v>415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6">
      <c r="A54" s="99" t="s">
        <v>170</v>
      </c>
      <c r="B54" s="167">
        <f>C54/$C$58</f>
        <v>0</v>
      </c>
      <c r="C54" s="246">
        <v>0</v>
      </c>
      <c r="D54" s="345">
        <f>C54/$H$69</f>
        <v>0</v>
      </c>
      <c r="E54" s="13"/>
      <c r="F54" s="102" t="s">
        <v>466</v>
      </c>
      <c r="G54" s="13"/>
      <c r="H54" s="560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2" thickBot="1">
      <c r="A55" s="105" t="s">
        <v>102</v>
      </c>
      <c r="B55" s="182">
        <f>C55/$C$58</f>
        <v>9.5241573802823127E-3</v>
      </c>
      <c r="C55" s="247">
        <v>1000</v>
      </c>
      <c r="D55" s="345">
        <f>C55/$H$69</f>
        <v>5.3191489361702127</v>
      </c>
      <c r="E55" s="13"/>
      <c r="F55" s="102" t="s">
        <v>475</v>
      </c>
      <c r="G55" s="13"/>
      <c r="H55" s="608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6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C56/$H$69</f>
        <v>5.3191489361702127</v>
      </c>
      <c r="E56" s="13"/>
      <c r="F56" s="102" t="s">
        <v>477</v>
      </c>
      <c r="G56" s="13"/>
      <c r="H56" s="608">
        <v>0</v>
      </c>
      <c r="I56" s="13"/>
      <c r="J56" s="40"/>
    </row>
    <row r="57" spans="1:16" ht="15.6">
      <c r="A57" s="41"/>
      <c r="B57" s="13"/>
      <c r="C57" s="13"/>
      <c r="D57" s="348"/>
      <c r="E57" s="13"/>
      <c r="F57" s="609" t="s">
        <v>305</v>
      </c>
      <c r="G57" s="13"/>
      <c r="H57" s="13"/>
      <c r="I57" s="13"/>
      <c r="J57" s="40"/>
    </row>
    <row r="58" spans="1:16" ht="16.8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C58/$H$69</f>
        <v>558.49023948116906</v>
      </c>
      <c r="E58" s="13"/>
      <c r="F58" s="102" t="s">
        <v>304</v>
      </c>
      <c r="G58" s="13"/>
      <c r="H58" s="273">
        <f>H19-H52</f>
        <v>0</v>
      </c>
      <c r="I58" s="111"/>
      <c r="J58" s="40"/>
    </row>
    <row r="59" spans="1:16" ht="16.2" thickBot="1">
      <c r="A59" s="13"/>
      <c r="B59" s="13"/>
      <c r="C59" s="82"/>
      <c r="D59" s="13"/>
      <c r="E59" s="13"/>
      <c r="F59" s="102" t="s">
        <v>415</v>
      </c>
      <c r="G59" s="98"/>
      <c r="H59" s="153"/>
      <c r="I59" s="111"/>
      <c r="J59" s="40"/>
    </row>
    <row r="60" spans="1:16" ht="15.6">
      <c r="A60" s="95" t="s">
        <v>32</v>
      </c>
      <c r="B60" s="120"/>
      <c r="C60" s="200"/>
      <c r="D60" s="121"/>
      <c r="E60" s="13"/>
      <c r="F60" s="41"/>
      <c r="G60" s="13"/>
      <c r="H60" s="13"/>
      <c r="I60" s="13"/>
      <c r="J60" s="40"/>
    </row>
    <row r="61" spans="1:16" ht="15.6">
      <c r="A61" s="41"/>
      <c r="B61" s="13"/>
      <c r="C61" s="13"/>
      <c r="D61" s="40"/>
      <c r="E61" s="13"/>
      <c r="F61" s="102" t="s">
        <v>423</v>
      </c>
      <c r="G61" s="98"/>
      <c r="H61" s="153">
        <f>P17</f>
        <v>2.23</v>
      </c>
      <c r="I61" s="111"/>
      <c r="J61" s="40"/>
    </row>
    <row r="62" spans="1:16" ht="15.6">
      <c r="A62" s="340" t="s">
        <v>270</v>
      </c>
      <c r="B62" s="341"/>
      <c r="C62" s="342">
        <f>D58</f>
        <v>558.49023948116906</v>
      </c>
      <c r="D62" s="40"/>
      <c r="E62" s="13"/>
      <c r="F62" s="102"/>
      <c r="G62" s="13"/>
      <c r="H62" s="261"/>
      <c r="I62" s="111"/>
      <c r="J62" s="40"/>
    </row>
    <row r="63" spans="1:16" ht="16.2" thickBot="1">
      <c r="A63" s="518"/>
      <c r="B63" s="178"/>
      <c r="C63" s="178"/>
      <c r="D63" s="40"/>
      <c r="E63" s="13"/>
      <c r="F63" s="104" t="s">
        <v>120</v>
      </c>
      <c r="G63" s="42"/>
      <c r="H63" s="275">
        <f>H69*H73</f>
        <v>263200</v>
      </c>
      <c r="I63" s="201"/>
      <c r="J63" s="81"/>
    </row>
    <row r="64" spans="1:16" ht="16.2" thickBot="1">
      <c r="A64" s="102"/>
      <c r="B64" s="98"/>
      <c r="C64" s="97" t="s">
        <v>34</v>
      </c>
      <c r="D64" s="170" t="s">
        <v>33</v>
      </c>
      <c r="E64" s="13"/>
    </row>
    <row r="65" spans="1:10" ht="15.6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94" t="s">
        <v>5</v>
      </c>
      <c r="G65" s="198"/>
      <c r="H65" s="200"/>
      <c r="I65" s="38"/>
      <c r="J65" s="39"/>
    </row>
    <row r="66" spans="1:10" ht="15.6">
      <c r="A66" s="41"/>
      <c r="B66" s="98"/>
      <c r="C66" s="13"/>
      <c r="D66" s="40"/>
      <c r="E66" s="13"/>
      <c r="F66" s="180"/>
      <c r="G66" s="151"/>
      <c r="H66" s="111"/>
      <c r="I66" s="13"/>
      <c r="J66" s="40"/>
    </row>
    <row r="67" spans="1:10" ht="15.6">
      <c r="A67" s="105" t="s">
        <v>334</v>
      </c>
      <c r="B67" s="13"/>
      <c r="C67" s="13"/>
      <c r="D67" s="40"/>
      <c r="E67" s="13"/>
      <c r="F67" s="102" t="s">
        <v>128</v>
      </c>
      <c r="G67" s="13"/>
      <c r="H67" s="217">
        <f>H12*H13</f>
        <v>188</v>
      </c>
      <c r="I67" s="13"/>
      <c r="J67" s="40"/>
    </row>
    <row r="68" spans="1:10" ht="15.6">
      <c r="A68" s="102" t="s">
        <v>375</v>
      </c>
      <c r="B68" s="98"/>
      <c r="C68" s="166">
        <f>'Returns Analysis'!C39</f>
        <v>5.2786001563072213E-2</v>
      </c>
      <c r="D68" s="40"/>
      <c r="E68" s="13"/>
      <c r="F68" s="105" t="s">
        <v>90</v>
      </c>
      <c r="G68" s="13"/>
      <c r="H68" s="338">
        <v>0</v>
      </c>
      <c r="I68" s="13"/>
      <c r="J68" s="40"/>
    </row>
    <row r="69" spans="1:10" ht="15.6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119" t="s">
        <v>308</v>
      </c>
      <c r="G69" s="43"/>
      <c r="H69" s="356">
        <f>SUM(H67:H68)</f>
        <v>188</v>
      </c>
      <c r="I69" s="13"/>
      <c r="J69" s="40"/>
    </row>
    <row r="70" spans="1:10" ht="15.6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1" t="s">
        <v>472</v>
      </c>
      <c r="E70" s="13"/>
      <c r="F70" s="41"/>
      <c r="G70" s="13"/>
      <c r="H70" s="13"/>
      <c r="I70" s="13"/>
      <c r="J70" s="40"/>
    </row>
    <row r="71" spans="1:10" ht="15.6">
      <c r="A71" s="102" t="str">
        <f>CONCATENATE("30 Yrs After-Tax Cashflow with $",H25,"/kW Residual Value")</f>
        <v>30 Yrs After-Tax Cashflow with $250/kW Residual Value</v>
      </c>
      <c r="B71" s="13"/>
      <c r="C71" s="564">
        <f>'Returns Analysis'!C60</f>
        <v>0.12001051306724544</v>
      </c>
      <c r="D71" s="187">
        <v>0.12</v>
      </c>
      <c r="E71" s="13"/>
      <c r="F71" s="102" t="s">
        <v>351</v>
      </c>
      <c r="G71" s="13"/>
      <c r="H71" s="248">
        <v>140</v>
      </c>
      <c r="I71" s="13"/>
      <c r="J71" s="40"/>
    </row>
    <row r="72" spans="1:10" ht="15.6">
      <c r="A72" s="41"/>
      <c r="B72" s="13"/>
      <c r="C72" s="13"/>
      <c r="D72" s="40"/>
      <c r="E72" s="13"/>
      <c r="F72" s="102" t="s">
        <v>266</v>
      </c>
      <c r="G72" s="13"/>
      <c r="H72" s="248">
        <v>400</v>
      </c>
      <c r="I72" s="13"/>
      <c r="J72" s="40"/>
    </row>
    <row r="73" spans="1:10" ht="16.2" thickBot="1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  <c r="F73" s="104" t="s">
        <v>172</v>
      </c>
      <c r="G73" s="42"/>
      <c r="H73" s="257">
        <v>1400</v>
      </c>
      <c r="I73" s="42"/>
      <c r="J73" s="81"/>
    </row>
    <row r="74" spans="1:10" ht="15.6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6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6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2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8"/>
    </row>
    <row r="87" spans="5:9" ht="15.6">
      <c r="E87" s="98"/>
    </row>
    <row r="88" spans="5:9" ht="15.6">
      <c r="E88" s="98"/>
    </row>
    <row r="89" spans="5:9" ht="15.6">
      <c r="E89" s="98"/>
    </row>
    <row r="90" spans="5:9">
      <c r="E90" s="13"/>
    </row>
    <row r="91" spans="5:9" ht="15.6">
      <c r="E91" s="98"/>
    </row>
    <row r="92" spans="5:9" ht="15.6">
      <c r="E92" s="98"/>
    </row>
    <row r="93" spans="5:9">
      <c r="E93" s="13"/>
    </row>
    <row r="94" spans="5:9" ht="15.6">
      <c r="E94" s="13"/>
      <c r="I94" s="158"/>
    </row>
    <row r="95" spans="5:9" ht="15.6">
      <c r="E95" s="98"/>
    </row>
    <row r="96" spans="5:9" ht="15.6">
      <c r="E96" s="98"/>
    </row>
    <row r="97" spans="5:5" ht="15.6">
      <c r="E97" s="98"/>
    </row>
    <row r="98" spans="5:5" ht="15.6">
      <c r="E98" s="97"/>
    </row>
    <row r="99" spans="5:5" ht="15.6">
      <c r="E99" s="112"/>
    </row>
    <row r="100" spans="5:5" ht="15.6">
      <c r="E100" s="112"/>
    </row>
    <row r="101" spans="5:5" ht="15.6">
      <c r="E101" s="112"/>
    </row>
    <row r="102" spans="5:5" ht="15.6">
      <c r="E102" s="112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205740</xdr:rowOff>
                  </from>
                  <to>
                    <xdr:col>7</xdr:col>
                    <xdr:colOff>1226820</xdr:colOff>
                    <xdr:row>58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7620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7.399999999999999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7.399999999999999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2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2"/>
      <c r="D35" s="509">
        <f>Assumptions!$H$61*(1+Assumptions!$N$11)^(D7)</f>
        <v>2.2743799223186225</v>
      </c>
      <c r="E35" s="509">
        <f>Assumptions!$H$61*(1+Assumptions!$N$11)^(E7)</f>
        <v>2.3426113199881811</v>
      </c>
      <c r="F35" s="509">
        <f>Assumptions!$H$61*(1+Assumptions!$N$11)^(F7)</f>
        <v>2.4128896595878269</v>
      </c>
      <c r="G35" s="509">
        <f>Assumptions!$H$61*(1+Assumptions!$N$11)^(G7)</f>
        <v>2.4852763493754617</v>
      </c>
      <c r="H35" s="509">
        <f>Assumptions!$H$61*(1+Assumptions!$N$11)^(H7)</f>
        <v>2.5598346398567253</v>
      </c>
      <c r="I35" s="509">
        <f>Assumptions!$H$61*(1+Assumptions!$N$11)^(I7)</f>
        <v>2.6366296790524273</v>
      </c>
      <c r="J35" s="509">
        <f>Assumptions!$H$61*(1+Assumptions!$N$11)^(J7)</f>
        <v>2.7157285694240003</v>
      </c>
      <c r="K35" s="509">
        <f>Assumptions!$H$61*(1+Assumptions!$N$11)^(K7)</f>
        <v>2.7972004265067199</v>
      </c>
      <c r="L35" s="509">
        <f>Assumptions!$H$61*(1+Assumptions!$N$11)^(L7)</f>
        <v>2.8811164393019215</v>
      </c>
      <c r="M35" s="509">
        <f>Assumptions!$H$61*(1+Assumptions!$N$11)^(M7)</f>
        <v>2.9675499324809795</v>
      </c>
      <c r="N35" s="509">
        <f>Assumptions!$H$61*(1+Assumptions!$N$11)^(N7)</f>
        <v>3.0565764304554088</v>
      </c>
      <c r="O35" s="509">
        <f>Assumptions!$H$61*(1+Assumptions!$N$11)^(O7)</f>
        <v>3.1482737233690714</v>
      </c>
      <c r="P35" s="509">
        <f>Assumptions!$H$61*(1+Assumptions!$N$11)^(P7)</f>
        <v>3.2427219350701435</v>
      </c>
      <c r="Q35" s="509">
        <f>Assumptions!$H$61*(1+Assumptions!$N$11)^(Q7)</f>
        <v>3.3400035931222476</v>
      </c>
      <c r="R35" s="509">
        <f>Assumptions!$H$61*(1+Assumptions!$N$11)^(R7)</f>
        <v>3.4402037009159154</v>
      </c>
      <c r="S35" s="509">
        <f>Assumptions!$H$61*(1+Assumptions!$N$11)^(S7)</f>
        <v>3.543409811943393</v>
      </c>
      <c r="T35" s="509">
        <f>Assumptions!$H$61*(1+Assumptions!$N$11)^(T7)</f>
        <v>3.6497121063016946</v>
      </c>
      <c r="U35" s="509">
        <f>Assumptions!$H$61*(1+Assumptions!$N$11)^(U7)</f>
        <v>3.7592034694907452</v>
      </c>
      <c r="V35" s="509">
        <f>Assumptions!$H$61*(1+Assumptions!$N$11)^(V7)</f>
        <v>3.8719795735754685</v>
      </c>
      <c r="W35" s="509">
        <f>Assumptions!$H$61*(1+Assumptions!$N$11)^(W7)</f>
        <v>3.9881389607827322</v>
      </c>
      <c r="X35" s="509">
        <f>Assumptions!$H$61*(1+Assumptions!$N$11)^(X7)</f>
        <v>4.1077831296062142</v>
      </c>
      <c r="Y35" s="509">
        <f>Assumptions!$H$61*(1+Assumptions!$N$11)^(Y7)</f>
        <v>4.2310166234944013</v>
      </c>
      <c r="Z35" s="509">
        <f>Assumptions!$H$61*(1+Assumptions!$N$11)^(Z7)</f>
        <v>4.3579471221992332</v>
      </c>
      <c r="AA35" s="509">
        <f>Assumptions!$H$61*(1+Assumptions!$N$11)^(AA7)</f>
        <v>4.4886855358652111</v>
      </c>
      <c r="AB35" s="509">
        <f>Assumptions!$H$61*(1+Assumptions!$N$11)^(AB7)</f>
        <v>4.6233461019411672</v>
      </c>
      <c r="AC35" s="509">
        <f>Assumptions!$H$61*(1+Assumptions!$N$11)^(AC7)</f>
        <v>4.7620464849994022</v>
      </c>
      <c r="AD35" s="509">
        <f>Assumptions!$H$61*(1+Assumptions!$N$11)^(AD7)</f>
        <v>4.9049078795493841</v>
      </c>
      <c r="AE35" s="509">
        <f>Assumptions!$H$61*(1+Assumptions!$N$11)^(AE7)</f>
        <v>5.0520551159358655</v>
      </c>
      <c r="AF35" s="509">
        <f>Assumptions!$H$61*(1+Assumptions!$N$11)^(AF7)</f>
        <v>5.2036167694139408</v>
      </c>
      <c r="AG35" s="509">
        <f>Assumptions!$H$61*(1+Assumptions!$N$11)^(AG7)</f>
        <v>5.3597252724963607</v>
      </c>
      <c r="AH35" s="509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6">
        <f>Assumptions!H54</f>
        <v>45.67</v>
      </c>
      <c r="E41" s="546">
        <f>D41</f>
        <v>45.67</v>
      </c>
      <c r="F41" s="546">
        <f t="shared" ref="F41:AH41" si="7">E41</f>
        <v>45.67</v>
      </c>
      <c r="G41" s="546">
        <f t="shared" si="7"/>
        <v>45.67</v>
      </c>
      <c r="H41" s="546">
        <f t="shared" si="7"/>
        <v>45.67</v>
      </c>
      <c r="I41" s="546">
        <f t="shared" si="7"/>
        <v>45.67</v>
      </c>
      <c r="J41" s="546">
        <f t="shared" si="7"/>
        <v>45.67</v>
      </c>
      <c r="K41" s="546">
        <f t="shared" si="7"/>
        <v>45.67</v>
      </c>
      <c r="L41" s="546">
        <f t="shared" si="7"/>
        <v>45.67</v>
      </c>
      <c r="M41" s="546">
        <f t="shared" si="7"/>
        <v>45.67</v>
      </c>
      <c r="N41" s="546">
        <f t="shared" si="7"/>
        <v>45.67</v>
      </c>
      <c r="O41" s="546">
        <f t="shared" si="7"/>
        <v>45.67</v>
      </c>
      <c r="P41" s="546">
        <f t="shared" si="7"/>
        <v>45.67</v>
      </c>
      <c r="Q41" s="546">
        <f t="shared" si="7"/>
        <v>45.67</v>
      </c>
      <c r="R41" s="546">
        <f t="shared" si="7"/>
        <v>45.67</v>
      </c>
      <c r="S41" s="546">
        <f t="shared" si="7"/>
        <v>45.67</v>
      </c>
      <c r="T41" s="546">
        <f t="shared" si="7"/>
        <v>45.67</v>
      </c>
      <c r="U41" s="546">
        <f t="shared" si="7"/>
        <v>45.67</v>
      </c>
      <c r="V41" s="546">
        <f t="shared" si="7"/>
        <v>45.67</v>
      </c>
      <c r="W41" s="546">
        <f t="shared" si="7"/>
        <v>45.67</v>
      </c>
      <c r="X41" s="546">
        <f t="shared" si="7"/>
        <v>45.67</v>
      </c>
      <c r="Y41" s="546">
        <f t="shared" si="7"/>
        <v>45.67</v>
      </c>
      <c r="Z41" s="546">
        <f t="shared" si="7"/>
        <v>45.67</v>
      </c>
      <c r="AA41" s="546">
        <f t="shared" si="7"/>
        <v>45.67</v>
      </c>
      <c r="AB41" s="546">
        <f t="shared" si="7"/>
        <v>45.67</v>
      </c>
      <c r="AC41" s="546">
        <f t="shared" si="7"/>
        <v>45.67</v>
      </c>
      <c r="AD41" s="546">
        <f t="shared" si="7"/>
        <v>45.67</v>
      </c>
      <c r="AE41" s="546">
        <f t="shared" si="7"/>
        <v>45.67</v>
      </c>
      <c r="AF41" s="546">
        <f t="shared" si="7"/>
        <v>45.67</v>
      </c>
      <c r="AG41" s="546">
        <f t="shared" si="7"/>
        <v>45.67</v>
      </c>
      <c r="AH41" s="546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6"/>
  <sheetViews>
    <sheetView workbookViewId="0">
      <selection activeCell="B30" sqref="B30"/>
    </sheetView>
  </sheetViews>
  <sheetFormatPr defaultColWidth="9.109375" defaultRowHeight="13.2"/>
  <cols>
    <col min="1" max="1" width="34.6640625" style="12" customWidth="1"/>
    <col min="2" max="2" width="6.44140625" style="12" customWidth="1"/>
    <col min="3" max="12" width="9.88671875" style="12" bestFit="1" customWidth="1"/>
    <col min="13" max="16384" width="9.109375" style="12"/>
  </cols>
  <sheetData>
    <row r="2" spans="1:32">
      <c r="A2" s="226" t="s">
        <v>331</v>
      </c>
    </row>
    <row r="3" spans="1:32">
      <c r="A3" s="226" t="s">
        <v>462</v>
      </c>
    </row>
    <row r="4" spans="1:32">
      <c r="A4" s="227"/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>
      <c r="A6" s="12" t="s">
        <v>488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489</v>
      </c>
      <c r="C7" s="544">
        <v>3.88</v>
      </c>
      <c r="D7" s="544">
        <v>3.77</v>
      </c>
      <c r="E7" s="544">
        <v>3.72</v>
      </c>
      <c r="F7" s="544">
        <v>3.73</v>
      </c>
      <c r="G7" s="544">
        <v>3.74</v>
      </c>
      <c r="H7" s="544">
        <v>3.79</v>
      </c>
      <c r="I7" s="544">
        <v>3.83</v>
      </c>
      <c r="J7" s="544">
        <v>3.86</v>
      </c>
      <c r="K7" s="544">
        <v>3.96</v>
      </c>
      <c r="L7" s="544">
        <v>3.98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B8" s="227" t="s">
        <v>473</v>
      </c>
    </row>
    <row r="9" spans="1:32">
      <c r="A9" s="12" t="s">
        <v>490</v>
      </c>
      <c r="B9" s="563">
        <v>0</v>
      </c>
      <c r="C9" s="553">
        <f>15544.94*(1+$B$9)</f>
        <v>15544.94</v>
      </c>
      <c r="D9" s="553">
        <f>15996.22*(1+B9)</f>
        <v>15996.22</v>
      </c>
      <c r="E9" s="553">
        <f>16200.055*(1+B9)</f>
        <v>16200.055</v>
      </c>
      <c r="F9" s="553">
        <f>16546.175*(1+B9)</f>
        <v>16546.174999999999</v>
      </c>
      <c r="G9" s="553">
        <f>16734.54*(1+B9)</f>
        <v>16734.54</v>
      </c>
      <c r="H9" s="553">
        <f>16892.733*(1+B9)</f>
        <v>16892.733</v>
      </c>
      <c r="I9" s="553">
        <f>17049.164*(1+B9)</f>
        <v>17049.164000000001</v>
      </c>
      <c r="J9" s="553">
        <f>17195.86*(1+B9)</f>
        <v>17195.86</v>
      </c>
      <c r="K9" s="553">
        <f>17267.466*(1+B9)</f>
        <v>17267.466</v>
      </c>
      <c r="L9" s="553">
        <f>17393.797*(1+B9)</f>
        <v>17393.796999999999</v>
      </c>
    </row>
    <row r="10" spans="1:32">
      <c r="A10" s="12" t="s">
        <v>491</v>
      </c>
      <c r="C10" s="545">
        <v>15206.799000000001</v>
      </c>
      <c r="D10" s="545">
        <v>15739.444</v>
      </c>
      <c r="E10" s="545">
        <v>16041.814</v>
      </c>
      <c r="F10" s="545">
        <v>16456.276000000002</v>
      </c>
      <c r="G10" s="545">
        <v>16683.259999999998</v>
      </c>
      <c r="H10" s="545">
        <v>16872.562999999998</v>
      </c>
      <c r="I10" s="545">
        <v>17029.12</v>
      </c>
      <c r="J10" s="545">
        <v>17170.03</v>
      </c>
      <c r="K10" s="545">
        <v>17245.233</v>
      </c>
      <c r="L10" s="545">
        <v>17360.898000000001</v>
      </c>
    </row>
    <row r="11" spans="1:32">
      <c r="A11" s="11" t="s">
        <v>492</v>
      </c>
    </row>
    <row r="12" spans="1:32">
      <c r="A12" s="12" t="s">
        <v>235</v>
      </c>
      <c r="C12" s="545">
        <v>14580.003000000001</v>
      </c>
      <c r="D12" s="545">
        <v>14997.486999999999</v>
      </c>
      <c r="E12" s="545">
        <v>15203.159</v>
      </c>
      <c r="F12" s="545">
        <v>15546.749</v>
      </c>
      <c r="G12" s="545">
        <v>15741.839</v>
      </c>
      <c r="H12" s="545">
        <v>15910.637000000001</v>
      </c>
      <c r="I12" s="545">
        <v>16076.874</v>
      </c>
      <c r="J12" s="545">
        <v>16234.955</v>
      </c>
      <c r="K12" s="545">
        <v>16321.38</v>
      </c>
      <c r="L12" s="545">
        <v>16456.793000000001</v>
      </c>
    </row>
    <row r="13" spans="1:32">
      <c r="A13" s="12" t="s">
        <v>244</v>
      </c>
      <c r="C13" s="545">
        <v>964.93700000000001</v>
      </c>
      <c r="D13" s="545">
        <v>998.73299999999995</v>
      </c>
      <c r="E13" s="545">
        <v>996.89599999999996</v>
      </c>
      <c r="F13" s="545">
        <v>999.42600000000004</v>
      </c>
      <c r="G13" s="545">
        <v>992.70100000000002</v>
      </c>
      <c r="H13" s="545">
        <v>982.09699999999998</v>
      </c>
      <c r="I13" s="545">
        <v>972.29</v>
      </c>
      <c r="J13" s="545">
        <v>960.90499999999997</v>
      </c>
      <c r="K13" s="545">
        <v>946.08500000000004</v>
      </c>
      <c r="L13" s="545">
        <v>937.00400000000002</v>
      </c>
    </row>
    <row r="14" spans="1:32">
      <c r="A14" s="226" t="s">
        <v>486</v>
      </c>
    </row>
    <row r="15" spans="1:32">
      <c r="A15" s="11" t="s">
        <v>41</v>
      </c>
    </row>
    <row r="16" spans="1:32">
      <c r="A16" s="12" t="s">
        <v>470</v>
      </c>
      <c r="C16" s="544">
        <v>4.08</v>
      </c>
      <c r="D16" s="544">
        <v>3.98</v>
      </c>
      <c r="E16" s="544">
        <v>3.95</v>
      </c>
      <c r="F16" s="544">
        <v>3.99</v>
      </c>
      <c r="G16" s="544">
        <v>4.0199999999999996</v>
      </c>
      <c r="H16" s="544">
        <v>4.0599999999999996</v>
      </c>
      <c r="I16" s="544">
        <v>4.12</v>
      </c>
      <c r="J16" s="544">
        <v>4.16</v>
      </c>
      <c r="K16" s="544">
        <v>4.28</v>
      </c>
      <c r="L16" s="544">
        <v>4.3</v>
      </c>
    </row>
    <row r="18" spans="1:12">
      <c r="A18" s="12" t="s">
        <v>464</v>
      </c>
      <c r="C18" s="553">
        <v>16212.968999999999</v>
      </c>
      <c r="D18" s="553">
        <v>16706.766</v>
      </c>
      <c r="E18" s="553">
        <v>17054.900000000001</v>
      </c>
      <c r="F18" s="553">
        <v>17542.91</v>
      </c>
      <c r="G18" s="553">
        <v>17820.478999999999</v>
      </c>
      <c r="H18" s="553">
        <v>17994.330999999998</v>
      </c>
      <c r="I18" s="553">
        <v>18236.170999999998</v>
      </c>
      <c r="J18" s="553">
        <v>18473.848000000002</v>
      </c>
      <c r="K18" s="553">
        <v>18632.525000000001</v>
      </c>
      <c r="L18" s="553">
        <v>18794.405999999999</v>
      </c>
    </row>
    <row r="20" spans="1:12">
      <c r="A20" s="226" t="s">
        <v>487</v>
      </c>
    </row>
    <row r="21" spans="1:12">
      <c r="A21" s="11" t="s">
        <v>41</v>
      </c>
    </row>
    <row r="22" spans="1:12">
      <c r="A22" s="12" t="s">
        <v>470</v>
      </c>
      <c r="C22" s="544">
        <v>4.26</v>
      </c>
      <c r="D22" s="544">
        <v>4.18</v>
      </c>
      <c r="E22" s="544">
        <v>4.17</v>
      </c>
      <c r="F22" s="544">
        <v>4.2300000000000004</v>
      </c>
      <c r="G22" s="544">
        <v>4.28</v>
      </c>
      <c r="H22" s="544">
        <v>4.3099999999999996</v>
      </c>
      <c r="I22" s="544">
        <v>4.3899999999999997</v>
      </c>
      <c r="J22" s="544">
        <v>4.45</v>
      </c>
      <c r="K22" s="544">
        <v>4.58</v>
      </c>
      <c r="L22" s="544">
        <v>4.6100000000000003</v>
      </c>
    </row>
    <row r="24" spans="1:12">
      <c r="A24" s="12" t="s">
        <v>464</v>
      </c>
      <c r="C24" s="553">
        <v>17052.151999999998</v>
      </c>
      <c r="D24" s="553">
        <v>17515.977999999999</v>
      </c>
      <c r="E24" s="553">
        <v>17901.733</v>
      </c>
      <c r="F24" s="553">
        <v>18445.41</v>
      </c>
      <c r="G24" s="553">
        <v>18763.184000000001</v>
      </c>
      <c r="H24" s="553">
        <v>18931.931</v>
      </c>
      <c r="I24" s="553">
        <v>19238.37</v>
      </c>
      <c r="J24" s="553">
        <v>19549.835999999999</v>
      </c>
      <c r="K24" s="553">
        <v>19771.198</v>
      </c>
      <c r="L24" s="553">
        <v>19970.675999999999</v>
      </c>
    </row>
    <row r="27" spans="1:12">
      <c r="A27" s="226" t="s">
        <v>483</v>
      </c>
    </row>
    <row r="29" spans="1:12">
      <c r="A29" s="12" t="s">
        <v>460</v>
      </c>
      <c r="B29" s="227" t="s">
        <v>473</v>
      </c>
      <c r="C29" s="18">
        <v>444454.18</v>
      </c>
      <c r="D29" s="18">
        <v>780058.98</v>
      </c>
      <c r="E29" s="18">
        <v>853098.52</v>
      </c>
      <c r="F29" s="18">
        <v>895576.95</v>
      </c>
      <c r="G29" s="18">
        <v>890978.86</v>
      </c>
      <c r="H29" s="18">
        <v>884420.04</v>
      </c>
      <c r="I29" s="18">
        <v>829190.78</v>
      </c>
      <c r="J29" s="18">
        <v>839458.88</v>
      </c>
      <c r="K29" s="18">
        <v>829528.9</v>
      </c>
      <c r="L29" s="18">
        <v>563847.9</v>
      </c>
    </row>
    <row r="30" spans="1:12">
      <c r="A30" s="12" t="s">
        <v>471</v>
      </c>
      <c r="B30" s="563">
        <f>Assumptions!H56</f>
        <v>0</v>
      </c>
      <c r="C30" s="586">
        <f>15094.311*(1+B30)</f>
        <v>15094.311</v>
      </c>
      <c r="D30" s="586">
        <f>24529.596*(1+B30)</f>
        <v>24529.596000000001</v>
      </c>
      <c r="E30" s="586">
        <f>26860.987*(1+B30)</f>
        <v>26860.987000000001</v>
      </c>
      <c r="F30" s="586">
        <f>28207.44*(1+B30)</f>
        <v>28207.439999999999</v>
      </c>
      <c r="G30" s="586">
        <f>28131.985*(1+B30)</f>
        <v>28131.985000000001</v>
      </c>
      <c r="H30" s="586">
        <f>28053.979*(1+B30)</f>
        <v>28053.978999999999</v>
      </c>
      <c r="I30" s="586">
        <f>26286.585*(1+B30)</f>
        <v>26286.584999999999</v>
      </c>
      <c r="J30" s="586">
        <f>26802.971*(1+B30)</f>
        <v>26802.971000000001</v>
      </c>
      <c r="K30" s="586">
        <f>26892.872*(1+B30)</f>
        <v>26892.871999999999</v>
      </c>
      <c r="L30" s="586">
        <f>19682.798*(1+B30)</f>
        <v>19682.797999999999</v>
      </c>
    </row>
    <row r="31" spans="1:12">
      <c r="A31" s="226" t="s">
        <v>485</v>
      </c>
    </row>
    <row r="32" spans="1:12">
      <c r="A32" s="12" t="s">
        <v>460</v>
      </c>
      <c r="C32" s="66">
        <f>C29</f>
        <v>444454.18</v>
      </c>
      <c r="D32" s="66">
        <f t="shared" ref="D32:L32" si="0">D29</f>
        <v>780058.98</v>
      </c>
      <c r="E32" s="66">
        <f t="shared" si="0"/>
        <v>853098.52</v>
      </c>
      <c r="F32" s="66">
        <f t="shared" si="0"/>
        <v>895576.95</v>
      </c>
      <c r="G32" s="66">
        <f t="shared" si="0"/>
        <v>890978.86</v>
      </c>
      <c r="H32" s="66">
        <f t="shared" si="0"/>
        <v>884420.04</v>
      </c>
      <c r="I32" s="66">
        <f t="shared" si="0"/>
        <v>829190.78</v>
      </c>
      <c r="J32" s="66">
        <f t="shared" si="0"/>
        <v>839458.88</v>
      </c>
      <c r="K32" s="66">
        <f t="shared" si="0"/>
        <v>829528.9</v>
      </c>
      <c r="L32" s="66">
        <f t="shared" si="0"/>
        <v>563847.9</v>
      </c>
    </row>
    <row r="33" spans="1:12">
      <c r="A33" s="12" t="s">
        <v>471</v>
      </c>
      <c r="C33" s="553">
        <v>16603.742999999999</v>
      </c>
      <c r="D33" s="553">
        <v>26982.556</v>
      </c>
      <c r="E33" s="553">
        <v>29547.084999999999</v>
      </c>
      <c r="F33" s="553">
        <v>31028.184000000001</v>
      </c>
      <c r="G33" s="553">
        <v>30945.183000000001</v>
      </c>
      <c r="H33" s="553">
        <v>30859.377</v>
      </c>
      <c r="I33" s="553">
        <v>28915.242999999999</v>
      </c>
      <c r="J33" s="553">
        <v>29483.268</v>
      </c>
      <c r="K33" s="553">
        <v>29582.159</v>
      </c>
      <c r="L33" s="553">
        <v>21651.078000000001</v>
      </c>
    </row>
    <row r="34" spans="1:12">
      <c r="A34" s="226" t="s">
        <v>484</v>
      </c>
    </row>
    <row r="35" spans="1:12">
      <c r="A35" s="12" t="s">
        <v>460</v>
      </c>
      <c r="C35" s="66">
        <f>C29</f>
        <v>444454.18</v>
      </c>
      <c r="D35" s="66">
        <f t="shared" ref="D35:L35" si="1">D29</f>
        <v>780058.98</v>
      </c>
      <c r="E35" s="66">
        <f t="shared" si="1"/>
        <v>853098.52</v>
      </c>
      <c r="F35" s="66">
        <f t="shared" si="1"/>
        <v>895576.95</v>
      </c>
      <c r="G35" s="66">
        <f t="shared" si="1"/>
        <v>890978.86</v>
      </c>
      <c r="H35" s="66">
        <f t="shared" si="1"/>
        <v>884420.04</v>
      </c>
      <c r="I35" s="66">
        <f t="shared" si="1"/>
        <v>829190.78</v>
      </c>
      <c r="J35" s="66">
        <f t="shared" si="1"/>
        <v>839458.88</v>
      </c>
      <c r="K35" s="66">
        <f t="shared" si="1"/>
        <v>829528.9</v>
      </c>
      <c r="L35" s="66">
        <f t="shared" si="1"/>
        <v>563847.9</v>
      </c>
    </row>
    <row r="36" spans="1:12">
      <c r="A36" s="12" t="s">
        <v>471</v>
      </c>
      <c r="C36" s="553">
        <v>13584.88</v>
      </c>
      <c r="D36" s="553">
        <v>22076.635999999999</v>
      </c>
      <c r="E36" s="553">
        <v>24174.887999999999</v>
      </c>
      <c r="F36" s="553">
        <v>25386.696</v>
      </c>
      <c r="G36" s="553">
        <v>25318.786</v>
      </c>
      <c r="H36" s="553">
        <v>25248.580999999998</v>
      </c>
      <c r="I36" s="553">
        <v>23657.925999999999</v>
      </c>
      <c r="J36" s="553">
        <v>24122.673999999999</v>
      </c>
      <c r="K36" s="553">
        <v>24203.583999999999</v>
      </c>
      <c r="L36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59"/>
  <sheetViews>
    <sheetView tabSelected="1" workbookViewId="0">
      <selection activeCell="S48" sqref="S48"/>
    </sheetView>
  </sheetViews>
  <sheetFormatPr defaultColWidth="9.109375" defaultRowHeight="13.2"/>
  <cols>
    <col min="1" max="1" width="1.6640625" style="12" customWidth="1"/>
    <col min="2" max="2" width="18" style="12" customWidth="1"/>
    <col min="3" max="3" width="1.44140625" style="12" customWidth="1"/>
    <col min="4" max="4" width="10.5546875" style="12" bestFit="1" customWidth="1"/>
    <col min="5" max="5" width="1.88671875" style="12" customWidth="1"/>
    <col min="6" max="6" width="9.44140625" style="12" bestFit="1" customWidth="1"/>
    <col min="7" max="7" width="1.88671875" style="12" customWidth="1"/>
    <col min="8" max="8" width="9.5546875" style="12" bestFit="1" customWidth="1"/>
    <col min="9" max="9" width="1.44140625" style="12" customWidth="1"/>
    <col min="10" max="10" width="16.5546875" style="12" bestFit="1" customWidth="1"/>
    <col min="11" max="11" width="1.88671875" style="12" customWidth="1"/>
    <col min="12" max="12" width="8.6640625" style="12" customWidth="1"/>
    <col min="13" max="15" width="8.6640625" style="612" customWidth="1"/>
    <col min="16" max="16" width="9.44140625" style="612" customWidth="1"/>
    <col min="17" max="28" width="8.6640625" style="612" customWidth="1"/>
    <col min="29" max="36" width="9.109375" style="612"/>
    <col min="37" max="41" width="9.109375" style="610"/>
    <col min="42" max="16384" width="9.109375" style="12"/>
  </cols>
  <sheetData>
    <row r="2" spans="1:14" hidden="1">
      <c r="A2" s="226"/>
    </row>
    <row r="3" spans="1:14" hidden="1">
      <c r="B3" s="598" t="s">
        <v>481</v>
      </c>
      <c r="L3" s="562"/>
      <c r="M3" s="613"/>
      <c r="N3" s="613"/>
    </row>
    <row r="4" spans="1:14" ht="13.8" hidden="1" thickBot="1">
      <c r="B4" s="544"/>
      <c r="L4" s="562"/>
      <c r="M4" s="613"/>
      <c r="N4" s="613"/>
    </row>
    <row r="5" spans="1:14" hidden="1">
      <c r="B5" s="565" t="s">
        <v>474</v>
      </c>
      <c r="C5" s="38"/>
      <c r="D5" s="566" t="s">
        <v>466</v>
      </c>
      <c r="E5" s="38"/>
      <c r="F5" s="566" t="s">
        <v>475</v>
      </c>
      <c r="G5" s="38"/>
      <c r="H5" s="579" t="s">
        <v>476</v>
      </c>
      <c r="I5" s="38"/>
      <c r="J5" s="566" t="s">
        <v>477</v>
      </c>
      <c r="K5" s="38"/>
      <c r="L5" s="566" t="s">
        <v>319</v>
      </c>
      <c r="M5" s="614"/>
      <c r="N5" s="615" t="s">
        <v>478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474</v>
      </c>
      <c r="C10" s="57"/>
      <c r="D10" s="588" t="s">
        <v>466</v>
      </c>
      <c r="E10" s="57"/>
      <c r="F10" s="588" t="s">
        <v>475</v>
      </c>
      <c r="G10" s="57"/>
      <c r="H10" s="589" t="s">
        <v>476</v>
      </c>
      <c r="I10" s="57"/>
      <c r="J10" s="588" t="s">
        <v>477</v>
      </c>
      <c r="K10" s="57"/>
      <c r="L10" s="588" t="s">
        <v>319</v>
      </c>
      <c r="M10" s="618"/>
      <c r="N10" s="619" t="s">
        <v>478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474</v>
      </c>
      <c r="C15" s="13"/>
      <c r="D15" s="574" t="s">
        <v>466</v>
      </c>
      <c r="E15" s="13"/>
      <c r="F15" s="574" t="s">
        <v>475</v>
      </c>
      <c r="G15" s="13"/>
      <c r="H15" s="580" t="s">
        <v>476</v>
      </c>
      <c r="I15" s="13"/>
      <c r="J15" s="574" t="s">
        <v>477</v>
      </c>
      <c r="K15" s="13"/>
      <c r="L15" s="574" t="s">
        <v>319</v>
      </c>
      <c r="M15" s="623"/>
      <c r="N15" s="624" t="s">
        <v>478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8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8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477</v>
      </c>
      <c r="C20" s="38"/>
      <c r="D20" s="566" t="s">
        <v>466</v>
      </c>
      <c r="E20" s="38"/>
      <c r="F20" s="566" t="s">
        <v>475</v>
      </c>
      <c r="G20" s="38"/>
      <c r="H20" s="566" t="s">
        <v>476</v>
      </c>
      <c r="I20" s="38"/>
      <c r="J20" s="566" t="s">
        <v>474</v>
      </c>
      <c r="K20" s="38"/>
      <c r="L20" s="566" t="s">
        <v>319</v>
      </c>
      <c r="M20" s="614"/>
      <c r="N20" s="615" t="s">
        <v>478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8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8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475</v>
      </c>
      <c r="C25" s="279"/>
      <c r="D25" s="566" t="s">
        <v>466</v>
      </c>
      <c r="E25" s="279"/>
      <c r="F25" s="566" t="s">
        <v>476</v>
      </c>
      <c r="G25" s="279"/>
      <c r="H25" s="566" t="s">
        <v>477</v>
      </c>
      <c r="I25" s="279"/>
      <c r="J25" s="566" t="s">
        <v>474</v>
      </c>
      <c r="K25" s="38"/>
      <c r="L25" s="566" t="s">
        <v>319</v>
      </c>
      <c r="M25" s="614"/>
      <c r="N25" s="615" t="s">
        <v>478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8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8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6">
      <c r="B32" s="599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3" t="s">
        <v>495</v>
      </c>
      <c r="O32" s="643"/>
      <c r="P32" s="643"/>
      <c r="Q32" s="643"/>
    </row>
    <row r="33" spans="2:17" ht="13.8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474</v>
      </c>
      <c r="C34" s="38"/>
      <c r="D34" s="566" t="s">
        <v>466</v>
      </c>
      <c r="E34" s="38"/>
      <c r="F34" s="566" t="s">
        <v>475</v>
      </c>
      <c r="G34" s="38"/>
      <c r="H34" s="579" t="s">
        <v>476</v>
      </c>
      <c r="I34" s="38"/>
      <c r="J34" s="567" t="s">
        <v>477</v>
      </c>
      <c r="K34" s="13"/>
      <c r="L34" s="574"/>
      <c r="M34" s="629"/>
      <c r="N34" s="629"/>
      <c r="O34" s="641" t="s">
        <v>1</v>
      </c>
      <c r="P34" s="641"/>
      <c r="Q34" s="641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2" t="s">
        <v>493</v>
      </c>
      <c r="N35" s="634"/>
      <c r="O35" s="637">
        <v>0.1</v>
      </c>
      <c r="P35" s="637">
        <v>0.12</v>
      </c>
      <c r="Q35" s="637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2"/>
      <c r="N36" s="638">
        <v>250</v>
      </c>
      <c r="O36" s="635">
        <v>42.86</v>
      </c>
      <c r="P36" s="635">
        <v>45.67</v>
      </c>
      <c r="Q36" s="635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2"/>
      <c r="N37" s="639">
        <v>200</v>
      </c>
      <c r="O37" s="635">
        <v>44.36</v>
      </c>
      <c r="P37" s="635">
        <v>47.02</v>
      </c>
      <c r="Q37" s="635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39">
        <v>150</v>
      </c>
      <c r="O38" s="635">
        <v>45.79</v>
      </c>
      <c r="P38" s="635">
        <v>48.39</v>
      </c>
      <c r="Q38" s="635">
        <v>51.1</v>
      </c>
    </row>
    <row r="39" spans="2:17">
      <c r="B39" s="600" t="s">
        <v>474</v>
      </c>
      <c r="C39" s="57"/>
      <c r="D39" s="588" t="s">
        <v>466</v>
      </c>
      <c r="E39" s="57"/>
      <c r="F39" s="588" t="s">
        <v>475</v>
      </c>
      <c r="G39" s="57"/>
      <c r="H39" s="589" t="s">
        <v>476</v>
      </c>
      <c r="I39" s="57"/>
      <c r="J39" s="601" t="s">
        <v>477</v>
      </c>
      <c r="K39" s="13"/>
      <c r="L39" s="574"/>
      <c r="M39" s="616"/>
      <c r="N39" s="616" t="s">
        <v>494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1" t="s">
        <v>477</v>
      </c>
      <c r="P41" s="641"/>
      <c r="Q41" s="641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2" t="s">
        <v>493</v>
      </c>
      <c r="N42" s="634"/>
      <c r="O42" s="636" t="s">
        <v>496</v>
      </c>
      <c r="P42" s="637">
        <v>0</v>
      </c>
      <c r="Q42" s="636" t="s">
        <v>497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2"/>
      <c r="N43" s="638">
        <v>250</v>
      </c>
      <c r="O43" s="640">
        <v>42.46</v>
      </c>
      <c r="P43" s="640">
        <v>45.67</v>
      </c>
      <c r="Q43" s="640">
        <v>48.87</v>
      </c>
    </row>
    <row r="44" spans="2:17">
      <c r="B44" s="573" t="s">
        <v>474</v>
      </c>
      <c r="C44" s="13"/>
      <c r="D44" s="574" t="s">
        <v>466</v>
      </c>
      <c r="E44" s="13"/>
      <c r="F44" s="574" t="s">
        <v>475</v>
      </c>
      <c r="G44" s="13"/>
      <c r="H44" s="580" t="s">
        <v>476</v>
      </c>
      <c r="I44" s="13"/>
      <c r="J44" s="575" t="s">
        <v>477</v>
      </c>
      <c r="K44" s="13"/>
      <c r="L44" s="574"/>
      <c r="M44" s="642"/>
      <c r="N44" s="639">
        <v>200</v>
      </c>
      <c r="O44" s="635">
        <v>43.83</v>
      </c>
      <c r="P44" s="635">
        <v>47.02</v>
      </c>
      <c r="Q44" s="635">
        <v>50.22</v>
      </c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39">
        <v>150</v>
      </c>
      <c r="O45" s="635">
        <v>45.19</v>
      </c>
      <c r="P45" s="635">
        <v>48.39</v>
      </c>
      <c r="Q45" s="635">
        <v>51.59</v>
      </c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498</v>
      </c>
    </row>
    <row r="47" spans="2:17" ht="13.8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 t="s">
        <v>500</v>
      </c>
    </row>
    <row r="48" spans="2:17" ht="13.8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1" t="s">
        <v>475</v>
      </c>
      <c r="P48" s="641"/>
      <c r="Q48" s="641"/>
    </row>
    <row r="49" spans="2:17">
      <c r="B49" s="565" t="s">
        <v>477</v>
      </c>
      <c r="C49" s="38"/>
      <c r="D49" s="566" t="s">
        <v>466</v>
      </c>
      <c r="E49" s="38"/>
      <c r="F49" s="566" t="s">
        <v>475</v>
      </c>
      <c r="G49" s="38"/>
      <c r="H49" s="566" t="s">
        <v>476</v>
      </c>
      <c r="I49" s="38"/>
      <c r="J49" s="567" t="s">
        <v>474</v>
      </c>
      <c r="K49" s="13"/>
      <c r="L49" s="574"/>
      <c r="M49" s="642" t="s">
        <v>493</v>
      </c>
      <c r="N49" s="634"/>
      <c r="O49" s="637">
        <v>0.7</v>
      </c>
      <c r="P49" s="637">
        <v>0.6</v>
      </c>
      <c r="Q49" s="637">
        <v>0.5</v>
      </c>
    </row>
    <row r="50" spans="2:17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2"/>
      <c r="N50" s="638">
        <v>250</v>
      </c>
      <c r="O50" s="635">
        <v>45.67</v>
      </c>
      <c r="P50" s="640">
        <v>44.9</v>
      </c>
      <c r="Q50" s="640">
        <v>44.19</v>
      </c>
    </row>
    <row r="51" spans="2:17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2"/>
      <c r="N51" s="639">
        <v>200</v>
      </c>
      <c r="O51" s="635">
        <v>47.02</v>
      </c>
      <c r="P51" s="635">
        <v>46.27</v>
      </c>
      <c r="Q51" s="635">
        <v>45.57</v>
      </c>
    </row>
    <row r="52" spans="2:17" ht="13.8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39">
        <v>150</v>
      </c>
      <c r="O52" s="635">
        <v>48.39</v>
      </c>
      <c r="P52" s="635">
        <v>47.63</v>
      </c>
      <c r="Q52" s="635">
        <v>46.92</v>
      </c>
    </row>
    <row r="53" spans="2:17" ht="13.8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499</v>
      </c>
    </row>
    <row r="54" spans="2:17">
      <c r="B54" s="565" t="s">
        <v>475</v>
      </c>
      <c r="C54" s="279"/>
      <c r="D54" s="566" t="s">
        <v>466</v>
      </c>
      <c r="E54" s="279"/>
      <c r="F54" s="566" t="s">
        <v>476</v>
      </c>
      <c r="G54" s="279"/>
      <c r="H54" s="566" t="s">
        <v>477</v>
      </c>
      <c r="I54" s="279"/>
      <c r="J54" s="567" t="s">
        <v>474</v>
      </c>
      <c r="K54" s="13"/>
      <c r="L54" s="574"/>
      <c r="M54" s="616"/>
      <c r="N54" s="616"/>
    </row>
    <row r="55" spans="2:17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M55" s="623"/>
      <c r="N55" s="616"/>
    </row>
    <row r="56" spans="2:17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M56" s="627"/>
      <c r="N56" s="623"/>
    </row>
    <row r="57" spans="2:17" ht="13.8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M57" s="629"/>
      <c r="N57" s="627"/>
    </row>
    <row r="58" spans="2:17">
      <c r="M58" s="629"/>
      <c r="N58" s="629"/>
    </row>
    <row r="59" spans="2:17">
      <c r="N59" s="629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F38" sqref="F38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43" ht="17.399999999999999">
      <c r="A2" s="87" t="str">
        <f>Assumptions!A3</f>
        <v>PROJECT NAME:  Retail Shorts</v>
      </c>
    </row>
    <row r="4" spans="1:43" ht="17.399999999999999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8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IF(Assumptions!$H$55=70%,Options!C7*12*Assumptions!$H$67,IF(Assumptions!$H$55=60%,Options!C16*12*Assumptions!$H$67,IF(Assumptions!$H$55=50%,Options!C22*12*Assumptions!$H$67,0)))</f>
        <v>8753.2800000000007</v>
      </c>
      <c r="D10" s="74">
        <f>IF(Assumptions!$H$55=70%,Options!D7*12*Assumptions!$H$67,IF(Assumptions!$H$55=60%,Options!D16*12*Assumptions!$H$67,IF(Assumptions!$H$55=50%,Options!D22*12*Assumptions!$H$67,0)))</f>
        <v>8505.1200000000008</v>
      </c>
      <c r="E10" s="74">
        <f>IF(Assumptions!$H$55=70%,Options!E7*12*Assumptions!$H$67,IF(Assumptions!$H$55=60%,Options!E16*12*Assumptions!$H$67,IF(Assumptions!$H$55=50%,Options!E22*12*Assumptions!$H$67,0)))</f>
        <v>8392.32</v>
      </c>
      <c r="F10" s="74">
        <f>IF(Assumptions!$H$55=70%,Options!F7*12*Assumptions!$H$67,IF(Assumptions!$H$55=60%,Options!F16*12*Assumptions!$H$67,IF(Assumptions!$H$55=50%,Options!F22*12*Assumptions!$H$67,0)))</f>
        <v>8414.8799999999992</v>
      </c>
      <c r="G10" s="74">
        <f>IF(Assumptions!$H$55=70%,Options!G7*12*Assumptions!$H$67,IF(Assumptions!$H$55=60%,Options!G16*12*Assumptions!$H$67,IF(Assumptions!$H$55=50%,Options!G22*12*Assumptions!$H$67,0)))</f>
        <v>8437.44</v>
      </c>
      <c r="H10" s="74">
        <f>IF(Assumptions!$H$55=70%,Options!H7*12*Assumptions!$H$67,IF(Assumptions!$H$55=60%,Options!H16*12*Assumptions!$H$67,IF(Assumptions!$H$55=50%,Options!H22*12*Assumptions!$H$67,0)))</f>
        <v>8550.2400000000016</v>
      </c>
      <c r="I10" s="74">
        <f>IF(Assumptions!$H$55=70%,Options!I7*12*Assumptions!$H$67,IF(Assumptions!$H$55=60%,Options!I16*12*Assumptions!$H$67,IF(Assumptions!$H$55=50%,Options!I22*12*Assumptions!$H$67,0)))</f>
        <v>8640.48</v>
      </c>
      <c r="J10" s="74">
        <f>IF(Assumptions!$H$55=70%,Options!J7*12*Assumptions!$H$67,IF(Assumptions!$H$55=60%,Options!J16*12*Assumptions!$H$67,IF(Assumptions!$H$55=50%,Options!J22*12*Assumptions!$H$67,0)))</f>
        <v>8708.16</v>
      </c>
      <c r="K10" s="74">
        <f>IF(Assumptions!$H$55=70%,Options!K7*12*Assumptions!$H$67,IF(Assumptions!$H$55=60%,Options!K16*12*Assumptions!$H$67,IF(Assumptions!$H$55=50%,Options!K22*12*Assumptions!$H$67,0)))</f>
        <v>8933.7599999999984</v>
      </c>
      <c r="L10" s="74">
        <f>IF(Assumptions!$H$55=70%,Options!L7*12*Assumptions!$H$67,IF(Assumptions!$H$55=60%,Options!L16*12*Assumptions!$H$67,IF(Assumptions!$H$55=50%,Options!L22*12*Assumptions!$H$67,0)))</f>
        <v>8978.8799999999992</v>
      </c>
      <c r="M10" s="74">
        <f>Options!M6*12*Assumptions!$H$67</f>
        <v>0</v>
      </c>
      <c r="N10" s="74">
        <f>Options!N6*12*Assumptions!$H$67</f>
        <v>0</v>
      </c>
      <c r="O10" s="74">
        <f>Options!O6*12*Assumptions!$H$67</f>
        <v>0</v>
      </c>
      <c r="P10" s="74">
        <f>Options!P6*12*Assumptions!$H$67</f>
        <v>0</v>
      </c>
      <c r="Q10" s="74">
        <f>Options!Q6*12*Assumptions!$H$67</f>
        <v>0</v>
      </c>
      <c r="R10" s="74">
        <f>Options!R6*12*Assumptions!$H$67</f>
        <v>0</v>
      </c>
      <c r="S10" s="74">
        <f>Options!S6*12*Assumptions!$H$67</f>
        <v>0</v>
      </c>
      <c r="T10" s="74">
        <f>Options!T6*12*Assumptions!$H$67</f>
        <v>0</v>
      </c>
      <c r="U10" s="74">
        <f>Options!U6*12*Assumptions!$H$67</f>
        <v>0</v>
      </c>
      <c r="V10" s="74">
        <f>Options!V6*12*Assumptions!$H$67</f>
        <v>0</v>
      </c>
      <c r="W10" s="74">
        <f>Options!W6*12*Assumptions!$H$67</f>
        <v>0</v>
      </c>
      <c r="X10" s="74">
        <f>Options!X6*12*Assumptions!$H$67</f>
        <v>0</v>
      </c>
      <c r="Y10" s="74">
        <f>Options!Y6*12*Assumptions!$H$67</f>
        <v>0</v>
      </c>
      <c r="Z10" s="74">
        <f>Options!Z6*12*Assumptions!$H$67</f>
        <v>0</v>
      </c>
      <c r="AA10" s="74">
        <f>Options!AA6*12*Assumptions!$H$67</f>
        <v>0</v>
      </c>
      <c r="AB10" s="74">
        <f>Options!AB6*12*Assumptions!$H$67</f>
        <v>0</v>
      </c>
      <c r="AC10" s="74">
        <f>Options!AC6*12*Assumptions!$H$67</f>
        <v>0</v>
      </c>
      <c r="AD10" s="74">
        <f>Options!AD6*12*Assumptions!$H$67</f>
        <v>0</v>
      </c>
      <c r="AE10" s="74">
        <f>Options!AE6*12*Assumptions!$H$67</f>
        <v>0</v>
      </c>
      <c r="AF10" s="74">
        <f>Options!AF6*12*Assumptions!$H$67</f>
        <v>0</v>
      </c>
      <c r="AG10" s="74">
        <f>Options!AG6*12*Assumptions!$H$67</f>
        <v>0</v>
      </c>
    </row>
    <row r="11" spans="1:43">
      <c r="A11" s="3" t="s">
        <v>468</v>
      </c>
      <c r="C11" s="74">
        <f>IF(Assumptions!$B$16="Yes",Options!C29/1000*'Price_Technical Assumption'!D41,0)</f>
        <v>20298.2224006</v>
      </c>
      <c r="D11" s="74">
        <f>IF(Assumptions!$B$16="Yes",Options!D29/1000*'Price_Technical Assumption'!E41,0)</f>
        <v>35625.2936166</v>
      </c>
      <c r="E11" s="74">
        <f>IF(Assumptions!$B$16="Yes",Options!E29/1000*'Price_Technical Assumption'!F41,0)</f>
        <v>38961.009408400001</v>
      </c>
      <c r="F11" s="74">
        <f>IF(Assumptions!$B$16="Yes",Options!F29/1000*'Price_Technical Assumption'!G41,0)</f>
        <v>40900.999306499994</v>
      </c>
      <c r="G11" s="74">
        <f>IF(Assumptions!$B$16="Yes",Options!G29/1000*'Price_Technical Assumption'!H41,0)</f>
        <v>40691.004536200002</v>
      </c>
      <c r="H11" s="74">
        <f>IF(Assumptions!$B$16="Yes",Options!H29/1000*'Price_Technical Assumption'!I41,0)</f>
        <v>40391.463226800006</v>
      </c>
      <c r="I11" s="74">
        <f>IF(Assumptions!$B$16="Yes",Options!I29/1000*'Price_Technical Assumption'!J41,0)</f>
        <v>37869.142922600004</v>
      </c>
      <c r="J11" s="74">
        <f>IF(Assumptions!$B$16="Yes",Options!J29/1000*'Price_Technical Assumption'!K41,0)</f>
        <v>38338.087049599999</v>
      </c>
      <c r="K11" s="74">
        <f>IF(Assumptions!$B$16="Yes",Options!K29/1000*'Price_Technical Assumption'!L41,0)</f>
        <v>37884.584863000004</v>
      </c>
      <c r="L11" s="74">
        <f>IF(Assumptions!$B$16="Yes",Options!L29/1000*'Price_Technical Assumption'!M41,0)</f>
        <v>25750.933593000002</v>
      </c>
      <c r="M11" s="74">
        <f>Options!M29/1000*'Price_Technical Assumption'!N41</f>
        <v>0</v>
      </c>
      <c r="N11" s="74">
        <f>Options!N29/1000*'Price_Technical Assumption'!O41</f>
        <v>0</v>
      </c>
      <c r="O11" s="74">
        <f>Options!O29/1000*'Price_Technical Assumption'!P41</f>
        <v>0</v>
      </c>
      <c r="P11" s="74">
        <f>Options!P29/1000*'Price_Technical Assumption'!Q41</f>
        <v>0</v>
      </c>
      <c r="Q11" s="74">
        <f>Options!Q29/1000*'Price_Technical Assumption'!R41</f>
        <v>0</v>
      </c>
      <c r="R11" s="74">
        <f>Options!R29/1000*'Price_Technical Assumption'!S41</f>
        <v>0</v>
      </c>
      <c r="S11" s="74">
        <f>Options!S29/1000*'Price_Technical Assumption'!T41</f>
        <v>0</v>
      </c>
      <c r="T11" s="74">
        <f>Options!T29/1000*'Price_Technical Assumption'!U41</f>
        <v>0</v>
      </c>
      <c r="U11" s="74">
        <f>Options!U29/1000*'Price_Technical Assumption'!V41</f>
        <v>0</v>
      </c>
      <c r="V11" s="74">
        <f>Options!V29/1000*'Price_Technical Assumption'!W41</f>
        <v>0</v>
      </c>
      <c r="W11" s="74">
        <f>Options!W29/1000*'Price_Technical Assumption'!X41</f>
        <v>0</v>
      </c>
      <c r="X11" s="74">
        <f>Options!X29/1000*'Price_Technical Assumption'!Y41</f>
        <v>0</v>
      </c>
      <c r="Y11" s="74">
        <f>Options!Y29/1000*'Price_Technical Assumption'!Z41</f>
        <v>0</v>
      </c>
      <c r="Z11" s="74">
        <f>Options!Z29/1000*'Price_Technical Assumption'!AA41</f>
        <v>0</v>
      </c>
      <c r="AA11" s="74">
        <f>Options!AA29/1000*'Price_Technical Assumption'!AB41</f>
        <v>0</v>
      </c>
      <c r="AB11" s="74">
        <f>Options!AB29/1000*'Price_Technical Assumption'!AC41</f>
        <v>0</v>
      </c>
      <c r="AC11" s="74">
        <f>Options!AC29/1000*'Price_Technical Assumption'!AD41</f>
        <v>0</v>
      </c>
      <c r="AD11" s="74">
        <f>Options!AD29/1000*'Price_Technical Assumption'!AE41</f>
        <v>0</v>
      </c>
      <c r="AE11" s="74">
        <f>Options!AE29/1000*'Price_Technical Assumption'!AF41</f>
        <v>0</v>
      </c>
      <c r="AF11" s="74">
        <f>Options!AF29/1000*'Price_Technical Assumption'!AG41</f>
        <v>0</v>
      </c>
      <c r="AG11" s="74">
        <f>Options!AG29/1000*'Price_Technical Assumption'!AH41</f>
        <v>0</v>
      </c>
    </row>
    <row r="12" spans="1:43">
      <c r="A12" s="206" t="s">
        <v>459</v>
      </c>
      <c r="C12" s="364">
        <f>2*6*Assumptions!H69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IF(Assumptions!$B$16="Yes",Options!C30,0)</f>
        <v>15094.311</v>
      </c>
      <c r="D16" s="36">
        <f>IF(Assumptions!$B$16="Yes",Options!D30,0)</f>
        <v>24529.596000000001</v>
      </c>
      <c r="E16" s="36">
        <f>IF(Assumptions!$B$16="Yes",Options!E30,0)</f>
        <v>26860.987000000001</v>
      </c>
      <c r="F16" s="36">
        <f>IF(Assumptions!$B$16="Yes",Options!F30,0)</f>
        <v>28207.439999999999</v>
      </c>
      <c r="G16" s="36">
        <f>IF(Assumptions!$B$16="Yes",Options!G30,0)</f>
        <v>28131.985000000001</v>
      </c>
      <c r="H16" s="36">
        <f>IF(Assumptions!$B$16="Yes",Options!H30,0)</f>
        <v>28053.978999999999</v>
      </c>
      <c r="I16" s="36">
        <f>IF(Assumptions!$B$16="Yes",Options!I30,0)</f>
        <v>26286.584999999999</v>
      </c>
      <c r="J16" s="36">
        <f>IF(Assumptions!$B$16="Yes",Options!J30,0)</f>
        <v>26802.971000000001</v>
      </c>
      <c r="K16" s="36">
        <f>IF(Assumptions!$B$16="Yes",Options!K30,0)</f>
        <v>26892.871999999999</v>
      </c>
      <c r="L16" s="36">
        <f>IF(Assumptions!$B$16="Yes",Options!L30,0)</f>
        <v>19682.797999999999</v>
      </c>
      <c r="M16" s="36">
        <f>IF(Assumptions!$B$16="Yes",Options!M30,0)</f>
        <v>0</v>
      </c>
      <c r="N16" s="36">
        <f>IF(Assumptions!$B$16="Yes",Options!N30,0)</f>
        <v>0</v>
      </c>
      <c r="O16" s="36">
        <f>IF(Assumptions!$B$16="Yes",Options!O30,0)</f>
        <v>0</v>
      </c>
      <c r="P16" s="36">
        <f>IF(Assumptions!$B$16="Yes",Options!P30,0)</f>
        <v>0</v>
      </c>
      <c r="Q16" s="36">
        <f>IF(Assumptions!$B$16="Yes",Options!Q30,0)</f>
        <v>0</v>
      </c>
      <c r="R16" s="36">
        <f>IF(Assumptions!$B$16="Yes",Options!R30,0)</f>
        <v>0</v>
      </c>
      <c r="S16" s="36">
        <f>IF(Assumptions!$B$16="Yes",Options!S30,0)</f>
        <v>0</v>
      </c>
      <c r="T16" s="36">
        <f>IF(Assumptions!$B$16="Yes",Options!T30,0)</f>
        <v>0</v>
      </c>
      <c r="U16" s="36">
        <f>IF(Assumptions!$B$16="Yes",Options!U30,0)</f>
        <v>0</v>
      </c>
      <c r="V16" s="36">
        <f>IF(Assumptions!$B$16="Yes",Options!V30,0)</f>
        <v>0</v>
      </c>
      <c r="W16" s="36">
        <f>IF(Assumptions!$B$16="Yes",Options!W30,0)</f>
        <v>0</v>
      </c>
      <c r="X16" s="36">
        <f>IF(Assumptions!$B$16="Yes",Options!X30,0)</f>
        <v>0</v>
      </c>
      <c r="Y16" s="36">
        <f>IF(Assumptions!$B$16="Yes",Options!Y30,0)</f>
        <v>0</v>
      </c>
      <c r="Z16" s="36">
        <f>IF(Assumptions!$B$16="Yes",Options!Z30,0)</f>
        <v>0</v>
      </c>
      <c r="AA16" s="36">
        <f>IF(Assumptions!$B$16="Yes",Options!AA30,0)</f>
        <v>0</v>
      </c>
      <c r="AB16" s="36">
        <f>IF(Assumptions!$B$16="Yes",Options!AB30,0)</f>
        <v>0</v>
      </c>
      <c r="AC16" s="36">
        <f>IF(Assumptions!$B$16="Yes",Options!AC30,0)</f>
        <v>0</v>
      </c>
      <c r="AD16" s="36">
        <f>IF(Assumptions!$B$16="Yes",Options!AD30,0)</f>
        <v>0</v>
      </c>
      <c r="AE16" s="36">
        <f>IF(Assumptions!$B$16="Yes",Options!AE30,0)</f>
        <v>0</v>
      </c>
      <c r="AF16" s="36">
        <f>IF(Assumptions!$B$16="Yes",Options!AF30,0)</f>
        <v>0</v>
      </c>
      <c r="AG16" s="36">
        <f>IF(Assumptions!$B$16="Yes",Options!AG30,0)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6">
      <c r="A43" s="54" t="s">
        <v>53</v>
      </c>
      <c r="B43" s="46"/>
      <c r="C43" s="366">
        <f t="shared" ref="C43:AG43" si="9">C38+C40+C41</f>
        <v>5396.7671422958374</v>
      </c>
      <c r="D43" s="366">
        <f t="shared" si="9"/>
        <v>5681.7081535205707</v>
      </c>
      <c r="E43" s="366">
        <f t="shared" si="9"/>
        <v>6614.8097973247332</v>
      </c>
      <c r="F43" s="366">
        <f t="shared" si="9"/>
        <v>7418.8497872244916</v>
      </c>
      <c r="G43" s="366">
        <f t="shared" si="9"/>
        <v>7834.9091100617961</v>
      </c>
      <c r="H43" s="366">
        <f t="shared" si="9"/>
        <v>8607.1034181847408</v>
      </c>
      <c r="I43" s="366">
        <f t="shared" si="9"/>
        <v>8919.829033282047</v>
      </c>
      <c r="J43" s="366">
        <f t="shared" si="9"/>
        <v>9242.1378832173323</v>
      </c>
      <c r="K43" s="366">
        <f t="shared" si="9"/>
        <v>9037.7415451384168</v>
      </c>
      <c r="L43" s="366">
        <f t="shared" si="9"/>
        <v>6064.6884754381899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8" customWidth="1"/>
    <col min="28" max="34" width="13.33203125" customWidth="1"/>
  </cols>
  <sheetData>
    <row r="2" spans="1:60" ht="17.399999999999999">
      <c r="A2" s="87" t="str">
        <f>Assumptions!A3</f>
        <v>PROJECT NAME:  Retail Shorts</v>
      </c>
    </row>
    <row r="4" spans="1:60" ht="17.399999999999999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8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7.399999999999999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8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-4848.5777479758208</v>
      </c>
      <c r="E12" s="442">
        <f>-(Debt!C44+Debt!D27+Debt!D36)</f>
        <v>-4175.4959530493234</v>
      </c>
      <c r="F12" s="442">
        <f>-(Debt!D44+Debt!E27+Debt!E36)</f>
        <v>-3457.5284504481256</v>
      </c>
      <c r="G12" s="442">
        <f>-(Debt!E44+Debt!F27+Debt!F36)</f>
        <v>-2639.2115563515649</v>
      </c>
      <c r="H12" s="442">
        <f>-(Debt!F44+Debt!G27+Debt!G36)</f>
        <v>-1758.5842390676435</v>
      </c>
      <c r="I12" s="442">
        <f>-(Debt!G44+Debt!H27+Debt!H36)</f>
        <v>-813.13526244269292</v>
      </c>
      <c r="J12" s="442">
        <f>-(Debt!H44+Debt!I27+Debt!I36)</f>
        <v>-36.117138637081069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5.2786001563072213E-2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0.12535254359245301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0.1199959099292755</v>
      </c>
    </row>
    <row r="54" spans="1:33">
      <c r="A54" s="56"/>
      <c r="B54" s="446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4" t="s">
        <v>1</v>
      </c>
      <c r="C60" s="450">
        <f>XIRR(B59:L59,B8:L8)</f>
        <v>0.12001051306724544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2000-03-08T13:44:36Z</cp:lastPrinted>
  <dcterms:created xsi:type="dcterms:W3CDTF">1999-04-02T01:38:38Z</dcterms:created>
  <dcterms:modified xsi:type="dcterms:W3CDTF">2023-09-10T11:58:09Z</dcterms:modified>
</cp:coreProperties>
</file>